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ffb1b11e7154c7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34eda94cc8664a05"/>
    <x:sheet xmlns:r="http://schemas.openxmlformats.org/officeDocument/2006/relationships" name="Hypothèses" sheetId="2" r:id="R4581b35755164207"/>
    <x:sheet xmlns:r="http://schemas.openxmlformats.org/officeDocument/2006/relationships" name="Chiffre d'affaires" sheetId="3" r:id="Rfa9c6485ded3427f"/>
    <x:sheet xmlns:r="http://schemas.openxmlformats.org/officeDocument/2006/relationships" name="Charges" sheetId="4" r:id="Rde2f8f044c394ecb"/>
    <x:sheet xmlns:r="http://schemas.openxmlformats.org/officeDocument/2006/relationships" name="Investissements" sheetId="5" r:id="R9bbde0f0346442aa"/>
    <x:sheet xmlns:r="http://schemas.openxmlformats.org/officeDocument/2006/relationships" name="Emprunt" sheetId="6" r:id="R07a040d63c154d9f"/>
    <x:sheet xmlns:r="http://schemas.openxmlformats.org/officeDocument/2006/relationships" name="Trésorerie" sheetId="7" r:id="R6cf15a5559d54779"/>
    <x:sheet xmlns:r="http://schemas.openxmlformats.org/officeDocument/2006/relationships" name="Compte de résultat" sheetId="8" r:id="Rb6bae01394654b53"/>
    <x:sheet xmlns:r="http://schemas.openxmlformats.org/officeDocument/2006/relationships" name="Bilan" sheetId="9" r:id="R3d87869972bb47ac"/>
    <x:sheet xmlns:r="http://schemas.openxmlformats.org/officeDocument/2006/relationships" name="KPI" sheetId="10" r:id="Rce5e9f0f5835433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#,##0;[Red](#,##0);-"/>
    <x:numFmt numFmtId="201" formatCode="0.0%;[Red](0.0%);-"/>
    <x:numFmt numFmtId="202" formatCode="#,##0&quot; €&quot;;[Red](#,##0&quot; €&quot;);-"/>
    <x:numFmt numFmtId="203" formatCode="0.00x"/>
    <x:numFmt numFmtId="204" formatCode="0.0x"/>
  </x:numFmts>
  <x:fonts count="22">
    <x:font>
      <x:sz val="11"/>
      <x:name val="Carlito"/>
    </x:font>
    <x:font>
      <x:b/>
      <x:sz val="22"/>
      <x:color rgb="FFFFFFFF"/>
      <x:name val="Carlito"/>
    </x:font>
    <x:font>
      <x:i/>
      <x:sz val="11"/>
      <x:color rgb="FFFFFFFF"/>
      <x:name val="Carlito"/>
    </x:font>
    <x:font>
      <x:b/>
      <x:sz val="11"/>
      <x:color rgb="FFFFFFFF"/>
      <x:name val="Carlito"/>
    </x:font>
    <x:font>
      <x:b/>
      <x:sz val="11"/>
      <x:color rgb="FF0000FF"/>
      <x:name val="Carlito"/>
    </x:font>
    <x:font>
      <x:sz val="11"/>
      <x:color rgb="FF000000"/>
      <x:name val="Carlito"/>
    </x:font>
    <x:font>
      <x:sz val="11"/>
      <x:color rgb="FF0000FF"/>
      <x:name val="Carlito"/>
    </x:font>
    <x:font>
      <x:b/>
      <x:sz val="11"/>
      <x:color rgb="FF1F2937"/>
      <x:name val="Carlito"/>
    </x:font>
    <x:font>
      <x:b/>
      <x:sz val="11"/>
      <x:name val="Carlito"/>
    </x:font>
    <x:font>
      <x:b/>
      <x:sz val="12"/>
      <x:color rgb="FFFFFFFF"/>
      <x:name val="Carlito"/>
    </x:font>
    <x:font>
      <x:b/>
      <x:sz val="16"/>
      <x:color rgb="FFFFFFFF"/>
      <x:name val="Carlito"/>
    </x:font>
    <x:font>
      <x:b/>
      <x:sz val="22"/>
      <x:color rgb="FFFFFFFF"/>
      <x:name val="Aptos"/>
    </x:font>
    <x:font>
      <x:i/>
      <x:sz val="11"/>
      <x:color rgb="FFFFFFFF"/>
      <x:name val="Aptos"/>
    </x:font>
    <x:font>
      <x:sz val="11"/>
      <x:name val="Aptos"/>
    </x:font>
    <x:font>
      <x:b/>
      <x:sz val="12"/>
      <x:color rgb="FFFFFFFF"/>
      <x:name val="Aptos"/>
    </x:font>
    <x:font>
      <x:b/>
      <x:sz val="16"/>
      <x:color rgb="FFFFFFFF"/>
      <x:name val="Aptos"/>
    </x:font>
    <x:font>
      <x:b/>
      <x:sz val="11"/>
      <x:color rgb="FFFFFFFF"/>
      <x:name val="Aptos"/>
    </x:font>
    <x:font>
      <x:b/>
      <x:sz val="11"/>
      <x:color rgb="FF0000FF"/>
      <x:name val="Aptos"/>
    </x:font>
    <x:font>
      <x:sz val="11"/>
      <x:color rgb="FF000000"/>
      <x:name val="Aptos"/>
    </x:font>
    <x:font>
      <x:sz val="11"/>
      <x:color rgb="FF0000FF"/>
      <x:name val="Aptos"/>
    </x:font>
    <x:font>
      <x:b/>
      <x:sz val="11"/>
      <x:color rgb="FF1F2937"/>
      <x:name val="Aptos"/>
    </x:font>
    <x:font>
      <x:b/>
      <x:sz val="11"/>
      <x:name val="Aptos"/>
    </x:font>
  </x:fonts>
  <x:fills count="15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0F766E"/>
      </x:patternFill>
    </x:fill>
    <x:fill>
      <x:patternFill patternType="solid">
        <x:fgColor rgb="FF1F4E78"/>
      </x:patternFill>
    </x:fill>
    <x:fill>
      <x:patternFill patternType="solid">
        <x:fgColor rgb="FFFFF2CC"/>
      </x:patternFill>
    </x:fill>
    <x:fill>
      <x:patternFill patternType="solid">
        <x:fgColor rgb="FF6C3483"/>
      </x:patternFill>
    </x:fill>
    <x:fill>
      <x:patternFill patternType="solid">
        <x:fgColor rgb="FFE67E22"/>
      </x:patternFill>
    </x:fill>
    <x:fill>
      <x:patternFill patternType="solid">
        <x:fgColor rgb="FFD9E2F3"/>
      </x:patternFill>
    </x:fill>
    <x:fill>
      <x:patternFill patternType="solid">
        <x:fgColor rgb="FF2E7D32"/>
      </x:patternFill>
    </x:fill>
    <x:fill>
      <x:patternFill patternType="solid">
        <x:fgColor rgb="FFC0392B"/>
      </x:patternFill>
    </x:fill>
    <x:fill>
      <x:patternFill patternType="solid">
        <x:fgColor rgb="FFF3F4F6"/>
      </x:patternFill>
    </x:fill>
    <x:fill>
      <x:patternFill patternType="solid">
        <x:fgColor rgb="FFE8F5E9"/>
      </x:patternFill>
    </x:fill>
    <x:fill>
      <x:patternFill patternType="solid">
        <x:fgColor rgb="FFFDECEC"/>
      </x:patternFill>
    </x:fill>
    <x:fill>
      <x:patternFill patternType="solid">
        <x:fgColor rgb="FFD4A017"/>
      </x:patternFill>
    </x:fill>
  </x:fills>
  <x:borders count="2">
    <x:border/>
    <x:border/>
  </x:borders>
  <x:cellStyleXfs count="1">
    <x:xf numFmtId="0" fontId="0" fillId="0" borderId="0"/>
  </x:cellStyleXfs>
  <x:cellXfs count="42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right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right"/>
    </x:xf>
    <x:xf numFmtId="200" fontId="4" fillId="5" borderId="0" xfId="0" applyNumberFormat="1" applyFont="1" applyFill="1" applyBorder="1" applyAlignment="1">
      <x:alignment horizontal="right"/>
    </x:xf>
    <x:xf numFmtId="200" fontId="4" fillId="5" borderId="1" xfId="0" applyNumberFormat="1" applyFont="1" applyFill="1" applyBorder="1" applyAlignment="1">
      <x:alignment horizontal="right"/>
    </x:xf>
    <x:xf numFmtId="201" fontId="4" fillId="5" borderId="0" xfId="0" applyNumberFormat="1" applyFont="1" applyFill="1" applyBorder="1" applyAlignment="1">
      <x:alignment horizontal="right"/>
    </x:xf>
    <x:xf numFmtId="201" fontId="4" fillId="5" borderId="1" xfId="0" applyNumberFormat="1" applyFont="1" applyFill="1" applyBorder="1" applyAlignment="1">
      <x:alignment horizontal="right"/>
    </x:xf>
    <x:xf numFmtId="202" fontId="4" fillId="5" borderId="0" xfId="0" applyNumberFormat="1" applyFont="1" applyFill="1" applyBorder="1" applyAlignment="1">
      <x:alignment horizontal="right"/>
    </x:xf>
    <x:xf numFmtId="202" fontId="4" fillId="5" borderId="1" xfId="0" applyNumberFormat="1" applyFont="1" applyFill="1" applyBorder="1" applyAlignment="1">
      <x:alignment horizontal="right"/>
    </x:xf>
    <x:xf numFmtId="0" fontId="0" fillId="0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/>
    <x:xf numFmtId="0" fontId="5" fillId="0" borderId="1" xfId="0" applyNumberFormat="1" applyFont="1" applyFill="1" applyBorder="1"/>
    <x:xf numFmtId="202" fontId="5" fillId="0" borderId="0" xfId="0" applyNumberFormat="1" applyFont="1" applyFill="1" applyBorder="1"/>
    <x:xf numFmtId="202" fontId="5" fillId="0" borderId="1" xfId="0" applyNumberFormat="1" applyFont="1" applyFill="1" applyBorder="1"/>
    <x:xf numFmtId="203" fontId="5" fillId="0" borderId="0" xfId="0" applyNumberFormat="1" applyFont="1" applyFill="1" applyBorder="1"/>
    <x:xf numFmtId="203" fontId="5" fillId="0" borderId="1" xfId="0" applyNumberFormat="1" applyFont="1" applyFill="1" applyBorder="1"/>
    <x:xf numFmtId="201" fontId="5" fillId="0" borderId="0" xfId="0" applyNumberFormat="1" applyFont="1" applyFill="1" applyBorder="1"/>
    <x:xf numFmtId="201" fontId="5" fillId="0" borderId="1" xfId="0" applyNumberFormat="1" applyFont="1" applyFill="1" applyBorder="1"/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horizontal="center"/>
    </x:xf>
    <x:xf numFmtId="0" fontId="2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/>
    <x:xf numFmtId="0" fontId="3" fillId="6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horizontal="center" wrapText="1"/>
    </x:xf>
    <x:xf numFmtId="0" fontId="3" fillId="6" borderId="0" xfId="0" applyNumberFormat="1" applyFont="1" applyFill="1" applyBorder="1" applyAlignment="1">
      <x:alignment horizontal="center" vertical="center" wrapText="1"/>
    </x:xf>
    <x:xf numFmtId="0" fontId="3" fillId="6" borderId="1" xfId="0" applyNumberFormat="1" applyFont="1" applyFill="1" applyBorder="1"/>
    <x:xf numFmtId="0" fontId="3" fillId="6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horizontal="center" wrapText="1"/>
    </x:xf>
    <x:xf numFmtId="0" fontId="3" fillId="6" borderId="1" xfId="0" applyNumberFormat="1" applyFont="1" applyFill="1" applyBorder="1" applyAlignment="1">
      <x:alignment horizontal="center" vertical="center" wrapText="1"/>
    </x:xf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202" fontId="0" fillId="0" borderId="0" xfId="0" applyNumberFormat="1" applyFont="1" applyFill="1" applyBorder="1"/>
    <x:xf numFmtId="202" fontId="6" fillId="5" borderId="0" xfId="0" applyNumberFormat="1" applyFont="1" applyFill="1" applyBorder="1"/>
    <x:xf numFmtId="202" fontId="0" fillId="0" borderId="1" xfId="0" applyNumberFormat="1" applyFont="1" applyFill="1" applyBorder="1"/>
    <x:xf numFmtId="202" fontId="6" fillId="5" borderId="1" xfId="0" applyNumberFormat="1" applyFont="1" applyFill="1" applyBorder="1"/>
    <x:xf numFmtId="0" fontId="0" fillId="8" borderId="0" xfId="0" applyNumberFormat="1" applyFont="1" applyFill="1" applyBorder="1"/>
    <x:xf numFmtId="202" fontId="0" fillId="8" borderId="0" xfId="0" applyNumberFormat="1" applyFont="1" applyFill="1" applyBorder="1"/>
    <x:xf numFmtId="0" fontId="7" fillId="8" borderId="0" xfId="0" applyNumberFormat="1" applyFont="1" applyFill="1" applyBorder="1"/>
    <x:xf numFmtId="202" fontId="7" fillId="8" borderId="0" xfId="0" applyNumberFormat="1" applyFont="1" applyFill="1" applyBorder="1"/>
    <x:xf numFmtId="0" fontId="0" fillId="8" borderId="1" xfId="0" applyNumberFormat="1" applyFont="1" applyFill="1" applyBorder="1"/>
    <x:xf numFmtId="202" fontId="0" fillId="8" borderId="1" xfId="0" applyNumberFormat="1" applyFont="1" applyFill="1" applyBorder="1"/>
    <x:xf numFmtId="0" fontId="7" fillId="8" borderId="1" xfId="0" applyNumberFormat="1" applyFont="1" applyFill="1" applyBorder="1"/>
    <x:xf numFmtId="202" fontId="7" fillId="8" borderId="1" xfId="0" applyNumberFormat="1" applyFont="1" applyFill="1" applyBorder="1"/>
    <x:xf numFmtId="0" fontId="1" fillId="3" borderId="0" xfId="0" applyNumberFormat="1" applyFont="1" applyFill="1" applyBorder="1"/>
    <x:xf numFmtId="0" fontId="1" fillId="3" borderId="0" xfId="0" applyNumberFormat="1" applyFont="1" applyFill="1" applyBorder="1" applyAlignment="1">
      <x:alignment horizontal="center"/>
    </x:xf>
    <x:xf numFmtId="0" fontId="1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/>
    <x:xf numFmtId="0" fontId="1" fillId="3" borderId="1" xfId="0" applyNumberFormat="1" applyFont="1" applyFill="1" applyBorder="1" applyAlignment="1">
      <x:alignment horizontal="center"/>
    </x:xf>
    <x:xf numFmtId="0" fontId="1" fillId="3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center"/>
    </x:xf>
    <x:xf numFmtId="0" fontId="2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center"/>
    </x:xf>
    <x:xf numFmtId="0" fontId="2" fillId="9" borderId="1" xfId="0" applyNumberFormat="1" applyFont="1" applyFill="1" applyBorder="1" applyAlignment="1">
      <x:alignment horizontal="center" vertical="center"/>
    </x:xf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wrapText="1"/>
    </x:xf>
    <x:xf numFmtId="0" fontId="3" fillId="3" borderId="0" xfId="0" applyNumberFormat="1" applyFont="1" applyFill="1" applyBorder="1" applyAlignment="1">
      <x:alignment horizontal="center" wrapText="1"/>
    </x:xf>
    <x:xf numFmtId="0" fontId="3" fillId="3" borderId="0" xfId="0" applyNumberFormat="1" applyFont="1" applyFill="1" applyBorder="1" applyAlignment="1">
      <x:alignment horizontal="center" vertical="center" wrapText="1"/>
    </x:xf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horizontal="center" wrapText="1"/>
    </x:xf>
    <x:xf numFmtId="0" fontId="3" fillId="3" borderId="1" xfId="0" applyNumberFormat="1" applyFont="1" applyFill="1" applyBorder="1" applyAlignment="1">
      <x:alignment horizontal="center" vertical="center" wrapText="1"/>
    </x:xf>
    <x:xf numFmtId="0" fontId="8" fillId="8" borderId="0" xfId="0" applyNumberFormat="1" applyFont="1" applyFill="1" applyBorder="1"/>
    <x:xf numFmtId="202" fontId="8" fillId="8" borderId="0" xfId="0" applyNumberFormat="1" applyFont="1" applyFill="1" applyBorder="1"/>
    <x:xf numFmtId="0" fontId="8" fillId="8" borderId="1" xfId="0" applyNumberFormat="1" applyFont="1" applyFill="1" applyBorder="1"/>
    <x:xf numFmtId="202" fontId="8" fillId="8" borderId="1" xfId="0" applyNumberFormat="1" applyFont="1" applyFill="1" applyBorder="1"/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2" fillId="10" borderId="0" xfId="0" applyNumberFormat="1" applyFont="1" applyFill="1" applyBorder="1"/>
    <x:xf numFmtId="0" fontId="2" fillId="10" borderId="0" xfId="0" applyNumberFormat="1" applyFont="1" applyFill="1" applyBorder="1" applyAlignment="1">
      <x:alignment horizontal="center"/>
    </x:xf>
    <x:xf numFmtId="0" fontId="2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2" fillId="10" borderId="1" xfId="0" applyNumberFormat="1" applyFont="1" applyFill="1" applyBorder="1"/>
    <x:xf numFmtId="0" fontId="2" fillId="10" borderId="1" xfId="0" applyNumberFormat="1" applyFont="1" applyFill="1" applyBorder="1" applyAlignment="1">
      <x:alignment horizontal="center"/>
    </x:xf>
    <x:xf numFmtId="0" fontId="2" fillId="10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horizontal="center" wrapText="1"/>
    </x:xf>
    <x:xf numFmtId="0" fontId="3" fillId="7" borderId="0" xfId="0" applyNumberFormat="1" applyFont="1" applyFill="1" applyBorder="1" applyAlignment="1">
      <x:alignment horizontal="center" vertical="center" wrapText="1"/>
    </x:xf>
    <x:xf numFmtId="0" fontId="3" fillId="7" borderId="1" xfId="0" applyNumberFormat="1" applyFont="1" applyFill="1" applyBorder="1"/>
    <x:xf numFmtId="0" fontId="3" fillId="7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horizontal="center" wrapText="1"/>
    </x:xf>
    <x:xf numFmtId="0" fontId="3" fillId="7" borderId="1" xfId="0" applyNumberFormat="1" applyFont="1" applyFill="1" applyBorder="1" applyAlignment="1">
      <x:alignment horizontal="center" vertical="center" wrapText="1"/>
    </x:xf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horizont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horizont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2" fillId="6" borderId="0" xfId="0" applyNumberFormat="1" applyFont="1" applyFill="1" applyBorder="1"/>
    <x:xf numFmtId="0" fontId="2" fillId="6" borderId="0" xfId="0" applyNumberFormat="1" applyFont="1" applyFill="1" applyBorder="1" applyAlignment="1">
      <x:alignment horizontal="center"/>
    </x:xf>
    <x:xf numFmtId="0" fontId="2" fillId="6" borderId="0" xfId="0" applyNumberFormat="1" applyFont="1" applyFill="1" applyBorder="1" applyAlignment="1">
      <x:alignment horizontal="center" vertical="center"/>
    </x:xf>
    <x:xf numFmtId="0" fontId="2" fillId="6" borderId="1" xfId="0" applyNumberFormat="1" applyFont="1" applyFill="1" applyBorder="1"/>
    <x:xf numFmtId="0" fontId="2" fillId="6" borderId="1" xfId="0" applyNumberFormat="1" applyFont="1" applyFill="1" applyBorder="1" applyAlignment="1">
      <x:alignment horizontal="center"/>
    </x:xf>
    <x:xf numFmtId="0" fontId="2" fillId="6" borderId="1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/>
    <x:xf numFmtId="0" fontId="3" fillId="10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horizontal="center" wrapText="1"/>
    </x:xf>
    <x:xf numFmtId="0" fontId="3" fillId="10" borderId="0" xfId="0" applyNumberFormat="1" applyFont="1" applyFill="1" applyBorder="1" applyAlignment="1">
      <x:alignment horizontal="center" vertical="center" wrapText="1"/>
    </x:xf>
    <x:xf numFmtId="0" fontId="3" fillId="10" borderId="1" xfId="0" applyNumberFormat="1" applyFont="1" applyFill="1" applyBorder="1"/>
    <x:xf numFmtId="0" fontId="3" fillId="10" borderId="1" xfId="0" applyNumberFormat="1" applyFont="1" applyFill="1" applyBorder="1" applyAlignment="1">
      <x:alignment wrapText="1"/>
    </x:xf>
    <x:xf numFmtId="0" fontId="3" fillId="10" borderId="1" xfId="0" applyNumberFormat="1" applyFont="1" applyFill="1" applyBorder="1" applyAlignment="1">
      <x:alignment horizontal="center" wrapText="1"/>
    </x:xf>
    <x:xf numFmtId="0" fontId="3" fillId="10" borderId="1" xfId="0" applyNumberFormat="1" applyFont="1" applyFill="1" applyBorder="1" applyAlignment="1">
      <x:alignment horizontal="center" vertical="center" wrapText="1"/>
    </x:xf>
    <x:xf numFmtId="0" fontId="0" fillId="11" borderId="0" xfId="0" applyNumberFormat="1" applyFont="1" applyFill="1" applyBorder="1"/>
    <x:xf numFmtId="202" fontId="0" fillId="11" borderId="0" xfId="0" applyNumberFormat="1" applyFont="1" applyFill="1" applyBorder="1"/>
    <x:xf numFmtId="0" fontId="8" fillId="11" borderId="0" xfId="0" applyNumberFormat="1" applyFont="1" applyFill="1" applyBorder="1"/>
    <x:xf numFmtId="202" fontId="8" fillId="11" borderId="0" xfId="0" applyNumberFormat="1" applyFont="1" applyFill="1" applyBorder="1"/>
    <x:xf numFmtId="0" fontId="0" fillId="11" borderId="1" xfId="0" applyNumberFormat="1" applyFont="1" applyFill="1" applyBorder="1"/>
    <x:xf numFmtId="202" fontId="0" fillId="11" borderId="1" xfId="0" applyNumberFormat="1" applyFont="1" applyFill="1" applyBorder="1"/>
    <x:xf numFmtId="0" fontId="8" fillId="11" borderId="1" xfId="0" applyNumberFormat="1" applyFont="1" applyFill="1" applyBorder="1"/>
    <x:xf numFmtId="202" fontId="8" fillId="11" borderId="1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1" fillId="9" borderId="0" xfId="0" applyNumberFormat="1" applyFont="1" applyFill="1" applyBorder="1" applyAlignment="1">
      <x:alignment horizontal="center" vertical="center"/>
    </x:xf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/>
    <x:xf numFmtId="0" fontId="3" fillId="9" borderId="0" xfId="0" applyNumberFormat="1" applyFont="1" applyFill="1" applyBorder="1" applyAlignment="1">
      <x:alignment wrapText="1"/>
    </x:xf>
    <x:xf numFmtId="0" fontId="3" fillId="9" borderId="0" xfId="0" applyNumberFormat="1" applyFont="1" applyFill="1" applyBorder="1" applyAlignment="1">
      <x:alignment horizont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3" fillId="9" borderId="1" xfId="0" applyNumberFormat="1" applyFont="1" applyFill="1" applyBorder="1"/>
    <x:xf numFmtId="0" fontId="3" fillId="9" borderId="1" xfId="0" applyNumberFormat="1" applyFont="1" applyFill="1" applyBorder="1" applyAlignment="1">
      <x:alignment wrapText="1"/>
    </x:xf>
    <x:xf numFmtId="0" fontId="3" fillId="9" borderId="1" xfId="0" applyNumberFormat="1" applyFont="1" applyFill="1" applyBorder="1" applyAlignment="1">
      <x:alignment horizont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0" fillId="12" borderId="0" xfId="0" applyNumberFormat="1" applyFont="1" applyFill="1" applyBorder="1"/>
    <x:xf numFmtId="202" fontId="0" fillId="12" borderId="0" xfId="0" applyNumberFormat="1" applyFont="1" applyFill="1" applyBorder="1"/>
    <x:xf numFmtId="0" fontId="8" fillId="12" borderId="0" xfId="0" applyNumberFormat="1" applyFont="1" applyFill="1" applyBorder="1"/>
    <x:xf numFmtId="202" fontId="8" fillId="12" borderId="0" xfId="0" applyNumberFormat="1" applyFont="1" applyFill="1" applyBorder="1"/>
    <x:xf numFmtId="0" fontId="0" fillId="12" borderId="1" xfId="0" applyNumberFormat="1" applyFont="1" applyFill="1" applyBorder="1"/>
    <x:xf numFmtId="202" fontId="0" fillId="12" borderId="1" xfId="0" applyNumberFormat="1" applyFont="1" applyFill="1" applyBorder="1"/>
    <x:xf numFmtId="0" fontId="8" fillId="12" borderId="1" xfId="0" applyNumberFormat="1" applyFont="1" applyFill="1" applyBorder="1"/>
    <x:xf numFmtId="202" fontId="8" fillId="12" borderId="1" xfId="0" applyNumberFormat="1" applyFont="1" applyFill="1" applyBorder="1"/>
    <x:xf numFmtId="0" fontId="0" fillId="13" borderId="0" xfId="0" applyNumberFormat="1" applyFont="1" applyFill="1" applyBorder="1"/>
    <x:xf numFmtId="202" fontId="0" fillId="13" borderId="0" xfId="0" applyNumberFormat="1" applyFont="1" applyFill="1" applyBorder="1"/>
    <x:xf numFmtId="0" fontId="8" fillId="13" borderId="0" xfId="0" applyNumberFormat="1" applyFont="1" applyFill="1" applyBorder="1"/>
    <x:xf numFmtId="202" fontId="8" fillId="13" borderId="0" xfId="0" applyNumberFormat="1" applyFont="1" applyFill="1" applyBorder="1"/>
    <x:xf numFmtId="0" fontId="0" fillId="13" borderId="1" xfId="0" applyNumberFormat="1" applyFont="1" applyFill="1" applyBorder="1"/>
    <x:xf numFmtId="202" fontId="0" fillId="13" borderId="1" xfId="0" applyNumberFormat="1" applyFont="1" applyFill="1" applyBorder="1"/>
    <x:xf numFmtId="0" fontId="8" fillId="13" borderId="1" xfId="0" applyNumberFormat="1" applyFont="1" applyFill="1" applyBorder="1"/>
    <x:xf numFmtId="202" fontId="8" fillId="13" borderId="1" xfId="0" applyNumberFormat="1" applyFont="1" applyFill="1" applyBorder="1"/>
    <x:xf numFmtId="0" fontId="0" fillId="14" borderId="0" xfId="0" applyNumberFormat="1" applyFont="1" applyFill="1" applyBorder="1"/>
    <x:xf numFmtId="0" fontId="1" fillId="14" borderId="0" xfId="0" applyNumberFormat="1" applyFont="1" applyFill="1" applyBorder="1"/>
    <x:xf numFmtId="0" fontId="1" fillId="14" borderId="0" xfId="0" applyNumberFormat="1" applyFont="1" applyFill="1" applyBorder="1" applyAlignment="1">
      <x:alignment horizontal="center"/>
    </x:xf>
    <x:xf numFmtId="0" fontId="1" fillId="14" borderId="0" xfId="0" applyNumberFormat="1" applyFont="1" applyFill="1" applyBorder="1" applyAlignment="1">
      <x:alignment horizontal="center" vertical="center"/>
    </x:xf>
    <x:xf numFmtId="0" fontId="0" fillId="14" borderId="1" xfId="0" applyNumberFormat="1" applyFont="1" applyFill="1" applyBorder="1"/>
    <x:xf numFmtId="0" fontId="1" fillId="14" borderId="1" xfId="0" applyNumberFormat="1" applyFont="1" applyFill="1" applyBorder="1"/>
    <x:xf numFmtId="0" fontId="1" fillId="14" borderId="1" xfId="0" applyNumberFormat="1" applyFont="1" applyFill="1" applyBorder="1" applyAlignment="1">
      <x:alignment horizontal="center"/>
    </x:xf>
    <x:xf numFmtId="0" fontId="1" fillId="14" borderId="1" xfId="0" applyNumberFormat="1" applyFont="1" applyFill="1" applyBorder="1" applyAlignment="1">
      <x:alignment horizontal="center" vertical="center"/>
    </x:xf>
    <x:xf numFmtId="0" fontId="3" fillId="14" borderId="0" xfId="0" applyNumberFormat="1" applyFont="1" applyFill="1" applyBorder="1"/>
    <x:xf numFmtId="0" fontId="3" fillId="14" borderId="0" xfId="0" applyNumberFormat="1" applyFont="1" applyFill="1" applyBorder="1" applyAlignment="1">
      <x:alignment wrapText="1"/>
    </x:xf>
    <x:xf numFmtId="0" fontId="3" fillId="14" borderId="0" xfId="0" applyNumberFormat="1" applyFont="1" applyFill="1" applyBorder="1" applyAlignment="1">
      <x:alignment horizontal="center" wrapText="1"/>
    </x:xf>
    <x:xf numFmtId="0" fontId="3" fillId="14" borderId="0" xfId="0" applyNumberFormat="1" applyFont="1" applyFill="1" applyBorder="1" applyAlignment="1">
      <x:alignment horizontal="center" vertical="center" wrapText="1"/>
    </x:xf>
    <x:xf numFmtId="0" fontId="3" fillId="14" borderId="1" xfId="0" applyNumberFormat="1" applyFont="1" applyFill="1" applyBorder="1"/>
    <x:xf numFmtId="0" fontId="3" fillId="14" borderId="1" xfId="0" applyNumberFormat="1" applyFont="1" applyFill="1" applyBorder="1" applyAlignment="1">
      <x:alignment wrapText="1"/>
    </x:xf>
    <x:xf numFmtId="0" fontId="3" fillId="14" borderId="1" xfId="0" applyNumberFormat="1" applyFont="1" applyFill="1" applyBorder="1" applyAlignment="1">
      <x:alignment horizontal="center" wrapText="1"/>
    </x:xf>
    <x:xf numFmtId="0" fontId="3" fillId="14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0" fontId="2" fillId="4" borderId="0" xfId="0" applyNumberFormat="1" applyFont="1" applyFill="1" applyBorder="1"/>
    <x:xf numFmtId="0" fontId="2" fillId="4" borderId="0" xfId="0" applyNumberFormat="1" applyFont="1" applyFill="1" applyBorder="1" applyAlignment="1">
      <x:alignment horizontal="center"/>
    </x:xf>
    <x:xf numFmtId="0" fontId="2" fillId="4" borderId="0" xfId="0" applyNumberFormat="1" applyFont="1" applyFill="1" applyBorder="1" applyAlignment="1">
      <x:alignment horizontal="center" vertical="center"/>
    </x:xf>
    <x:xf numFmtId="0" fontId="2" fillId="4" borderId="1" xfId="0" applyNumberFormat="1" applyFont="1" applyFill="1" applyBorder="1"/>
    <x:xf numFmtId="0" fontId="2" fillId="4" borderId="1" xfId="0" applyNumberFormat="1" applyFont="1" applyFill="1" applyBorder="1" applyAlignment="1">
      <x:alignment horizontal="center"/>
    </x:xf>
    <x:xf numFmtId="0" fontId="2" fillId="4" borderId="1" xfId="0" applyNumberFormat="1" applyFont="1" applyFill="1" applyBorder="1" applyAlignment="1">
      <x:alignment horizontal="center" vertic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wrapText="1"/>
    </x:xf>
    <x:xf numFmtId="0" fontId="3" fillId="2" borderId="0" xfId="0" applyNumberFormat="1" applyFont="1" applyFill="1" applyBorder="1" applyAlignment="1">
      <x:alignment horizontal="center" wrapText="1"/>
    </x:xf>
    <x:xf numFmtId="0" fontId="3" fillId="2" borderId="0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wrapText="1"/>
    </x:xf>
    <x:xf numFmtId="0" fontId="3" fillId="2" borderId="1" xfId="0" applyNumberFormat="1" applyFont="1" applyFill="1" applyBorder="1" applyAlignment="1">
      <x:alignment horizontal="center" wrapText="1"/>
    </x:xf>
    <x:xf numFmtId="0" fontId="3" fillId="2" borderId="1" xfId="0" applyNumberFormat="1" applyFont="1" applyFill="1" applyBorder="1" applyAlignment="1">
      <x:alignment horizontal="center" vertical="center" wrapText="1"/>
    </x:xf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horizontal="left"/>
    </x:xf>
    <x:xf numFmtId="0" fontId="9" fillId="4" borderId="0" xfId="0" applyNumberFormat="1" applyFont="1" applyFill="1" applyBorder="1" applyAlignment="1">
      <x:alignment horizontal="left" vertical="center"/>
    </x:xf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horizontal="left"/>
    </x:xf>
    <x:xf numFmtId="0" fontId="9" fillId="4" borderId="1" xfId="0" applyNumberFormat="1" applyFont="1" applyFill="1" applyBorder="1" applyAlignment="1">
      <x:alignment horizontal="left" vertical="center"/>
    </x:xf>
    <x:xf numFmtId="0" fontId="10" fillId="4" borderId="0" xfId="0" applyNumberFormat="1" applyFont="1" applyFill="1" applyBorder="1"/>
    <x:xf numFmtId="0" fontId="10" fillId="4" borderId="0" xfId="0" applyNumberFormat="1" applyFont="1" applyFill="1" applyBorder="1" applyAlignment="1">
      <x:alignment wrapText="1"/>
    </x:xf>
    <x:xf numFmtId="0" fontId="10" fillId="4" borderId="0" xfId="0" applyNumberFormat="1" applyFont="1" applyFill="1" applyBorder="1" applyAlignment="1">
      <x:alignment horizontal="center" wrapText="1"/>
    </x:xf>
    <x:xf numFmtId="0" fontId="10" fillId="4" borderId="0" xfId="0" applyNumberFormat="1" applyFont="1" applyFill="1" applyBorder="1" applyAlignment="1">
      <x:alignment horizontal="center" vertical="center" wrapText="1"/>
    </x:xf>
    <x:xf numFmtId="0" fontId="10" fillId="4" borderId="1" xfId="0" applyNumberFormat="1" applyFont="1" applyFill="1" applyBorder="1"/>
    <x:xf numFmtId="0" fontId="10" fillId="4" borderId="1" xfId="0" applyNumberFormat="1" applyFont="1" applyFill="1" applyBorder="1" applyAlignment="1">
      <x:alignment wrapText="1"/>
    </x:xf>
    <x:xf numFmtId="0" fontId="10" fillId="4" borderId="1" xfId="0" applyNumberFormat="1" applyFont="1" applyFill="1" applyBorder="1" applyAlignment="1">
      <x:alignment horizontal="center" wrapText="1"/>
    </x:xf>
    <x:xf numFmtId="0" fontId="10" fillId="4" borderId="1" xfId="0" applyNumberFormat="1" applyFont="1" applyFill="1" applyBorder="1" applyAlignment="1">
      <x:alignment horizontal="center" vertical="center" wrapText="1"/>
    </x:xf>
    <x:xf numFmtId="0" fontId="10" fillId="3" borderId="0" xfId="0" applyNumberFormat="1" applyFont="1" applyFill="1" applyBorder="1"/>
    <x:xf numFmtId="0" fontId="10" fillId="3" borderId="0" xfId="0" applyNumberFormat="1" applyFont="1" applyFill="1" applyBorder="1" applyAlignment="1">
      <x:alignment wrapText="1"/>
    </x:xf>
    <x:xf numFmtId="0" fontId="10" fillId="3" borderId="0" xfId="0" applyNumberFormat="1" applyFont="1" applyFill="1" applyBorder="1" applyAlignment="1">
      <x:alignment horizontal="center" wrapText="1"/>
    </x:xf>
    <x:xf numFmtId="0" fontId="10" fillId="3" borderId="0" xfId="0" applyNumberFormat="1" applyFont="1" applyFill="1" applyBorder="1" applyAlignment="1">
      <x:alignment horizontal="center" vertical="center" wrapText="1"/>
    </x:xf>
    <x:xf numFmtId="0" fontId="10" fillId="3" borderId="1" xfId="0" applyNumberFormat="1" applyFont="1" applyFill="1" applyBorder="1"/>
    <x:xf numFmtId="0" fontId="10" fillId="3" borderId="1" xfId="0" applyNumberFormat="1" applyFont="1" applyFill="1" applyBorder="1" applyAlignment="1">
      <x:alignment wrapText="1"/>
    </x:xf>
    <x:xf numFmtId="0" fontId="10" fillId="3" borderId="1" xfId="0" applyNumberFormat="1" applyFont="1" applyFill="1" applyBorder="1" applyAlignment="1">
      <x:alignment horizontal="center" wrapText="1"/>
    </x:xf>
    <x:xf numFmtId="0" fontId="10" fillId="3" borderId="1" xfId="0" applyNumberFormat="1" applyFont="1" applyFill="1" applyBorder="1" applyAlignment="1">
      <x:alignment horizontal="center" vertical="center" wrapText="1"/>
    </x:xf>
    <x:xf numFmtId="0" fontId="10" fillId="9" borderId="0" xfId="0" applyNumberFormat="1" applyFont="1" applyFill="1" applyBorder="1"/>
    <x:xf numFmtId="0" fontId="10" fillId="9" borderId="0" xfId="0" applyNumberFormat="1" applyFont="1" applyFill="1" applyBorder="1" applyAlignment="1">
      <x:alignment wrapText="1"/>
    </x:xf>
    <x:xf numFmtId="0" fontId="10" fillId="9" borderId="0" xfId="0" applyNumberFormat="1" applyFont="1" applyFill="1" applyBorder="1" applyAlignment="1">
      <x:alignment horizontal="center" wrapText="1"/>
    </x:xf>
    <x:xf numFmtId="0" fontId="10" fillId="9" borderId="0" xfId="0" applyNumberFormat="1" applyFont="1" applyFill="1" applyBorder="1" applyAlignment="1">
      <x:alignment horizontal="center" vertical="center" wrapText="1"/>
    </x:xf>
    <x:xf numFmtId="0" fontId="10" fillId="9" borderId="1" xfId="0" applyNumberFormat="1" applyFont="1" applyFill="1" applyBorder="1"/>
    <x:xf numFmtId="0" fontId="10" fillId="9" borderId="1" xfId="0" applyNumberFormat="1" applyFont="1" applyFill="1" applyBorder="1" applyAlignment="1">
      <x:alignment wrapText="1"/>
    </x:xf>
    <x:xf numFmtId="0" fontId="10" fillId="9" borderId="1" xfId="0" applyNumberFormat="1" applyFont="1" applyFill="1" applyBorder="1" applyAlignment="1">
      <x:alignment horizontal="center" wrapText="1"/>
    </x:xf>
    <x:xf numFmtId="0" fontId="10" fillId="9" borderId="1" xfId="0" applyNumberFormat="1" applyFont="1" applyFill="1" applyBorder="1" applyAlignment="1">
      <x:alignment horizontal="center" vertical="center" wrapText="1"/>
    </x:xf>
    <x:xf numFmtId="0" fontId="10" fillId="7" borderId="0" xfId="0" applyNumberFormat="1" applyFont="1" applyFill="1" applyBorder="1"/>
    <x:xf numFmtId="0" fontId="10" fillId="7" borderId="0" xfId="0" applyNumberFormat="1" applyFont="1" applyFill="1" applyBorder="1" applyAlignment="1">
      <x:alignment wrapText="1"/>
    </x:xf>
    <x:xf numFmtId="0" fontId="10" fillId="7" borderId="0" xfId="0" applyNumberFormat="1" applyFont="1" applyFill="1" applyBorder="1" applyAlignment="1">
      <x:alignment horizontal="center" wrapText="1"/>
    </x:xf>
    <x:xf numFmtId="0" fontId="10" fillId="7" borderId="0" xfId="0" applyNumberFormat="1" applyFont="1" applyFill="1" applyBorder="1" applyAlignment="1">
      <x:alignment horizontal="center" vertical="center" wrapText="1"/>
    </x:xf>
    <x:xf numFmtId="0" fontId="10" fillId="7" borderId="1" xfId="0" applyNumberFormat="1" applyFont="1" applyFill="1" applyBorder="1"/>
    <x:xf numFmtId="0" fontId="10" fillId="7" borderId="1" xfId="0" applyNumberFormat="1" applyFont="1" applyFill="1" applyBorder="1" applyAlignment="1">
      <x:alignment wrapText="1"/>
    </x:xf>
    <x:xf numFmtId="0" fontId="10" fillId="7" borderId="1" xfId="0" applyNumberFormat="1" applyFont="1" applyFill="1" applyBorder="1" applyAlignment="1">
      <x:alignment horizontal="center" wrapText="1"/>
    </x:xf>
    <x:xf numFmtId="0" fontId="10" fillId="7" borderId="1" xfId="0" applyNumberFormat="1" applyFont="1" applyFill="1" applyBorder="1" applyAlignment="1">
      <x:alignment horizontal="center" vertical="center" wrapText="1"/>
    </x:xf>
    <x:xf numFmtId="0" fontId="9" fillId="6" borderId="0" xfId="0" applyNumberFormat="1" applyFont="1" applyFill="1" applyBorder="1"/>
    <x:xf numFmtId="0" fontId="9" fillId="6" borderId="0" xfId="0" applyNumberFormat="1" applyFont="1" applyFill="1" applyBorder="1" applyAlignment="1">
      <x:alignment horizontal="left"/>
    </x:xf>
    <x:xf numFmtId="0" fontId="9" fillId="6" borderId="0" xfId="0" applyNumberFormat="1" applyFont="1" applyFill="1" applyBorder="1" applyAlignment="1">
      <x:alignment horizontal="left" vertical="center"/>
    </x:xf>
    <x:xf numFmtId="0" fontId="9" fillId="6" borderId="1" xfId="0" applyNumberFormat="1" applyFont="1" applyFill="1" applyBorder="1"/>
    <x:xf numFmtId="0" fontId="9" fillId="6" borderId="1" xfId="0" applyNumberFormat="1" applyFont="1" applyFill="1" applyBorder="1" applyAlignment="1">
      <x:alignment horizontal="left"/>
    </x:xf>
    <x:xf numFmtId="0" fontId="9" fillId="6" borderId="1" xfId="0" applyNumberFormat="1" applyFont="1" applyFill="1" applyBorder="1" applyAlignment="1">
      <x:alignment horizontal="left" vertic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2" fillId="6" borderId="0" xfId="0" applyNumberFormat="1" applyFont="1" applyFill="1" applyBorder="1" applyAlignment="1">
      <x:alignment horizontal="center" vertical="center"/>
    </x:xf>
    <x:xf numFmtId="0" fontId="13" fillId="0" borderId="0" xfId="0" applyNumberFormat="1" applyFont="1" applyFill="1" applyBorder="1"/>
    <x:xf numFmtId="0" fontId="14" fillId="4" borderId="0" xfId="0" applyNumberFormat="1" applyFont="1" applyFill="1" applyBorder="1" applyAlignment="1">
      <x:alignment horizontal="left" vertical="center"/>
    </x:xf>
    <x:xf numFmtId="0" fontId="15" fillId="4" borderId="0" xfId="0" applyNumberFormat="1" applyFont="1" applyFill="1" applyBorder="1" applyAlignment="1">
      <x:alignment horizontal="center" vertical="center" wrapText="1"/>
    </x:xf>
    <x:xf numFmtId="0" fontId="15" fillId="3" borderId="0" xfId="0" applyNumberFormat="1" applyFont="1" applyFill="1" applyBorder="1" applyAlignment="1">
      <x:alignment horizontal="center" vertical="center" wrapText="1"/>
    </x:xf>
    <x:xf numFmtId="0" fontId="15" fillId="9" borderId="0" xfId="0" applyNumberFormat="1" applyFont="1" applyFill="1" applyBorder="1" applyAlignment="1">
      <x:alignment horizontal="center" vertical="center" wrapText="1"/>
    </x:xf>
    <x:xf numFmtId="0" fontId="15" fillId="7" borderId="0" xfId="0" applyNumberFormat="1" applyFont="1" applyFill="1" applyBorder="1" applyAlignment="1">
      <x:alignment horizontal="center" vertical="center" wrapText="1"/>
    </x:xf>
    <x:xf numFmtId="0" fontId="14" fillId="6" borderId="0" xfId="0" applyNumberFormat="1" applyFont="1" applyFill="1" applyBorder="1" applyAlignment="1">
      <x:alignment horizontal="left" vertical="center"/>
    </x:xf>
    <x:xf numFmtId="0" fontId="16" fillId="6" borderId="0" xfId="0" applyNumberFormat="1" applyFont="1" applyFill="1" applyBorder="1" applyAlignment="1">
      <x:alignment horizontal="center" vertical="center" wrapText="1"/>
    </x:xf>
    <x:xf numFmtId="202" fontId="13" fillId="0" borderId="0" xfId="0" applyNumberFormat="1" applyFont="1" applyFill="1" applyBorder="1"/>
    <x:xf numFmtId="0" fontId="11" fillId="2" borderId="1" xfId="0" applyNumberFormat="1" applyFont="1" applyFill="1" applyBorder="1" applyAlignment="1">
      <x:alignment horizontal="center" vertical="center"/>
    </x:xf>
    <x:xf numFmtId="0" fontId="12" fillId="6" borderId="1" xfId="0" applyNumberFormat="1" applyFont="1" applyFill="1" applyBorder="1" applyAlignment="1">
      <x:alignment horizontal="center" vertical="center"/>
    </x:xf>
    <x:xf numFmtId="0" fontId="13" fillId="0" borderId="1" xfId="0" applyNumberFormat="1" applyFont="1" applyFill="1" applyBorder="1"/>
    <x:xf numFmtId="0" fontId="14" fillId="4" borderId="1" xfId="0" applyNumberFormat="1" applyFont="1" applyFill="1" applyBorder="1" applyAlignment="1">
      <x:alignment horizontal="left" vertical="center"/>
    </x:xf>
    <x:xf numFmtId="0" fontId="15" fillId="4" borderId="1" xfId="0" applyNumberFormat="1" applyFont="1" applyFill="1" applyBorder="1" applyAlignment="1">
      <x:alignment horizontal="center" vertical="center" wrapText="1"/>
    </x:xf>
    <x:xf numFmtId="0" fontId="15" fillId="3" borderId="1" xfId="0" applyNumberFormat="1" applyFont="1" applyFill="1" applyBorder="1" applyAlignment="1">
      <x:alignment horizontal="center" vertical="center" wrapText="1"/>
    </x:xf>
    <x:xf numFmtId="0" fontId="15" fillId="9" borderId="1" xfId="0" applyNumberFormat="1" applyFont="1" applyFill="1" applyBorder="1" applyAlignment="1">
      <x:alignment horizontal="center" vertical="center" wrapText="1"/>
    </x:xf>
    <x:xf numFmtId="0" fontId="15" fillId="7" borderId="1" xfId="0" applyNumberFormat="1" applyFont="1" applyFill="1" applyBorder="1" applyAlignment="1">
      <x:alignment horizontal="center" vertical="center" wrapText="1"/>
    </x:xf>
    <x:xf numFmtId="0" fontId="14" fillId="6" borderId="1" xfId="0" applyNumberFormat="1" applyFont="1" applyFill="1" applyBorder="1" applyAlignment="1">
      <x:alignment horizontal="left" vertical="center"/>
    </x:xf>
    <x:xf numFmtId="0" fontId="16" fillId="6" borderId="1" xfId="0" applyNumberFormat="1" applyFont="1" applyFill="1" applyBorder="1" applyAlignment="1">
      <x:alignment horizontal="center" vertical="center" wrapText="1"/>
    </x:xf>
    <x:xf numFmtId="202" fontId="13" fillId="0" borderId="1" xfId="0" applyNumberFormat="1" applyFont="1" applyFill="1" applyBorder="1"/>
    <x:xf numFmtId="0" fontId="13" fillId="0" borderId="0" xfId="0" applyNumberFormat="1" applyFont="1" applyFill="1" applyBorder="1" applyAlignment="1">
      <x:alignment vertical="center"/>
    </x:xf>
    <x:xf numFmtId="202" fontId="13" fillId="0" borderId="0" xfId="0" applyNumberFormat="1" applyFont="1" applyFill="1" applyBorder="1" applyAlignment="1">
      <x:alignment vertical="center"/>
    </x:xf>
    <x:xf numFmtId="0" fontId="13" fillId="0" borderId="1" xfId="0" applyNumberFormat="1" applyFont="1" applyFill="1" applyBorder="1" applyAlignment="1">
      <x:alignment vertical="center"/>
    </x:xf>
    <x:xf numFmtId="202" fontId="13" fillId="0" borderId="1" xfId="0" applyNumberFormat="1" applyFont="1" applyFill="1" applyBorder="1" applyAlignment="1">
      <x:alignment vertical="center"/>
    </x:xf>
    <x:xf numFmtId="0" fontId="12" fillId="3" borderId="0" xfId="0" applyNumberFormat="1" applyFont="1" applyFill="1" applyBorder="1" applyAlignment="1">
      <x:alignment horizontal="center" vertical="center"/>
    </x:xf>
    <x:xf numFmtId="0" fontId="16" fillId="4" borderId="0" xfId="0" applyNumberFormat="1" applyFont="1" applyFill="1" applyBorder="1" applyAlignment="1">
      <x:alignment horizontal="center" vertical="center" wrapText="1"/>
    </x:xf>
    <x:xf numFmtId="200" fontId="17" fillId="5" borderId="0" xfId="0" applyNumberFormat="1" applyFont="1" applyFill="1" applyBorder="1" applyAlignment="1">
      <x:alignment horizontal="right"/>
    </x:xf>
    <x:xf numFmtId="202" fontId="17" fillId="5" borderId="0" xfId="0" applyNumberFormat="1" applyFont="1" applyFill="1" applyBorder="1" applyAlignment="1">
      <x:alignment horizontal="right"/>
    </x:xf>
    <x:xf numFmtId="201" fontId="17" fillId="5" borderId="0" xfId="0" applyNumberFormat="1" applyFont="1" applyFill="1" applyBorder="1" applyAlignment="1">
      <x:alignment horizontal="right"/>
    </x:xf>
    <x:xf numFmtId="0" fontId="12" fillId="3" borderId="1" xfId="0" applyNumberFormat="1" applyFont="1" applyFill="1" applyBorder="1" applyAlignment="1">
      <x:alignment horizontal="center" vertical="center"/>
    </x:xf>
    <x:xf numFmtId="0" fontId="16" fillId="4" borderId="1" xfId="0" applyNumberFormat="1" applyFont="1" applyFill="1" applyBorder="1" applyAlignment="1">
      <x:alignment horizontal="center" vertical="center" wrapText="1"/>
    </x:xf>
    <x:xf numFmtId="200" fontId="17" fillId="5" borderId="1" xfId="0" applyNumberFormat="1" applyFont="1" applyFill="1" applyBorder="1" applyAlignment="1">
      <x:alignment horizontal="right"/>
    </x:xf>
    <x:xf numFmtId="202" fontId="17" fillId="5" borderId="1" xfId="0" applyNumberFormat="1" applyFont="1" applyFill="1" applyBorder="1" applyAlignment="1">
      <x:alignment horizontal="right"/>
    </x:xf>
    <x:xf numFmtId="201" fontId="17" fillId="5" borderId="1" xfId="0" applyNumberFormat="1" applyFont="1" applyFill="1" applyBorder="1" applyAlignment="1">
      <x:alignment horizontal="right"/>
    </x:xf>
    <x:xf numFmtId="200" fontId="17" fillId="5" borderId="0" xfId="0" applyNumberFormat="1" applyFont="1" applyFill="1" applyBorder="1" applyAlignment="1">
      <x:alignment horizontal="right" vertical="center"/>
    </x:xf>
    <x:xf numFmtId="202" fontId="17" fillId="5" borderId="0" xfId="0" applyNumberFormat="1" applyFont="1" applyFill="1" applyBorder="1" applyAlignment="1">
      <x:alignment horizontal="right" vertical="center"/>
    </x:xf>
    <x:xf numFmtId="201" fontId="17" fillId="5" borderId="0" xfId="0" applyNumberFormat="1" applyFont="1" applyFill="1" applyBorder="1" applyAlignment="1">
      <x:alignment horizontal="right" vertical="center"/>
    </x:xf>
    <x:xf numFmtId="200" fontId="17" fillId="5" borderId="1" xfId="0" applyNumberFormat="1" applyFont="1" applyFill="1" applyBorder="1" applyAlignment="1">
      <x:alignment horizontal="right" vertical="center"/>
    </x:xf>
    <x:xf numFmtId="202" fontId="17" fillId="5" borderId="1" xfId="0" applyNumberFormat="1" applyFont="1" applyFill="1" applyBorder="1" applyAlignment="1">
      <x:alignment horizontal="right" vertical="center"/>
    </x:xf>
    <x:xf numFmtId="201" fontId="17" fillId="5" borderId="1" xfId="0" applyNumberFormat="1" applyFont="1" applyFill="1" applyBorder="1" applyAlignment="1">
      <x:alignment horizontal="right" vertical="center"/>
    </x:xf>
    <x:xf numFmtId="0" fontId="11" fillId="4" borderId="0" xfId="0" applyNumberFormat="1" applyFont="1" applyFill="1" applyBorder="1" applyAlignment="1">
      <x:alignment horizontal="center" vertical="center"/>
    </x:xf>
    <x:xf numFmtId="203" fontId="18" fillId="0" borderId="0" xfId="0" applyNumberFormat="1" applyFont="1" applyFill="1" applyBorder="1"/>
    <x:xf numFmtId="202" fontId="18" fillId="0" borderId="0" xfId="0" applyNumberFormat="1" applyFont="1" applyFill="1" applyBorder="1"/>
    <x:xf numFmtId="201" fontId="18" fillId="0" borderId="0" xfId="0" applyNumberFormat="1" applyFont="1" applyFill="1" applyBorder="1"/>
    <x:xf numFmtId="0" fontId="11" fillId="4" borderId="1" xfId="0" applyNumberFormat="1" applyFont="1" applyFill="1" applyBorder="1" applyAlignment="1">
      <x:alignment horizontal="center" vertical="center"/>
    </x:xf>
    <x:xf numFmtId="203" fontId="18" fillId="0" borderId="1" xfId="0" applyNumberFormat="1" applyFont="1" applyFill="1" applyBorder="1"/>
    <x:xf numFmtId="202" fontId="18" fillId="0" borderId="1" xfId="0" applyNumberFormat="1" applyFont="1" applyFill="1" applyBorder="1"/>
    <x:xf numFmtId="201" fontId="18" fillId="0" borderId="1" xfId="0" applyNumberFormat="1" applyFont="1" applyFill="1" applyBorder="1"/>
    <x:xf numFmtId="203" fontId="18" fillId="0" borderId="0" xfId="0" applyNumberFormat="1" applyFont="1" applyFill="1" applyBorder="1" applyAlignment="1">
      <x:alignment vertical="center"/>
    </x:xf>
    <x:xf numFmtId="202" fontId="18" fillId="0" borderId="0" xfId="0" applyNumberFormat="1" applyFont="1" applyFill="1" applyBorder="1" applyAlignment="1">
      <x:alignment vertical="center"/>
    </x:xf>
    <x:xf numFmtId="201" fontId="18" fillId="0" borderId="0" xfId="0" applyNumberFormat="1" applyFont="1" applyFill="1" applyBorder="1" applyAlignment="1">
      <x:alignment vertical="center"/>
    </x:xf>
    <x:xf numFmtId="203" fontId="18" fillId="0" borderId="1" xfId="0" applyNumberFormat="1" applyFont="1" applyFill="1" applyBorder="1" applyAlignment="1">
      <x:alignment vertical="center"/>
    </x:xf>
    <x:xf numFmtId="202" fontId="18" fillId="0" borderId="1" xfId="0" applyNumberFormat="1" applyFont="1" applyFill="1" applyBorder="1" applyAlignment="1">
      <x:alignment vertical="center"/>
    </x:xf>
    <x:xf numFmtId="201" fontId="18" fillId="0" borderId="1" xfId="0" applyNumberFormat="1" applyFont="1" applyFill="1" applyBorder="1" applyAlignment="1">
      <x:alignment vertical="center"/>
    </x:xf>
    <x:xf numFmtId="0" fontId="11" fillId="6" borderId="0" xfId="0" applyNumberFormat="1" applyFont="1" applyFill="1" applyBorder="1" applyAlignment="1">
      <x:alignment horizontal="center" vertical="center"/>
    </x:xf>
    <x:xf numFmtId="0" fontId="12" fillId="7" borderId="0" xfId="0" applyNumberFormat="1" applyFont="1" applyFill="1" applyBorder="1" applyAlignment="1">
      <x:alignment horizontal="center" vertical="center"/>
    </x:xf>
    <x:xf numFmtId="202" fontId="19" fillId="5" borderId="0" xfId="0" applyNumberFormat="1" applyFont="1" applyFill="1" applyBorder="1"/>
    <x:xf numFmtId="0" fontId="20" fillId="8" borderId="0" xfId="0" applyNumberFormat="1" applyFont="1" applyFill="1" applyBorder="1"/>
    <x:xf numFmtId="202" fontId="20" fillId="8" borderId="0" xfId="0" applyNumberFormat="1" applyFont="1" applyFill="1" applyBorder="1"/>
    <x:xf numFmtId="0" fontId="11" fillId="6" borderId="1" xfId="0" applyNumberFormat="1" applyFont="1" applyFill="1" applyBorder="1" applyAlignment="1">
      <x:alignment horizontal="center" vertical="center"/>
    </x:xf>
    <x:xf numFmtId="0" fontId="12" fillId="7" borderId="1" xfId="0" applyNumberFormat="1" applyFont="1" applyFill="1" applyBorder="1" applyAlignment="1">
      <x:alignment horizontal="center" vertical="center"/>
    </x:xf>
    <x:xf numFmtId="202" fontId="19" fillId="5" borderId="1" xfId="0" applyNumberFormat="1" applyFont="1" applyFill="1" applyBorder="1"/>
    <x:xf numFmtId="0" fontId="20" fillId="8" borderId="1" xfId="0" applyNumberFormat="1" applyFont="1" applyFill="1" applyBorder="1"/>
    <x:xf numFmtId="202" fontId="20" fillId="8" borderId="1" xfId="0" applyNumberFormat="1" applyFont="1" applyFill="1" applyBorder="1"/>
    <x:xf numFmtId="202" fontId="19" fillId="5" borderId="0" xfId="0" applyNumberFormat="1" applyFont="1" applyFill="1" applyBorder="1" applyAlignment="1">
      <x:alignment vertical="center"/>
    </x:xf>
    <x:xf numFmtId="0" fontId="20" fillId="8" borderId="0" xfId="0" applyNumberFormat="1" applyFont="1" applyFill="1" applyBorder="1" applyAlignment="1">
      <x:alignment vertical="center"/>
    </x:xf>
    <x:xf numFmtId="202" fontId="20" fillId="8" borderId="0" xfId="0" applyNumberFormat="1" applyFont="1" applyFill="1" applyBorder="1" applyAlignment="1">
      <x:alignment vertical="center"/>
    </x:xf>
    <x:xf numFmtId="202" fontId="19" fillId="5" borderId="1" xfId="0" applyNumberFormat="1" applyFont="1" applyFill="1" applyBorder="1" applyAlignment="1">
      <x:alignment vertical="center"/>
    </x:xf>
    <x:xf numFmtId="0" fontId="20" fillId="8" borderId="1" xfId="0" applyNumberFormat="1" applyFont="1" applyFill="1" applyBorder="1" applyAlignment="1">
      <x:alignment vertical="center"/>
    </x:xf>
    <x:xf numFmtId="202" fontId="20" fillId="8" borderId="1" xfId="0" applyNumberFormat="1" applyFont="1" applyFill="1" applyBorder="1" applyAlignment="1">
      <x:alignment vertical="center"/>
    </x:xf>
    <x:xf numFmtId="0" fontId="11" fillId="3" borderId="0" xfId="0" applyNumberFormat="1" applyFont="1" applyFill="1" applyBorder="1" applyAlignment="1">
      <x:alignment horizontal="center" vertical="center"/>
    </x:xf>
    <x:xf numFmtId="0" fontId="12" fillId="9" borderId="0" xfId="0" applyNumberFormat="1" applyFont="1" applyFill="1" applyBorder="1" applyAlignment="1">
      <x:alignment horizontal="center" vertical="center"/>
    </x:xf>
    <x:xf numFmtId="0" fontId="16" fillId="3" borderId="0" xfId="0" applyNumberFormat="1" applyFont="1" applyFill="1" applyBorder="1" applyAlignment="1">
      <x:alignment horizontal="center" vertical="center" wrapText="1"/>
    </x:xf>
    <x:xf numFmtId="0" fontId="19" fillId="5" borderId="0" xfId="0" applyNumberFormat="1" applyFont="1" applyFill="1" applyBorder="1"/>
    <x:xf numFmtId="0" fontId="21" fillId="8" borderId="0" xfId="0" applyNumberFormat="1" applyFont="1" applyFill="1" applyBorder="1"/>
    <x:xf numFmtId="202" fontId="21" fillId="8" borderId="0" xfId="0" applyNumberFormat="1" applyFont="1" applyFill="1" applyBorder="1"/>
    <x:xf numFmtId="0" fontId="11" fillId="3" borderId="1" xfId="0" applyNumberFormat="1" applyFont="1" applyFill="1" applyBorder="1" applyAlignment="1">
      <x:alignment horizontal="center" vertical="center"/>
    </x:xf>
    <x:xf numFmtId="0" fontId="12" fillId="9" borderId="1" xfId="0" applyNumberFormat="1" applyFont="1" applyFill="1" applyBorder="1" applyAlignment="1">
      <x:alignment horizontal="center" vertical="center"/>
    </x:xf>
    <x:xf numFmtId="0" fontId="16" fillId="3" borderId="1" xfId="0" applyNumberFormat="1" applyFont="1" applyFill="1" applyBorder="1" applyAlignment="1">
      <x:alignment horizontal="center" vertical="center" wrapText="1"/>
    </x:xf>
    <x:xf numFmtId="0" fontId="19" fillId="5" borderId="1" xfId="0" applyNumberFormat="1" applyFont="1" applyFill="1" applyBorder="1"/>
    <x:xf numFmtId="0" fontId="21" fillId="8" borderId="1" xfId="0" applyNumberFormat="1" applyFont="1" applyFill="1" applyBorder="1"/>
    <x:xf numFmtId="202" fontId="21" fillId="8" borderId="1" xfId="0" applyNumberFormat="1" applyFont="1" applyFill="1" applyBorder="1"/>
    <x:xf numFmtId="0" fontId="19" fillId="5" borderId="0" xfId="0" applyNumberFormat="1" applyFont="1" applyFill="1" applyBorder="1" applyAlignment="1">
      <x:alignment vertical="center"/>
    </x:xf>
    <x:xf numFmtId="0" fontId="21" fillId="8" borderId="0" xfId="0" applyNumberFormat="1" applyFont="1" applyFill="1" applyBorder="1" applyAlignment="1">
      <x:alignment vertical="center"/>
    </x:xf>
    <x:xf numFmtId="202" fontId="21" fillId="8" borderId="0" xfId="0" applyNumberFormat="1" applyFont="1" applyFill="1" applyBorder="1" applyAlignment="1">
      <x:alignment vertical="center"/>
    </x:xf>
    <x:xf numFmtId="0" fontId="19" fillId="5" borderId="1" xfId="0" applyNumberFormat="1" applyFont="1" applyFill="1" applyBorder="1" applyAlignment="1">
      <x:alignment vertical="center"/>
    </x:xf>
    <x:xf numFmtId="0" fontId="21" fillId="8" borderId="1" xfId="0" applyNumberFormat="1" applyFont="1" applyFill="1" applyBorder="1" applyAlignment="1">
      <x:alignment vertical="center"/>
    </x:xf>
    <x:xf numFmtId="202" fontId="21" fillId="8" borderId="1" xfId="0" applyNumberFormat="1" applyFont="1" applyFill="1" applyBorder="1" applyAlignment="1">
      <x:alignment vertical="center"/>
    </x:xf>
    <x:xf numFmtId="0" fontId="11" fillId="7" borderId="0" xfId="0" applyNumberFormat="1" applyFont="1" applyFill="1" applyBorder="1" applyAlignment="1">
      <x:alignment horizontal="center" vertical="center"/>
    </x:xf>
    <x:xf numFmtId="0" fontId="12" fillId="10" borderId="0" xfId="0" applyNumberFormat="1" applyFont="1" applyFill="1" applyBorder="1" applyAlignment="1">
      <x:alignment horizontal="center" vertical="center"/>
    </x:xf>
    <x:xf numFmtId="0" fontId="16" fillId="7" borderId="0" xfId="0" applyNumberFormat="1" applyFont="1" applyFill="1" applyBorder="1" applyAlignment="1">
      <x:alignment horizontal="center" vertical="center" wrapText="1"/>
    </x:xf>
    <x:xf numFmtId="0" fontId="11" fillId="7" borderId="1" xfId="0" applyNumberFormat="1" applyFont="1" applyFill="1" applyBorder="1" applyAlignment="1">
      <x:alignment horizontal="center" vertical="center"/>
    </x:xf>
    <x:xf numFmtId="0" fontId="12" fillId="10" borderId="1" xfId="0" applyNumberFormat="1" applyFont="1" applyFill="1" applyBorder="1" applyAlignment="1">
      <x:alignment horizontal="center" vertical="center"/>
    </x:xf>
    <x:xf numFmtId="0" fontId="16" fillId="7" borderId="1" xfId="0" applyNumberFormat="1" applyFont="1" applyFill="1" applyBorder="1" applyAlignment="1">
      <x:alignment horizontal="center" vertical="center" wrapText="1"/>
    </x:xf>
    <x:xf numFmtId="0" fontId="11" fillId="9" borderId="0" xfId="0" applyNumberFormat="1" applyFont="1" applyFill="1" applyBorder="1" applyAlignment="1">
      <x:alignment horizontal="center" vertical="center"/>
    </x:xf>
    <x:xf numFmtId="0" fontId="16" fillId="9" borderId="0" xfId="0" applyNumberFormat="1" applyFont="1" applyFill="1" applyBorder="1" applyAlignment="1">
      <x:alignment horizontal="center" vertical="center" wrapText="1"/>
    </x:xf>
    <x:xf numFmtId="0" fontId="21" fillId="12" borderId="0" xfId="0" applyNumberFormat="1" applyFont="1" applyFill="1" applyBorder="1"/>
    <x:xf numFmtId="202" fontId="21" fillId="12" borderId="0" xfId="0" applyNumberFormat="1" applyFont="1" applyFill="1" applyBorder="1"/>
    <x:xf numFmtId="0" fontId="21" fillId="13" borderId="0" xfId="0" applyNumberFormat="1" applyFont="1" applyFill="1" applyBorder="1"/>
    <x:xf numFmtId="202" fontId="21" fillId="13" borderId="0" xfId="0" applyNumberFormat="1" applyFont="1" applyFill="1" applyBorder="1"/>
    <x:xf numFmtId="0" fontId="11" fillId="9" borderId="1" xfId="0" applyNumberFormat="1" applyFont="1" applyFill="1" applyBorder="1" applyAlignment="1">
      <x:alignment horizontal="center" vertical="center"/>
    </x:xf>
    <x:xf numFmtId="0" fontId="16" fillId="9" borderId="1" xfId="0" applyNumberFormat="1" applyFont="1" applyFill="1" applyBorder="1" applyAlignment="1">
      <x:alignment horizontal="center" vertical="center" wrapText="1"/>
    </x:xf>
    <x:xf numFmtId="0" fontId="21" fillId="12" borderId="1" xfId="0" applyNumberFormat="1" applyFont="1" applyFill="1" applyBorder="1"/>
    <x:xf numFmtId="202" fontId="21" fillId="12" borderId="1" xfId="0" applyNumberFormat="1" applyFont="1" applyFill="1" applyBorder="1"/>
    <x:xf numFmtId="0" fontId="21" fillId="13" borderId="1" xfId="0" applyNumberFormat="1" applyFont="1" applyFill="1" applyBorder="1"/>
    <x:xf numFmtId="202" fontId="21" fillId="13" borderId="1" xfId="0" applyNumberFormat="1" applyFont="1" applyFill="1" applyBorder="1"/>
    <x:xf numFmtId="0" fontId="21" fillId="12" borderId="0" xfId="0" applyNumberFormat="1" applyFont="1" applyFill="1" applyBorder="1" applyAlignment="1">
      <x:alignment vertical="center"/>
    </x:xf>
    <x:xf numFmtId="202" fontId="21" fillId="12" borderId="0" xfId="0" applyNumberFormat="1" applyFont="1" applyFill="1" applyBorder="1" applyAlignment="1">
      <x:alignment vertical="center"/>
    </x:xf>
    <x:xf numFmtId="0" fontId="21" fillId="13" borderId="0" xfId="0" applyNumberFormat="1" applyFont="1" applyFill="1" applyBorder="1" applyAlignment="1">
      <x:alignment vertical="center"/>
    </x:xf>
    <x:xf numFmtId="202" fontId="21" fillId="13" borderId="0" xfId="0" applyNumberFormat="1" applyFont="1" applyFill="1" applyBorder="1" applyAlignment="1">
      <x:alignment vertical="center"/>
    </x:xf>
    <x:xf numFmtId="0" fontId="21" fillId="12" borderId="1" xfId="0" applyNumberFormat="1" applyFont="1" applyFill="1" applyBorder="1" applyAlignment="1">
      <x:alignment vertical="center"/>
    </x:xf>
    <x:xf numFmtId="202" fontId="21" fillId="12" borderId="1" xfId="0" applyNumberFormat="1" applyFont="1" applyFill="1" applyBorder="1" applyAlignment="1">
      <x:alignment vertical="center"/>
    </x:xf>
    <x:xf numFmtId="0" fontId="21" fillId="13" borderId="1" xfId="0" applyNumberFormat="1" applyFont="1" applyFill="1" applyBorder="1" applyAlignment="1">
      <x:alignment vertical="center"/>
    </x:xf>
    <x:xf numFmtId="202" fontId="21" fillId="13" borderId="1" xfId="0" applyNumberFormat="1" applyFont="1" applyFill="1" applyBorder="1" applyAlignment="1">
      <x:alignment vertical="center"/>
    </x:xf>
    <x:xf numFmtId="0" fontId="11" fillId="10" borderId="0" xfId="0" applyNumberFormat="1" applyFont="1" applyFill="1" applyBorder="1" applyAlignment="1">
      <x:alignment horizontal="center" vertical="center"/>
    </x:xf>
    <x:xf numFmtId="0" fontId="16" fillId="10" borderId="0" xfId="0" applyNumberFormat="1" applyFont="1" applyFill="1" applyBorder="1" applyAlignment="1">
      <x:alignment horizontal="center" vertical="center" wrapText="1"/>
    </x:xf>
    <x:xf numFmtId="0" fontId="21" fillId="11" borderId="0" xfId="0" applyNumberFormat="1" applyFont="1" applyFill="1" applyBorder="1"/>
    <x:xf numFmtId="202" fontId="21" fillId="11" borderId="0" xfId="0" applyNumberFormat="1" applyFont="1" applyFill="1" applyBorder="1"/>
    <x:xf numFmtId="0" fontId="11" fillId="10" borderId="1" xfId="0" applyNumberFormat="1" applyFont="1" applyFill="1" applyBorder="1" applyAlignment="1">
      <x:alignment horizontal="center" vertical="center"/>
    </x:xf>
    <x:xf numFmtId="0" fontId="16" fillId="10" borderId="1" xfId="0" applyNumberFormat="1" applyFont="1" applyFill="1" applyBorder="1" applyAlignment="1">
      <x:alignment horizontal="center" vertical="center" wrapText="1"/>
    </x:xf>
    <x:xf numFmtId="0" fontId="21" fillId="11" borderId="1" xfId="0" applyNumberFormat="1" applyFont="1" applyFill="1" applyBorder="1"/>
    <x:xf numFmtId="202" fontId="21" fillId="11" borderId="1" xfId="0" applyNumberFormat="1" applyFont="1" applyFill="1" applyBorder="1"/>
    <x:xf numFmtId="0" fontId="21" fillId="11" borderId="0" xfId="0" applyNumberFormat="1" applyFont="1" applyFill="1" applyBorder="1" applyAlignment="1">
      <x:alignment vertical="center"/>
    </x:xf>
    <x:xf numFmtId="202" fontId="21" fillId="11" borderId="0" xfId="0" applyNumberFormat="1" applyFont="1" applyFill="1" applyBorder="1" applyAlignment="1">
      <x:alignment vertical="center"/>
    </x:xf>
    <x:xf numFmtId="0" fontId="21" fillId="11" borderId="1" xfId="0" applyNumberFormat="1" applyFont="1" applyFill="1" applyBorder="1" applyAlignment="1">
      <x:alignment vertical="center"/>
    </x:xf>
    <x:xf numFmtId="202" fontId="21" fillId="11" borderId="1" xfId="0" applyNumberFormat="1" applyFont="1" applyFill="1" applyBorder="1" applyAlignment="1">
      <x:alignment vertical="center"/>
    </x:xf>
    <x:xf numFmtId="0" fontId="12" fillId="4" borderId="0" xfId="0" applyNumberFormat="1" applyFont="1" applyFill="1" applyBorder="1" applyAlignment="1">
      <x:alignment horizontal="center" vertical="center"/>
    </x:xf>
    <x:xf numFmtId="0" fontId="16" fillId="2" borderId="0" xfId="0" applyNumberFormat="1" applyFont="1" applyFill="1" applyBorder="1" applyAlignment="1">
      <x:alignment horizontal="center" vertical="center" wrapText="1"/>
    </x:xf>
    <x:xf numFmtId="0" fontId="12" fillId="4" borderId="1" xfId="0" applyNumberFormat="1" applyFont="1" applyFill="1" applyBorder="1" applyAlignment="1">
      <x:alignment horizontal="center" vertical="center"/>
    </x:xf>
    <x:xf numFmtId="0" fontId="16" fillId="2" borderId="1" xfId="0" applyNumberFormat="1" applyFont="1" applyFill="1" applyBorder="1" applyAlignment="1">
      <x:alignment horizontal="center" vertical="center" wrapText="1"/>
    </x:xf>
    <x:xf numFmtId="0" fontId="11" fillId="14" borderId="0" xfId="0" applyNumberFormat="1" applyFont="1" applyFill="1" applyBorder="1" applyAlignment="1">
      <x:alignment horizontal="center" vertical="center"/>
    </x:xf>
    <x:xf numFmtId="0" fontId="16" fillId="14" borderId="0" xfId="0" applyNumberFormat="1" applyFont="1" applyFill="1" applyBorder="1" applyAlignment="1">
      <x:alignment horizontal="center" vertical="center" wrapText="1"/>
    </x:xf>
    <x:xf numFmtId="201" fontId="13" fillId="0" borderId="0" xfId="0" applyNumberFormat="1" applyFont="1" applyFill="1" applyBorder="1"/>
    <x:xf numFmtId="200" fontId="13" fillId="0" borderId="0" xfId="0" applyNumberFormat="1" applyFont="1" applyFill="1" applyBorder="1"/>
    <x:xf numFmtId="204" fontId="13" fillId="0" borderId="0" xfId="0" applyNumberFormat="1" applyFont="1" applyFill="1" applyBorder="1"/>
    <x:xf numFmtId="0" fontId="11" fillId="14" borderId="1" xfId="0" applyNumberFormat="1" applyFont="1" applyFill="1" applyBorder="1" applyAlignment="1">
      <x:alignment horizontal="center" vertical="center"/>
    </x:xf>
    <x:xf numFmtId="0" fontId="16" fillId="14" borderId="1" xfId="0" applyNumberFormat="1" applyFont="1" applyFill="1" applyBorder="1" applyAlignment="1">
      <x:alignment horizontal="center" vertical="center" wrapText="1"/>
    </x:xf>
    <x:xf numFmtId="201" fontId="13" fillId="0" borderId="1" xfId="0" applyNumberFormat="1" applyFont="1" applyFill="1" applyBorder="1"/>
    <x:xf numFmtId="200" fontId="13" fillId="0" borderId="1" xfId="0" applyNumberFormat="1" applyFont="1" applyFill="1" applyBorder="1"/>
    <x:xf numFmtId="204" fontId="13" fillId="0" borderId="1" xfId="0" applyNumberFormat="1" applyFont="1" applyFill="1" applyBorder="1"/>
    <x:xf numFmtId="201" fontId="13" fillId="0" borderId="0" xfId="0" applyNumberFormat="1" applyFont="1" applyFill="1" applyBorder="1" applyAlignment="1">
      <x:alignment vertical="center"/>
    </x:xf>
    <x:xf numFmtId="200" fontId="13" fillId="0" borderId="0" xfId="0" applyNumberFormat="1" applyFont="1" applyFill="1" applyBorder="1" applyAlignment="1">
      <x:alignment vertical="center"/>
    </x:xf>
    <x:xf numFmtId="204" fontId="13" fillId="0" borderId="0" xfId="0" applyNumberFormat="1" applyFont="1" applyFill="1" applyBorder="1" applyAlignment="1">
      <x:alignment vertical="center"/>
    </x:xf>
  </x:cellXfs>
  <x:cellStyles count="1">
    <x:cellStyle name="Normal" xfId="0"/>
  </x:cellStyles>
  <x:dxfs count="3">
    <x:dxf>
      <x:font>
        <x:b/>
        <x:color rgb="FFB00020"/>
      </x:font>
      <x:fill>
        <x:patternFill patternType="solid">
          <x:bgColor rgb="FFF8D7DA"/>
        </x:patternFill>
      </x:fill>
    </x:dxf>
    <x:dxf>
      <x:font>
        <x:b/>
        <x:color rgb="FF155724"/>
      </x:font>
      <x:fill>
        <x:patternFill patternType="solid">
          <x:bgColor rgb="FFD4EDDA"/>
        </x:patternFill>
      </x:fill>
    </x:dxf>
    <x:dxf>
      <x:font>
        <x:b/>
        <x:color rgb="FF721C24"/>
      </x:font>
      <x:fill>
        <x:patternFill patternType="solid">
          <x:bgColor rgb="FFF8D7DA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e7c48565f0547e9" /><Relationship Type="http://schemas.openxmlformats.org/officeDocument/2006/relationships/theme" Target="/xl/theme/theme1.xml" Id="Rbc06138535ac454f" /><Relationship Type="http://schemas.openxmlformats.org/officeDocument/2006/relationships/sharedStrings" Target="/xl/sharedStrings.xml" Id="R3ebe7d303b28443b" /><Relationship Type="http://schemas.openxmlformats.org/officeDocument/2006/relationships/worksheet" Target="/xl/worksheets/sheet1.xml" Id="R34eda94cc8664a05" /><Relationship Type="http://schemas.openxmlformats.org/officeDocument/2006/relationships/worksheet" Target="/xl/worksheets/sheet2.xml" Id="R4581b35755164207" /><Relationship Type="http://schemas.openxmlformats.org/officeDocument/2006/relationships/worksheet" Target="/xl/worksheets/sheet3.xml" Id="Rfa9c6485ded3427f" /><Relationship Type="http://schemas.openxmlformats.org/officeDocument/2006/relationships/worksheet" Target="/xl/worksheets/sheet4.xml" Id="Rde2f8f044c394ecb" /><Relationship Type="http://schemas.openxmlformats.org/officeDocument/2006/relationships/worksheet" Target="/xl/worksheets/sheet5.xml" Id="R9bbde0f0346442aa" /><Relationship Type="http://schemas.openxmlformats.org/officeDocument/2006/relationships/worksheet" Target="/xl/worksheets/sheet6.xml" Id="R07a040d63c154d9f" /><Relationship Type="http://schemas.openxmlformats.org/officeDocument/2006/relationships/worksheet" Target="/xl/worksheets/sheet7.xml" Id="R6cf15a5559d54779" /><Relationship Type="http://schemas.openxmlformats.org/officeDocument/2006/relationships/worksheet" Target="/xl/worksheets/sheet8.xml" Id="Rb6bae01394654b53" /><Relationship Type="http://schemas.openxmlformats.org/officeDocument/2006/relationships/worksheet" Target="/xl/worksheets/sheet9.xml" Id="R3d87869972bb47ac" /><Relationship Type="http://schemas.openxmlformats.org/officeDocument/2006/relationships/worksheet" Target="/xl/worksheets/sheet10.xml" Id="Rce5e9f0f5835433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491d8612c0a4560" /><Relationship Type="http://schemas.openxmlformats.org/officeDocument/2006/relationships/chart" Target="/xl/drawings/charts/chart2.xml" Id="Ree0005ad2ac04d8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Chiffre d'affaires et EBITDA mensuels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Jan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bord'!$B$12:$B$13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Fév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bord'!$C$12:$C$13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Mar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bord'!$D$12:$D$13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Avr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bord'!$E$12:$E$13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Mai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bord'!$F$12:$F$13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Juin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bord'!$G$12:$G$13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Juil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bord'!$H$12:$H$13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Août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bord'!$I$12:$I$13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Sept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bord'!$J$12:$J$13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Oct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bord'!$K$12:$K$13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Nov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bord'!$L$12:$L$13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1"/>
          <c:order val="11"/>
          <c:tx>
            <c:v>Déc</c:v>
          </c:tx>
          <c:cat>
            <c:strRef>
              <c:f>'Tableau de bord'!$A$12:$A$13</c:f>
              <c:strCache>
                <c:ptCount val="0"/>
              </c:strCache>
            </c:strRef>
          </c:cat>
          <c:val>
            <c:numRef>
              <c:f>'Tableau de bord'!$M$12:$M$13</c:f>
              <c:numCache>
                <c:formatCode>#,##0" €";[Red](#,##0" €");-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de la trésorerie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Jan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bord'!$B$12:$B$14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Fév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bord'!$C$12:$C$14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Mar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bord'!$D$12:$D$14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Avr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bord'!$E$12:$E$14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Mai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bord'!$F$12:$F$14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5"/>
          <c:order val="5"/>
          <c:tx>
            <c:v>Juin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bord'!$G$12:$G$14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6"/>
          <c:order val="6"/>
          <c:tx>
            <c:v>Juil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bord'!$H$12:$H$14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7"/>
          <c:order val="7"/>
          <c:tx>
            <c:v>Août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bord'!$I$12:$I$14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8"/>
          <c:order val="8"/>
          <c:tx>
            <c:v>Sept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bord'!$J$12:$J$14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9"/>
          <c:order val="9"/>
          <c:tx>
            <c:v>Oct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bord'!$K$12:$K$14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0"/>
          <c:order val="10"/>
          <c:tx>
            <c:v>Nov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bord'!$L$12:$L$14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1"/>
          <c:order val="11"/>
          <c:tx>
            <c:v>Déc</c:v>
          </c:tx>
          <c:cat>
            <c:strRef>
              <c:f>'Tableau de bord'!$A$12:$A$14</c:f>
              <c:strCache>
                <c:ptCount val="0"/>
              </c:strCache>
            </c:strRef>
          </c:cat>
          <c:val>
            <c:numRef>
              <c:f>'Tableau de bord'!$M$12:$M$14</c:f>
              <c:numCache>
                <c:formatCode>#,##0" €";[Red](#,##0" €");-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15</xdr:row>
      <xdr:rowOff>0</xdr:rowOff>
    </xdr:from>
    <xdr:to>
      <xdr:col>7</xdr:col>
      <xdr:colOff>0</xdr:colOff>
      <xdr:row>31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491d8612c0a4560"/>
        </a:graphicData>
      </a:graphic>
    </xdr:graphicFrame>
    <xdr:clientData/>
  </xdr:twoCellAnchor>
  <xdr:twoCellAnchor>
    <xdr:from>
      <xdr:col>7</xdr:col>
      <xdr:colOff>0</xdr:colOff>
      <xdr:row>15</xdr:row>
      <xdr:rowOff>0</xdr:rowOff>
    </xdr:from>
    <xdr:to>
      <xdr:col>14</xdr:col>
      <xdr:colOff>0</xdr:colOff>
      <xdr:row>31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e0005ad2ac04d8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10e6c4311dd248f3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</x:cols>
  <x:sheetData>
    <x:row r="1" ht="28" customHeight="1">
      <x:c r="A1" s="279" t="str">
        <x:v>PRÉVISIONNEL FINANCIER PME</x:v>
      </x:c>
      <x:c r="B1" s="279"/>
      <x:c r="C1" s="279"/>
      <x:c r="D1" s="279"/>
      <x:c r="E1" s="279"/>
      <x:c r="F1" s="279"/>
      <x:c r="G1" s="279"/>
      <x:c r="H1" s="279"/>
      <x:c r="I1" s="279"/>
      <x:c r="J1" s="279"/>
      <x:c r="K1" s="279"/>
      <x:c r="L1" s="279"/>
      <x:c r="M1" s="279"/>
      <x:c r="N1" s="279"/>
    </x:row>
    <x:row r="2" ht="28" customHeight="1">
      <x:c r="A2" s="279"/>
      <x:c r="B2" s="279"/>
      <x:c r="C2" s="279"/>
      <x:c r="D2" s="279"/>
      <x:c r="E2" s="279"/>
      <x:c r="F2" s="279"/>
      <x:c r="G2" s="279"/>
      <x:c r="H2" s="279"/>
      <x:c r="I2" s="279"/>
      <x:c r="J2" s="279"/>
      <x:c r="K2" s="279"/>
      <x:c r="L2" s="279"/>
      <x:c r="M2" s="279"/>
      <x:c r="N2" s="279"/>
    </x:row>
    <x:row r="3" ht="22" customHeight="1">
      <x:c r="A3" s="280" t="str">
        <x:v>Tableau de bord automatisé – modifiez les hypothèses et l’ensemble du modèle se recalcule</x:v>
      </x:c>
      <x:c r="B3" s="280"/>
      <x:c r="C3" s="280"/>
      <x:c r="D3" s="280"/>
      <x:c r="E3" s="280"/>
      <x:c r="F3" s="280"/>
      <x:c r="G3" s="280"/>
      <x:c r="H3" s="280"/>
      <x:c r="I3" s="280"/>
      <x:c r="J3" s="280"/>
      <x:c r="K3" s="280"/>
      <x:c r="L3" s="280"/>
      <x:c r="M3" s="280"/>
      <x:c r="N3" s="280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 ht="22" customHeight="1">
      <x:c r="A5" s="282" t="str">
        <x:v>SYNTHÈSE EXÉCUTIVE</x:v>
      </x:c>
      <x:c r="B5" s="282"/>
      <x:c r="C5" s="282"/>
      <x:c r="D5" s="282"/>
      <x:c r="E5" s="282"/>
      <x:c r="F5" s="282"/>
      <x:c r="G5" s="282"/>
      <x:c r="H5" s="282"/>
      <x:c r="I5" s="282"/>
      <x:c r="J5" s="282"/>
      <x:c r="K5" s="282"/>
      <x:c r="L5" s="282"/>
      <x:c r="M5" s="282"/>
      <x:c r="N5" s="282"/>
    </x:row>
    <x:row r="6">
      <x:c r="A6" s="283" t="str">
        <x:f>"Chiffre d'affaires annuel"&amp;CHAR(10)&amp;TEXT(='KPI'!B6,"#,##0 €")</x:f>
        <x:v>Chiffre d'affaires annuel
709,601 €</x:v>
      </x:c>
      <x:c r="B6" s="283"/>
      <x:c r="C6" s="283"/>
      <x:c r="D6" s="284" t="str">
        <x:f>"EBE / EBITDA"&amp;CHAR(10)&amp;TEXT(='KPI'!B9,"#,##0 €")</x:f>
        <x:v>EBE / EBITDA
-68,159 €</x:v>
      </x:c>
      <x:c r="E6" s="284"/>
      <x:c r="F6" s="284"/>
      <x:c r="G6" s="285" t="str">
        <x:f>"Résultat net"&amp;CHAR(10)&amp;TEXT(='KPI'!B11,"#,##0 €")</x:f>
        <x:v>Résultat net
-118,349 €</x:v>
      </x:c>
      <x:c r="H6" s="285"/>
      <x:c r="I6" s="285"/>
      <x:c r="J6" s="286" t="str">
        <x:f>"Trésorerie fin d'année"&amp;CHAR(10)&amp;TEXT(='KPI'!B15,"#,##0 €")</x:f>
        <x:v>Trésorerie fin d'année
43,909 €</x:v>
      </x:c>
      <x:c r="K6" s="286"/>
      <x:c r="L6" s="286"/>
      <x:c r="M6" s="301"/>
      <x:c r="N6" s="301"/>
    </x:row>
    <x:row r="7">
      <x:c r="A7" s="283"/>
      <x:c r="B7" s="283"/>
      <x:c r="C7" s="283"/>
      <x:c r="D7" s="284"/>
      <x:c r="E7" s="284"/>
      <x:c r="F7" s="284"/>
      <x:c r="G7" s="285"/>
      <x:c r="H7" s="285"/>
      <x:c r="I7" s="285"/>
      <x:c r="J7" s="286"/>
      <x:c r="K7" s="286"/>
      <x:c r="L7" s="286"/>
      <x:c r="M7" s="301"/>
      <x:c r="N7" s="301"/>
    </x:row>
    <x:row r="8">
      <x:c r="A8" s="283"/>
      <x:c r="B8" s="283"/>
      <x:c r="C8" s="283"/>
      <x:c r="D8" s="284"/>
      <x:c r="E8" s="284"/>
      <x:c r="F8" s="284"/>
      <x:c r="G8" s="285"/>
      <x:c r="H8" s="285"/>
      <x:c r="I8" s="285"/>
      <x:c r="J8" s="286"/>
      <x:c r="K8" s="286"/>
      <x:c r="L8" s="286"/>
      <x:c r="M8" s="301"/>
      <x:c r="N8" s="301"/>
    </x:row>
    <x:row r="9">
      <x:c r="A9" s="301"/>
      <x:c r="B9" s="301"/>
      <x:c r="C9" s="301"/>
      <x:c r="D9" s="301"/>
      <x:c r="E9" s="301"/>
      <x:c r="F9" s="301"/>
      <x:c r="G9" s="301"/>
      <x:c r="H9" s="301"/>
      <x:c r="I9" s="301"/>
      <x:c r="J9" s="301"/>
      <x:c r="K9" s="301"/>
      <x:c r="L9" s="301"/>
      <x:c r="M9" s="301"/>
      <x:c r="N9" s="301"/>
    </x:row>
    <x:row r="10" ht="22" customHeight="1">
      <x:c r="A10" s="287" t="str">
        <x:v>ÉVOLUTION MENSUELLE</x:v>
      </x:c>
      <x:c r="B10" s="287"/>
      <x:c r="C10" s="287"/>
      <x:c r="D10" s="287"/>
      <x:c r="E10" s="287"/>
      <x:c r="F10" s="287"/>
      <x:c r="G10" s="287"/>
      <x:c r="H10" s="287"/>
      <x:c r="I10" s="287"/>
      <x:c r="J10" s="287"/>
      <x:c r="K10" s="287"/>
      <x:c r="L10" s="287"/>
      <x:c r="M10" s="287"/>
      <x:c r="N10" s="287"/>
    </x:row>
    <x:row r="11">
      <x:c r="A11" s="288" t="str">
        <x:v>Indicateur</x:v>
      </x:c>
      <x:c r="B11" s="288" t="str">
        <x:v>Jan</x:v>
      </x:c>
      <x:c r="C11" s="288" t="str">
        <x:v>Fév</x:v>
      </x:c>
      <x:c r="D11" s="288" t="str">
        <x:v>Mar</x:v>
      </x:c>
      <x:c r="E11" s="288" t="str">
        <x:v>Avr</x:v>
      </x:c>
      <x:c r="F11" s="288" t="str">
        <x:v>Mai</x:v>
      </x:c>
      <x:c r="G11" s="288" t="str">
        <x:v>Juin</x:v>
      </x:c>
      <x:c r="H11" s="288" t="str">
        <x:v>Juil</x:v>
      </x:c>
      <x:c r="I11" s="288" t="str">
        <x:v>Août</x:v>
      </x:c>
      <x:c r="J11" s="288" t="str">
        <x:v>Sept</x:v>
      </x:c>
      <x:c r="K11" s="288" t="str">
        <x:v>Oct</x:v>
      </x:c>
      <x:c r="L11" s="288" t="str">
        <x:v>Nov</x:v>
      </x:c>
      <x:c r="M11" s="288" t="str">
        <x:v>Déc</x:v>
      </x:c>
      <x:c r="N11" s="288" t="str">
        <x:v>Total</x:v>
      </x:c>
    </x:row>
    <x:row r="12">
      <x:c r="A12" s="301" t="str">
        <x:v>CA HT</x:v>
      </x:c>
      <x:c r="B12" s="302" t="n">
        <x:f>'Chiffre d''affaires'!B7</x:f>
        <x:v>50000</x:v>
      </x:c>
      <x:c r="C12" s="302" t="n">
        <x:f>'Chiffre d''affaires'!C7</x:f>
        <x:v>51500</x:v>
      </x:c>
      <x:c r="D12" s="302" t="n">
        <x:f>'Chiffre d''affaires'!D7</x:f>
        <x:v>53045</x:v>
      </x:c>
      <x:c r="E12" s="302" t="n">
        <x:f>'Chiffre d''affaires'!E7</x:f>
        <x:v>54636.35</x:v>
      </x:c>
      <x:c r="F12" s="302" t="n">
        <x:f>'Chiffre d''affaires'!F7</x:f>
        <x:v>56275.440500000004</x:v>
      </x:c>
      <x:c r="G12" s="302" t="n">
        <x:f>'Chiffre d''affaires'!G7</x:f>
        <x:v>57963.703715</x:v>
      </x:c>
      <x:c r="H12" s="302" t="n">
        <x:f>'Chiffre d''affaires'!H7</x:f>
        <x:v>59702.61482645001</x:v>
      </x:c>
      <x:c r="I12" s="302" t="n">
        <x:f>'Chiffre d''affaires'!I7</x:f>
        <x:v>61493.69327124351</x:v>
      </x:c>
      <x:c r="J12" s="302" t="n">
        <x:f>'Chiffre d''affaires'!J7</x:f>
        <x:v>63338.50406938082</x:v>
      </x:c>
      <x:c r="K12" s="302" t="n">
        <x:f>'Chiffre d''affaires'!K7</x:f>
        <x:v>65238.65919146225</x:v>
      </x:c>
      <x:c r="L12" s="302" t="n">
        <x:f>'Chiffre d''affaires'!L7</x:f>
        <x:v>67195.81896720611</x:v>
      </x:c>
      <x:c r="M12" s="302" t="n">
        <x:f>'Chiffre d''affaires'!M7</x:f>
        <x:v>69211.6935362223</x:v>
      </x:c>
      <x:c r="N12" s="302" t="n">
        <x:f>SUM(B12:M12)</x:f>
        <x:v>709601.478076965</x:v>
      </x:c>
    </x:row>
    <x:row r="13">
      <x:c r="A13" s="301" t="str">
        <x:v>EBE</x:v>
      </x:c>
      <x:c r="B13" s="302" t="n">
        <x:f>'Compte de résultat'!B10</x:f>
        <x:v>-11160</x:v>
      </x:c>
      <x:c r="C13" s="302" t="n">
        <x:f>'Compte de résultat'!C10</x:f>
        <x:v>-10260</x:v>
      </x:c>
      <x:c r="D13" s="302" t="n">
        <x:f>'Compte de résultat'!D10</x:f>
        <x:v>-9333</x:v>
      </x:c>
      <x:c r="E13" s="302" t="n">
        <x:f>'Compte de résultat'!E10</x:f>
        <x:v>-8378.190000000002</x:v>
      </x:c>
      <x:c r="F13" s="302" t="n">
        <x:f>'Compte de résultat'!F10</x:f>
        <x:v>-7394.735699999997</x:v>
      </x:c>
      <x:c r="G13" s="302" t="n">
        <x:f>'Compte de résultat'!G10</x:f>
        <x:v>-6381.777771000001</x:v>
      </x:c>
      <x:c r="H13" s="302" t="n">
        <x:f>'Compte de résultat'!H10</x:f>
        <x:v>-5338.431104129995</x:v>
      </x:c>
      <x:c r="I13" s="302" t="n">
        <x:f>'Compte de résultat'!I10</x:f>
        <x:v>-4263.784037253892</x:v>
      </x:c>
      <x:c r="J13" s="302" t="n">
        <x:f>'Compte de résultat'!J10</x:f>
        <x:v>-3156.8975583715073</x:v>
      </x:c>
      <x:c r="K13" s="302" t="n">
        <x:f>'Compte de résultat'!K10</x:f>
        <x:v>-2016.8044851226514</x:v>
      </x:c>
      <x:c r="L13" s="302" t="n">
        <x:f>'Compte de résultat'!L10</x:f>
        <x:v>-842.5086196763295</x:v>
      </x:c>
      <x:c r="M13" s="302" t="n">
        <x:f>'Compte de résultat'!M10</x:f>
        <x:v>367.0161217333807</x:v>
      </x:c>
      <x:c r="N13" s="302" t="n">
        <x:f>SUM(B13:M13)</x:f>
        <x:v>-68159.11315382099</x:v>
      </x:c>
    </x:row>
    <x:row r="14">
      <x:c r="A14" s="301" t="str">
        <x:v>Trésorerie finale</x:v>
      </x:c>
      <x:c r="B14" s="302" t="n">
        <x:f>'Trésorerie'!B18</x:f>
        <x:v>130043.54711377251</x:v>
      </x:c>
      <x:c r="C14" s="302" t="n">
        <x:f>'Trésorerie'!C18</x:f>
        <x:v>104267.094227545</x:v>
      </x:c>
      <x:c r="D14" s="302" t="n">
        <x:f>'Trésorerie'!D18</x:f>
        <x:v>49576.0413413175</x:v>
      </x:c>
      <x:c r="E14" s="302" t="n">
        <x:f>'Trésorerie'!E18</x:f>
        <x:v>44002.95045508999</x:v>
      </x:c>
      <x:c r="F14" s="302" t="n">
        <x:f>'Trésorerie'!F18</x:f>
        <x:v>39581.36042886249</x:v>
      </x:c>
      <x:c r="G14" s="302" t="n">
        <x:f>'Trésorerie'!G18</x:f>
        <x:v>36345.816288435</x:v>
      </x:c>
      <x:c r="H14" s="302" t="n">
        <x:f>'Trésorerie'!H18</x:f>
        <x:v>34331.899410381506</x:v>
      </x:c>
      <x:c r="I14" s="302" t="n">
        <x:f>'Trésorerie'!I18</x:f>
        <x:v>33576.258612573234</x:v>
      </x:c>
      <x:c r="J14" s="302" t="n">
        <x:f>'Trésorerie'!J18</x:f>
        <x:v>34116.64217741754</x:v>
      </x:c>
      <x:c r="K14" s="302" t="n">
        <x:f>'Trésorerie'!K18</x:f>
        <x:v>35991.930835794</x:v>
      </x:c>
      <x:c r="L14" s="302" t="n">
        <x:f>'Trésorerie'!L18</x:f>
        <x:v>39242.17174050858</x:v>
      </x:c>
      <x:c r="M14" s="302" t="n">
        <x:f>'Trésorerie'!M18</x:f>
        <x:v>43908.613458951426</x:v>
      </x:c>
      <x:c r="N14" s="302" t="n">
        <x:f>M14</x:f>
        <x:v>43908.613458951426</x:v>
      </x:c>
    </x:row>
    <x:row r="15">
      <x:c r="A15" s="301"/>
      <x:c r="B15" s="301"/>
      <x:c r="C15" s="301"/>
      <x:c r="D15" s="301"/>
      <x:c r="E15" s="301"/>
      <x:c r="F15" s="301"/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/>
      <x:c r="B16" s="301"/>
      <x:c r="C16" s="301"/>
      <x:c r="D16" s="301"/>
      <x:c r="E16" s="301"/>
      <x:c r="F16" s="301"/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/>
      <x:c r="B17" s="301"/>
      <x:c r="C17" s="301"/>
      <x:c r="D17" s="301"/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/>
      <x:c r="B18" s="301"/>
      <x:c r="C18" s="301"/>
      <x:c r="D18" s="301"/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N2"/>
    <x:mergeCell ref="A3:N3"/>
    <x:mergeCell ref="A5:N5"/>
    <x:mergeCell ref="A6:C8"/>
    <x:mergeCell ref="D6:F8"/>
    <x:mergeCell ref="G6:I8"/>
    <x:mergeCell ref="J6:L8"/>
    <x:mergeCell ref="A10:N10"/>
  </x:mergeCells>
  <x:pageMargins left="0.7" right="0.7" top="0.75" bottom="0.75" header="0.3" footer="0.3"/>
  <x:drawing xmlns:r="http://schemas.openxmlformats.org/officeDocument/2006/relationships" r:id="R10e6c4311dd248f3"/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28" hidden="0" customWidth="1"/>
    <x:col min="3" max="3" width="16" hidden="0" customWidth="1"/>
    <x:col min="4" max="4" width="14" hidden="0" customWidth="1"/>
    <x:col min="5" max="5" width="24" hidden="0" customWidth="1"/>
    <x:col min="6" max="6" width="28" hidden="0" customWidth="1"/>
  </x:cols>
  <x:sheetData>
    <x:row r="1" ht="28" customHeight="1">
      <x:c r="A1" s="279" t="str">
        <x:v>PRÉVISIONNEL FINANCIER PME</x:v>
      </x:c>
      <x:c r="B1" s="279"/>
      <x:c r="C1" s="279"/>
      <x:c r="D1" s="279"/>
      <x:c r="E1" s="279"/>
      <x:c r="F1" s="279"/>
      <x:c r="G1" s="301"/>
      <x:c r="H1" s="301"/>
      <x:c r="I1" s="301"/>
      <x:c r="J1" s="301"/>
      <x:c r="K1" s="301"/>
      <x:c r="L1" s="301"/>
      <x:c r="M1" s="301"/>
      <x:c r="N1" s="301"/>
    </x:row>
    <x:row r="2" ht="28" customHeight="1">
      <x:c r="A2" s="279"/>
      <x:c r="B2" s="279"/>
      <x:c r="C2" s="279"/>
      <x:c r="D2" s="279"/>
      <x:c r="E2" s="279"/>
      <x:c r="F2" s="279"/>
      <x:c r="G2" s="301"/>
      <x:c r="H2" s="301"/>
      <x:c r="I2" s="301"/>
      <x:c r="J2" s="301"/>
      <x:c r="K2" s="301"/>
      <x:c r="L2" s="301"/>
      <x:c r="M2" s="301"/>
      <x:c r="N2" s="301"/>
    </x:row>
    <x:row r="3" ht="22" customHeight="1">
      <x:c r="A3" s="305" t="str">
        <x:v>Hypothèses modifiables – les cellules jaunes en bleu pilotent automatiquement tout le classeur</x:v>
      </x:c>
      <x:c r="B3" s="305"/>
      <x:c r="C3" s="305"/>
      <x:c r="D3" s="305"/>
      <x:c r="E3" s="305"/>
      <x:c r="F3" s="305"/>
      <x:c r="G3" s="301"/>
      <x:c r="H3" s="301"/>
      <x:c r="I3" s="301"/>
      <x:c r="J3" s="301"/>
      <x:c r="K3" s="301"/>
      <x:c r="L3" s="301"/>
      <x:c r="M3" s="301"/>
      <x:c r="N3" s="301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306" t="str">
        <x:v>Catégorie</x:v>
      </x:c>
      <x:c r="B5" s="306" t="str">
        <x:v>Hypothèse</x:v>
      </x:c>
      <x:c r="C5" s="306" t="str">
        <x:v>Valeur</x:v>
      </x:c>
      <x:c r="D5" s="306" t="str">
        <x:v>Unité</x:v>
      </x:c>
      <x:c r="E5" s="306" t="str">
        <x:v>Source / justification</x:v>
      </x:c>
      <x:c r="F5" s="306" t="str">
        <x:v>Commentaire</x:v>
      </x:c>
      <x:c r="G5" s="301"/>
      <x:c r="H5" s="301"/>
      <x:c r="I5" s="301"/>
      <x:c r="J5" s="301"/>
      <x:c r="K5" s="301"/>
      <x:c r="L5" s="301"/>
      <x:c r="M5" s="301"/>
      <x:c r="N5" s="301"/>
    </x:row>
    <x:row r="6">
      <x:c r="A6" s="301" t="str">
        <x:v>Général</x:v>
      </x:c>
      <x:c r="B6" s="301" t="str">
        <x:v>Année de départ</x:v>
      </x:c>
      <x:c r="C6" s="315" t="n">
        <x:v>2026</x:v>
      </x:c>
      <x:c r="D6" s="301" t="str">
        <x:v>année</x:v>
      </x:c>
      <x:c r="E6" s="301" t="str">
        <x:v>Hypothèse utilisateur</x:v>
      </x:c>
      <x:c r="F6" s="301" t="str">
        <x:v>Modifier selon le projet</x:v>
      </x:c>
      <x:c r="G6" s="301"/>
      <x:c r="H6" s="301"/>
      <x:c r="I6" s="301"/>
      <x:c r="J6" s="301"/>
      <x:c r="K6" s="301"/>
      <x:c r="L6" s="301"/>
      <x:c r="M6" s="301"/>
      <x:c r="N6" s="301"/>
    </x:row>
    <x:row r="7">
      <x:c r="A7" s="301" t="str">
        <x:v>Commercial</x:v>
      </x:c>
      <x:c r="B7" s="301" t="str">
        <x:v>CA mensuel initial</x:v>
      </x:c>
      <x:c r="C7" s="316" t="n">
        <x:v>50000</x:v>
      </x:c>
      <x:c r="D7" s="301" t="str">
        <x:v>€ HT</x:v>
      </x:c>
      <x:c r="E7" s="301" t="str">
        <x:v>Hypothèse utilisateur</x:v>
      </x:c>
      <x:c r="F7" s="301" t="str">
        <x:v>Base de départ</x:v>
      </x:c>
      <x:c r="G7" s="301"/>
      <x:c r="H7" s="301"/>
      <x:c r="I7" s="301"/>
      <x:c r="J7" s="301"/>
      <x:c r="K7" s="301"/>
      <x:c r="L7" s="301"/>
      <x:c r="M7" s="301"/>
      <x:c r="N7" s="301"/>
    </x:row>
    <x:row r="8">
      <x:c r="A8" s="301" t="str">
        <x:v>Commercial</x:v>
      </x:c>
      <x:c r="B8" s="301" t="str">
        <x:v>Croissance mensuelle du CA</x:v>
      </x:c>
      <x:c r="C8" s="317" t="n">
        <x:v>0.03</x:v>
      </x:c>
      <x:c r="D8" s="301" t="str">
        <x:v>%</x:v>
      </x:c>
      <x:c r="E8" s="301" t="str">
        <x:v>Hypothèse utilisateur</x:v>
      </x:c>
      <x:c r="F8" s="301" t="str">
        <x:v>Scénario central</x:v>
      </x:c>
      <x:c r="G8" s="301"/>
      <x:c r="H8" s="301"/>
      <x:c r="I8" s="301"/>
      <x:c r="J8" s="301"/>
      <x:c r="K8" s="301"/>
      <x:c r="L8" s="301"/>
      <x:c r="M8" s="301"/>
      <x:c r="N8" s="301"/>
    </x:row>
    <x:row r="9">
      <x:c r="A9" s="301" t="str">
        <x:v>Commercial</x:v>
      </x:c>
      <x:c r="B9" s="301" t="str">
        <x:v>Taux de marge brute</x:v>
      </x:c>
      <x:c r="C9" s="317" t="n">
        <x:v>0.6</x:v>
      </x:c>
      <x:c r="D9" s="301" t="str">
        <x:v>% du CA</x:v>
      </x:c>
      <x:c r="E9" s="301" t="str">
        <x:v>Hypothèse utilisateur</x:v>
      </x:c>
      <x:c r="F9" s="301" t="str">
        <x:v>Après achats consommés</x:v>
      </x:c>
      <x:c r="G9" s="301"/>
      <x:c r="H9" s="301"/>
      <x:c r="I9" s="301"/>
      <x:c r="J9" s="301"/>
      <x:c r="K9" s="301"/>
      <x:c r="L9" s="301"/>
      <x:c r="M9" s="301"/>
      <x:c r="N9" s="301"/>
    </x:row>
    <x:row r="10">
      <x:c r="A10" s="301" t="str">
        <x:v>Commercial</x:v>
      </x:c>
      <x:c r="B10" s="301" t="str">
        <x:v>Délai clients</x:v>
      </x:c>
      <x:c r="C10" s="315" t="n">
        <x:v>30</x:v>
      </x:c>
      <x:c r="D10" s="301" t="str">
        <x:v>jours</x:v>
      </x:c>
      <x:c r="E10" s="301" t="str">
        <x:v>Hypothèse utilisateur</x:v>
      </x:c>
      <x:c r="F10" s="301" t="str">
        <x:v>Pour le calcul du BFR</x:v>
      </x:c>
      <x:c r="G10" s="301"/>
      <x:c r="H10" s="301"/>
      <x:c r="I10" s="301"/>
      <x:c r="J10" s="301"/>
      <x:c r="K10" s="301"/>
      <x:c r="L10" s="301"/>
      <x:c r="M10" s="301"/>
      <x:c r="N10" s="301"/>
    </x:row>
    <x:row r="11">
      <x:c r="A11" s="301" t="str">
        <x:v>Achats</x:v>
      </x:c>
      <x:c r="B11" s="301" t="str">
        <x:v>Délai fournisseurs</x:v>
      </x:c>
      <x:c r="C11" s="315" t="n">
        <x:v>30</x:v>
      </x:c>
      <x:c r="D11" s="301" t="str">
        <x:v>jours</x:v>
      </x:c>
      <x:c r="E11" s="301" t="str">
        <x:v>Hypothèse utilisateur</x:v>
      </x:c>
      <x:c r="F11" s="301" t="str">
        <x:v>Pour le calcul du BFR</x:v>
      </x:c>
      <x:c r="G11" s="301"/>
      <x:c r="H11" s="301"/>
      <x:c r="I11" s="301"/>
      <x:c r="J11" s="301"/>
      <x:c r="K11" s="301"/>
      <x:c r="L11" s="301"/>
      <x:c r="M11" s="301"/>
      <x:c r="N11" s="301"/>
    </x:row>
    <x:row r="12">
      <x:c r="A12" s="301" t="str">
        <x:v>Stock</x:v>
      </x:c>
      <x:c r="B12" s="301" t="str">
        <x:v>Stock moyen</x:v>
      </x:c>
      <x:c r="C12" s="316" t="n">
        <x:v>30000</x:v>
      </x:c>
      <x:c r="D12" s="301" t="str">
        <x:v>€</x:v>
      </x:c>
      <x:c r="E12" s="301" t="str">
        <x:v>Hypothèse utilisateur</x:v>
      </x:c>
      <x:c r="F12" s="301" t="str">
        <x:v>Stock d'exploitation</x:v>
      </x:c>
      <x:c r="G12" s="301"/>
      <x:c r="H12" s="301"/>
      <x:c r="I12" s="301"/>
      <x:c r="J12" s="301"/>
      <x:c r="K12" s="301"/>
      <x:c r="L12" s="301"/>
      <x:c r="M12" s="301"/>
      <x:c r="N12" s="301"/>
    </x:row>
    <x:row r="13">
      <x:c r="A13" s="301" t="str">
        <x:v>RH</x:v>
      </x:c>
      <x:c r="B13" s="301" t="str">
        <x:v>Salaires bruts mensuels</x:v>
      </x:c>
      <x:c r="C13" s="316" t="n">
        <x:v>18000</x:v>
      </x:c>
      <x:c r="D13" s="301" t="str">
        <x:v>€</x:v>
      </x:c>
      <x:c r="E13" s="301" t="str">
        <x:v>Hypothèse utilisateur</x:v>
      </x:c>
      <x:c r="F13" s="301" t="str">
        <x:v>Équipe initiale</x:v>
      </x:c>
      <x:c r="G13" s="301"/>
      <x:c r="H13" s="301"/>
      <x:c r="I13" s="301"/>
      <x:c r="J13" s="301"/>
      <x:c r="K13" s="301"/>
      <x:c r="L13" s="301"/>
      <x:c r="M13" s="301"/>
      <x:c r="N13" s="301"/>
    </x:row>
    <x:row r="14">
      <x:c r="A14" s="301" t="str">
        <x:v>RH</x:v>
      </x:c>
      <x:c r="B14" s="301" t="str">
        <x:v>Taux de charges sociales</x:v>
      </x:c>
      <x:c r="C14" s="317" t="n">
        <x:v>0.42</x:v>
      </x:c>
      <x:c r="D14" s="301" t="str">
        <x:v>% salaires</x:v>
      </x:c>
      <x:c r="E14" s="301" t="str">
        <x:v>Hypothèse utilisateur</x:v>
      </x:c>
      <x:c r="F14" s="301" t="str">
        <x:v>Charges patronales</x:v>
      </x:c>
      <x:c r="G14" s="301"/>
      <x:c r="H14" s="301"/>
      <x:c r="I14" s="301"/>
      <x:c r="J14" s="301"/>
      <x:c r="K14" s="301"/>
      <x:c r="L14" s="301"/>
      <x:c r="M14" s="301"/>
      <x:c r="N14" s="301"/>
    </x:row>
    <x:row r="15">
      <x:c r="A15" s="301" t="str">
        <x:v>Fiscalité</x:v>
      </x:c>
      <x:c r="B15" s="301" t="str">
        <x:v>Taux d'impôt sur les sociétés</x:v>
      </x:c>
      <x:c r="C15" s="317" t="n">
        <x:v>0.25</x:v>
      </x:c>
      <x:c r="D15" s="301" t="str">
        <x:v>%</x:v>
      </x:c>
      <x:c r="E15" s="301" t="str">
        <x:v>Hypothèse utilisateur</x:v>
      </x:c>
      <x:c r="F15" s="301" t="str">
        <x:v>À ajuster</x:v>
      </x:c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 t="str">
        <x:v>Trésorerie</x:v>
      </x:c>
      <x:c r="B16" s="301" t="str">
        <x:v>Trésorerie initiale</x:v>
      </x:c>
      <x:c r="C16" s="316" t="n">
        <x:v>80000</x:v>
      </x:c>
      <x:c r="D16" s="301" t="str">
        <x:v>€</x:v>
      </x:c>
      <x:c r="E16" s="301" t="str">
        <x:v>Hypothèse utilisateur</x:v>
      </x:c>
      <x:c r="F16" s="301" t="str">
        <x:v>Solde bancaire de départ</x:v>
      </x:c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 t="str">
        <x:v>Financement</x:v>
      </x:c>
      <x:c r="B17" s="301" t="str">
        <x:v>Apport en capital</x:v>
      </x:c>
      <x:c r="C17" s="315" t="n">
        <x:v>100000</x:v>
      </x:c>
      <x:c r="D17" s="301" t="str">
        <x:v>€</x:v>
      </x:c>
      <x:c r="E17" s="301" t="str">
        <x:v>Hypothèse utilisateur</x:v>
      </x:c>
      <x:c r="F17" s="301" t="str">
        <x:v>Ressource stable</x:v>
      </x:c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 t="str">
        <x:v>Financement</x:v>
      </x:c>
      <x:c r="B18" s="301" t="str">
        <x:v>Montant de l'emprunt</x:v>
      </x:c>
      <x:c r="C18" s="315" t="n">
        <x:v>150000</x:v>
      </x:c>
      <x:c r="D18" s="301" t="str">
        <x:v>€</x:v>
      </x:c>
      <x:c r="E18" s="301" t="str">
        <x:v>Hypothèse utilisateur</x:v>
      </x:c>
      <x:c r="F18" s="301" t="str">
        <x:v>Financement bancaire</x:v>
      </x:c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 t="str">
        <x:v>Financement</x:v>
      </x:c>
      <x:c r="B19" s="301" t="str">
        <x:v>Taux annuel de l'emprunt</x:v>
      </x:c>
      <x:c r="C19" s="315" t="n">
        <x:v>0.045</x:v>
      </x:c>
      <x:c r="D19" s="301" t="str">
        <x:v>%</x:v>
      </x:c>
      <x:c r="E19" s="301" t="str">
        <x:v>Hypothèse utilisateur</x:v>
      </x:c>
      <x:c r="F19" s="301" t="str">
        <x:v>Taux nominal</x:v>
      </x:c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 t="str">
        <x:v>Financement</x:v>
      </x:c>
      <x:c r="B20" s="301" t="str">
        <x:v>Durée de l'emprunt</x:v>
      </x:c>
      <x:c r="C20" s="315" t="n">
        <x:v>60</x:v>
      </x:c>
      <x:c r="D20" s="301" t="str">
        <x:v>mois</x:v>
      </x:c>
      <x:c r="E20" s="301" t="str">
        <x:v>Hypothèse utilisateur</x:v>
      </x:c>
      <x:c r="F20" s="301" t="str">
        <x:v>Durée totale</x:v>
      </x:c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 t="str">
        <x:v>TVA</x:v>
      </x:c>
      <x:c r="B21" s="301" t="str">
        <x:v>Taux de TVA moyen</x:v>
      </x:c>
      <x:c r="C21" s="317" t="n">
        <x:v>0.2</x:v>
      </x:c>
      <x:c r="D21" s="301" t="str">
        <x:v>%</x:v>
      </x:c>
      <x:c r="E21" s="301" t="str">
        <x:v>Hypothèse utilisateur</x:v>
      </x:c>
      <x:c r="F21" s="301" t="str">
        <x:v>Hypothèse simplifiée</x:v>
      </x:c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F2"/>
    <x:mergeCell ref="A3:F3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28" customHeight="1">
      <x:c r="A1" s="321" t="str">
        <x:v>CHIFFRE D’AFFAIRES PRÉVISIONNEL</x:v>
      </x:c>
      <x:c r="B1" s="321"/>
      <x:c r="C1" s="321"/>
      <x:c r="D1" s="321"/>
      <x:c r="E1" s="321"/>
      <x:c r="F1" s="321"/>
      <x:c r="G1" s="321"/>
      <x:c r="H1" s="321"/>
      <x:c r="I1" s="321"/>
      <x:c r="J1" s="321"/>
      <x:c r="K1" s="321"/>
      <x:c r="L1" s="321"/>
      <x:c r="M1" s="321"/>
      <x:c r="N1" s="321"/>
    </x:row>
    <x:row r="2" ht="28" customHeight="1">
      <x:c r="A2" s="321"/>
      <x:c r="B2" s="321"/>
      <x:c r="C2" s="321"/>
      <x:c r="D2" s="321"/>
      <x:c r="E2" s="321"/>
      <x:c r="F2" s="321"/>
      <x:c r="G2" s="321"/>
      <x:c r="H2" s="321"/>
      <x:c r="I2" s="321"/>
      <x:c r="J2" s="321"/>
      <x:c r="K2" s="321"/>
      <x:c r="L2" s="321"/>
      <x:c r="M2" s="321"/>
      <x:c r="N2" s="321"/>
    </x:row>
    <x:row r="3" ht="22" customHeight="1">
      <x:c r="A3" s="305" t="str">
        <x:v>Projection mensuelle automatique sur 12 mois</x:v>
      </x:c>
      <x:c r="B3" s="305"/>
      <x:c r="C3" s="305"/>
      <x:c r="D3" s="305"/>
      <x:c r="E3" s="305"/>
      <x:c r="F3" s="305"/>
      <x:c r="G3" s="305"/>
      <x:c r="H3" s="305"/>
      <x:c r="I3" s="305"/>
      <x:c r="J3" s="305"/>
      <x:c r="K3" s="305"/>
      <x:c r="L3" s="305"/>
      <x:c r="M3" s="305"/>
      <x:c r="N3" s="305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306" t="str">
        <x:v>Indicateur</x:v>
      </x:c>
      <x:c r="B5" s="306" t="str">
        <x:v>Jan</x:v>
      </x:c>
      <x:c r="C5" s="306" t="str">
        <x:v>Fév</x:v>
      </x:c>
      <x:c r="D5" s="306" t="str">
        <x:v>Mar</x:v>
      </x:c>
      <x:c r="E5" s="306" t="str">
        <x:v>Avr</x:v>
      </x:c>
      <x:c r="F5" s="306" t="str">
        <x:v>Mai</x:v>
      </x:c>
      <x:c r="G5" s="306" t="str">
        <x:v>Juin</x:v>
      </x:c>
      <x:c r="H5" s="306" t="str">
        <x:v>Juil</x:v>
      </x:c>
      <x:c r="I5" s="306" t="str">
        <x:v>Août</x:v>
      </x:c>
      <x:c r="J5" s="306" t="str">
        <x:v>Sept</x:v>
      </x:c>
      <x:c r="K5" s="306" t="str">
        <x:v>Oct</x:v>
      </x:c>
      <x:c r="L5" s="306" t="str">
        <x:v>Nov</x:v>
      </x:c>
      <x:c r="M5" s="306" t="str">
        <x:v>Déc</x:v>
      </x:c>
      <x:c r="N5" s="306" t="str">
        <x:v>Total annuel</x:v>
      </x:c>
    </x:row>
    <x:row r="6">
      <x:c r="A6" s="301" t="str">
        <x:v>Indice de croissance</x:v>
      </x:c>
      <x:c r="B6" s="329" t="n">
        <x:f>1</x:f>
        <x:v>1</x:v>
      </x:c>
      <x:c r="C6" s="329" t="n">
        <x:f>B6*(1+'Hypothèses'!$C$8)</x:f>
        <x:v>1.03</x:v>
      </x:c>
      <x:c r="D6" s="329" t="n">
        <x:f>C6*(1+'Hypothèses'!$C$8)</x:f>
        <x:v>1.0609</x:v>
      </x:c>
      <x:c r="E6" s="329" t="n">
        <x:f>D6*(1+'Hypothèses'!$C$8)</x:f>
        <x:v>1.092727</x:v>
      </x:c>
      <x:c r="F6" s="329" t="n">
        <x:f>E6*(1+'Hypothèses'!$C$8)</x:f>
        <x:v>1.1255088100000001</x:v>
      </x:c>
      <x:c r="G6" s="329" t="n">
        <x:f>F6*(1+'Hypothèses'!$C$8)</x:f>
        <x:v>1.1592740743</x:v>
      </x:c>
      <x:c r="H6" s="329" t="n">
        <x:f>G6*(1+'Hypothèses'!$C$8)</x:f>
        <x:v>1.1940522965290001</x:v>
      </x:c>
      <x:c r="I6" s="329" t="n">
        <x:f>H6*(1+'Hypothèses'!$C$8)</x:f>
        <x:v>1.2298738654248702</x:v>
      </x:c>
      <x:c r="J6" s="329" t="n">
        <x:f>I6*(1+'Hypothèses'!$C$8)</x:f>
        <x:v>1.2667700813876164</x:v>
      </x:c>
      <x:c r="K6" s="329" t="n">
        <x:f>J6*(1+'Hypothèses'!$C$8)</x:f>
        <x:v>1.304773183829245</x:v>
      </x:c>
      <x:c r="L6" s="329" t="n">
        <x:f>K6*(1+'Hypothèses'!$C$8)</x:f>
        <x:v>1.3439163793441222</x:v>
      </x:c>
      <x:c r="M6" s="329" t="n">
        <x:f>L6*(1+'Hypothèses'!$C$8)</x:f>
        <x:v>1.384233870724446</x:v>
      </x:c>
      <x:c r="N6" s="329" t="n">
        <x:f>AVERAGE(B6:M6)</x:f>
        <x:v>1.182669130128275</x:v>
      </x:c>
    </x:row>
    <x:row r="7">
      <x:c r="A7" s="301" t="str">
        <x:v>Chiffre d'affaires HT</x:v>
      </x:c>
      <x:c r="B7" s="330" t="n">
        <x:f>'Hypothèses'!$C$7*B6</x:f>
        <x:v>50000</x:v>
      </x:c>
      <x:c r="C7" s="330" t="n">
        <x:f>'Hypothèses'!$C$7*C6</x:f>
        <x:v>51500</x:v>
      </x:c>
      <x:c r="D7" s="330" t="n">
        <x:f>'Hypothèses'!$C$7*D6</x:f>
        <x:v>53045</x:v>
      </x:c>
      <x:c r="E7" s="330" t="n">
        <x:f>'Hypothèses'!$C$7*E6</x:f>
        <x:v>54636.35</x:v>
      </x:c>
      <x:c r="F7" s="330" t="n">
        <x:f>'Hypothèses'!$C$7*F6</x:f>
        <x:v>56275.440500000004</x:v>
      </x:c>
      <x:c r="G7" s="330" t="n">
        <x:f>'Hypothèses'!$C$7*G6</x:f>
        <x:v>57963.703715</x:v>
      </x:c>
      <x:c r="H7" s="330" t="n">
        <x:f>'Hypothèses'!$C$7*H6</x:f>
        <x:v>59702.61482645001</x:v>
      </x:c>
      <x:c r="I7" s="330" t="n">
        <x:f>'Hypothèses'!$C$7*I6</x:f>
        <x:v>61493.69327124351</x:v>
      </x:c>
      <x:c r="J7" s="330" t="n">
        <x:f>'Hypothèses'!$C$7*J6</x:f>
        <x:v>63338.50406938082</x:v>
      </x:c>
      <x:c r="K7" s="330" t="n">
        <x:f>'Hypothèses'!$C$7*K6</x:f>
        <x:v>65238.65919146225</x:v>
      </x:c>
      <x:c r="L7" s="330" t="n">
        <x:f>'Hypothèses'!$C$7*L6</x:f>
        <x:v>67195.81896720611</x:v>
      </x:c>
      <x:c r="M7" s="330" t="n">
        <x:f>'Hypothèses'!$C$7*M6</x:f>
        <x:v>69211.6935362223</x:v>
      </x:c>
      <x:c r="N7" s="330" t="n">
        <x:f>SUM(B7:M7)</x:f>
        <x:v>709601.478076965</x:v>
      </x:c>
    </x:row>
    <x:row r="8">
      <x:c r="A8" s="301" t="str">
        <x:v>TVA collectée</x:v>
      </x:c>
      <x:c r="B8" s="330" t="n">
        <x:f>B7*'Hypothèses'!$C$21</x:f>
        <x:v>10000</x:v>
      </x:c>
      <x:c r="C8" s="330" t="n">
        <x:f>C7*'Hypothèses'!$C$21</x:f>
        <x:v>10300</x:v>
      </x:c>
      <x:c r="D8" s="330" t="n">
        <x:f>D7*'Hypothèses'!$C$21</x:f>
        <x:v>10609</x:v>
      </x:c>
      <x:c r="E8" s="330" t="n">
        <x:f>E7*'Hypothèses'!$C$21</x:f>
        <x:v>10927.27</x:v>
      </x:c>
      <x:c r="F8" s="330" t="n">
        <x:f>F7*'Hypothèses'!$C$21</x:f>
        <x:v>11255.0881</x:v>
      </x:c>
      <x:c r="G8" s="330" t="n">
        <x:f>G7*'Hypothèses'!$C$21</x:f>
        <x:v>11592.740743000002</x:v>
      </x:c>
      <x:c r="H8" s="330" t="n">
        <x:f>H7*'Hypothèses'!$C$21</x:f>
        <x:v>11940.522965290002</x:v>
      </x:c>
      <x:c r="I8" s="330" t="n">
        <x:f>I7*'Hypothèses'!$C$21</x:f>
        <x:v>12298.738654248702</x:v>
      </x:c>
      <x:c r="J8" s="330" t="n">
        <x:f>J7*'Hypothèses'!$C$21</x:f>
        <x:v>12667.700813876165</x:v>
      </x:c>
      <x:c r="K8" s="330" t="n">
        <x:f>K7*'Hypothèses'!$C$21</x:f>
        <x:v>13047.73183829245</x:v>
      </x:c>
      <x:c r="L8" s="330" t="n">
        <x:f>L7*'Hypothèses'!$C$21</x:f>
        <x:v>13439.163793441223</x:v>
      </x:c>
      <x:c r="M8" s="330" t="n">
        <x:f>M7*'Hypothèses'!$C$21</x:f>
        <x:v>13842.33870724446</x:v>
      </x:c>
      <x:c r="N8" s="330" t="n">
        <x:f>SUM(B8:M8)</x:f>
        <x:v>141920.29561539303</x:v>
      </x:c>
    </x:row>
    <x:row r="9">
      <x:c r="A9" s="301" t="str">
        <x:v>Chiffre d'affaires TTC</x:v>
      </x:c>
      <x:c r="B9" s="330" t="n">
        <x:f>B7+B8</x:f>
        <x:v>60000</x:v>
      </x:c>
      <x:c r="C9" s="330" t="n">
        <x:f>C7+C8</x:f>
        <x:v>61800</x:v>
      </x:c>
      <x:c r="D9" s="330" t="n">
        <x:f>D7+D8</x:f>
        <x:v>63654</x:v>
      </x:c>
      <x:c r="E9" s="330" t="n">
        <x:f>E7+E8</x:f>
        <x:v>65563.62</x:v>
      </x:c>
      <x:c r="F9" s="330" t="n">
        <x:f>F7+F8</x:f>
        <x:v>67530.5286</x:v>
      </x:c>
      <x:c r="G9" s="330" t="n">
        <x:f>G7+G8</x:f>
        <x:v>69556.44445800001</x:v>
      </x:c>
      <x:c r="H9" s="330" t="n">
        <x:f>H7+H8</x:f>
        <x:v>71643.13779174001</x:v>
      </x:c>
      <x:c r="I9" s="330" t="n">
        <x:f>I7+I8</x:f>
        <x:v>73792.43192549222</x:v>
      </x:c>
      <x:c r="J9" s="330" t="n">
        <x:f>J7+J8</x:f>
        <x:v>76006.20488325699</x:v>
      </x:c>
      <x:c r="K9" s="330" t="n">
        <x:f>K7+K8</x:f>
        <x:v>78286.3910297547</x:v>
      </x:c>
      <x:c r="L9" s="330" t="n">
        <x:f>L7+L8</x:f>
        <x:v>80634.98276064734</x:v>
      </x:c>
      <x:c r="M9" s="330" t="n">
        <x:f>M7+M8</x:f>
        <x:v>83054.03224346676</x:v>
      </x:c>
      <x:c r="N9" s="330" t="n">
        <x:f>SUM(B9:M9)</x:f>
        <x:v>851521.7736923578</x:v>
      </x:c>
    </x:row>
    <x:row r="10">
      <x:c r="A10" s="301" t="str">
        <x:v>Achats consommés</x:v>
      </x:c>
      <x:c r="B10" s="330" t="n">
        <x:f>B7*(1-'Hypothèses'!$C$9)</x:f>
        <x:v>20000</x:v>
      </x:c>
      <x:c r="C10" s="330" t="n">
        <x:f>C7*(1-'Hypothèses'!$C$9)</x:f>
        <x:v>20600</x:v>
      </x:c>
      <x:c r="D10" s="330" t="n">
        <x:f>D7*(1-'Hypothèses'!$C$9)</x:f>
        <x:v>21218</x:v>
      </x:c>
      <x:c r="E10" s="330" t="n">
        <x:f>E7*(1-'Hypothèses'!$C$9)</x:f>
        <x:v>21854.54</x:v>
      </x:c>
      <x:c r="F10" s="330" t="n">
        <x:f>F7*(1-'Hypothèses'!$C$9)</x:f>
        <x:v>22510.1762</x:v>
      </x:c>
      <x:c r="G10" s="330" t="n">
        <x:f>G7*(1-'Hypothèses'!$C$9)</x:f>
        <x:v>23185.481486000004</x:v>
      </x:c>
      <x:c r="H10" s="330" t="n">
        <x:f>H7*(1-'Hypothèses'!$C$9)</x:f>
        <x:v>23881.045930580003</x:v>
      </x:c>
      <x:c r="I10" s="330" t="n">
        <x:f>I7*(1-'Hypothèses'!$C$9)</x:f>
        <x:v>24597.477308497404</x:v>
      </x:c>
      <x:c r="J10" s="330" t="n">
        <x:f>J7*(1-'Hypothèses'!$C$9)</x:f>
        <x:v>25335.40162775233</x:v>
      </x:c>
      <x:c r="K10" s="330" t="n">
        <x:f>K7*(1-'Hypothèses'!$C$9)</x:f>
        <x:v>26095.4636765849</x:v>
      </x:c>
      <x:c r="L10" s="330" t="n">
        <x:f>L7*(1-'Hypothèses'!$C$9)</x:f>
        <x:v>26878.327586882446</x:v>
      </x:c>
      <x:c r="M10" s="330" t="n">
        <x:f>M7*(1-'Hypothèses'!$C$9)</x:f>
        <x:v>27684.67741448892</x:v>
      </x:c>
      <x:c r="N10" s="330" t="n">
        <x:f>SUM(B10:M10)</x:f>
        <x:v>283840.59123078606</x:v>
      </x:c>
    </x:row>
    <x:row r="11">
      <x:c r="A11" s="301" t="str">
        <x:v>Marge brute</x:v>
      </x:c>
      <x:c r="B11" s="330" t="n">
        <x:f>B7-B10</x:f>
        <x:v>30000</x:v>
      </x:c>
      <x:c r="C11" s="330" t="n">
        <x:f>C7-C10</x:f>
        <x:v>30900</x:v>
      </x:c>
      <x:c r="D11" s="330" t="n">
        <x:f>D7-D10</x:f>
        <x:v>31827</x:v>
      </x:c>
      <x:c r="E11" s="330" t="n">
        <x:f>E7-E10</x:f>
        <x:v>32781.81</x:v>
      </x:c>
      <x:c r="F11" s="330" t="n">
        <x:f>F7-F10</x:f>
        <x:v>33765.2643</x:v>
      </x:c>
      <x:c r="G11" s="330" t="n">
        <x:f>G7-G10</x:f>
        <x:v>34778.222229</x:v>
      </x:c>
      <x:c r="H11" s="330" t="n">
        <x:f>H7-H10</x:f>
        <x:v>35821.568895870005</x:v>
      </x:c>
      <x:c r="I11" s="330" t="n">
        <x:f>I7-I10</x:f>
        <x:v>36896.21596274611</x:v>
      </x:c>
      <x:c r="J11" s="330" t="n">
        <x:f>J7-J10</x:f>
        <x:v>38003.10244162849</x:v>
      </x:c>
      <x:c r="K11" s="330" t="n">
        <x:f>K7-K10</x:f>
        <x:v>39143.19551487735</x:v>
      </x:c>
      <x:c r="L11" s="330" t="n">
        <x:f>L7-L10</x:f>
        <x:v>40317.49138032367</x:v>
      </x:c>
      <x:c r="M11" s="330" t="n">
        <x:f>M7-M10</x:f>
        <x:v>41527.01612173338</x:v>
      </x:c>
      <x:c r="N11" s="330" t="n">
        <x:f>SUM(B11:M11)</x:f>
        <x:v>425760.8868461789</x:v>
      </x:c>
    </x:row>
    <x:row r="12">
      <x:c r="A12" s="301" t="str">
        <x:v>Taux de marge brute</x:v>
      </x:c>
      <x:c r="B12" s="331" t="n">
        <x:f>IFERROR(B11/B7,0)</x:f>
        <x:v>0.6</x:v>
      </x:c>
      <x:c r="C12" s="331" t="n">
        <x:f>IFERROR(C11/C7,0)</x:f>
        <x:v>0.6</x:v>
      </x:c>
      <x:c r="D12" s="331" t="n">
        <x:f>IFERROR(D11/D7,0)</x:f>
        <x:v>0.6</x:v>
      </x:c>
      <x:c r="E12" s="331" t="n">
        <x:f>IFERROR(E11/E7,0)</x:f>
        <x:v>0.6</x:v>
      </x:c>
      <x:c r="F12" s="331" t="n">
        <x:f>IFERROR(F11/F7,0)</x:f>
        <x:v>0.6</x:v>
      </x:c>
      <x:c r="G12" s="331" t="n">
        <x:f>IFERROR(G11/G7,0)</x:f>
        <x:v>0.6</x:v>
      </x:c>
      <x:c r="H12" s="331" t="n">
        <x:f>IFERROR(H11/H7,0)</x:f>
        <x:v>0.6</x:v>
      </x:c>
      <x:c r="I12" s="331" t="n">
        <x:f>IFERROR(I11/I7,0)</x:f>
        <x:v>0.6000000000000001</x:v>
      </x:c>
      <x:c r="J12" s="331" t="n">
        <x:f>IFERROR(J11/J7,0)</x:f>
        <x:v>0.6</x:v>
      </x:c>
      <x:c r="K12" s="331" t="n">
        <x:f>IFERROR(K11/K7,0)</x:f>
        <x:v>0.6</x:v>
      </x:c>
      <x:c r="L12" s="331" t="n">
        <x:f>IFERROR(L11/L7,0)</x:f>
        <x:v>0.6000000000000001</x:v>
      </x:c>
      <x:c r="M12" s="331" t="n">
        <x:f>IFERROR(M11/M7,0)</x:f>
        <x:v>0.6</x:v>
      </x:c>
      <x:c r="N12" s="331" t="n">
        <x:f>IFERROR(N11/N7,0)</x:f>
        <x:v>0.5999999999999999</x:v>
      </x:c>
    </x:row>
    <x:row r="13">
      <x:c r="A13" s="301"/>
      <x:c r="B13" s="301"/>
      <x:c r="C13" s="301"/>
      <x:c r="D13" s="301"/>
      <x:c r="E13" s="301"/>
      <x:c r="F13" s="301"/>
      <x:c r="G13" s="301"/>
      <x:c r="H13" s="301"/>
      <x:c r="I13" s="301"/>
      <x:c r="J13" s="301"/>
      <x:c r="K13" s="301"/>
      <x:c r="L13" s="301"/>
      <x:c r="M13" s="301"/>
      <x:c r="N13" s="301"/>
    </x:row>
    <x:row r="14">
      <x:c r="A14" s="301"/>
      <x:c r="B14" s="301"/>
      <x:c r="C14" s="301"/>
      <x:c r="D14" s="301"/>
      <x:c r="E14" s="301"/>
      <x:c r="F14" s="301"/>
      <x:c r="G14" s="301"/>
      <x:c r="H14" s="301"/>
      <x:c r="I14" s="301"/>
      <x:c r="J14" s="301"/>
      <x:c r="K14" s="301"/>
      <x:c r="L14" s="301"/>
      <x:c r="M14" s="301"/>
      <x:c r="N14" s="301"/>
    </x:row>
    <x:row r="15">
      <x:c r="A15" s="301"/>
      <x:c r="B15" s="301"/>
      <x:c r="C15" s="301"/>
      <x:c r="D15" s="301"/>
      <x:c r="E15" s="301"/>
      <x:c r="F15" s="301"/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/>
      <x:c r="B16" s="301"/>
      <x:c r="C16" s="301"/>
      <x:c r="D16" s="301"/>
      <x:c r="E16" s="301"/>
      <x:c r="F16" s="301"/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/>
      <x:c r="B17" s="301"/>
      <x:c r="C17" s="301"/>
      <x:c r="D17" s="301"/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/>
      <x:c r="B18" s="301"/>
      <x:c r="C18" s="301"/>
      <x:c r="D18" s="301"/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N2"/>
    <x:mergeCell ref="A3:N3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25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28" customHeight="1">
      <x:c r="A1" s="335" t="str">
        <x:v>CHARGES PRÉVISIONNELLES</x:v>
      </x:c>
      <x:c r="B1" s="335"/>
      <x:c r="C1" s="335"/>
      <x:c r="D1" s="335"/>
      <x:c r="E1" s="335"/>
      <x:c r="F1" s="335"/>
      <x:c r="G1" s="335"/>
      <x:c r="H1" s="335"/>
      <x:c r="I1" s="335"/>
      <x:c r="J1" s="335"/>
      <x:c r="K1" s="335"/>
      <x:c r="L1" s="335"/>
      <x:c r="M1" s="335"/>
      <x:c r="N1" s="335"/>
    </x:row>
    <x:row r="2" ht="28" customHeight="1">
      <x:c r="A2" s="335"/>
      <x:c r="B2" s="335"/>
      <x:c r="C2" s="335"/>
      <x:c r="D2" s="335"/>
      <x:c r="E2" s="335"/>
      <x:c r="F2" s="335"/>
      <x:c r="G2" s="335"/>
      <x:c r="H2" s="335"/>
      <x:c r="I2" s="335"/>
      <x:c r="J2" s="335"/>
      <x:c r="K2" s="335"/>
      <x:c r="L2" s="335"/>
      <x:c r="M2" s="335"/>
      <x:c r="N2" s="335"/>
    </x:row>
    <x:row r="3" ht="22" customHeight="1">
      <x:c r="A3" s="336" t="str">
        <x:v>Budget d’exploitation mensuel automatisé</x:v>
      </x:c>
      <x:c r="B3" s="336"/>
      <x:c r="C3" s="336"/>
      <x:c r="D3" s="336"/>
      <x:c r="E3" s="336"/>
      <x:c r="F3" s="336"/>
      <x:c r="G3" s="336"/>
      <x:c r="H3" s="336"/>
      <x:c r="I3" s="336"/>
      <x:c r="J3" s="336"/>
      <x:c r="K3" s="336"/>
      <x:c r="L3" s="336"/>
      <x:c r="M3" s="336"/>
      <x:c r="N3" s="336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288" t="str">
        <x:v>Charge</x:v>
      </x:c>
      <x:c r="B5" s="288" t="str">
        <x:v>Jan</x:v>
      </x:c>
      <x:c r="C5" s="288" t="str">
        <x:v>Fév</x:v>
      </x:c>
      <x:c r="D5" s="288" t="str">
        <x:v>Mar</x:v>
      </x:c>
      <x:c r="E5" s="288" t="str">
        <x:v>Avr</x:v>
      </x:c>
      <x:c r="F5" s="288" t="str">
        <x:v>Mai</x:v>
      </x:c>
      <x:c r="G5" s="288" t="str">
        <x:v>Juin</x:v>
      </x:c>
      <x:c r="H5" s="288" t="str">
        <x:v>Juil</x:v>
      </x:c>
      <x:c r="I5" s="288" t="str">
        <x:v>Août</x:v>
      </x:c>
      <x:c r="J5" s="288" t="str">
        <x:v>Sept</x:v>
      </x:c>
      <x:c r="K5" s="288" t="str">
        <x:v>Oct</x:v>
      </x:c>
      <x:c r="L5" s="288" t="str">
        <x:v>Nov</x:v>
      </x:c>
      <x:c r="M5" s="288" t="str">
        <x:v>Déc</x:v>
      </x:c>
      <x:c r="N5" s="288" t="str">
        <x:v>Total annuel</x:v>
      </x:c>
    </x:row>
    <x:row r="6">
      <x:c r="A6" s="301" t="str">
        <x:v>Salaires bruts</x:v>
      </x:c>
      <x:c r="B6" s="302" t="n">
        <x:f>'Hypothèses'!$C$13</x:f>
        <x:v>18000</x:v>
      </x:c>
      <x:c r="C6" s="302" t="n">
        <x:f>'Hypothèses'!$C$13</x:f>
        <x:v>18000</x:v>
      </x:c>
      <x:c r="D6" s="302" t="n">
        <x:f>'Hypothèses'!$C$13</x:f>
        <x:v>18000</x:v>
      </x:c>
      <x:c r="E6" s="302" t="n">
        <x:f>'Hypothèses'!$C$13</x:f>
        <x:v>18000</x:v>
      </x:c>
      <x:c r="F6" s="302" t="n">
        <x:f>'Hypothèses'!$C$13</x:f>
        <x:v>18000</x:v>
      </x:c>
      <x:c r="G6" s="302" t="n">
        <x:f>'Hypothèses'!$C$13</x:f>
        <x:v>18000</x:v>
      </x:c>
      <x:c r="H6" s="302" t="n">
        <x:f>'Hypothèses'!$C$13</x:f>
        <x:v>18000</x:v>
      </x:c>
      <x:c r="I6" s="302" t="n">
        <x:f>'Hypothèses'!$C$13</x:f>
        <x:v>18000</x:v>
      </x:c>
      <x:c r="J6" s="302" t="n">
        <x:f>'Hypothèses'!$C$13</x:f>
        <x:v>18000</x:v>
      </x:c>
      <x:c r="K6" s="302" t="n">
        <x:f>'Hypothèses'!$C$13</x:f>
        <x:v>18000</x:v>
      </x:c>
      <x:c r="L6" s="302" t="n">
        <x:f>'Hypothèses'!$C$13</x:f>
        <x:v>18000</x:v>
      </x:c>
      <x:c r="M6" s="302" t="n">
        <x:f>'Hypothèses'!$C$13</x:f>
        <x:v>18000</x:v>
      </x:c>
      <x:c r="N6" s="302" t="n">
        <x:f>SUM(B6:M6)</x:f>
        <x:v>216000</x:v>
      </x:c>
    </x:row>
    <x:row r="7">
      <x:c r="A7" s="301" t="str">
        <x:v>Charges sociales</x:v>
      </x:c>
      <x:c r="B7" s="302" t="n">
        <x:f>B6*'Hypothèses'!$C$14</x:f>
        <x:v>7560</x:v>
      </x:c>
      <x:c r="C7" s="302" t="n">
        <x:f>C6*'Hypothèses'!$C$14</x:f>
        <x:v>7560</x:v>
      </x:c>
      <x:c r="D7" s="302" t="n">
        <x:f>D6*'Hypothèses'!$C$14</x:f>
        <x:v>7560</x:v>
      </x:c>
      <x:c r="E7" s="302" t="n">
        <x:f>E6*'Hypothèses'!$C$14</x:f>
        <x:v>7560</x:v>
      </x:c>
      <x:c r="F7" s="302" t="n">
        <x:f>F6*'Hypothèses'!$C$14</x:f>
        <x:v>7560</x:v>
      </x:c>
      <x:c r="G7" s="302" t="n">
        <x:f>G6*'Hypothèses'!$C$14</x:f>
        <x:v>7560</x:v>
      </x:c>
      <x:c r="H7" s="302" t="n">
        <x:f>H6*'Hypothèses'!$C$14</x:f>
        <x:v>7560</x:v>
      </x:c>
      <x:c r="I7" s="302" t="n">
        <x:f>I6*'Hypothèses'!$C$14</x:f>
        <x:v>7560</x:v>
      </x:c>
      <x:c r="J7" s="302" t="n">
        <x:f>J6*'Hypothèses'!$C$14</x:f>
        <x:v>7560</x:v>
      </x:c>
      <x:c r="K7" s="302" t="n">
        <x:f>K6*'Hypothèses'!$C$14</x:f>
        <x:v>7560</x:v>
      </x:c>
      <x:c r="L7" s="302" t="n">
        <x:f>L6*'Hypothèses'!$C$14</x:f>
        <x:v>7560</x:v>
      </x:c>
      <x:c r="M7" s="302" t="n">
        <x:f>M6*'Hypothèses'!$C$14</x:f>
        <x:v>7560</x:v>
      </x:c>
      <x:c r="N7" s="302" t="n">
        <x:f>SUM(B7:M7)</x:f>
        <x:v>90720</x:v>
      </x:c>
    </x:row>
    <x:row r="8">
      <x:c r="A8" s="301" t="str">
        <x:v>Loyer</x:v>
      </x:c>
      <x:c r="B8" s="345" t="n">
        <x:v>6000</x:v>
      </x:c>
      <x:c r="C8" s="345" t="n">
        <x:v>6000</x:v>
      </x:c>
      <x:c r="D8" s="345" t="n">
        <x:v>6000</x:v>
      </x:c>
      <x:c r="E8" s="345" t="n">
        <x:v>6000</x:v>
      </x:c>
      <x:c r="F8" s="345" t="n">
        <x:v>6000</x:v>
      </x:c>
      <x:c r="G8" s="345" t="n">
        <x:v>6000</x:v>
      </x:c>
      <x:c r="H8" s="345" t="n">
        <x:v>6000</x:v>
      </x:c>
      <x:c r="I8" s="345" t="n">
        <x:v>6000</x:v>
      </x:c>
      <x:c r="J8" s="345" t="n">
        <x:v>6000</x:v>
      </x:c>
      <x:c r="K8" s="345" t="n">
        <x:v>6000</x:v>
      </x:c>
      <x:c r="L8" s="345" t="n">
        <x:v>6000</x:v>
      </x:c>
      <x:c r="M8" s="345" t="n">
        <x:v>6000</x:v>
      </x:c>
      <x:c r="N8" s="302" t="n">
        <x:f>SUM(B8:M8)</x:f>
        <x:v>72000</x:v>
      </x:c>
    </x:row>
    <x:row r="9">
      <x:c r="A9" s="301" t="str">
        <x:v>Assurances</x:v>
      </x:c>
      <x:c r="B9" s="345" t="n">
        <x:v>800</x:v>
      </x:c>
      <x:c r="C9" s="345" t="n">
        <x:v>800</x:v>
      </x:c>
      <x:c r="D9" s="345" t="n">
        <x:v>800</x:v>
      </x:c>
      <x:c r="E9" s="345" t="n">
        <x:v>800</x:v>
      </x:c>
      <x:c r="F9" s="345" t="n">
        <x:v>800</x:v>
      </x:c>
      <x:c r="G9" s="345" t="n">
        <x:v>800</x:v>
      </x:c>
      <x:c r="H9" s="345" t="n">
        <x:v>800</x:v>
      </x:c>
      <x:c r="I9" s="345" t="n">
        <x:v>800</x:v>
      </x:c>
      <x:c r="J9" s="345" t="n">
        <x:v>800</x:v>
      </x:c>
      <x:c r="K9" s="345" t="n">
        <x:v>800</x:v>
      </x:c>
      <x:c r="L9" s="345" t="n">
        <x:v>800</x:v>
      </x:c>
      <x:c r="M9" s="345" t="n">
        <x:v>800</x:v>
      </x:c>
      <x:c r="N9" s="302" t="n">
        <x:f>SUM(B9:M9)</x:f>
        <x:v>9600</x:v>
      </x:c>
    </x:row>
    <x:row r="10">
      <x:c r="A10" s="301" t="str">
        <x:v>Logiciels &amp; télécoms</x:v>
      </x:c>
      <x:c r="B10" s="345" t="n">
        <x:v>1200</x:v>
      </x:c>
      <x:c r="C10" s="345" t="n">
        <x:v>1200</x:v>
      </x:c>
      <x:c r="D10" s="345" t="n">
        <x:v>1200</x:v>
      </x:c>
      <x:c r="E10" s="345" t="n">
        <x:v>1200</x:v>
      </x:c>
      <x:c r="F10" s="345" t="n">
        <x:v>1200</x:v>
      </x:c>
      <x:c r="G10" s="345" t="n">
        <x:v>1200</x:v>
      </x:c>
      <x:c r="H10" s="345" t="n">
        <x:v>1200</x:v>
      </x:c>
      <x:c r="I10" s="345" t="n">
        <x:v>1200</x:v>
      </x:c>
      <x:c r="J10" s="345" t="n">
        <x:v>1200</x:v>
      </x:c>
      <x:c r="K10" s="345" t="n">
        <x:v>1200</x:v>
      </x:c>
      <x:c r="L10" s="345" t="n">
        <x:v>1200</x:v>
      </x:c>
      <x:c r="M10" s="345" t="n">
        <x:v>1200</x:v>
      </x:c>
      <x:c r="N10" s="302" t="n">
        <x:f>SUM(B10:M10)</x:f>
        <x:v>14400</x:v>
      </x:c>
    </x:row>
    <x:row r="11">
      <x:c r="A11" s="301" t="str">
        <x:v>Honoraires</x:v>
      </x:c>
      <x:c r="B11" s="345" t="n">
        <x:v>1500</x:v>
      </x:c>
      <x:c r="C11" s="345" t="n">
        <x:v>1500</x:v>
      </x:c>
      <x:c r="D11" s="345" t="n">
        <x:v>1500</x:v>
      </x:c>
      <x:c r="E11" s="345" t="n">
        <x:v>1500</x:v>
      </x:c>
      <x:c r="F11" s="345" t="n">
        <x:v>1500</x:v>
      </x:c>
      <x:c r="G11" s="345" t="n">
        <x:v>1500</x:v>
      </x:c>
      <x:c r="H11" s="345" t="n">
        <x:v>1500</x:v>
      </x:c>
      <x:c r="I11" s="345" t="n">
        <x:v>1500</x:v>
      </x:c>
      <x:c r="J11" s="345" t="n">
        <x:v>1500</x:v>
      </x:c>
      <x:c r="K11" s="345" t="n">
        <x:v>1500</x:v>
      </x:c>
      <x:c r="L11" s="345" t="n">
        <x:v>1500</x:v>
      </x:c>
      <x:c r="M11" s="345" t="n">
        <x:v>1500</x:v>
      </x:c>
      <x:c r="N11" s="302" t="n">
        <x:f>SUM(B11:M11)</x:f>
        <x:v>18000</x:v>
      </x:c>
    </x:row>
    <x:row r="12">
      <x:c r="A12" s="301" t="str">
        <x:v>Marketing</x:v>
      </x:c>
      <x:c r="B12" s="345" t="n">
        <x:v>2500</x:v>
      </x:c>
      <x:c r="C12" s="345" t="n">
        <x:v>2500</x:v>
      </x:c>
      <x:c r="D12" s="345" t="n">
        <x:v>2500</x:v>
      </x:c>
      <x:c r="E12" s="345" t="n">
        <x:v>2500</x:v>
      </x:c>
      <x:c r="F12" s="345" t="n">
        <x:v>2500</x:v>
      </x:c>
      <x:c r="G12" s="345" t="n">
        <x:v>2500</x:v>
      </x:c>
      <x:c r="H12" s="345" t="n">
        <x:v>2500</x:v>
      </x:c>
      <x:c r="I12" s="345" t="n">
        <x:v>2500</x:v>
      </x:c>
      <x:c r="J12" s="345" t="n">
        <x:v>2500</x:v>
      </x:c>
      <x:c r="K12" s="345" t="n">
        <x:v>2500</x:v>
      </x:c>
      <x:c r="L12" s="345" t="n">
        <x:v>2500</x:v>
      </x:c>
      <x:c r="M12" s="345" t="n">
        <x:v>2500</x:v>
      </x:c>
      <x:c r="N12" s="302" t="n">
        <x:f>SUM(B12:M12)</x:f>
        <x:v>30000</x:v>
      </x:c>
    </x:row>
    <x:row r="13">
      <x:c r="A13" s="301" t="str">
        <x:v>Transport</x:v>
      </x:c>
      <x:c r="B13" s="345" t="n">
        <x:v>1000</x:v>
      </x:c>
      <x:c r="C13" s="345" t="n">
        <x:v>1000</x:v>
      </x:c>
      <x:c r="D13" s="345" t="n">
        <x:v>1000</x:v>
      </x:c>
      <x:c r="E13" s="345" t="n">
        <x:v>1000</x:v>
      </x:c>
      <x:c r="F13" s="345" t="n">
        <x:v>1000</x:v>
      </x:c>
      <x:c r="G13" s="345" t="n">
        <x:v>1000</x:v>
      </x:c>
      <x:c r="H13" s="345" t="n">
        <x:v>1000</x:v>
      </x:c>
      <x:c r="I13" s="345" t="n">
        <x:v>1000</x:v>
      </x:c>
      <x:c r="J13" s="345" t="n">
        <x:v>1000</x:v>
      </x:c>
      <x:c r="K13" s="345" t="n">
        <x:v>1000</x:v>
      </x:c>
      <x:c r="L13" s="345" t="n">
        <x:v>1000</x:v>
      </x:c>
      <x:c r="M13" s="345" t="n">
        <x:v>1000</x:v>
      </x:c>
      <x:c r="N13" s="302" t="n">
        <x:f>SUM(B13:M13)</x:f>
        <x:v>12000</x:v>
      </x:c>
    </x:row>
    <x:row r="14">
      <x:c r="A14" s="301" t="str">
        <x:v>Frais bancaires</x:v>
      </x:c>
      <x:c r="B14" s="345" t="n">
        <x:v>600</x:v>
      </x:c>
      <x:c r="C14" s="345" t="n">
        <x:v>600</x:v>
      </x:c>
      <x:c r="D14" s="345" t="n">
        <x:v>600</x:v>
      </x:c>
      <x:c r="E14" s="345" t="n">
        <x:v>600</x:v>
      </x:c>
      <x:c r="F14" s="345" t="n">
        <x:v>600</x:v>
      </x:c>
      <x:c r="G14" s="345" t="n">
        <x:v>600</x:v>
      </x:c>
      <x:c r="H14" s="345" t="n">
        <x:v>600</x:v>
      </x:c>
      <x:c r="I14" s="345" t="n">
        <x:v>600</x:v>
      </x:c>
      <x:c r="J14" s="345" t="n">
        <x:v>600</x:v>
      </x:c>
      <x:c r="K14" s="345" t="n">
        <x:v>600</x:v>
      </x:c>
      <x:c r="L14" s="345" t="n">
        <x:v>600</x:v>
      </x:c>
      <x:c r="M14" s="345" t="n">
        <x:v>600</x:v>
      </x:c>
      <x:c r="N14" s="302" t="n">
        <x:f>SUM(B14:M14)</x:f>
        <x:v>7200</x:v>
      </x:c>
    </x:row>
    <x:row r="15">
      <x:c r="A15" s="301" t="str">
        <x:v>Autres charges</x:v>
      </x:c>
      <x:c r="B15" s="345" t="n">
        <x:v>2000</x:v>
      </x:c>
      <x:c r="C15" s="345" t="n">
        <x:v>2000</x:v>
      </x:c>
      <x:c r="D15" s="345" t="n">
        <x:v>2000</x:v>
      </x:c>
      <x:c r="E15" s="345" t="n">
        <x:v>2000</x:v>
      </x:c>
      <x:c r="F15" s="345" t="n">
        <x:v>2000</x:v>
      </x:c>
      <x:c r="G15" s="345" t="n">
        <x:v>2000</x:v>
      </x:c>
      <x:c r="H15" s="345" t="n">
        <x:v>2000</x:v>
      </x:c>
      <x:c r="I15" s="345" t="n">
        <x:v>2000</x:v>
      </x:c>
      <x:c r="J15" s="345" t="n">
        <x:v>2000</x:v>
      </x:c>
      <x:c r="K15" s="345" t="n">
        <x:v>2000</x:v>
      </x:c>
      <x:c r="L15" s="345" t="n">
        <x:v>2000</x:v>
      </x:c>
      <x:c r="M15" s="345" t="n">
        <x:v>2000</x:v>
      </x:c>
      <x:c r="N15" s="302" t="n">
        <x:f>SUM(B15:M15)</x:f>
        <x:v>24000</x:v>
      </x:c>
    </x:row>
    <x:row r="16">
      <x:c r="A16" s="346" t="str">
        <x:v>TOTAL CHARGES FIXES</x:v>
      </x:c>
      <x:c r="B16" s="347" t="n">
        <x:f>SUM(B6:B15)</x:f>
        <x:v>41160</x:v>
      </x:c>
      <x:c r="C16" s="347" t="n">
        <x:f>SUM(C6:C15)</x:f>
        <x:v>41160</x:v>
      </x:c>
      <x:c r="D16" s="347" t="n">
        <x:f>SUM(D6:D15)</x:f>
        <x:v>41160</x:v>
      </x:c>
      <x:c r="E16" s="347" t="n">
        <x:f>SUM(E6:E15)</x:f>
        <x:v>41160</x:v>
      </x:c>
      <x:c r="F16" s="347" t="n">
        <x:f>SUM(F6:F15)</x:f>
        <x:v>41160</x:v>
      </x:c>
      <x:c r="G16" s="347" t="n">
        <x:f>SUM(G6:G15)</x:f>
        <x:v>41160</x:v>
      </x:c>
      <x:c r="H16" s="347" t="n">
        <x:f>SUM(H6:H15)</x:f>
        <x:v>41160</x:v>
      </x:c>
      <x:c r="I16" s="347" t="n">
        <x:f>SUM(I6:I15)</x:f>
        <x:v>41160</x:v>
      </x:c>
      <x:c r="J16" s="347" t="n">
        <x:f>SUM(J6:J15)</x:f>
        <x:v>41160</x:v>
      </x:c>
      <x:c r="K16" s="347" t="n">
        <x:f>SUM(K6:K15)</x:f>
        <x:v>41160</x:v>
      </x:c>
      <x:c r="L16" s="347" t="n">
        <x:f>SUM(L6:L15)</x:f>
        <x:v>41160</x:v>
      </x:c>
      <x:c r="M16" s="347" t="n">
        <x:f>SUM(M6:M15)</x:f>
        <x:v>41160</x:v>
      </x:c>
      <x:c r="N16" s="347" t="n">
        <x:f>SUM(B16:M16)</x:f>
        <x:v>493920</x:v>
      </x:c>
    </x:row>
    <x:row r="17">
      <x:c r="A17" s="301"/>
      <x:c r="B17" s="301"/>
      <x:c r="C17" s="301"/>
      <x:c r="D17" s="301"/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/>
      <x:c r="B18" s="301"/>
      <x:c r="C18" s="301"/>
      <x:c r="D18" s="301"/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N2"/>
    <x:mergeCell ref="A3:N3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4" hidden="0" customWidth="1"/>
    <x:col min="3" max="3" width="12" hidden="0" customWidth="1"/>
    <x:col min="4" max="4" width="14" hidden="0" customWidth="1"/>
    <x:col min="5" max="5" width="14" hidden="0" customWidth="1"/>
    <x:col min="6" max="6" width="12" hidden="0" customWidth="1"/>
    <x:col min="7" max="7" width="14" hidden="0" customWidth="1"/>
    <x:col min="8" max="8" width="18" hidden="0" customWidth="1"/>
  </x:cols>
  <x:sheetData>
    <x:row r="1" ht="28" customHeight="1">
      <x:c r="A1" s="351" t="str">
        <x:v>PLAN D’INVESTISSEMENT</x:v>
      </x:c>
      <x:c r="B1" s="351"/>
      <x:c r="C1" s="351"/>
      <x:c r="D1" s="351"/>
      <x:c r="E1" s="351"/>
      <x:c r="F1" s="351"/>
      <x:c r="G1" s="351"/>
      <x:c r="H1" s="351"/>
      <x:c r="I1" s="301"/>
      <x:c r="J1" s="301"/>
      <x:c r="K1" s="301"/>
      <x:c r="L1" s="301"/>
      <x:c r="M1" s="301"/>
      <x:c r="N1" s="301"/>
    </x:row>
    <x:row r="2" ht="28" customHeight="1">
      <x:c r="A2" s="351"/>
      <x:c r="B2" s="351"/>
      <x:c r="C2" s="351"/>
      <x:c r="D2" s="351"/>
      <x:c r="E2" s="351"/>
      <x:c r="F2" s="351"/>
      <x:c r="G2" s="351"/>
      <x:c r="H2" s="351"/>
      <x:c r="I2" s="301"/>
      <x:c r="J2" s="301"/>
      <x:c r="K2" s="301"/>
      <x:c r="L2" s="301"/>
      <x:c r="M2" s="301"/>
      <x:c r="N2" s="301"/>
    </x:row>
    <x:row r="3" ht="22" customHeight="1">
      <x:c r="A3" s="352" t="str">
        <x:v>Immobilisations, financement et amortissements automatiques</x:v>
      </x:c>
      <x:c r="B3" s="352"/>
      <x:c r="C3" s="352"/>
      <x:c r="D3" s="352"/>
      <x:c r="E3" s="352"/>
      <x:c r="F3" s="352"/>
      <x:c r="G3" s="352"/>
      <x:c r="H3" s="352"/>
      <x:c r="I3" s="301"/>
      <x:c r="J3" s="301"/>
      <x:c r="K3" s="301"/>
      <x:c r="L3" s="301"/>
      <x:c r="M3" s="301"/>
      <x:c r="N3" s="301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353" t="str">
        <x:v>Investissement</x:v>
      </x:c>
      <x:c r="B5" s="353" t="str">
        <x:v>Montant HT</x:v>
      </x:c>
      <x:c r="C5" s="353" t="str">
        <x:v>TVA</x:v>
      </x:c>
      <x:c r="D5" s="353" t="str">
        <x:v>Montant TTC</x:v>
      </x:c>
      <x:c r="E5" s="353" t="str">
        <x:v>Mois d'acquisition</x:v>
      </x:c>
      <x:c r="F5" s="353" t="str">
        <x:v>Durée (ans)</x:v>
      </x:c>
      <x:c r="G5" s="353" t="str">
        <x:v>Financement</x:v>
      </x:c>
      <x:c r="H5" s="353" t="str">
        <x:v>Amortissement annuel</x:v>
      </x:c>
      <x:c r="I5" s="301"/>
      <x:c r="J5" s="301"/>
      <x:c r="K5" s="301"/>
      <x:c r="L5" s="301"/>
      <x:c r="M5" s="301"/>
      <x:c r="N5" s="301"/>
    </x:row>
    <x:row r="6">
      <x:c r="A6" s="301" t="str">
        <x:v>Matériel informatique</x:v>
      </x:c>
      <x:c r="B6" s="345" t="n">
        <x:v>25000</x:v>
      </x:c>
      <x:c r="C6" s="302" t="n">
        <x:f>B6*'Hypothèses'!$C$21</x:f>
        <x:v>5000</x:v>
      </x:c>
      <x:c r="D6" s="302" t="n">
        <x:f>B6+C6</x:f>
        <x:v>30000</x:v>
      </x:c>
      <x:c r="E6" s="363" t="n">
        <x:v>1</x:v>
      </x:c>
      <x:c r="F6" s="363" t="n">
        <x:v>3</x:v>
      </x:c>
      <x:c r="G6" s="363" t="str">
        <x:v>Apport</x:v>
      </x:c>
      <x:c r="H6" s="302" t="n">
        <x:f>IFERROR(B6/F6,0)</x:f>
        <x:v>8333.333333333334</x:v>
      </x:c>
      <x:c r="I6" s="301"/>
      <x:c r="J6" s="301"/>
      <x:c r="K6" s="301"/>
      <x:c r="L6" s="301"/>
      <x:c r="M6" s="301"/>
      <x:c r="N6" s="301"/>
    </x:row>
    <x:row r="7">
      <x:c r="A7" s="301" t="str">
        <x:v>Machines / équipements</x:v>
      </x:c>
      <x:c r="B7" s="345" t="n">
        <x:v>90000</x:v>
      </x:c>
      <x:c r="C7" s="302" t="n">
        <x:f>B7*'Hypothèses'!$C$21</x:f>
        <x:v>18000</x:v>
      </x:c>
      <x:c r="D7" s="302" t="n">
        <x:f>B7+C7</x:f>
        <x:v>108000</x:v>
      </x:c>
      <x:c r="E7" s="363" t="n">
        <x:v>1</x:v>
      </x:c>
      <x:c r="F7" s="363" t="n">
        <x:v>5</x:v>
      </x:c>
      <x:c r="G7" s="363" t="str">
        <x:v>Emprunt</x:v>
      </x:c>
      <x:c r="H7" s="302" t="n">
        <x:f>IFERROR(B7/F7,0)</x:f>
        <x:v>18000</x:v>
      </x:c>
      <x:c r="I7" s="301"/>
      <x:c r="J7" s="301"/>
      <x:c r="K7" s="301"/>
      <x:c r="L7" s="301"/>
      <x:c r="M7" s="301"/>
      <x:c r="N7" s="301"/>
    </x:row>
    <x:row r="8">
      <x:c r="A8" s="301" t="str">
        <x:v>Mobilier</x:v>
      </x:c>
      <x:c r="B8" s="345" t="n">
        <x:v>15000</x:v>
      </x:c>
      <x:c r="C8" s="302" t="n">
        <x:f>B8*'Hypothèses'!$C$21</x:f>
        <x:v>3000</x:v>
      </x:c>
      <x:c r="D8" s="302" t="n">
        <x:f>B8+C8</x:f>
        <x:v>18000</x:v>
      </x:c>
      <x:c r="E8" s="363" t="n">
        <x:v>2</x:v>
      </x:c>
      <x:c r="F8" s="363" t="n">
        <x:v>5</x:v>
      </x:c>
      <x:c r="G8" s="363" t="str">
        <x:v>Apport</x:v>
      </x:c>
      <x:c r="H8" s="302" t="n">
        <x:f>IFERROR(B8/F8,0)</x:f>
        <x:v>3000</x:v>
      </x:c>
      <x:c r="I8" s="301"/>
      <x:c r="J8" s="301"/>
      <x:c r="K8" s="301"/>
      <x:c r="L8" s="301"/>
      <x:c r="M8" s="301"/>
      <x:c r="N8" s="301"/>
    </x:row>
    <x:row r="9">
      <x:c r="A9" s="301" t="str">
        <x:v>Site internet / logiciels</x:v>
      </x:c>
      <x:c r="B9" s="345" t="n">
        <x:v>20000</x:v>
      </x:c>
      <x:c r="C9" s="302" t="n">
        <x:f>B9*'Hypothèses'!$C$21</x:f>
        <x:v>4000</x:v>
      </x:c>
      <x:c r="D9" s="302" t="n">
        <x:f>B9+C9</x:f>
        <x:v>24000</x:v>
      </x:c>
      <x:c r="E9" s="363" t="n">
        <x:v>1</x:v>
      </x:c>
      <x:c r="F9" s="363" t="n">
        <x:v>3</x:v>
      </x:c>
      <x:c r="G9" s="363" t="str">
        <x:v>Apport</x:v>
      </x:c>
      <x:c r="H9" s="302" t="n">
        <x:f>IFERROR(B9/F9,0)</x:f>
        <x:v>6666.666666666667</x:v>
      </x:c>
      <x:c r="I9" s="301"/>
      <x:c r="J9" s="301"/>
      <x:c r="K9" s="301"/>
      <x:c r="L9" s="301"/>
      <x:c r="M9" s="301"/>
      <x:c r="N9" s="301"/>
    </x:row>
    <x:row r="10">
      <x:c r="A10" s="301" t="str">
        <x:v>Véhicule utilitaire</x:v>
      </x:c>
      <x:c r="B10" s="345" t="n">
        <x:v>40000</x:v>
      </x:c>
      <x:c r="C10" s="302" t="n">
        <x:f>B10*'Hypothèses'!$C$21</x:f>
        <x:v>8000</x:v>
      </x:c>
      <x:c r="D10" s="302" t="n">
        <x:f>B10+C10</x:f>
        <x:v>48000</x:v>
      </x:c>
      <x:c r="E10" s="363" t="n">
        <x:v>3</x:v>
      </x:c>
      <x:c r="F10" s="363" t="n">
        <x:v>5</x:v>
      </x:c>
      <x:c r="G10" s="363" t="str">
        <x:v>Emprunt</x:v>
      </x:c>
      <x:c r="H10" s="302" t="n">
        <x:f>IFERROR(B10/F10,0)</x:f>
        <x:v>8000</x:v>
      </x:c>
      <x:c r="I10" s="301"/>
      <x:c r="J10" s="301"/>
      <x:c r="K10" s="301"/>
      <x:c r="L10" s="301"/>
      <x:c r="M10" s="301"/>
      <x:c r="N10" s="301"/>
    </x:row>
    <x:row r="11">
      <x:c r="A11" s="364" t="str">
        <x:v>TOTAL</x:v>
      </x:c>
      <x:c r="B11" s="365" t="n">
        <x:f>SUM(B6:B10)</x:f>
        <x:v>190000</x:v>
      </x:c>
      <x:c r="C11" s="365" t="n">
        <x:f>SUM(C6:C10)</x:f>
        <x:v>38000</x:v>
      </x:c>
      <x:c r="D11" s="365" t="n">
        <x:f>SUM(D6:D10)</x:f>
        <x:v>228000</x:v>
      </x:c>
      <x:c r="E11" s="364"/>
      <x:c r="F11" s="364"/>
      <x:c r="G11" s="364"/>
      <x:c r="H11" s="365" t="n">
        <x:f>SUM(H6:H10)</x:f>
        <x:v>44000</x:v>
      </x:c>
      <x:c r="I11" s="301"/>
      <x:c r="J11" s="301"/>
      <x:c r="K11" s="301"/>
      <x:c r="L11" s="301"/>
      <x:c r="M11" s="301"/>
      <x:c r="N11" s="301"/>
    </x:row>
    <x:row r="12">
      <x:c r="A12" s="301"/>
      <x:c r="B12" s="301"/>
      <x:c r="C12" s="301"/>
      <x:c r="D12" s="301"/>
      <x:c r="E12" s="301"/>
      <x:c r="F12" s="301"/>
      <x:c r="G12" s="301"/>
      <x:c r="H12" s="301"/>
      <x:c r="I12" s="301"/>
      <x:c r="J12" s="301"/>
      <x:c r="K12" s="301"/>
      <x:c r="L12" s="301"/>
      <x:c r="M12" s="301"/>
      <x:c r="N12" s="301"/>
    </x:row>
    <x:row r="13">
      <x:c r="A13" s="301"/>
      <x:c r="B13" s="301"/>
      <x:c r="C13" s="301"/>
      <x:c r="D13" s="301"/>
      <x:c r="E13" s="301"/>
      <x:c r="F13" s="301"/>
      <x:c r="G13" s="301"/>
      <x:c r="H13" s="301"/>
      <x:c r="I13" s="301"/>
      <x:c r="J13" s="301"/>
      <x:c r="K13" s="301"/>
      <x:c r="L13" s="301"/>
      <x:c r="M13" s="301"/>
      <x:c r="N13" s="301"/>
    </x:row>
    <x:row r="14">
      <x:c r="A14" s="301"/>
      <x:c r="B14" s="301"/>
      <x:c r="C14" s="301"/>
      <x:c r="D14" s="301"/>
      <x:c r="E14" s="301"/>
      <x:c r="F14" s="301"/>
      <x:c r="G14" s="301"/>
      <x:c r="H14" s="301"/>
      <x:c r="I14" s="301"/>
      <x:c r="J14" s="301"/>
      <x:c r="K14" s="301"/>
      <x:c r="L14" s="301"/>
      <x:c r="M14" s="301"/>
      <x:c r="N14" s="301"/>
    </x:row>
    <x:row r="15">
      <x:c r="A15" s="301"/>
      <x:c r="B15" s="301"/>
      <x:c r="C15" s="301"/>
      <x:c r="D15" s="301"/>
      <x:c r="E15" s="301"/>
      <x:c r="F15" s="301"/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/>
      <x:c r="B16" s="301"/>
      <x:c r="C16" s="301"/>
      <x:c r="D16" s="301"/>
      <x:c r="E16" s="301"/>
      <x:c r="F16" s="301"/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/>
      <x:c r="B17" s="301"/>
      <x:c r="C17" s="301"/>
      <x:c r="D17" s="301"/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/>
      <x:c r="B18" s="301"/>
      <x:c r="C18" s="301"/>
      <x:c r="D18" s="301"/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H2"/>
    <x:mergeCell ref="A3:H3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16" hidden="0" customWidth="1"/>
    <x:col min="3" max="3" width="15" hidden="0" customWidth="1"/>
    <x:col min="4" max="4" width="14" hidden="0" customWidth="1"/>
    <x:col min="5" max="5" width="17" hidden="0" customWidth="1"/>
    <x:col min="6" max="6" width="18" hidden="0" customWidth="1"/>
  </x:cols>
  <x:sheetData>
    <x:row r="1" ht="28" customHeight="1">
      <x:c r="A1" s="369" t="str">
        <x:v>ÉCHÉANCIER D’EMPRUNT</x:v>
      </x:c>
      <x:c r="B1" s="369"/>
      <x:c r="C1" s="369"/>
      <x:c r="D1" s="369"/>
      <x:c r="E1" s="369"/>
      <x:c r="F1" s="369"/>
      <x:c r="G1" s="301"/>
      <x:c r="H1" s="301"/>
      <x:c r="I1" s="301"/>
      <x:c r="J1" s="301"/>
      <x:c r="K1" s="301"/>
      <x:c r="L1" s="301"/>
      <x:c r="M1" s="301"/>
      <x:c r="N1" s="301"/>
    </x:row>
    <x:row r="2" ht="28" customHeight="1">
      <x:c r="A2" s="369"/>
      <x:c r="B2" s="369"/>
      <x:c r="C2" s="369"/>
      <x:c r="D2" s="369"/>
      <x:c r="E2" s="369"/>
      <x:c r="F2" s="369"/>
      <x:c r="G2" s="301"/>
      <x:c r="H2" s="301"/>
      <x:c r="I2" s="301"/>
      <x:c r="J2" s="301"/>
      <x:c r="K2" s="301"/>
      <x:c r="L2" s="301"/>
      <x:c r="M2" s="301"/>
      <x:c r="N2" s="301"/>
    </x:row>
    <x:row r="3" ht="22" customHeight="1">
      <x:c r="A3" s="370" t="str">
        <x:v>Mensualité, intérêts, capital remboursé et solde restant dû</x:v>
      </x:c>
      <x:c r="B3" s="370"/>
      <x:c r="C3" s="370"/>
      <x:c r="D3" s="370"/>
      <x:c r="E3" s="370"/>
      <x:c r="F3" s="370"/>
      <x:c r="G3" s="301"/>
      <x:c r="H3" s="301"/>
      <x:c r="I3" s="301"/>
      <x:c r="J3" s="301"/>
      <x:c r="K3" s="301"/>
      <x:c r="L3" s="301"/>
      <x:c r="M3" s="301"/>
      <x:c r="N3" s="301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371" t="str">
        <x:v>Mois</x:v>
      </x:c>
      <x:c r="B5" s="371" t="str">
        <x:v>Capital initial</x:v>
      </x:c>
      <x:c r="C5" s="371" t="str">
        <x:v>Mensualité</x:v>
      </x:c>
      <x:c r="D5" s="371" t="str">
        <x:v>Intérêts</x:v>
      </x:c>
      <x:c r="E5" s="371" t="str">
        <x:v>Capital remboursé</x:v>
      </x:c>
      <x:c r="F5" s="371" t="str">
        <x:v>Capital restant dû</x:v>
      </x:c>
      <x:c r="G5" s="301"/>
      <x:c r="H5" s="301"/>
      <x:c r="I5" s="301"/>
      <x:c r="J5" s="301"/>
      <x:c r="K5" s="301"/>
      <x:c r="L5" s="301"/>
      <x:c r="M5" s="301"/>
      <x:c r="N5" s="301"/>
    </x:row>
    <x:row r="6">
      <x:c r="A6" s="301" t="n">
        <x:v>1</x:v>
      </x:c>
      <x:c r="B6" s="302" t="n">
        <x:f>'Hypothèses'!$C$18</x:f>
        <x:v>150000</x:v>
      </x:c>
      <x:c r="C6" s="302" t="n">
        <x:f>-PMT('Hypothèses'!$C$19/12,'Hypothèses'!$C$20,'Hypothèses'!$C$18)</x:f>
        <x:v>2796.4528862274974</x:v>
      </x:c>
      <x:c r="D6" s="302" t="n">
        <x:f>B6*'Hypothèses'!$C$19/12</x:f>
        <x:v>562.5</x:v>
      </x:c>
      <x:c r="E6" s="302" t="n">
        <x:f>C6-D6</x:f>
        <x:v>2233.9528862274974</x:v>
      </x:c>
      <x:c r="F6" s="302" t="n">
        <x:f>MAX(0,B6-E6)</x:f>
        <x:v>147766.0471137725</x:v>
      </x:c>
      <x:c r="G6" s="301"/>
      <x:c r="H6" s="301"/>
      <x:c r="I6" s="301"/>
      <x:c r="J6" s="301"/>
      <x:c r="K6" s="301"/>
      <x:c r="L6" s="301"/>
      <x:c r="M6" s="301"/>
      <x:c r="N6" s="301"/>
    </x:row>
    <x:row r="7">
      <x:c r="A7" s="301" t="n">
        <x:v>2</x:v>
      </x:c>
      <x:c r="B7" s="302" t="n">
        <x:f>F6</x:f>
        <x:v>147766.0471137725</x:v>
      </x:c>
      <x:c r="C7" s="302" t="n">
        <x:f>-PMT('Hypothèses'!$C$19/12,'Hypothèses'!$C$20,'Hypothèses'!$C$18)</x:f>
        <x:v>2796.4528862274974</x:v>
      </x:c>
      <x:c r="D7" s="302" t="n">
        <x:f>B7*'Hypothèses'!$C$19/12</x:f>
        <x:v>554.1226766766468</x:v>
      </x:c>
      <x:c r="E7" s="302" t="n">
        <x:f>C7-D7</x:f>
        <x:v>2242.3302095508507</x:v>
      </x:c>
      <x:c r="F7" s="302" t="n">
        <x:f>MAX(0,B7-E7)</x:f>
        <x:v>145523.71690422166</x:v>
      </x:c>
      <x:c r="G7" s="301"/>
      <x:c r="H7" s="301"/>
      <x:c r="I7" s="301"/>
      <x:c r="J7" s="301"/>
      <x:c r="K7" s="301"/>
      <x:c r="L7" s="301"/>
      <x:c r="M7" s="301"/>
      <x:c r="N7" s="301"/>
    </x:row>
    <x:row r="8">
      <x:c r="A8" s="301" t="n">
        <x:v>3</x:v>
      </x:c>
      <x:c r="B8" s="302" t="n">
        <x:f>F7</x:f>
        <x:v>145523.71690422166</x:v>
      </x:c>
      <x:c r="C8" s="302" t="n">
        <x:f>-PMT('Hypothèses'!$C$19/12,'Hypothèses'!$C$20,'Hypothèses'!$C$18)</x:f>
        <x:v>2796.4528862274974</x:v>
      </x:c>
      <x:c r="D8" s="302" t="n">
        <x:f>B8*'Hypothèses'!$C$19/12</x:f>
        <x:v>545.7139383908312</x:v>
      </x:c>
      <x:c r="E8" s="302" t="n">
        <x:f>C8-D8</x:f>
        <x:v>2250.7389478366663</x:v>
      </x:c>
      <x:c r="F8" s="302" t="n">
        <x:f>MAX(0,B8-E8)</x:f>
        <x:v>143272.977956385</x:v>
      </x:c>
      <x:c r="G8" s="301"/>
      <x:c r="H8" s="301"/>
      <x:c r="I8" s="301"/>
      <x:c r="J8" s="301"/>
      <x:c r="K8" s="301"/>
      <x:c r="L8" s="301"/>
      <x:c r="M8" s="301"/>
      <x:c r="N8" s="301"/>
    </x:row>
    <x:row r="9">
      <x:c r="A9" s="301" t="n">
        <x:v>4</x:v>
      </x:c>
      <x:c r="B9" s="302" t="n">
        <x:f>F8</x:f>
        <x:v>143272.977956385</x:v>
      </x:c>
      <x:c r="C9" s="302" t="n">
        <x:f>-PMT('Hypothèses'!$C$19/12,'Hypothèses'!$C$20,'Hypothèses'!$C$18)</x:f>
        <x:v>2796.4528862274974</x:v>
      </x:c>
      <x:c r="D9" s="302" t="n">
        <x:f>B9*'Hypothèses'!$C$19/12</x:f>
        <x:v>537.2736673364437</x:v>
      </x:c>
      <x:c r="E9" s="302" t="n">
        <x:f>C9-D9</x:f>
        <x:v>2259.1792188910536</x:v>
      </x:c>
      <x:c r="F9" s="302" t="n">
        <x:f>MAX(0,B9-E9)</x:f>
        <x:v>141013.79873749395</x:v>
      </x:c>
      <x:c r="G9" s="301"/>
      <x:c r="H9" s="301"/>
      <x:c r="I9" s="301"/>
      <x:c r="J9" s="301"/>
      <x:c r="K9" s="301"/>
      <x:c r="L9" s="301"/>
      <x:c r="M9" s="301"/>
      <x:c r="N9" s="301"/>
    </x:row>
    <x:row r="10">
      <x:c r="A10" s="301" t="n">
        <x:v>5</x:v>
      </x:c>
      <x:c r="B10" s="302" t="n">
        <x:f>F9</x:f>
        <x:v>141013.79873749395</x:v>
      </x:c>
      <x:c r="C10" s="302" t="n">
        <x:f>-PMT('Hypothèses'!$C$19/12,'Hypothèses'!$C$20,'Hypothèses'!$C$18)</x:f>
        <x:v>2796.4528862274974</x:v>
      </x:c>
      <x:c r="D10" s="302" t="n">
        <x:f>B10*'Hypothèses'!$C$19/12</x:f>
        <x:v>528.8017452656023</x:v>
      </x:c>
      <x:c r="E10" s="302" t="n">
        <x:f>C10-D10</x:f>
        <x:v>2267.651140961895</x:v>
      </x:c>
      <x:c r="F10" s="302" t="n">
        <x:f>MAX(0,B10-E10)</x:f>
        <x:v>138746.14759653207</x:v>
      </x:c>
      <x:c r="G10" s="301"/>
      <x:c r="H10" s="301"/>
      <x:c r="I10" s="301"/>
      <x:c r="J10" s="301"/>
      <x:c r="K10" s="301"/>
      <x:c r="L10" s="301"/>
      <x:c r="M10" s="301"/>
      <x:c r="N10" s="301"/>
    </x:row>
    <x:row r="11">
      <x:c r="A11" s="301" t="n">
        <x:v>6</x:v>
      </x:c>
      <x:c r="B11" s="302" t="n">
        <x:f>F10</x:f>
        <x:v>138746.14759653207</x:v>
      </x:c>
      <x:c r="C11" s="302" t="n">
        <x:f>-PMT('Hypothèses'!$C$19/12,'Hypothèses'!$C$20,'Hypothèses'!$C$18)</x:f>
        <x:v>2796.4528862274974</x:v>
      </x:c>
      <x:c r="D11" s="302" t="n">
        <x:f>B11*'Hypothèses'!$C$19/12</x:f>
        <x:v>520.2980534869953</x:v>
      </x:c>
      <x:c r="E11" s="302" t="n">
        <x:f>C11-D11</x:f>
        <x:v>2276.154832740502</x:v>
      </x:c>
      <x:c r="F11" s="302" t="n">
        <x:f>MAX(0,B11-E11)</x:f>
        <x:v>136469.99276379158</x:v>
      </x:c>
      <x:c r="G11" s="301"/>
      <x:c r="H11" s="301"/>
      <x:c r="I11" s="301"/>
      <x:c r="J11" s="301"/>
      <x:c r="K11" s="301"/>
      <x:c r="L11" s="301"/>
      <x:c r="M11" s="301"/>
      <x:c r="N11" s="301"/>
    </x:row>
    <x:row r="12">
      <x:c r="A12" s="301" t="n">
        <x:v>7</x:v>
      </x:c>
      <x:c r="B12" s="302" t="n">
        <x:f>F11</x:f>
        <x:v>136469.99276379158</x:v>
      </x:c>
      <x:c r="C12" s="302" t="n">
        <x:f>-PMT('Hypothèses'!$C$19/12,'Hypothèses'!$C$20,'Hypothèses'!$C$18)</x:f>
        <x:v>2796.4528862274974</x:v>
      </x:c>
      <x:c r="D12" s="302" t="n">
        <x:f>B12*'Hypothèses'!$C$19/12</x:f>
        <x:v>511.7624728642184</x:v>
      </x:c>
      <x:c r="E12" s="302" t="n">
        <x:f>C12-D12</x:f>
        <x:v>2284.690413363279</x:v>
      </x:c>
      <x:c r="F12" s="302" t="n">
        <x:f>MAX(0,B12-E12)</x:f>
        <x:v>134185.3023504283</x:v>
      </x:c>
      <x:c r="G12" s="301"/>
      <x:c r="H12" s="301"/>
      <x:c r="I12" s="301"/>
      <x:c r="J12" s="301"/>
      <x:c r="K12" s="301"/>
      <x:c r="L12" s="301"/>
      <x:c r="M12" s="301"/>
      <x:c r="N12" s="301"/>
    </x:row>
    <x:row r="13">
      <x:c r="A13" s="301" t="n">
        <x:v>8</x:v>
      </x:c>
      <x:c r="B13" s="302" t="n">
        <x:f>F12</x:f>
        <x:v>134185.3023504283</x:v>
      </x:c>
      <x:c r="C13" s="302" t="n">
        <x:f>-PMT('Hypothèses'!$C$19/12,'Hypothèses'!$C$20,'Hypothèses'!$C$18)</x:f>
        <x:v>2796.4528862274974</x:v>
      </x:c>
      <x:c r="D13" s="302" t="n">
        <x:f>B13*'Hypothèses'!$C$19/12</x:f>
        <x:v>503.1948838141061</x:v>
      </x:c>
      <x:c r="E13" s="302" t="n">
        <x:f>C13-D13</x:f>
        <x:v>2293.2580024133913</x:v>
      </x:c>
      <x:c r="F13" s="302" t="n">
        <x:f>MAX(0,B13-E13)</x:f>
        <x:v>131892.04434801493</x:v>
      </x:c>
      <x:c r="G13" s="301"/>
      <x:c r="H13" s="301"/>
      <x:c r="I13" s="301"/>
      <x:c r="J13" s="301"/>
      <x:c r="K13" s="301"/>
      <x:c r="L13" s="301"/>
      <x:c r="M13" s="301"/>
      <x:c r="N13" s="301"/>
    </x:row>
    <x:row r="14">
      <x:c r="A14" s="301" t="n">
        <x:v>9</x:v>
      </x:c>
      <x:c r="B14" s="302" t="n">
        <x:f>F13</x:f>
        <x:v>131892.04434801493</x:v>
      </x:c>
      <x:c r="C14" s="302" t="n">
        <x:f>-PMT('Hypothèses'!$C$19/12,'Hypothèses'!$C$20,'Hypothèses'!$C$18)</x:f>
        <x:v>2796.4528862274974</x:v>
      </x:c>
      <x:c r="D14" s="302" t="n">
        <x:f>B14*'Hypothèses'!$C$19/12</x:f>
        <x:v>494.59516630505595</x:v>
      </x:c>
      <x:c r="E14" s="302" t="n">
        <x:f>C14-D14</x:f>
        <x:v>2301.8577199224414</x:v>
      </x:c>
      <x:c r="F14" s="302" t="n">
        <x:f>MAX(0,B14-E14)</x:f>
        <x:v>129590.18662809249</x:v>
      </x:c>
      <x:c r="G14" s="301"/>
      <x:c r="H14" s="301"/>
      <x:c r="I14" s="301"/>
      <x:c r="J14" s="301"/>
      <x:c r="K14" s="301"/>
      <x:c r="L14" s="301"/>
      <x:c r="M14" s="301"/>
      <x:c r="N14" s="301"/>
    </x:row>
    <x:row r="15">
      <x:c r="A15" s="301" t="n">
        <x:v>10</x:v>
      </x:c>
      <x:c r="B15" s="302" t="n">
        <x:f>F14</x:f>
        <x:v>129590.18662809249</x:v>
      </x:c>
      <x:c r="C15" s="302" t="n">
        <x:f>-PMT('Hypothèses'!$C$19/12,'Hypothèses'!$C$20,'Hypothèses'!$C$18)</x:f>
        <x:v>2796.4528862274974</x:v>
      </x:c>
      <x:c r="D15" s="302" t="n">
        <x:f>B15*'Hypothèses'!$C$19/12</x:f>
        <x:v>485.96319985534683</x:v>
      </x:c>
      <x:c r="E15" s="302" t="n">
        <x:f>C15-D15</x:f>
        <x:v>2310.4896863721506</x:v>
      </x:c>
      <x:c r="F15" s="302" t="n">
        <x:f>MAX(0,B15-E15)</x:f>
        <x:v>127279.69694172034</x:v>
      </x:c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 t="n">
        <x:v>11</x:v>
      </x:c>
      <x:c r="B16" s="302" t="n">
        <x:f>F15</x:f>
        <x:v>127279.69694172034</x:v>
      </x:c>
      <x:c r="C16" s="302" t="n">
        <x:f>-PMT('Hypothèses'!$C$19/12,'Hypothèses'!$C$20,'Hypothèses'!$C$18)</x:f>
        <x:v>2796.4528862274974</x:v>
      </x:c>
      <x:c r="D16" s="302" t="n">
        <x:f>B16*'Hypothèses'!$C$19/12</x:f>
        <x:v>477.2988635314512</x:v>
      </x:c>
      <x:c r="E16" s="302" t="n">
        <x:f>C16-D16</x:f>
        <x:v>2319.154022696046</x:v>
      </x:c>
      <x:c r="F16" s="302" t="n">
        <x:f>MAX(0,B16-E16)</x:f>
        <x:v>124960.54291902429</x:v>
      </x:c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 t="n">
        <x:v>12</x:v>
      </x:c>
      <x:c r="B17" s="302" t="n">
        <x:f>F16</x:f>
        <x:v>124960.54291902429</x:v>
      </x:c>
      <x:c r="C17" s="302" t="n">
        <x:f>-PMT('Hypothèses'!$C$19/12,'Hypothèses'!$C$20,'Hypothèses'!$C$18)</x:f>
        <x:v>2796.4528862274974</x:v>
      </x:c>
      <x:c r="D17" s="302" t="n">
        <x:f>B17*'Hypothèses'!$C$19/12</x:f>
        <x:v>468.602035946341</x:v>
      </x:c>
      <x:c r="E17" s="302" t="n">
        <x:f>C17-D17</x:f>
        <x:v>2327.8508502811565</x:v>
      </x:c>
      <x:c r="F17" s="302" t="n">
        <x:f>MAX(0,B17-E17)</x:f>
        <x:v>122632.69206874313</x:v>
      </x:c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 t="n">
        <x:v>13</x:v>
      </x:c>
      <x:c r="B18" s="302" t="n">
        <x:f>F17</x:f>
        <x:v>122632.69206874313</x:v>
      </x:c>
      <x:c r="C18" s="302" t="n">
        <x:f>-PMT('Hypothèses'!$C$19/12,'Hypothèses'!$C$20,'Hypothèses'!$C$18)</x:f>
        <x:v>2796.4528862274974</x:v>
      </x:c>
      <x:c r="D18" s="302" t="n">
        <x:f>B18*'Hypothèses'!$C$19/12</x:f>
        <x:v>459.8725952577867</x:v>
      </x:c>
      <x:c r="E18" s="302" t="n">
        <x:f>C18-D18</x:f>
        <x:v>2336.580290969711</x:v>
      </x:c>
      <x:c r="F18" s="302" t="n">
        <x:f>MAX(0,B18-E18)</x:f>
        <x:v>120296.11177777342</x:v>
      </x:c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 t="n">
        <x:v>14</x:v>
      </x:c>
      <x:c r="B19" s="302" t="n">
        <x:f>F18</x:f>
        <x:v>120296.11177777342</x:v>
      </x:c>
      <x:c r="C19" s="302" t="n">
        <x:f>-PMT('Hypothèses'!$C$19/12,'Hypothèses'!$C$20,'Hypothèses'!$C$18)</x:f>
        <x:v>2796.4528862274974</x:v>
      </x:c>
      <x:c r="D19" s="302" t="n">
        <x:f>B19*'Hypothèses'!$C$19/12</x:f>
        <x:v>451.1104191666503</x:v>
      </x:c>
      <x:c r="E19" s="302" t="n">
        <x:f>C19-D19</x:f>
        <x:v>2345.342467060847</x:v>
      </x:c>
      <x:c r="F19" s="302" t="n">
        <x:f>MAX(0,B19-E19)</x:f>
        <x:v>117950.76931071257</x:v>
      </x:c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 t="n">
        <x:v>15</x:v>
      </x:c>
      <x:c r="B20" s="302" t="n">
        <x:f>F19</x:f>
        <x:v>117950.76931071257</x:v>
      </x:c>
      <x:c r="C20" s="302" t="n">
        <x:f>-PMT('Hypothèses'!$C$19/12,'Hypothèses'!$C$20,'Hypothèses'!$C$18)</x:f>
        <x:v>2796.4528862274974</x:v>
      </x:c>
      <x:c r="D20" s="302" t="n">
        <x:f>B20*'Hypothèses'!$C$19/12</x:f>
        <x:v>442.31538491517216</x:v>
      </x:c>
      <x:c r="E20" s="302" t="n">
        <x:f>C20-D20</x:f>
        <x:v>2354.137501312325</x:v>
      </x:c>
      <x:c r="F20" s="302" t="n">
        <x:f>MAX(0,B20-E20)</x:f>
        <x:v>115596.63180940025</x:v>
      </x:c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 t="n">
        <x:v>16</x:v>
      </x:c>
      <x:c r="B21" s="302" t="n">
        <x:f>F20</x:f>
        <x:v>115596.63180940025</x:v>
      </x:c>
      <x:c r="C21" s="302" t="n">
        <x:f>-PMT('Hypothèses'!$C$19/12,'Hypothèses'!$C$20,'Hypothèses'!$C$18)</x:f>
        <x:v>2796.4528862274974</x:v>
      </x:c>
      <x:c r="D21" s="302" t="n">
        <x:f>B21*'Hypothèses'!$C$19/12</x:f>
        <x:v>433.4873692852509</x:v>
      </x:c>
      <x:c r="E21" s="302" t="n">
        <x:f>C21-D21</x:f>
        <x:v>2362.9655169422467</x:v>
      </x:c>
      <x:c r="F21" s="302" t="n">
        <x:f>MAX(0,B21-E21)</x:f>
        <x:v>113233.666292458</x:v>
      </x:c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 t="n">
        <x:v>17</x:v>
      </x:c>
      <x:c r="B22" s="302" t="n">
        <x:f>F21</x:f>
        <x:v>113233.666292458</x:v>
      </x:c>
      <x:c r="C22" s="302" t="n">
        <x:f>-PMT('Hypothèses'!$C$19/12,'Hypothèses'!$C$20,'Hypothèses'!$C$18)</x:f>
        <x:v>2796.4528862274974</x:v>
      </x:c>
      <x:c r="D22" s="302" t="n">
        <x:f>B22*'Hypothèses'!$C$19/12</x:f>
        <x:v>424.62624859671746</x:v>
      </x:c>
      <x:c r="E22" s="302" t="n">
        <x:f>C22-D22</x:f>
        <x:v>2371.82663763078</x:v>
      </x:c>
      <x:c r="F22" s="302" t="n">
        <x:f>MAX(0,B22-E22)</x:f>
        <x:v>110861.83965482723</x:v>
      </x:c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 t="n">
        <x:v>18</x:v>
      </x:c>
      <x:c r="B23" s="302" t="n">
        <x:f>F22</x:f>
        <x:v>110861.83965482723</x:v>
      </x:c>
      <x:c r="C23" s="302" t="n">
        <x:f>-PMT('Hypothèses'!$C$19/12,'Hypothèses'!$C$20,'Hypothèses'!$C$18)</x:f>
        <x:v>2796.4528862274974</x:v>
      </x:c>
      <x:c r="D23" s="302" t="n">
        <x:f>B23*'Hypothèses'!$C$19/12</x:f>
        <x:v>415.7318987056021</x:v>
      </x:c>
      <x:c r="E23" s="302" t="n">
        <x:f>C23-D23</x:f>
        <x:v>2380.7209875218955</x:v>
      </x:c>
      <x:c r="F23" s="302" t="n">
        <x:f>MAX(0,B23-E23)</x:f>
        <x:v>108481.11866730533</x:v>
      </x:c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 t="n">
        <x:v>19</x:v>
      </x:c>
      <x:c r="B24" s="302" t="n">
        <x:f>F23</x:f>
        <x:v>108481.11866730533</x:v>
      </x:c>
      <x:c r="C24" s="302" t="n">
        <x:f>-PMT('Hypothèses'!$C$19/12,'Hypothèses'!$C$20,'Hypothèses'!$C$18)</x:f>
        <x:v>2796.4528862274974</x:v>
      </x:c>
      <x:c r="D24" s="302" t="n">
        <x:f>B24*'Hypothèses'!$C$19/12</x:f>
        <x:v>406.8041950023949</x:v>
      </x:c>
      <x:c r="E24" s="302" t="n">
        <x:f>C24-D24</x:f>
        <x:v>2389.6486912251025</x:v>
      </x:c>
      <x:c r="F24" s="302" t="n">
        <x:f>MAX(0,B24-E24)</x:f>
        <x:v>106091.46997608023</x:v>
      </x:c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 t="n">
        <x:v>20</x:v>
      </x:c>
      <x:c r="B25" s="302" t="n">
        <x:f>F24</x:f>
        <x:v>106091.46997608023</x:v>
      </x:c>
      <x:c r="C25" s="302" t="n">
        <x:f>-PMT('Hypothèses'!$C$19/12,'Hypothèses'!$C$20,'Hypothèses'!$C$18)</x:f>
        <x:v>2796.4528862274974</x:v>
      </x:c>
      <x:c r="D25" s="302" t="n">
        <x:f>B25*'Hypothèses'!$C$19/12</x:f>
        <x:v>397.84301241030084</x:v>
      </x:c>
      <x:c r="E25" s="302" t="n">
        <x:f>C25-D25</x:f>
        <x:v>2398.609873817197</x:v>
      </x:c>
      <x:c r="F25" s="302" t="n">
        <x:f>MAX(0,B25-E25)</x:f>
        <x:v>103692.86010226303</x:v>
      </x:c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 t="n">
        <x:v>21</x:v>
      </x:c>
      <x:c r="B26" s="302" t="n">
        <x:f>F25</x:f>
        <x:v>103692.86010226303</x:v>
      </x:c>
      <x:c r="C26" s="302" t="n">
        <x:f>-PMT('Hypothèses'!$C$19/12,'Hypothèses'!$C$20,'Hypothèses'!$C$18)</x:f>
        <x:v>2796.4528862274974</x:v>
      </x:c>
      <x:c r="D26" s="302" t="n">
        <x:f>B26*'Hypothèses'!$C$19/12</x:f>
        <x:v>388.84822538348635</x:v>
      </x:c>
      <x:c r="E26" s="302" t="n">
        <x:f>C26-D26</x:f>
        <x:v>2407.604660844011</x:v>
      </x:c>
      <x:c r="F26" s="302" t="n">
        <x:f>MAX(0,B26-E26)</x:f>
        <x:v>101285.25544141902</x:v>
      </x:c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 t="n">
        <x:v>22</x:v>
      </x:c>
      <x:c r="B27" s="302" t="n">
        <x:f>F26</x:f>
        <x:v>101285.25544141902</x:v>
      </x:c>
      <x:c r="C27" s="302" t="n">
        <x:f>-PMT('Hypothèses'!$C$19/12,'Hypothèses'!$C$20,'Hypothèses'!$C$18)</x:f>
        <x:v>2796.4528862274974</x:v>
      </x:c>
      <x:c r="D27" s="302" t="n">
        <x:f>B27*'Hypothèses'!$C$19/12</x:f>
        <x:v>379.8197079053213</x:v>
      </x:c>
      <x:c r="E27" s="302" t="n">
        <x:f>C27-D27</x:f>
        <x:v>2416.6331783221763</x:v>
      </x:c>
      <x:c r="F27" s="302" t="n">
        <x:f>MAX(0,B27-E27)</x:f>
        <x:v>98868.62226309684</x:v>
      </x:c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 t="n">
        <x:v>23</x:v>
      </x:c>
      <x:c r="B28" s="302" t="n">
        <x:f>F27</x:f>
        <x:v>98868.62226309684</x:v>
      </x:c>
      <x:c r="C28" s="302" t="n">
        <x:f>-PMT('Hypothèses'!$C$19/12,'Hypothèses'!$C$20,'Hypothèses'!$C$18)</x:f>
        <x:v>2796.4528862274974</x:v>
      </x:c>
      <x:c r="D28" s="302" t="n">
        <x:f>B28*'Hypothèses'!$C$19/12</x:f>
        <x:v>370.7573334866131</x:v>
      </x:c>
      <x:c r="E28" s="302" t="n">
        <x:f>C28-D28</x:f>
        <x:v>2425.6955527408845</x:v>
      </x:c>
      <x:c r="F28" s="302" t="n">
        <x:f>MAX(0,B28-E28)</x:f>
        <x:v>96442.92671035595</x:v>
      </x:c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 t="n">
        <x:v>24</x:v>
      </x:c>
      <x:c r="B29" s="302" t="n">
        <x:f>F28</x:f>
        <x:v>96442.92671035595</x:v>
      </x:c>
      <x:c r="C29" s="302" t="n">
        <x:f>-PMT('Hypothèses'!$C$19/12,'Hypothèses'!$C$20,'Hypothèses'!$C$18)</x:f>
        <x:v>2796.4528862274974</x:v>
      </x:c>
      <x:c r="D29" s="302" t="n">
        <x:f>B29*'Hypothèses'!$C$19/12</x:f>
        <x:v>361.6609751638348</x:v>
      </x:c>
      <x:c r="E29" s="302" t="n">
        <x:f>C29-D29</x:f>
        <x:v>2434.7919110636626</x:v>
      </x:c>
      <x:c r="F29" s="302" t="n">
        <x:f>MAX(0,B29-E29)</x:f>
        <x:v>94008.1347992923</x:v>
      </x:c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 t="n">
        <x:v>25</x:v>
      </x:c>
      <x:c r="B30" s="302" t="n">
        <x:f>F29</x:f>
        <x:v>94008.1347992923</x:v>
      </x:c>
      <x:c r="C30" s="302" t="n">
        <x:f>-PMT('Hypothèses'!$C$19/12,'Hypothèses'!$C$20,'Hypothèses'!$C$18)</x:f>
        <x:v>2796.4528862274974</x:v>
      </x:c>
      <x:c r="D30" s="302" t="n">
        <x:f>B30*'Hypothèses'!$C$19/12</x:f>
        <x:v>352.53050549734616</x:v>
      </x:c>
      <x:c r="E30" s="302" t="n">
        <x:f>C30-D30</x:f>
        <x:v>2443.9223807301514</x:v>
      </x:c>
      <x:c r="F30" s="302" t="n">
        <x:f>MAX(0,B30-E30)</x:f>
        <x:v>91564.21241856215</x:v>
      </x:c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 t="n">
        <x:v>26</x:v>
      </x:c>
      <x:c r="B31" s="302" t="n">
        <x:f>F30</x:f>
        <x:v>91564.21241856215</x:v>
      </x:c>
      <x:c r="C31" s="302" t="n">
        <x:f>-PMT('Hypothèses'!$C$19/12,'Hypothèses'!$C$20,'Hypothèses'!$C$18)</x:f>
        <x:v>2796.4528862274974</x:v>
      </x:c>
      <x:c r="D31" s="302" t="n">
        <x:f>B31*'Hypothèses'!$C$19/12</x:f>
        <x:v>343.3657965696081</x:v>
      </x:c>
      <x:c r="E31" s="302" t="n">
        <x:f>C31-D31</x:f>
        <x:v>2453.0870896578895</x:v>
      </x:c>
      <x:c r="F31" s="302" t="n">
        <x:f>MAX(0,B31-E31)</x:f>
        <x:v>89111.12532890427</x:v>
      </x:c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 t="n">
        <x:v>27</x:v>
      </x:c>
      <x:c r="B32" s="302" t="n">
        <x:f>F31</x:f>
        <x:v>89111.12532890427</x:v>
      </x:c>
      <x:c r="C32" s="302" t="n">
        <x:f>-PMT('Hypothèses'!$C$19/12,'Hypothèses'!$C$20,'Hypothèses'!$C$18)</x:f>
        <x:v>2796.4528862274974</x:v>
      </x:c>
      <x:c r="D32" s="302" t="n">
        <x:f>B32*'Hypothèses'!$C$19/12</x:f>
        <x:v>334.166719983391</x:v>
      </x:c>
      <x:c r="E32" s="302" t="n">
        <x:f>C32-D32</x:f>
        <x:v>2462.2861662441064</x:v>
      </x:c>
      <x:c r="F32" s="302" t="n">
        <x:f>MAX(0,B32-E32)</x:f>
        <x:v>86648.83916266015</x:v>
      </x:c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 t="n">
        <x:v>28</x:v>
      </x:c>
      <x:c r="B33" s="302" t="n">
        <x:f>F32</x:f>
        <x:v>86648.83916266015</x:v>
      </x:c>
      <x:c r="C33" s="302" t="n">
        <x:f>-PMT('Hypothèses'!$C$19/12,'Hypothèses'!$C$20,'Hypothèses'!$C$18)</x:f>
        <x:v>2796.4528862274974</x:v>
      </x:c>
      <x:c r="D33" s="302" t="n">
        <x:f>B33*'Hypothèses'!$C$19/12</x:f>
        <x:v>324.9331468599756</x:v>
      </x:c>
      <x:c r="E33" s="302" t="n">
        <x:f>C33-D33</x:f>
        <x:v>2471.5197393675217</x:v>
      </x:c>
      <x:c r="F33" s="302" t="n">
        <x:f>MAX(0,B33-E33)</x:f>
        <x:v>84177.31942329263</x:v>
      </x:c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 t="n">
        <x:v>29</x:v>
      </x:c>
      <x:c r="B34" s="302" t="n">
        <x:f>F33</x:f>
        <x:v>84177.31942329263</x:v>
      </x:c>
      <x:c r="C34" s="302" t="n">
        <x:f>-PMT('Hypothèses'!$C$19/12,'Hypothèses'!$C$20,'Hypothèses'!$C$18)</x:f>
        <x:v>2796.4528862274974</x:v>
      </x:c>
      <x:c r="D34" s="302" t="n">
        <x:f>B34*'Hypothèses'!$C$19/12</x:f>
        <x:v>315.66494783734737</x:v>
      </x:c>
      <x:c r="E34" s="302" t="n">
        <x:f>C34-D34</x:f>
        <x:v>2480.78793839015</x:v>
      </x:c>
      <x:c r="F34" s="302" t="n">
        <x:f>MAX(0,B34-E34)</x:f>
        <x:v>81696.53148490249</x:v>
      </x:c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 t="n">
        <x:v>30</x:v>
      </x:c>
      <x:c r="B35" s="302" t="n">
        <x:f>F34</x:f>
        <x:v>81696.53148490249</x:v>
      </x:c>
      <x:c r="C35" s="302" t="n">
        <x:f>-PMT('Hypothèses'!$C$19/12,'Hypothèses'!$C$20,'Hypothèses'!$C$18)</x:f>
        <x:v>2796.4528862274974</x:v>
      </x:c>
      <x:c r="D35" s="302" t="n">
        <x:f>B35*'Hypothèses'!$C$19/12</x:f>
        <x:v>306.3619930683843</x:v>
      </x:c>
      <x:c r="E35" s="302" t="n">
        <x:f>C35-D35</x:f>
        <x:v>2490.090893159113</x:v>
      </x:c>
      <x:c r="F35" s="302" t="n">
        <x:f>MAX(0,B35-E35)</x:f>
        <x:v>79206.44059174338</x:v>
      </x:c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 t="n">
        <x:v>31</x:v>
      </x:c>
      <x:c r="B36" s="302" t="n">
        <x:f>F35</x:f>
        <x:v>79206.44059174338</x:v>
      </x:c>
      <x:c r="C36" s="302" t="n">
        <x:f>-PMT('Hypothèses'!$C$19/12,'Hypothèses'!$C$20,'Hypothèses'!$C$18)</x:f>
        <x:v>2796.4528862274974</x:v>
      </x:c>
      <x:c r="D36" s="302" t="n">
        <x:f>B36*'Hypothèses'!$C$19/12</x:f>
        <x:v>297.02415221903766</x:v>
      </x:c>
      <x:c r="E36" s="302" t="n">
        <x:f>C36-D36</x:f>
        <x:v>2499.4287340084597</x:v>
      </x:c>
      <x:c r="F36" s="302" t="n">
        <x:f>MAX(0,B36-E36)</x:f>
        <x:v>76707.01185773492</x:v>
      </x:c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 t="n">
        <x:v>32</x:v>
      </x:c>
      <x:c r="B37" s="302" t="n">
        <x:f>F36</x:f>
        <x:v>76707.01185773492</x:v>
      </x:c>
      <x:c r="C37" s="302" t="n">
        <x:f>-PMT('Hypothèses'!$C$19/12,'Hypothèses'!$C$20,'Hypothèses'!$C$18)</x:f>
        <x:v>2796.4528862274974</x:v>
      </x:c>
      <x:c r="D37" s="302" t="n">
        <x:f>B37*'Hypothèses'!$C$19/12</x:f>
        <x:v>287.65129446650593</x:v>
      </x:c>
      <x:c r="E37" s="302" t="n">
        <x:f>C37-D37</x:f>
        <x:v>2508.8015917609914</x:v>
      </x:c>
      <x:c r="F37" s="302" t="n">
        <x:f>MAX(0,B37-E37)</x:f>
        <x:v>74198.21026597393</x:v>
      </x:c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 t="n">
        <x:v>33</x:v>
      </x:c>
      <x:c r="B38" s="302" t="n">
        <x:f>F37</x:f>
        <x:v>74198.21026597393</x:v>
      </x:c>
      <x:c r="C38" s="302" t="n">
        <x:f>-PMT('Hypothèses'!$C$19/12,'Hypothèses'!$C$20,'Hypothèses'!$C$18)</x:f>
        <x:v>2796.4528862274974</x:v>
      </x:c>
      <x:c r="D38" s="302" t="n">
        <x:f>B38*'Hypothèses'!$C$19/12</x:f>
        <x:v>278.24328849740226</x:v>
      </x:c>
      <x:c r="E38" s="302" t="n">
        <x:f>C38-D38</x:f>
        <x:v>2518.209597730095</x:v>
      </x:c>
      <x:c r="F38" s="302" t="n">
        <x:f>MAX(0,B38-E38)</x:f>
        <x:v>71680.00066824384</x:v>
      </x:c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 t="n">
        <x:v>34</x:v>
      </x:c>
      <x:c r="B39" s="302" t="n">
        <x:f>F38</x:f>
        <x:v>71680.00066824384</x:v>
      </x:c>
      <x:c r="C39" s="302" t="n">
        <x:f>-PMT('Hypothèses'!$C$19/12,'Hypothèses'!$C$20,'Hypothèses'!$C$18)</x:f>
        <x:v>2796.4528862274974</x:v>
      </x:c>
      <x:c r="D39" s="302" t="n">
        <x:f>B39*'Hypothèses'!$C$19/12</x:f>
        <x:v>268.8000025059144</x:v>
      </x:c>
      <x:c r="E39" s="302" t="n">
        <x:f>C39-D39</x:f>
        <x:v>2527.652883721583</x:v>
      </x:c>
      <x:c r="F39" s="302" t="n">
        <x:f>MAX(0,B39-E39)</x:f>
        <x:v>69152.34778452225</x:v>
      </x:c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 t="n">
        <x:v>35</x:v>
      </x:c>
      <x:c r="B40" s="302" t="n">
        <x:f>F39</x:f>
        <x:v>69152.34778452225</x:v>
      </x:c>
      <x:c r="C40" s="302" t="n">
        <x:f>-PMT('Hypothèses'!$C$19/12,'Hypothèses'!$C$20,'Hypothèses'!$C$18)</x:f>
        <x:v>2796.4528862274974</x:v>
      </x:c>
      <x:c r="D40" s="302" t="n">
        <x:f>B40*'Hypothèses'!$C$19/12</x:f>
        <x:v>259.3213041919584</x:v>
      </x:c>
      <x:c r="E40" s="302" t="n">
        <x:f>C40-D40</x:f>
        <x:v>2537.131582035539</x:v>
      </x:c>
      <x:c r="F40" s="302" t="n">
        <x:f>MAX(0,B40-E40)</x:f>
        <x:v>66615.21620248671</x:v>
      </x:c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 t="n">
        <x:v>36</x:v>
      </x:c>
      <x:c r="B41" s="302" t="n">
        <x:f>F40</x:f>
        <x:v>66615.21620248671</x:v>
      </x:c>
      <x:c r="C41" s="302" t="n">
        <x:f>-PMT('Hypothèses'!$C$19/12,'Hypothèses'!$C$20,'Hypothèses'!$C$18)</x:f>
        <x:v>2796.4528862274974</x:v>
      </x:c>
      <x:c r="D41" s="302" t="n">
        <x:f>B41*'Hypothèses'!$C$19/12</x:f>
        <x:v>249.80706075932517</x:v>
      </x:c>
      <x:c r="E41" s="302" t="n">
        <x:f>C41-D41</x:f>
        <x:v>2546.645825468172</x:v>
      </x:c>
      <x:c r="F41" s="302" t="n">
        <x:f>MAX(0,B41-E41)</x:f>
        <x:v>64068.57037701854</x:v>
      </x:c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 t="n">
        <x:v>37</x:v>
      </x:c>
      <x:c r="B42" s="302" t="n">
        <x:f>F41</x:f>
        <x:v>64068.57037701854</x:v>
      </x:c>
      <x:c r="C42" s="302" t="n">
        <x:f>-PMT('Hypothèses'!$C$19/12,'Hypothèses'!$C$20,'Hypothèses'!$C$18)</x:f>
        <x:v>2796.4528862274974</x:v>
      </x:c>
      <x:c r="D42" s="302" t="n">
        <x:f>B42*'Hypothèses'!$C$19/12</x:f>
        <x:v>240.25713891381952</x:v>
      </x:c>
      <x:c r="E42" s="302" t="n">
        <x:f>C42-D42</x:f>
        <x:v>2556.195747313678</x:v>
      </x:c>
      <x:c r="F42" s="302" t="n">
        <x:f>MAX(0,B42-E42)</x:f>
        <x:v>61512.374629704864</x:v>
      </x:c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 t="n">
        <x:v>38</x:v>
      </x:c>
      <x:c r="B43" s="302" t="n">
        <x:f>F42</x:f>
        <x:v>61512.374629704864</x:v>
      </x:c>
      <x:c r="C43" s="302" t="n">
        <x:f>-PMT('Hypothèses'!$C$19/12,'Hypothèses'!$C$20,'Hypothèses'!$C$18)</x:f>
        <x:v>2796.4528862274974</x:v>
      </x:c>
      <x:c r="D43" s="302" t="n">
        <x:f>B43*'Hypothèses'!$C$19/12</x:f>
        <x:v>230.67140486139326</x:v>
      </x:c>
      <x:c r="E43" s="302" t="n">
        <x:f>C43-D43</x:f>
        <x:v>2565.7814813661043</x:v>
      </x:c>
      <x:c r="F43" s="302" t="n">
        <x:f>MAX(0,B43-E43)</x:f>
        <x:v>58946.59314833876</x:v>
      </x:c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 t="n">
        <x:v>39</x:v>
      </x:c>
      <x:c r="B44" s="302" t="n">
        <x:f>F43</x:f>
        <x:v>58946.59314833876</x:v>
      </x:c>
      <x:c r="C44" s="302" t="n">
        <x:f>-PMT('Hypothèses'!$C$19/12,'Hypothèses'!$C$20,'Hypothèses'!$C$18)</x:f>
        <x:v>2796.4528862274974</x:v>
      </x:c>
      <x:c r="D44" s="302" t="n">
        <x:f>B44*'Hypothèses'!$C$19/12</x:f>
        <x:v>221.04972430627035</x:v>
      </x:c>
      <x:c r="E44" s="302" t="n">
        <x:f>C44-D44</x:f>
        <x:v>2575.403161921227</x:v>
      </x:c>
      <x:c r="F44" s="302" t="n">
        <x:f>MAX(0,B44-E44)</x:f>
        <x:v>56371.189986417536</x:v>
      </x:c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 t="n">
        <x:v>40</x:v>
      </x:c>
      <x:c r="B45" s="302" t="n">
        <x:f>F44</x:f>
        <x:v>56371.189986417536</x:v>
      </x:c>
      <x:c r="C45" s="302" t="n">
        <x:f>-PMT('Hypothèses'!$C$19/12,'Hypothèses'!$C$20,'Hypothèses'!$C$18)</x:f>
        <x:v>2796.4528862274974</x:v>
      </x:c>
      <x:c r="D45" s="302" t="n">
        <x:f>B45*'Hypothèses'!$C$19/12</x:f>
        <x:v>211.39196244906574</x:v>
      </x:c>
      <x:c r="E45" s="302" t="n">
        <x:f>C45-D45</x:f>
        <x:v>2585.0609237784315</x:v>
      </x:c>
      <x:c r="F45" s="302" t="n">
        <x:f>MAX(0,B45-E45)</x:f>
        <x:v>53786.129062639106</x:v>
      </x:c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 t="n">
        <x:v>41</x:v>
      </x:c>
      <x:c r="B46" s="302" t="n">
        <x:f>F45</x:f>
        <x:v>53786.129062639106</x:v>
      </x:c>
      <x:c r="C46" s="302" t="n">
        <x:f>-PMT('Hypothèses'!$C$19/12,'Hypothèses'!$C$20,'Hypothèses'!$C$18)</x:f>
        <x:v>2796.4528862274974</x:v>
      </x:c>
      <x:c r="D46" s="302" t="n">
        <x:f>B46*'Hypothèses'!$C$19/12</x:f>
        <x:v>201.69798398489664</x:v>
      </x:c>
      <x:c r="E46" s="302" t="n">
        <x:f>C46-D46</x:f>
        <x:v>2594.7549022426006</x:v>
      </x:c>
      <x:c r="F46" s="302" t="n">
        <x:f>MAX(0,B46-E46)</x:f>
        <x:v>51191.3741603965</x:v>
      </x:c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 t="n">
        <x:v>42</x:v>
      </x:c>
      <x:c r="B47" s="302" t="n">
        <x:f>F46</x:f>
        <x:v>51191.3741603965</x:v>
      </x:c>
      <x:c r="C47" s="302" t="n">
        <x:f>-PMT('Hypothèses'!$C$19/12,'Hypothèses'!$C$20,'Hypothèses'!$C$18)</x:f>
        <x:v>2796.4528862274974</x:v>
      </x:c>
      <x:c r="D47" s="302" t="n">
        <x:f>B47*'Hypothèses'!$C$19/12</x:f>
        <x:v>191.9676531014869</x:v>
      </x:c>
      <x:c r="E47" s="302" t="n">
        <x:f>C47-D47</x:f>
        <x:v>2604.4852331260104</x:v>
      </x:c>
      <x:c r="F47" s="302" t="n">
        <x:f>MAX(0,B47-E47)</x:f>
        <x:v>48586.88892727049</x:v>
      </x:c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 t="n">
        <x:v>43</x:v>
      </x:c>
      <x:c r="B48" s="302" t="n">
        <x:f>F47</x:f>
        <x:v>48586.88892727049</x:v>
      </x:c>
      <x:c r="C48" s="302" t="n">
        <x:f>-PMT('Hypothèses'!$C$19/12,'Hypothèses'!$C$20,'Hypothèses'!$C$18)</x:f>
        <x:v>2796.4528862274974</x:v>
      </x:c>
      <x:c r="D48" s="302" t="n">
        <x:f>B48*'Hypothèses'!$C$19/12</x:f>
        <x:v>182.20083347726435</x:v>
      </x:c>
      <x:c r="E48" s="302" t="n">
        <x:f>C48-D48</x:f>
        <x:v>2614.252052750233</x:v>
      </x:c>
      <x:c r="F48" s="302" t="n">
        <x:f>MAX(0,B48-E48)</x:f>
        <x:v>45972.636874520256</x:v>
      </x:c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 t="n">
        <x:v>44</x:v>
      </x:c>
      <x:c r="B49" s="302" t="n">
        <x:f>F48</x:f>
        <x:v>45972.636874520256</x:v>
      </x:c>
      <x:c r="C49" s="302" t="n">
        <x:f>-PMT('Hypothèses'!$C$19/12,'Hypothèses'!$C$20,'Hypothèses'!$C$18)</x:f>
        <x:v>2796.4528862274974</x:v>
      </x:c>
      <x:c r="D49" s="302" t="n">
        <x:f>B49*'Hypothèses'!$C$19/12</x:f>
        <x:v>172.39738827945095</x:v>
      </x:c>
      <x:c r="E49" s="302" t="n">
        <x:f>C49-D49</x:f>
        <x:v>2624.0554979480466</x:v>
      </x:c>
      <x:c r="F49" s="302" t="n">
        <x:f>MAX(0,B49-E49)</x:f>
        <x:v>43348.58137657221</x:v>
      </x:c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 t="n">
        <x:v>45</x:v>
      </x:c>
      <x:c r="B50" s="302" t="n">
        <x:f>F49</x:f>
        <x:v>43348.58137657221</x:v>
      </x:c>
      <x:c r="C50" s="302" t="n">
        <x:f>-PMT('Hypothèses'!$C$19/12,'Hypothèses'!$C$20,'Hypothèses'!$C$18)</x:f>
        <x:v>2796.4528862274974</x:v>
      </x:c>
      <x:c r="D50" s="302" t="n">
        <x:f>B50*'Hypothèses'!$C$19/12</x:f>
        <x:v>162.55718016214578</x:v>
      </x:c>
      <x:c r="E50" s="302" t="n">
        <x:f>C50-D50</x:f>
        <x:v>2633.8957060653515</x:v>
      </x:c>
      <x:c r="F50" s="302" t="n">
        <x:f>MAX(0,B50-E50)</x:f>
        <x:v>40714.685670506864</x:v>
      </x:c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 t="n">
        <x:v>46</x:v>
      </x:c>
      <x:c r="B51" s="302" t="n">
        <x:f>F50</x:f>
        <x:v>40714.685670506864</x:v>
      </x:c>
      <x:c r="C51" s="302" t="n">
        <x:f>-PMT('Hypothèses'!$C$19/12,'Hypothèses'!$C$20,'Hypothèses'!$C$18)</x:f>
        <x:v>2796.4528862274974</x:v>
      </x:c>
      <x:c r="D51" s="302" t="n">
        <x:f>B51*'Hypothèses'!$C$19/12</x:f>
        <x:v>152.68007126440074</x:v>
      </x:c>
      <x:c r="E51" s="302" t="n">
        <x:f>C51-D51</x:f>
        <x:v>2643.7728149630966</x:v>
      </x:c>
      <x:c r="F51" s="302" t="n">
        <x:f>MAX(0,B51-E51)</x:f>
        <x:v>38070.912855543764</x:v>
      </x:c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 t="n">
        <x:v>47</x:v>
      </x:c>
      <x:c r="B52" s="302" t="n">
        <x:f>F51</x:f>
        <x:v>38070.912855543764</x:v>
      </x:c>
      <x:c r="C52" s="302" t="n">
        <x:f>-PMT('Hypothèses'!$C$19/12,'Hypothèses'!$C$20,'Hypothèses'!$C$18)</x:f>
        <x:v>2796.4528862274974</x:v>
      </x:c>
      <x:c r="D52" s="302" t="n">
        <x:f>B52*'Hypothèses'!$C$19/12</x:f>
        <x:v>142.7659232082891</x:v>
      </x:c>
      <x:c r="E52" s="302" t="n">
        <x:f>C52-D52</x:f>
        <x:v>2653.686963019208</x:v>
      </x:c>
      <x:c r="F52" s="302" t="n">
        <x:f>MAX(0,B52-E52)</x:f>
        <x:v>35417.225892524555</x:v>
      </x:c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 t="n">
        <x:v>48</x:v>
      </x:c>
      <x:c r="B53" s="302" t="n">
        <x:f>F52</x:f>
        <x:v>35417.225892524555</x:v>
      </x:c>
      <x:c r="C53" s="302" t="n">
        <x:f>-PMT('Hypothèses'!$C$19/12,'Hypothèses'!$C$20,'Hypothèses'!$C$18)</x:f>
        <x:v>2796.4528862274974</x:v>
      </x:c>
      <x:c r="D53" s="302" t="n">
        <x:f>B53*'Hypothèses'!$C$19/12</x:f>
        <x:v>132.81459709696708</x:v>
      </x:c>
      <x:c r="E53" s="302" t="n">
        <x:f>C53-D53</x:f>
        <x:v>2663.63828913053</x:v>
      </x:c>
      <x:c r="F53" s="302" t="n">
        <x:f>MAX(0,B53-E53)</x:f>
        <x:v>32753.587603394026</x:v>
      </x:c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 t="n">
        <x:v>49</x:v>
      </x:c>
      <x:c r="B54" s="302" t="n">
        <x:f>F53</x:f>
        <x:v>32753.587603394026</x:v>
      </x:c>
      <x:c r="C54" s="302" t="n">
        <x:f>-PMT('Hypothèses'!$C$19/12,'Hypothèses'!$C$20,'Hypothèses'!$C$18)</x:f>
        <x:v>2796.4528862274974</x:v>
      </x:c>
      <x:c r="D54" s="302" t="n">
        <x:f>B54*'Hypothèses'!$C$19/12</x:f>
        <x:v>122.8259535127276</x:v>
      </x:c>
      <x:c r="E54" s="302" t="n">
        <x:f>C54-D54</x:f>
        <x:v>2673.6269327147697</x:v>
      </x:c>
      <x:c r="F54" s="302" t="n">
        <x:f>MAX(0,B54-E54)</x:f>
        <x:v>30079.960670679255</x:v>
      </x:c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 t="n">
        <x:v>50</x:v>
      </x:c>
      <x:c r="B55" s="302" t="n">
        <x:f>F54</x:f>
        <x:v>30079.960670679255</x:v>
      </x:c>
      <x:c r="C55" s="302" t="n">
        <x:f>-PMT('Hypothèses'!$C$19/12,'Hypothèses'!$C$20,'Hypothèses'!$C$18)</x:f>
        <x:v>2796.4528862274974</x:v>
      </x:c>
      <x:c r="D55" s="302" t="n">
        <x:f>B55*'Hypothèses'!$C$19/12</x:f>
        <x:v>112.79985251504719</x:v>
      </x:c>
      <x:c r="E55" s="302" t="n">
        <x:f>C55-D55</x:f>
        <x:v>2683.65303371245</x:v>
      </x:c>
      <x:c r="F55" s="302" t="n">
        <x:f>MAX(0,B55-E55)</x:f>
        <x:v>27396.307636966805</x:v>
      </x:c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 t="n">
        <x:v>51</x:v>
      </x:c>
      <x:c r="B56" s="302" t="n">
        <x:f>F55</x:f>
        <x:v>27396.307636966805</x:v>
      </x:c>
      <x:c r="C56" s="302" t="n">
        <x:f>-PMT('Hypothèses'!$C$19/12,'Hypothèses'!$C$20,'Hypothèses'!$C$18)</x:f>
        <x:v>2796.4528862274974</x:v>
      </x:c>
      <x:c r="D56" s="302" t="n">
        <x:f>B56*'Hypothèses'!$C$19/12</x:f>
        <x:v>102.73615363862552</x:v>
      </x:c>
      <x:c r="E56" s="302" t="n">
        <x:f>C56-D56</x:f>
        <x:v>2693.7167325888718</x:v>
      </x:c>
      <x:c r="F56" s="302" t="n">
        <x:f>MAX(0,B56-E56)</x:f>
        <x:v>24702.590904377932</x:v>
      </x:c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 t="n">
        <x:v>52</x:v>
      </x:c>
      <x:c r="B57" s="302" t="n">
        <x:f>F56</x:f>
        <x:v>24702.590904377932</x:v>
      </x:c>
      <x:c r="C57" s="302" t="n">
        <x:f>-PMT('Hypothèses'!$C$19/12,'Hypothèses'!$C$20,'Hypothèses'!$C$18)</x:f>
        <x:v>2796.4528862274974</x:v>
      </x:c>
      <x:c r="D57" s="302" t="n">
        <x:f>B57*'Hypothèses'!$C$19/12</x:f>
        <x:v>92.63471589141723</x:v>
      </x:c>
      <x:c r="E57" s="302" t="n">
        <x:f>C57-D57</x:f>
        <x:v>2703.81817033608</x:v>
      </x:c>
      <x:c r="F57" s="302" t="n">
        <x:f>MAX(0,B57-E57)</x:f>
        <x:v>21998.772734041853</x:v>
      </x:c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 t="n">
        <x:v>53</x:v>
      </x:c>
      <x:c r="B58" s="302" t="n">
        <x:f>F57</x:f>
        <x:v>21998.772734041853</x:v>
      </x:c>
      <x:c r="C58" s="302" t="n">
        <x:f>-PMT('Hypothèses'!$C$19/12,'Hypothèses'!$C$20,'Hypothèses'!$C$18)</x:f>
        <x:v>2796.4528862274974</x:v>
      </x:c>
      <x:c r="D58" s="302" t="n">
        <x:f>B58*'Hypothèses'!$C$19/12</x:f>
        <x:v>82.49539775265696</x:v>
      </x:c>
      <x:c r="E58" s="302" t="n">
        <x:f>C58-D58</x:f>
        <x:v>2713.9574884748404</x:v>
      </x:c>
      <x:c r="F58" s="302" t="n">
        <x:f>MAX(0,B58-E58)</x:f>
        <x:v>19284.815245567013</x:v>
      </x:c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 t="n">
        <x:v>54</x:v>
      </x:c>
      <x:c r="B59" s="302" t="n">
        <x:f>F58</x:f>
        <x:v>19284.815245567013</x:v>
      </x:c>
      <x:c r="C59" s="302" t="n">
        <x:f>-PMT('Hypothèses'!$C$19/12,'Hypothèses'!$C$20,'Hypothèses'!$C$18)</x:f>
        <x:v>2796.4528862274974</x:v>
      </x:c>
      <x:c r="D59" s="302" t="n">
        <x:f>B59*'Hypothèses'!$C$19/12</x:f>
        <x:v>72.3180571708763</x:v>
      </x:c>
      <x:c r="E59" s="302" t="n">
        <x:f>C59-D59</x:f>
        <x:v>2724.134829056621</x:v>
      </x:c>
      <x:c r="F59" s="302" t="n">
        <x:f>MAX(0,B59-E59)</x:f>
        <x:v>16560.680416510393</x:v>
      </x:c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 t="n">
        <x:v>55</x:v>
      </x:c>
      <x:c r="B60" s="302" t="n">
        <x:f>F59</x:f>
        <x:v>16560.680416510393</x:v>
      </x:c>
      <x:c r="C60" s="302" t="n">
        <x:f>-PMT('Hypothèses'!$C$19/12,'Hypothèses'!$C$20,'Hypothèses'!$C$18)</x:f>
        <x:v>2796.4528862274974</x:v>
      </x:c>
      <x:c r="D60" s="302" t="n">
        <x:f>B60*'Hypothèses'!$C$19/12</x:f>
        <x:v>62.10255156191397</x:v>
      </x:c>
      <x:c r="E60" s="302" t="n">
        <x:f>C60-D60</x:f>
        <x:v>2734.3503346655834</x:v>
      </x:c>
      <x:c r="F60" s="302" t="n">
        <x:f>MAX(0,B60-E60)</x:f>
        <x:v>13826.33008184481</x:v>
      </x:c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 t="n">
        <x:v>56</x:v>
      </x:c>
      <x:c r="B61" s="302" t="n">
        <x:f>F60</x:f>
        <x:v>13826.33008184481</x:v>
      </x:c>
      <x:c r="C61" s="302" t="n">
        <x:f>-PMT('Hypothèses'!$C$19/12,'Hypothèses'!$C$20,'Hypothèses'!$C$18)</x:f>
        <x:v>2796.4528862274974</x:v>
      </x:c>
      <x:c r="D61" s="302" t="n">
        <x:f>B61*'Hypothèses'!$C$19/12</x:f>
        <x:v>51.84873780691803</x:v>
      </x:c>
      <x:c r="E61" s="302" t="n">
        <x:f>C61-D61</x:f>
        <x:v>2744.6041484205793</x:v>
      </x:c>
      <x:c r="F61" s="302" t="n">
        <x:f>MAX(0,B61-E61)</x:f>
        <x:v>11081.72593342423</x:v>
      </x:c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 t="n">
        <x:v>57</x:v>
      </x:c>
      <x:c r="B62" s="302" t="n">
        <x:f>F61</x:f>
        <x:v>11081.72593342423</x:v>
      </x:c>
      <x:c r="C62" s="302" t="n">
        <x:f>-PMT('Hypothèses'!$C$19/12,'Hypothèses'!$C$20,'Hypothèses'!$C$18)</x:f>
        <x:v>2796.4528862274974</x:v>
      </x:c>
      <x:c r="D62" s="302" t="n">
        <x:f>B62*'Hypothèses'!$C$19/12</x:f>
        <x:v>41.55647225034086</x:v>
      </x:c>
      <x:c r="E62" s="302" t="n">
        <x:f>C62-D62</x:f>
        <x:v>2754.8964139771565</x:v>
      </x:c>
      <x:c r="F62" s="302" t="n">
        <x:f>MAX(0,B62-E62)</x:f>
        <x:v>8326.829519447074</x:v>
      </x:c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 t="n">
        <x:v>58</x:v>
      </x:c>
      <x:c r="B63" s="302" t="n">
        <x:f>F62</x:f>
        <x:v>8326.829519447074</x:v>
      </x:c>
      <x:c r="C63" s="302" t="n">
        <x:f>-PMT('Hypothèses'!$C$19/12,'Hypothèses'!$C$20,'Hypothèses'!$C$18)</x:f>
        <x:v>2796.4528862274974</x:v>
      </x:c>
      <x:c r="D63" s="302" t="n">
        <x:f>B63*'Hypothèses'!$C$19/12</x:f>
        <x:v>31.225610697926527</x:v>
      </x:c>
      <x:c r="E63" s="302" t="n">
        <x:f>C63-D63</x:f>
        <x:v>2765.2272755295708</x:v>
      </x:c>
      <x:c r="F63" s="302" t="n">
        <x:f>MAX(0,B63-E63)</x:f>
        <x:v>5561.602243917503</x:v>
      </x:c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 t="n">
        <x:v>59</x:v>
      </x:c>
      <x:c r="B64" s="302" t="n">
        <x:f>F63</x:f>
        <x:v>5561.602243917503</x:v>
      </x:c>
      <x:c r="C64" s="302" t="n">
        <x:f>-PMT('Hypothèses'!$C$19/12,'Hypothèses'!$C$20,'Hypothèses'!$C$18)</x:f>
        <x:v>2796.4528862274974</x:v>
      </x:c>
      <x:c r="D64" s="302" t="n">
        <x:f>B64*'Hypothèses'!$C$19/12</x:f>
        <x:v>20.856008414690635</x:v>
      </x:c>
      <x:c r="E64" s="302" t="n">
        <x:f>C64-D64</x:f>
        <x:v>2775.5968778128067</x:v>
      </x:c>
      <x:c r="F64" s="302" t="n">
        <x:f>MAX(0,B64-E64)</x:f>
        <x:v>2786.0053661046963</x:v>
      </x:c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 t="n">
        <x:v>60</x:v>
      </x:c>
      <x:c r="B65" s="302" t="n">
        <x:f>F64</x:f>
        <x:v>2786.0053661046963</x:v>
      </x:c>
      <x:c r="C65" s="302" t="n">
        <x:f>-PMT('Hypothèses'!$C$19/12,'Hypothèses'!$C$20,'Hypothèses'!$C$18)</x:f>
        <x:v>2796.4528862274974</x:v>
      </x:c>
      <x:c r="D65" s="302" t="n">
        <x:f>B65*'Hypothèses'!$C$19/12</x:f>
        <x:v>10.44752012289261</x:v>
      </x:c>
      <x:c r="E65" s="302" t="n">
        <x:f>C65-D65</x:f>
        <x:v>2786.005366104605</x:v>
      </x:c>
      <x:c r="F65" s="302" t="n">
        <x:f>MAX(0,B65-E65)</x:f>
        <x:v>9.140421752817929e-11</x:v>
      </x:c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F2"/>
    <x:mergeCell ref="A3:F3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28" customHeight="1">
      <x:c r="A1" s="375" t="str">
        <x:v>PLAN DE TRÉSORERIE</x:v>
      </x:c>
      <x:c r="B1" s="375"/>
      <x:c r="C1" s="375"/>
      <x:c r="D1" s="375"/>
      <x:c r="E1" s="375"/>
      <x:c r="F1" s="375"/>
      <x:c r="G1" s="375"/>
      <x:c r="H1" s="375"/>
      <x:c r="I1" s="375"/>
      <x:c r="J1" s="375"/>
      <x:c r="K1" s="375"/>
      <x:c r="L1" s="375"/>
      <x:c r="M1" s="375"/>
      <x:c r="N1" s="375"/>
    </x:row>
    <x:row r="2" ht="28" customHeight="1">
      <x:c r="A2" s="375"/>
      <x:c r="B2" s="375"/>
      <x:c r="C2" s="375"/>
      <x:c r="D2" s="375"/>
      <x:c r="E2" s="375"/>
      <x:c r="F2" s="375"/>
      <x:c r="G2" s="375"/>
      <x:c r="H2" s="375"/>
      <x:c r="I2" s="375"/>
      <x:c r="J2" s="375"/>
      <x:c r="K2" s="375"/>
      <x:c r="L2" s="375"/>
      <x:c r="M2" s="375"/>
      <x:c r="N2" s="375"/>
    </x:row>
    <x:row r="3" ht="22" customHeight="1">
      <x:c r="A3" s="305" t="str">
        <x:v>Encaissements, décaissements et solde bancaire mensuel</x:v>
      </x:c>
      <x:c r="B3" s="305"/>
      <x:c r="C3" s="305"/>
      <x:c r="D3" s="305"/>
      <x:c r="E3" s="305"/>
      <x:c r="F3" s="305"/>
      <x:c r="G3" s="305"/>
      <x:c r="H3" s="305"/>
      <x:c r="I3" s="305"/>
      <x:c r="J3" s="305"/>
      <x:c r="K3" s="305"/>
      <x:c r="L3" s="305"/>
      <x:c r="M3" s="305"/>
      <x:c r="N3" s="305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376" t="str">
        <x:v>Flux</x:v>
      </x:c>
      <x:c r="B5" s="376" t="str">
        <x:v>Jan</x:v>
      </x:c>
      <x:c r="C5" s="376" t="str">
        <x:v>Fév</x:v>
      </x:c>
      <x:c r="D5" s="376" t="str">
        <x:v>Mar</x:v>
      </x:c>
      <x:c r="E5" s="376" t="str">
        <x:v>Avr</x:v>
      </x:c>
      <x:c r="F5" s="376" t="str">
        <x:v>Mai</x:v>
      </x:c>
      <x:c r="G5" s="376" t="str">
        <x:v>Juin</x:v>
      </x:c>
      <x:c r="H5" s="376" t="str">
        <x:v>Juil</x:v>
      </x:c>
      <x:c r="I5" s="376" t="str">
        <x:v>Août</x:v>
      </x:c>
      <x:c r="J5" s="376" t="str">
        <x:v>Sept</x:v>
      </x:c>
      <x:c r="K5" s="376" t="str">
        <x:v>Oct</x:v>
      </x:c>
      <x:c r="L5" s="376" t="str">
        <x:v>Nov</x:v>
      </x:c>
      <x:c r="M5" s="376" t="str">
        <x:v>Déc</x:v>
      </x:c>
      <x:c r="N5" s="376" t="str">
        <x:v>Total / fin d'année</x:v>
      </x:c>
    </x:row>
    <x:row r="6">
      <x:c r="A6" s="301" t="str">
        <x:v>Trésorerie initiale</x:v>
      </x:c>
      <x:c r="B6" s="302" t="n">
        <x:f>'Hypothèses'!$C$16</x:f>
        <x:v>80000</x:v>
      </x:c>
      <x:c r="C6" s="302" t="n">
        <x:f>B18</x:f>
        <x:v>130043.54711377251</x:v>
      </x:c>
      <x:c r="D6" s="302" t="n">
        <x:f>C18</x:f>
        <x:v>104267.094227545</x:v>
      </x:c>
      <x:c r="E6" s="302" t="n">
        <x:f>D18</x:f>
        <x:v>49576.0413413175</x:v>
      </x:c>
      <x:c r="F6" s="302" t="n">
        <x:f>E18</x:f>
        <x:v>44002.95045508999</x:v>
      </x:c>
      <x:c r="G6" s="302" t="n">
        <x:f>F18</x:f>
        <x:v>39581.36042886249</x:v>
      </x:c>
      <x:c r="H6" s="302" t="n">
        <x:f>G18</x:f>
        <x:v>36345.816288435</x:v>
      </x:c>
      <x:c r="I6" s="302" t="n">
        <x:f>H18</x:f>
        <x:v>34331.899410381506</x:v>
      </x:c>
      <x:c r="J6" s="302" t="n">
        <x:f>I18</x:f>
        <x:v>33576.258612573234</x:v>
      </x:c>
      <x:c r="K6" s="302" t="n">
        <x:f>J18</x:f>
        <x:v>34116.64217741754</x:v>
      </x:c>
      <x:c r="L6" s="302" t="n">
        <x:f>K18</x:f>
        <x:v>35991.930835794</x:v>
      </x:c>
      <x:c r="M6" s="302" t="n">
        <x:f>L18</x:f>
        <x:v>39242.17174050858</x:v>
      </x:c>
      <x:c r="N6" s="302" t="n">
        <x:f>M6</x:f>
        <x:v>39242.17174050858</x:v>
      </x:c>
    </x:row>
    <x:row r="7">
      <x:c r="A7" s="301" t="str">
        <x:v>Encaissements clients TTC</x:v>
      </x:c>
      <x:c r="B7" s="302" t="n">
        <x:f>'Chiffre d''affaires'!B9*50%</x:f>
        <x:v>30000</x:v>
      </x:c>
      <x:c r="C7" s="302" t="n">
        <x:f>'Chiffre d''affaires'!B9*50%+'Chiffre d''affaires'!C9*50%</x:f>
        <x:v>60900</x:v>
      </x:c>
      <x:c r="D7" s="302" t="n">
        <x:f>'Chiffre d''affaires'!C9*50%+'Chiffre d''affaires'!D9*50%</x:f>
        <x:v>62727</x:v>
      </x:c>
      <x:c r="E7" s="302" t="n">
        <x:f>'Chiffre d''affaires'!D9*50%+'Chiffre d''affaires'!E9*50%</x:f>
        <x:v>64608.81</x:v>
      </x:c>
      <x:c r="F7" s="302" t="n">
        <x:f>'Chiffre d''affaires'!E9*50%+'Chiffre d''affaires'!F9*50%</x:f>
        <x:v>66547.07430000001</x:v>
      </x:c>
      <x:c r="G7" s="302" t="n">
        <x:f>'Chiffre d''affaires'!F9*50%+'Chiffre d''affaires'!G9*50%</x:f>
        <x:v>68543.48652900002</x:v>
      </x:c>
      <x:c r="H7" s="302" t="n">
        <x:f>'Chiffre d''affaires'!G9*50%+'Chiffre d''affaires'!H9*50%</x:f>
        <x:v>70599.79112487001</x:v>
      </x:c>
      <x:c r="I7" s="302" t="n">
        <x:f>'Chiffre d''affaires'!H9*50%+'Chiffre d''affaires'!I9*50%</x:f>
        <x:v>72717.78485861611</x:v>
      </x:c>
      <x:c r="J7" s="302" t="n">
        <x:f>'Chiffre d''affaires'!I9*50%+'Chiffre d''affaires'!J9*50%</x:f>
        <x:v>74899.3184043746</x:v>
      </x:c>
      <x:c r="K7" s="302" t="n">
        <x:f>'Chiffre d''affaires'!J9*50%+'Chiffre d''affaires'!K9*50%</x:f>
        <x:v>77146.29795650585</x:v>
      </x:c>
      <x:c r="L7" s="302" t="n">
        <x:f>'Chiffre d''affaires'!K9*50%+'Chiffre d''affaires'!L9*50%</x:f>
        <x:v>79460.68689520101</x:v>
      </x:c>
      <x:c r="M7" s="302" t="n">
        <x:f>'Chiffre d''affaires'!L9*50%+'Chiffre d''affaires'!M9*50%</x:f>
        <x:v>81844.50750205705</x:v>
      </x:c>
      <x:c r="N7" s="302" t="n">
        <x:f>SUM(B7:M7)</x:f>
        <x:v>809994.7575706247</x:v>
      </x:c>
    </x:row>
    <x:row r="8">
      <x:c r="A8" s="301" t="str">
        <x:v>Apport en capital</x:v>
      </x:c>
      <x:c r="B8" s="302" t="n">
        <x:f>'Hypothèses'!$C$17</x:f>
        <x:v>100000</x:v>
      </x:c>
      <x:c r="C8" s="302" t="n">
        <x:f>0</x:f>
        <x:v>0</x:v>
      </x:c>
      <x:c r="D8" s="302" t="n">
        <x:f>0</x:f>
        <x:v>0</x:v>
      </x:c>
      <x:c r="E8" s="302" t="n">
        <x:f>0</x:f>
        <x:v>0</x:v>
      </x:c>
      <x:c r="F8" s="302" t="n">
        <x:f>0</x:f>
        <x:v>0</x:v>
      </x:c>
      <x:c r="G8" s="302" t="n">
        <x:f>0</x:f>
        <x:v>0</x:v>
      </x:c>
      <x:c r="H8" s="302" t="n">
        <x:f>0</x:f>
        <x:v>0</x:v>
      </x:c>
      <x:c r="I8" s="302" t="n">
        <x:f>0</x:f>
        <x:v>0</x:v>
      </x:c>
      <x:c r="J8" s="302" t="n">
        <x:f>0</x:f>
        <x:v>0</x:v>
      </x:c>
      <x:c r="K8" s="302" t="n">
        <x:f>0</x:f>
        <x:v>0</x:v>
      </x:c>
      <x:c r="L8" s="302" t="n">
        <x:f>0</x:f>
        <x:v>0</x:v>
      </x:c>
      <x:c r="M8" s="302" t="n">
        <x:f>0</x:f>
        <x:v>0</x:v>
      </x:c>
      <x:c r="N8" s="302" t="n">
        <x:f>SUM(B8:M8)</x:f>
        <x:v>100000</x:v>
      </x:c>
    </x:row>
    <x:row r="9">
      <x:c r="A9" s="301" t="str">
        <x:v>Emprunt encaissé</x:v>
      </x:c>
      <x:c r="B9" s="302" t="n">
        <x:f>'Hypothèses'!$C$18</x:f>
        <x:v>150000</x:v>
      </x:c>
      <x:c r="C9" s="302" t="n">
        <x:f>0</x:f>
        <x:v>0</x:v>
      </x:c>
      <x:c r="D9" s="302" t="n">
        <x:f>0</x:f>
        <x:v>0</x:v>
      </x:c>
      <x:c r="E9" s="302" t="n">
        <x:f>0</x:f>
        <x:v>0</x:v>
      </x:c>
      <x:c r="F9" s="302" t="n">
        <x:f>0</x:f>
        <x:v>0</x:v>
      </x:c>
      <x:c r="G9" s="302" t="n">
        <x:f>0</x:f>
        <x:v>0</x:v>
      </x:c>
      <x:c r="H9" s="302" t="n">
        <x:f>0</x:f>
        <x:v>0</x:v>
      </x:c>
      <x:c r="I9" s="302" t="n">
        <x:f>0</x:f>
        <x:v>0</x:v>
      </x:c>
      <x:c r="J9" s="302" t="n">
        <x:f>0</x:f>
        <x:v>0</x:v>
      </x:c>
      <x:c r="K9" s="302" t="n">
        <x:f>0</x:f>
        <x:v>0</x:v>
      </x:c>
      <x:c r="L9" s="302" t="n">
        <x:f>0</x:f>
        <x:v>0</x:v>
      </x:c>
      <x:c r="M9" s="302" t="n">
        <x:f>0</x:f>
        <x:v>0</x:v>
      </x:c>
      <x:c r="N9" s="302" t="n">
        <x:f>SUM(B9:M9)</x:f>
        <x:v>150000</x:v>
      </x:c>
    </x:row>
    <x:row r="10">
      <x:c r="A10" s="387" t="str">
        <x:v>Total encaissements</x:v>
      </x:c>
      <x:c r="B10" s="388" t="n">
        <x:f>SUM(B7:B9)</x:f>
        <x:v>280000</x:v>
      </x:c>
      <x:c r="C10" s="388" t="n">
        <x:f>SUM(C7:C9)</x:f>
        <x:v>60900</x:v>
      </x:c>
      <x:c r="D10" s="388" t="n">
        <x:f>SUM(D7:D9)</x:f>
        <x:v>62727</x:v>
      </x:c>
      <x:c r="E10" s="388" t="n">
        <x:f>SUM(E7:E9)</x:f>
        <x:v>64608.81</x:v>
      </x:c>
      <x:c r="F10" s="388" t="n">
        <x:f>SUM(F7:F9)</x:f>
        <x:v>66547.07430000001</x:v>
      </x:c>
      <x:c r="G10" s="388" t="n">
        <x:f>SUM(G7:G9)</x:f>
        <x:v>68543.48652900002</x:v>
      </x:c>
      <x:c r="H10" s="388" t="n">
        <x:f>SUM(H7:H9)</x:f>
        <x:v>70599.79112487001</x:v>
      </x:c>
      <x:c r="I10" s="388" t="n">
        <x:f>SUM(I7:I9)</x:f>
        <x:v>72717.78485861611</x:v>
      </x:c>
      <x:c r="J10" s="388" t="n">
        <x:f>SUM(J7:J9)</x:f>
        <x:v>74899.3184043746</x:v>
      </x:c>
      <x:c r="K10" s="388" t="n">
        <x:f>SUM(K7:K9)</x:f>
        <x:v>77146.29795650585</x:v>
      </x:c>
      <x:c r="L10" s="388" t="n">
        <x:f>SUM(L7:L9)</x:f>
        <x:v>79460.68689520101</x:v>
      </x:c>
      <x:c r="M10" s="388" t="n">
        <x:f>SUM(M7:M9)</x:f>
        <x:v>81844.50750205705</x:v>
      </x:c>
      <x:c r="N10" s="388" t="n">
        <x:f>SUM(B10:M10)</x:f>
        <x:v>1059994.7575706246</x:v>
      </x:c>
    </x:row>
    <x:row r="11">
      <x:c r="A11" s="301" t="str">
        <x:v>Achats TTC payés</x:v>
      </x:c>
      <x:c r="B11" s="302" t="n">
        <x:f>'Chiffre d''affaires'!B10*(1+'Hypothèses'!$C$21)</x:f>
        <x:v>24000</x:v>
      </x:c>
      <x:c r="C11" s="302" t="n">
        <x:f>'Chiffre d''affaires'!C10*(1+'Hypothèses'!$C$21)</x:f>
        <x:v>24720</x:v>
      </x:c>
      <x:c r="D11" s="302" t="n">
        <x:f>'Chiffre d''affaires'!D10*(1+'Hypothèses'!$C$21)</x:f>
        <x:v>25461.6</x:v>
      </x:c>
      <x:c r="E11" s="302" t="n">
        <x:f>'Chiffre d''affaires'!E10*(1+'Hypothèses'!$C$21)</x:f>
        <x:v>26225.448</x:v>
      </x:c>
      <x:c r="F11" s="302" t="n">
        <x:f>'Chiffre d''affaires'!F10*(1+'Hypothèses'!$C$21)</x:f>
        <x:v>27012.211440000003</x:v>
      </x:c>
      <x:c r="G11" s="302" t="n">
        <x:f>'Chiffre d''affaires'!G10*(1+'Hypothèses'!$C$21)</x:f>
        <x:v>27822.577783200006</x:v>
      </x:c>
      <x:c r="H11" s="302" t="n">
        <x:f>'Chiffre d''affaires'!H10*(1+'Hypothèses'!$C$21)</x:f>
        <x:v>28657.255116696004</x:v>
      </x:c>
      <x:c r="I11" s="302" t="n">
        <x:f>'Chiffre d''affaires'!I10*(1+'Hypothèses'!$C$21)</x:f>
        <x:v>29516.972770196884</x:v>
      </x:c>
      <x:c r="J11" s="302" t="n">
        <x:f>'Chiffre d''affaires'!J10*(1+'Hypothèses'!$C$21)</x:f>
        <x:v>30402.481953302795</x:v>
      </x:c>
      <x:c r="K11" s="302" t="n">
        <x:f>'Chiffre d''affaires'!K10*(1+'Hypothèses'!$C$21)</x:f>
        <x:v>31314.556411901878</x:v>
      </x:c>
      <x:c r="L11" s="302" t="n">
        <x:f>'Chiffre d''affaires'!L10*(1+'Hypothèses'!$C$21)</x:f>
        <x:v>32253.993104258934</x:v>
      </x:c>
      <x:c r="M11" s="302" t="n">
        <x:f>'Chiffre d''affaires'!M10*(1+'Hypothèses'!$C$21)</x:f>
        <x:v>33221.6128973867</x:v>
      </x:c>
      <x:c r="N11" s="302" t="n">
        <x:f>SUM(B11:M11)</x:f>
        <x:v>340608.70947694324</x:v>
      </x:c>
    </x:row>
    <x:row r="12">
      <x:c r="A12" s="301" t="str">
        <x:v>Charges fixes payées</x:v>
      </x:c>
      <x:c r="B12" s="302" t="n">
        <x:f>'Charges'!B16</x:f>
        <x:v>41160</x:v>
      </x:c>
      <x:c r="C12" s="302" t="n">
        <x:f>'Charges'!C16</x:f>
        <x:v>41160</x:v>
      </x:c>
      <x:c r="D12" s="302" t="n">
        <x:f>'Charges'!D16</x:f>
        <x:v>41160</x:v>
      </x:c>
      <x:c r="E12" s="302" t="n">
        <x:f>'Charges'!E16</x:f>
        <x:v>41160</x:v>
      </x:c>
      <x:c r="F12" s="302" t="n">
        <x:f>'Charges'!F16</x:f>
        <x:v>41160</x:v>
      </x:c>
      <x:c r="G12" s="302" t="n">
        <x:f>'Charges'!G16</x:f>
        <x:v>41160</x:v>
      </x:c>
      <x:c r="H12" s="302" t="n">
        <x:f>'Charges'!H16</x:f>
        <x:v>41160</x:v>
      </x:c>
      <x:c r="I12" s="302" t="n">
        <x:f>'Charges'!I16</x:f>
        <x:v>41160</x:v>
      </x:c>
      <x:c r="J12" s="302" t="n">
        <x:f>'Charges'!J16</x:f>
        <x:v>41160</x:v>
      </x:c>
      <x:c r="K12" s="302" t="n">
        <x:f>'Charges'!K16</x:f>
        <x:v>41160</x:v>
      </x:c>
      <x:c r="L12" s="302" t="n">
        <x:f>'Charges'!L16</x:f>
        <x:v>41160</x:v>
      </x:c>
      <x:c r="M12" s="302" t="n">
        <x:f>'Charges'!M16</x:f>
        <x:v>41160</x:v>
      </x:c>
      <x:c r="N12" s="302" t="n">
        <x:f>SUM(B12:M12)</x:f>
        <x:v>493920</x:v>
      </x:c>
    </x:row>
    <x:row r="13">
      <x:c r="A13" s="301" t="str">
        <x:v>Investissements TTC</x:v>
      </x:c>
      <x:c r="B13" s="302" t="n">
        <x:f>SUMIF('Investissements'!$E$6:$E$10,1,'Investissements'!$D$6:$D$10)</x:f>
        <x:v>162000</x:v>
      </x:c>
      <x:c r="C13" s="302" t="n">
        <x:f>SUMIF('Investissements'!$E$6:$E$10,2,'Investissements'!$D$6:$D$10)</x:f>
        <x:v>18000</x:v>
      </x:c>
      <x:c r="D13" s="302" t="n">
        <x:f>SUMIF('Investissements'!$E$6:$E$10,3,'Investissements'!$D$6:$D$10)</x:f>
        <x:v>48000</x:v>
      </x:c>
      <x:c r="E13" s="302" t="n">
        <x:f>SUMIF('Investissements'!$E$6:$E$10,4,'Investissements'!$D$6:$D$10)</x:f>
        <x:v>0</x:v>
      </x:c>
      <x:c r="F13" s="302" t="n">
        <x:f>SUMIF('Investissements'!$E$6:$E$10,5,'Investissements'!$D$6:$D$10)</x:f>
        <x:v>0</x:v>
      </x:c>
      <x:c r="G13" s="302" t="n">
        <x:f>SUMIF('Investissements'!$E$6:$E$10,6,'Investissements'!$D$6:$D$10)</x:f>
        <x:v>0</x:v>
      </x:c>
      <x:c r="H13" s="302" t="n">
        <x:f>SUMIF('Investissements'!$E$6:$E$10,7,'Investissements'!$D$6:$D$10)</x:f>
        <x:v>0</x:v>
      </x:c>
      <x:c r="I13" s="302" t="n">
        <x:f>SUMIF('Investissements'!$E$6:$E$10,8,'Investissements'!$D$6:$D$10)</x:f>
        <x:v>0</x:v>
      </x:c>
      <x:c r="J13" s="302" t="n">
        <x:f>SUMIF('Investissements'!$E$6:$E$10,9,'Investissements'!$D$6:$D$10)</x:f>
        <x:v>0</x:v>
      </x:c>
      <x:c r="K13" s="302" t="n">
        <x:f>SUMIF('Investissements'!$E$6:$E$10,10,'Investissements'!$D$6:$D$10)</x:f>
        <x:v>0</x:v>
      </x:c>
      <x:c r="L13" s="302" t="n">
        <x:f>SUMIF('Investissements'!$E$6:$E$10,11,'Investissements'!$D$6:$D$10)</x:f>
        <x:v>0</x:v>
      </x:c>
      <x:c r="M13" s="302" t="n">
        <x:f>SUMIF('Investissements'!$E$6:$E$10,12,'Investissements'!$D$6:$D$10)</x:f>
        <x:v>0</x:v>
      </x:c>
      <x:c r="N13" s="302" t="n">
        <x:f>SUM(B13:M13)</x:f>
        <x:v>228000</x:v>
      </x:c>
    </x:row>
    <x:row r="14">
      <x:c r="A14" s="301" t="str">
        <x:v>Remboursement d'emprunt</x:v>
      </x:c>
      <x:c r="B14" s="302" t="n">
        <x:f>'Emprunt'!C6</x:f>
        <x:v>2796.4528862274974</x:v>
      </x:c>
      <x:c r="C14" s="302" t="n">
        <x:f>'Emprunt'!C7</x:f>
        <x:v>2796.4528862274974</x:v>
      </x:c>
      <x:c r="D14" s="302" t="n">
        <x:f>'Emprunt'!C8</x:f>
        <x:v>2796.4528862274974</x:v>
      </x:c>
      <x:c r="E14" s="302" t="n">
        <x:f>'Emprunt'!C9</x:f>
        <x:v>2796.4528862274974</x:v>
      </x:c>
      <x:c r="F14" s="302" t="n">
        <x:f>'Emprunt'!C10</x:f>
        <x:v>2796.4528862274974</x:v>
      </x:c>
      <x:c r="G14" s="302" t="n">
        <x:f>'Emprunt'!C11</x:f>
        <x:v>2796.4528862274974</x:v>
      </x:c>
      <x:c r="H14" s="302" t="n">
        <x:f>'Emprunt'!C12</x:f>
        <x:v>2796.4528862274974</x:v>
      </x:c>
      <x:c r="I14" s="302" t="n">
        <x:f>'Emprunt'!C13</x:f>
        <x:v>2796.4528862274974</x:v>
      </x:c>
      <x:c r="J14" s="302" t="n">
        <x:f>'Emprunt'!C14</x:f>
        <x:v>2796.4528862274974</x:v>
      </x:c>
      <x:c r="K14" s="302" t="n">
        <x:f>'Emprunt'!C15</x:f>
        <x:v>2796.4528862274974</x:v>
      </x:c>
      <x:c r="L14" s="302" t="n">
        <x:f>'Emprunt'!C16</x:f>
        <x:v>2796.4528862274974</x:v>
      </x:c>
      <x:c r="M14" s="302" t="n">
        <x:f>'Emprunt'!C17</x:f>
        <x:v>2796.4528862274974</x:v>
      </x:c>
      <x:c r="N14" s="302" t="n">
        <x:f>SUM(B14:M14)</x:f>
        <x:v>33557.434634729965</x:v>
      </x:c>
    </x:row>
    <x:row r="15">
      <x:c r="A15" s="301" t="str">
        <x:v>Impôt sur les sociétés</x:v>
      </x:c>
      <x:c r="B15" s="302" t="n">
        <x:f>'Compte de résultat'!B15</x:f>
        <x:v>0</x:v>
      </x:c>
      <x:c r="C15" s="302" t="n">
        <x:f>'Compte de résultat'!C15</x:f>
        <x:v>0</x:v>
      </x:c>
      <x:c r="D15" s="302" t="n">
        <x:f>'Compte de résultat'!D15</x:f>
        <x:v>0</x:v>
      </x:c>
      <x:c r="E15" s="302" t="n">
        <x:f>'Compte de résultat'!E15</x:f>
        <x:v>0</x:v>
      </x:c>
      <x:c r="F15" s="302" t="n">
        <x:f>'Compte de résultat'!F15</x:f>
        <x:v>0</x:v>
      </x:c>
      <x:c r="G15" s="302" t="n">
        <x:f>'Compte de résultat'!G15</x:f>
        <x:v>0</x:v>
      </x:c>
      <x:c r="H15" s="302" t="n">
        <x:f>'Compte de résultat'!H15</x:f>
        <x:v>0</x:v>
      </x:c>
      <x:c r="I15" s="302" t="n">
        <x:f>'Compte de résultat'!I15</x:f>
        <x:v>0</x:v>
      </x:c>
      <x:c r="J15" s="302" t="n">
        <x:f>'Compte de résultat'!J15</x:f>
        <x:v>0</x:v>
      </x:c>
      <x:c r="K15" s="302" t="n">
        <x:f>'Compte de résultat'!K15</x:f>
        <x:v>0</x:v>
      </x:c>
      <x:c r="L15" s="302" t="n">
        <x:f>'Compte de résultat'!L15</x:f>
        <x:v>0</x:v>
      </x:c>
      <x:c r="M15" s="302" t="n">
        <x:f>'Compte de résultat'!M15</x:f>
        <x:v>0</x:v>
      </x:c>
      <x:c r="N15" s="302" t="n">
        <x:f>SUM(B15:M15)</x:f>
        <x:v>0</x:v>
      </x:c>
    </x:row>
    <x:row r="16">
      <x:c r="A16" s="389" t="str">
        <x:v>Total décaissements</x:v>
      </x:c>
      <x:c r="B16" s="390" t="n">
        <x:f>SUM(B11:B15)</x:f>
        <x:v>229956.4528862275</x:v>
      </x:c>
      <x:c r="C16" s="390" t="n">
        <x:f>SUM(C11:C15)</x:f>
        <x:v>86676.4528862275</x:v>
      </x:c>
      <x:c r="D16" s="390" t="n">
        <x:f>SUM(D11:D15)</x:f>
        <x:v>117418.05288622751</x:v>
      </x:c>
      <x:c r="E16" s="390" t="n">
        <x:f>SUM(E11:E15)</x:f>
        <x:v>70181.90088622751</x:v>
      </x:c>
      <x:c r="F16" s="390" t="n">
        <x:f>SUM(F11:F15)</x:f>
        <x:v>70968.6643262275</x:v>
      </x:c>
      <x:c r="G16" s="390" t="n">
        <x:f>SUM(G11:G15)</x:f>
        <x:v>71779.0306694275</x:v>
      </x:c>
      <x:c r="H16" s="390" t="n">
        <x:f>SUM(H11:H15)</x:f>
        <x:v>72613.70800292351</x:v>
      </x:c>
      <x:c r="I16" s="390" t="n">
        <x:f>SUM(I11:I15)</x:f>
        <x:v>73473.42565642438</x:v>
      </x:c>
      <x:c r="J16" s="390" t="n">
        <x:f>SUM(J11:J15)</x:f>
        <x:v>74358.9348395303</x:v>
      </x:c>
      <x:c r="K16" s="390" t="n">
        <x:f>SUM(K11:K15)</x:f>
        <x:v>75271.00929812939</x:v>
      </x:c>
      <x:c r="L16" s="390" t="n">
        <x:f>SUM(L11:L15)</x:f>
        <x:v>76210.44599048643</x:v>
      </x:c>
      <x:c r="M16" s="390" t="n">
        <x:f>SUM(M11:M15)</x:f>
        <x:v>77178.0657836142</x:v>
      </x:c>
      <x:c r="N16" s="390" t="n">
        <x:f>SUM(B16:M16)</x:f>
        <x:v>1096086.144111673</x:v>
      </x:c>
    </x:row>
    <x:row r="17">
      <x:c r="A17" s="301" t="str">
        <x:v>Flux net du mois</x:v>
      </x:c>
      <x:c r="B17" s="302" t="n">
        <x:f>B10-B16</x:f>
        <x:v>50043.54711377251</x:v>
      </x:c>
      <x:c r="C17" s="302" t="n">
        <x:f>C10-C16</x:f>
        <x:v>-25776.452886227504</x:v>
      </x:c>
      <x:c r="D17" s="302" t="n">
        <x:f>D10-D16</x:f>
        <x:v>-54691.05288622751</x:v>
      </x:c>
      <x:c r="E17" s="302" t="n">
        <x:f>E10-E16</x:f>
        <x:v>-5573.09088622751</x:v>
      </x:c>
      <x:c r="F17" s="302" t="n">
        <x:f>F10-F16</x:f>
        <x:v>-4421.590026227495</x:v>
      </x:c>
      <x:c r="G17" s="302" t="n">
        <x:f>G10-G16</x:f>
        <x:v>-3235.5441404274898</x:v>
      </x:c>
      <x:c r="H17" s="302" t="n">
        <x:f>H10-H16</x:f>
        <x:v>-2013.9168780534965</x:v>
      </x:c>
      <x:c r="I17" s="302" t="n">
        <x:f>I10-I16</x:f>
        <x:v>-755.6407978082716</x:v>
      </x:c>
      <x:c r="J17" s="302" t="n">
        <x:f>J10-J16</x:f>
        <x:v>540.3835648443055</x:v>
      </x:c>
      <x:c r="K17" s="302" t="n">
        <x:f>K10-K16</x:f>
        <x:v>1875.288658376463</x:v>
      </x:c>
      <x:c r="L17" s="302" t="n">
        <x:f>L10-L16</x:f>
        <x:v>3250.2409047145775</x:v>
      </x:c>
      <x:c r="M17" s="302" t="n">
        <x:f>M10-M16</x:f>
        <x:v>4666.441718442846</x:v>
      </x:c>
      <x:c r="N17" s="302" t="n">
        <x:f>SUM(B17:M17)</x:f>
        <x:v>-36091.386541048574</x:v>
      </x:c>
    </x:row>
    <x:row r="18">
      <x:c r="A18" s="364" t="str">
        <x:v>Trésorerie finale</x:v>
      </x:c>
      <x:c r="B18" s="365" t="n">
        <x:f>B6+B17</x:f>
        <x:v>130043.54711377251</x:v>
      </x:c>
      <x:c r="C18" s="365" t="n">
        <x:f>C6+C17</x:f>
        <x:v>104267.094227545</x:v>
      </x:c>
      <x:c r="D18" s="365" t="n">
        <x:f>D6+D17</x:f>
        <x:v>49576.0413413175</x:v>
      </x:c>
      <x:c r="E18" s="365" t="n">
        <x:f>E6+E17</x:f>
        <x:v>44002.95045508999</x:v>
      </x:c>
      <x:c r="F18" s="365" t="n">
        <x:f>F6+F17</x:f>
        <x:v>39581.36042886249</x:v>
      </x:c>
      <x:c r="G18" s="365" t="n">
        <x:f>G6+G17</x:f>
        <x:v>36345.816288435</x:v>
      </x:c>
      <x:c r="H18" s="365" t="n">
        <x:f>H6+H17</x:f>
        <x:v>34331.899410381506</x:v>
      </x:c>
      <x:c r="I18" s="365" t="n">
        <x:f>I6+I17</x:f>
        <x:v>33576.258612573234</x:v>
      </x:c>
      <x:c r="J18" s="365" t="n">
        <x:f>J6+J17</x:f>
        <x:v>34116.64217741754</x:v>
      </x:c>
      <x:c r="K18" s="365" t="n">
        <x:f>K6+K17</x:f>
        <x:v>35991.930835794</x:v>
      </x:c>
      <x:c r="L18" s="365" t="n">
        <x:f>L6+L17</x:f>
        <x:v>39242.17174050858</x:v>
      </x:c>
      <x:c r="M18" s="365" t="n">
        <x:f>M6+M17</x:f>
        <x:v>43908.613458951426</x:v>
      </x:c>
      <x:c r="N18" s="365" t="n">
        <x:f>M18</x:f>
        <x:v>43908.613458951426</x:v>
      </x:c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N2"/>
    <x:mergeCell ref="A3:N3"/>
  </x:mergeCells>
  <x:conditionalFormatting sqref="B18:N18">
    <x:cfRule type="expression" dxfId="0" priority="1">
      <x:formula>B18&lt;0</x:formula>
    </x:cfRule>
  </x:conditionalFormatting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7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28" customHeight="1">
      <x:c r="A1" s="395" t="str">
        <x:v>COMPTE DE RÉSULTAT PRÉVISIONNEL</x:v>
      </x:c>
      <x:c r="B1" s="395"/>
      <x:c r="C1" s="395"/>
      <x:c r="D1" s="395"/>
      <x:c r="E1" s="395"/>
      <x:c r="F1" s="395"/>
      <x:c r="G1" s="395"/>
      <x:c r="H1" s="395"/>
      <x:c r="I1" s="395"/>
      <x:c r="J1" s="395"/>
      <x:c r="K1" s="395"/>
      <x:c r="L1" s="395"/>
      <x:c r="M1" s="395"/>
      <x:c r="N1" s="395"/>
    </x:row>
    <x:row r="2" ht="28" customHeight="1">
      <x:c r="A2" s="395"/>
      <x:c r="B2" s="395"/>
      <x:c r="C2" s="395"/>
      <x:c r="D2" s="395"/>
      <x:c r="E2" s="395"/>
      <x:c r="F2" s="395"/>
      <x:c r="G2" s="395"/>
      <x:c r="H2" s="395"/>
      <x:c r="I2" s="395"/>
      <x:c r="J2" s="395"/>
      <x:c r="K2" s="395"/>
      <x:c r="L2" s="395"/>
      <x:c r="M2" s="395"/>
      <x:c r="N2" s="395"/>
    </x:row>
    <x:row r="3" ht="22" customHeight="1">
      <x:c r="A3" s="280" t="str">
        <x:v>Rentabilité mensuelle et annuelle</x:v>
      </x:c>
      <x:c r="B3" s="280"/>
      <x:c r="C3" s="280"/>
      <x:c r="D3" s="280"/>
      <x:c r="E3" s="280"/>
      <x:c r="F3" s="280"/>
      <x:c r="G3" s="280"/>
      <x:c r="H3" s="280"/>
      <x:c r="I3" s="280"/>
      <x:c r="J3" s="280"/>
      <x:c r="K3" s="280"/>
      <x:c r="L3" s="280"/>
      <x:c r="M3" s="280"/>
      <x:c r="N3" s="280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396" t="str">
        <x:v>Indicateur</x:v>
      </x:c>
      <x:c r="B5" s="396" t="str">
        <x:v>Jan</x:v>
      </x:c>
      <x:c r="C5" s="396" t="str">
        <x:v>Fév</x:v>
      </x:c>
      <x:c r="D5" s="396" t="str">
        <x:v>Mar</x:v>
      </x:c>
      <x:c r="E5" s="396" t="str">
        <x:v>Avr</x:v>
      </x:c>
      <x:c r="F5" s="396" t="str">
        <x:v>Mai</x:v>
      </x:c>
      <x:c r="G5" s="396" t="str">
        <x:v>Juin</x:v>
      </x:c>
      <x:c r="H5" s="396" t="str">
        <x:v>Juil</x:v>
      </x:c>
      <x:c r="I5" s="396" t="str">
        <x:v>Août</x:v>
      </x:c>
      <x:c r="J5" s="396" t="str">
        <x:v>Sept</x:v>
      </x:c>
      <x:c r="K5" s="396" t="str">
        <x:v>Oct</x:v>
      </x:c>
      <x:c r="L5" s="396" t="str">
        <x:v>Nov</x:v>
      </x:c>
      <x:c r="M5" s="396" t="str">
        <x:v>Déc</x:v>
      </x:c>
      <x:c r="N5" s="396" t="str">
        <x:v>Total annuel</x:v>
      </x:c>
    </x:row>
    <x:row r="6">
      <x:c r="A6" s="301" t="str">
        <x:v>Chiffre d'affaires HT</x:v>
      </x:c>
      <x:c r="B6" s="302" t="n">
        <x:f>'Chiffre d''affaires'!B7</x:f>
        <x:v>50000</x:v>
      </x:c>
      <x:c r="C6" s="302" t="n">
        <x:f>'Chiffre d''affaires'!C7</x:f>
        <x:v>51500</x:v>
      </x:c>
      <x:c r="D6" s="302" t="n">
        <x:f>'Chiffre d''affaires'!D7</x:f>
        <x:v>53045</x:v>
      </x:c>
      <x:c r="E6" s="302" t="n">
        <x:f>'Chiffre d''affaires'!E7</x:f>
        <x:v>54636.35</x:v>
      </x:c>
      <x:c r="F6" s="302" t="n">
        <x:f>'Chiffre d''affaires'!F7</x:f>
        <x:v>56275.440500000004</x:v>
      </x:c>
      <x:c r="G6" s="302" t="n">
        <x:f>'Chiffre d''affaires'!G7</x:f>
        <x:v>57963.703715</x:v>
      </x:c>
      <x:c r="H6" s="302" t="n">
        <x:f>'Chiffre d''affaires'!H7</x:f>
        <x:v>59702.61482645001</x:v>
      </x:c>
      <x:c r="I6" s="302" t="n">
        <x:f>'Chiffre d''affaires'!I7</x:f>
        <x:v>61493.69327124351</x:v>
      </x:c>
      <x:c r="J6" s="302" t="n">
        <x:f>'Chiffre d''affaires'!J7</x:f>
        <x:v>63338.50406938082</x:v>
      </x:c>
      <x:c r="K6" s="302" t="n">
        <x:f>'Chiffre d''affaires'!K7</x:f>
        <x:v>65238.65919146225</x:v>
      </x:c>
      <x:c r="L6" s="302" t="n">
        <x:f>'Chiffre d''affaires'!L7</x:f>
        <x:v>67195.81896720611</x:v>
      </x:c>
      <x:c r="M6" s="302" t="n">
        <x:f>'Chiffre d''affaires'!M7</x:f>
        <x:v>69211.6935362223</x:v>
      </x:c>
      <x:c r="N6" s="302" t="n">
        <x:f>SUM(B6:M6)</x:f>
        <x:v>709601.478076965</x:v>
      </x:c>
    </x:row>
    <x:row r="7">
      <x:c r="A7" s="301" t="str">
        <x:v>Achats consommés</x:v>
      </x:c>
      <x:c r="B7" s="302" t="n">
        <x:f>'Chiffre d''affaires'!B10</x:f>
        <x:v>20000</x:v>
      </x:c>
      <x:c r="C7" s="302" t="n">
        <x:f>'Chiffre d''affaires'!C10</x:f>
        <x:v>20600</x:v>
      </x:c>
      <x:c r="D7" s="302" t="n">
        <x:f>'Chiffre d''affaires'!D10</x:f>
        <x:v>21218</x:v>
      </x:c>
      <x:c r="E7" s="302" t="n">
        <x:f>'Chiffre d''affaires'!E10</x:f>
        <x:v>21854.54</x:v>
      </x:c>
      <x:c r="F7" s="302" t="n">
        <x:f>'Chiffre d''affaires'!F10</x:f>
        <x:v>22510.1762</x:v>
      </x:c>
      <x:c r="G7" s="302" t="n">
        <x:f>'Chiffre d''affaires'!G10</x:f>
        <x:v>23185.481486000004</x:v>
      </x:c>
      <x:c r="H7" s="302" t="n">
        <x:f>'Chiffre d''affaires'!H10</x:f>
        <x:v>23881.045930580003</x:v>
      </x:c>
      <x:c r="I7" s="302" t="n">
        <x:f>'Chiffre d''affaires'!I10</x:f>
        <x:v>24597.477308497404</x:v>
      </x:c>
      <x:c r="J7" s="302" t="n">
        <x:f>'Chiffre d''affaires'!J10</x:f>
        <x:v>25335.40162775233</x:v>
      </x:c>
      <x:c r="K7" s="302" t="n">
        <x:f>'Chiffre d''affaires'!K10</x:f>
        <x:v>26095.4636765849</x:v>
      </x:c>
      <x:c r="L7" s="302" t="n">
        <x:f>'Chiffre d''affaires'!L10</x:f>
        <x:v>26878.327586882446</x:v>
      </x:c>
      <x:c r="M7" s="302" t="n">
        <x:f>'Chiffre d''affaires'!M10</x:f>
        <x:v>27684.67741448892</x:v>
      </x:c>
      <x:c r="N7" s="302" t="n">
        <x:f>SUM(B7:M7)</x:f>
        <x:v>283840.59123078606</x:v>
      </x:c>
    </x:row>
    <x:row r="8">
      <x:c r="A8" s="403" t="str">
        <x:v>Marge brute</x:v>
      </x:c>
      <x:c r="B8" s="404" t="n">
        <x:f>B6-B7</x:f>
        <x:v>30000</x:v>
      </x:c>
      <x:c r="C8" s="404" t="n">
        <x:f>C6-C7</x:f>
        <x:v>30900</x:v>
      </x:c>
      <x:c r="D8" s="404" t="n">
        <x:f>D6-D7</x:f>
        <x:v>31827</x:v>
      </x:c>
      <x:c r="E8" s="404" t="n">
        <x:f>E6-E7</x:f>
        <x:v>32781.81</x:v>
      </x:c>
      <x:c r="F8" s="404" t="n">
        <x:f>F6-F7</x:f>
        <x:v>33765.2643</x:v>
      </x:c>
      <x:c r="G8" s="404" t="n">
        <x:f>G6-G7</x:f>
        <x:v>34778.222229</x:v>
      </x:c>
      <x:c r="H8" s="404" t="n">
        <x:f>H6-H7</x:f>
        <x:v>35821.568895870005</x:v>
      </x:c>
      <x:c r="I8" s="404" t="n">
        <x:f>I6-I7</x:f>
        <x:v>36896.21596274611</x:v>
      </x:c>
      <x:c r="J8" s="404" t="n">
        <x:f>J6-J7</x:f>
        <x:v>38003.10244162849</x:v>
      </x:c>
      <x:c r="K8" s="404" t="n">
        <x:f>K6-K7</x:f>
        <x:v>39143.19551487735</x:v>
      </x:c>
      <x:c r="L8" s="404" t="n">
        <x:f>L6-L7</x:f>
        <x:v>40317.49138032367</x:v>
      </x:c>
      <x:c r="M8" s="404" t="n">
        <x:f>M6-M7</x:f>
        <x:v>41527.01612173338</x:v>
      </x:c>
      <x:c r="N8" s="404" t="n">
        <x:f>SUM(B8:M8)</x:f>
        <x:v>425760.8868461789</x:v>
      </x:c>
    </x:row>
    <x:row r="9">
      <x:c r="A9" s="301" t="str">
        <x:v>Charges fixes</x:v>
      </x:c>
      <x:c r="B9" s="302" t="n">
        <x:f>'Charges'!B16</x:f>
        <x:v>41160</x:v>
      </x:c>
      <x:c r="C9" s="302" t="n">
        <x:f>'Charges'!C16</x:f>
        <x:v>41160</x:v>
      </x:c>
      <x:c r="D9" s="302" t="n">
        <x:f>'Charges'!D16</x:f>
        <x:v>41160</x:v>
      </x:c>
      <x:c r="E9" s="302" t="n">
        <x:f>'Charges'!E16</x:f>
        <x:v>41160</x:v>
      </x:c>
      <x:c r="F9" s="302" t="n">
        <x:f>'Charges'!F16</x:f>
        <x:v>41160</x:v>
      </x:c>
      <x:c r="G9" s="302" t="n">
        <x:f>'Charges'!G16</x:f>
        <x:v>41160</x:v>
      </x:c>
      <x:c r="H9" s="302" t="n">
        <x:f>'Charges'!H16</x:f>
        <x:v>41160</x:v>
      </x:c>
      <x:c r="I9" s="302" t="n">
        <x:f>'Charges'!I16</x:f>
        <x:v>41160</x:v>
      </x:c>
      <x:c r="J9" s="302" t="n">
        <x:f>'Charges'!J16</x:f>
        <x:v>41160</x:v>
      </x:c>
      <x:c r="K9" s="302" t="n">
        <x:f>'Charges'!K16</x:f>
        <x:v>41160</x:v>
      </x:c>
      <x:c r="L9" s="302" t="n">
        <x:f>'Charges'!L16</x:f>
        <x:v>41160</x:v>
      </x:c>
      <x:c r="M9" s="302" t="n">
        <x:f>'Charges'!M16</x:f>
        <x:v>41160</x:v>
      </x:c>
      <x:c r="N9" s="302" t="n">
        <x:f>SUM(B9:M9)</x:f>
        <x:v>493920</x:v>
      </x:c>
    </x:row>
    <x:row r="10">
      <x:c r="A10" s="403" t="str">
        <x:v>EBE / EBITDA</x:v>
      </x:c>
      <x:c r="B10" s="404" t="n">
        <x:f>B8-B9</x:f>
        <x:v>-11160</x:v>
      </x:c>
      <x:c r="C10" s="404" t="n">
        <x:f>C8-C9</x:f>
        <x:v>-10260</x:v>
      </x:c>
      <x:c r="D10" s="404" t="n">
        <x:f>D8-D9</x:f>
        <x:v>-9333</x:v>
      </x:c>
      <x:c r="E10" s="404" t="n">
        <x:f>E8-E9</x:f>
        <x:v>-8378.190000000002</x:v>
      </x:c>
      <x:c r="F10" s="404" t="n">
        <x:f>F8-F9</x:f>
        <x:v>-7394.735699999997</x:v>
      </x:c>
      <x:c r="G10" s="404" t="n">
        <x:f>G8-G9</x:f>
        <x:v>-6381.777771000001</x:v>
      </x:c>
      <x:c r="H10" s="404" t="n">
        <x:f>H8-H9</x:f>
        <x:v>-5338.431104129995</x:v>
      </x:c>
      <x:c r="I10" s="404" t="n">
        <x:f>I8-I9</x:f>
        <x:v>-4263.784037253892</x:v>
      </x:c>
      <x:c r="J10" s="404" t="n">
        <x:f>J8-J9</x:f>
        <x:v>-3156.8975583715073</x:v>
      </x:c>
      <x:c r="K10" s="404" t="n">
        <x:f>K8-K9</x:f>
        <x:v>-2016.8044851226514</x:v>
      </x:c>
      <x:c r="L10" s="404" t="n">
        <x:f>L8-L9</x:f>
        <x:v>-842.5086196763295</x:v>
      </x:c>
      <x:c r="M10" s="404" t="n">
        <x:f>M8-M9</x:f>
        <x:v>367.0161217333807</x:v>
      </x:c>
      <x:c r="N10" s="404" t="n">
        <x:f>SUM(B10:M10)</x:f>
        <x:v>-68159.11315382099</x:v>
      </x:c>
    </x:row>
    <x:row r="11">
      <x:c r="A11" s="301" t="str">
        <x:v>Dotations aux amortissements</x:v>
      </x:c>
      <x:c r="B11" s="302" t="n">
        <x:f>'Investissements'!$H$11/12</x:f>
        <x:v>3666.6666666666665</x:v>
      </x:c>
      <x:c r="C11" s="302" t="n">
        <x:f>'Investissements'!$H$11/12</x:f>
        <x:v>3666.6666666666665</x:v>
      </x:c>
      <x:c r="D11" s="302" t="n">
        <x:f>'Investissements'!$H$11/12</x:f>
        <x:v>3666.6666666666665</x:v>
      </x:c>
      <x:c r="E11" s="302" t="n">
        <x:f>'Investissements'!$H$11/12</x:f>
        <x:v>3666.6666666666665</x:v>
      </x:c>
      <x:c r="F11" s="302" t="n">
        <x:f>'Investissements'!$H$11/12</x:f>
        <x:v>3666.6666666666665</x:v>
      </x:c>
      <x:c r="G11" s="302" t="n">
        <x:f>'Investissements'!$H$11/12</x:f>
        <x:v>3666.6666666666665</x:v>
      </x:c>
      <x:c r="H11" s="302" t="n">
        <x:f>'Investissements'!$H$11/12</x:f>
        <x:v>3666.6666666666665</x:v>
      </x:c>
      <x:c r="I11" s="302" t="n">
        <x:f>'Investissements'!$H$11/12</x:f>
        <x:v>3666.6666666666665</x:v>
      </x:c>
      <x:c r="J11" s="302" t="n">
        <x:f>'Investissements'!$H$11/12</x:f>
        <x:v>3666.6666666666665</x:v>
      </x:c>
      <x:c r="K11" s="302" t="n">
        <x:f>'Investissements'!$H$11/12</x:f>
        <x:v>3666.6666666666665</x:v>
      </x:c>
      <x:c r="L11" s="302" t="n">
        <x:f>'Investissements'!$H$11/12</x:f>
        <x:v>3666.6666666666665</x:v>
      </x:c>
      <x:c r="M11" s="302" t="n">
        <x:f>'Investissements'!$H$11/12</x:f>
        <x:v>3666.6666666666665</x:v>
      </x:c>
      <x:c r="N11" s="302" t="n">
        <x:f>SUM(B11:M11)</x:f>
        <x:v>43999.99999999999</x:v>
      </x:c>
    </x:row>
    <x:row r="12">
      <x:c r="A12" s="403" t="str">
        <x:v>Résultat d'exploitation</x:v>
      </x:c>
      <x:c r="B12" s="404" t="n">
        <x:f>B10-B11</x:f>
        <x:v>-14826.666666666666</x:v>
      </x:c>
      <x:c r="C12" s="404" t="n">
        <x:f>C10-C11</x:f>
        <x:v>-13926.666666666666</x:v>
      </x:c>
      <x:c r="D12" s="404" t="n">
        <x:f>D10-D11</x:f>
        <x:v>-12999.666666666666</x:v>
      </x:c>
      <x:c r="E12" s="404" t="n">
        <x:f>E10-E11</x:f>
        <x:v>-12044.856666666668</x:v>
      </x:c>
      <x:c r="F12" s="404" t="n">
        <x:f>F10-F11</x:f>
        <x:v>-11061.402366666664</x:v>
      </x:c>
      <x:c r="G12" s="404" t="n">
        <x:f>G10-G11</x:f>
        <x:v>-10048.444437666667</x:v>
      </x:c>
      <x:c r="H12" s="404" t="n">
        <x:f>H10-H11</x:f>
        <x:v>-9005.097770796661</x:v>
      </x:c>
      <x:c r="I12" s="404" t="n">
        <x:f>I10-I11</x:f>
        <x:v>-7930.450703920558</x:v>
      </x:c>
      <x:c r="J12" s="404" t="n">
        <x:f>J10-J11</x:f>
        <x:v>-6823.564225038173</x:v>
      </x:c>
      <x:c r="K12" s="404" t="n">
        <x:f>K10-K11</x:f>
        <x:v>-5683.471151789317</x:v>
      </x:c>
      <x:c r="L12" s="404" t="n">
        <x:f>L10-L11</x:f>
        <x:v>-4509.175286342996</x:v>
      </x:c>
      <x:c r="M12" s="404" t="n">
        <x:f>M10-M11</x:f>
        <x:v>-3299.650544933286</x:v>
      </x:c>
      <x:c r="N12" s="404" t="n">
        <x:f>SUM(B12:M12)</x:f>
        <x:v>-112159.11315382102</x:v>
      </x:c>
    </x:row>
    <x:row r="13">
      <x:c r="A13" s="301" t="str">
        <x:v>Intérêts d'emprunt</x:v>
      </x:c>
      <x:c r="B13" s="302" t="n">
        <x:f>'Emprunt'!D6</x:f>
        <x:v>562.5</x:v>
      </x:c>
      <x:c r="C13" s="302" t="n">
        <x:f>'Emprunt'!D7</x:f>
        <x:v>554.1226766766468</x:v>
      </x:c>
      <x:c r="D13" s="302" t="n">
        <x:f>'Emprunt'!D8</x:f>
        <x:v>545.7139383908312</x:v>
      </x:c>
      <x:c r="E13" s="302" t="n">
        <x:f>'Emprunt'!D9</x:f>
        <x:v>537.2736673364437</x:v>
      </x:c>
      <x:c r="F13" s="302" t="n">
        <x:f>'Emprunt'!D10</x:f>
        <x:v>528.8017452656023</x:v>
      </x:c>
      <x:c r="G13" s="302" t="n">
        <x:f>'Emprunt'!D11</x:f>
        <x:v>520.2980534869953</x:v>
      </x:c>
      <x:c r="H13" s="302" t="n">
        <x:f>'Emprunt'!D12</x:f>
        <x:v>511.7624728642184</x:v>
      </x:c>
      <x:c r="I13" s="302" t="n">
        <x:f>'Emprunt'!D13</x:f>
        <x:v>503.1948838141061</x:v>
      </x:c>
      <x:c r="J13" s="302" t="n">
        <x:f>'Emprunt'!D14</x:f>
        <x:v>494.59516630505595</x:v>
      </x:c>
      <x:c r="K13" s="302" t="n">
        <x:f>'Emprunt'!D15</x:f>
        <x:v>485.96319985534683</x:v>
      </x:c>
      <x:c r="L13" s="302" t="n">
        <x:f>'Emprunt'!D16</x:f>
        <x:v>477.2988635314512</x:v>
      </x:c>
      <x:c r="M13" s="302" t="n">
        <x:f>'Emprunt'!D17</x:f>
        <x:v>468.602035946341</x:v>
      </x:c>
      <x:c r="N13" s="302" t="n">
        <x:f>SUM(B13:M13)</x:f>
        <x:v>6190.126703473039</x:v>
      </x:c>
    </x:row>
    <x:row r="14">
      <x:c r="A14" s="403" t="str">
        <x:v>Résultat avant impôt</x:v>
      </x:c>
      <x:c r="B14" s="404" t="n">
        <x:f>B12-B13</x:f>
        <x:v>-15389.166666666666</x:v>
      </x:c>
      <x:c r="C14" s="404" t="n">
        <x:f>C12-C13</x:f>
        <x:v>-14480.789343343313</x:v>
      </x:c>
      <x:c r="D14" s="404" t="n">
        <x:f>D12-D13</x:f>
        <x:v>-13545.380605057497</x:v>
      </x:c>
      <x:c r="E14" s="404" t="n">
        <x:f>E12-E13</x:f>
        <x:v>-12582.130334003112</x:v>
      </x:c>
      <x:c r="F14" s="404" t="n">
        <x:f>F12-F13</x:f>
        <x:v>-11590.204111932266</x:v>
      </x:c>
      <x:c r="G14" s="404" t="n">
        <x:f>G12-G13</x:f>
        <x:v>-10568.742491153662</x:v>
      </x:c>
      <x:c r="H14" s="404" t="n">
        <x:f>H12-H13</x:f>
        <x:v>-9516.86024366088</x:v>
      </x:c>
      <x:c r="I14" s="404" t="n">
        <x:f>I12-I13</x:f>
        <x:v>-8433.645587734663</x:v>
      </x:c>
      <x:c r="J14" s="404" t="n">
        <x:f>J12-J13</x:f>
        <x:v>-7318.15939134323</x:v>
      </x:c>
      <x:c r="K14" s="404" t="n">
        <x:f>K12-K13</x:f>
        <x:v>-6169.434351644664</x:v>
      </x:c>
      <x:c r="L14" s="404" t="n">
        <x:f>L12-L13</x:f>
        <x:v>-4986.474149874447</x:v>
      </x:c>
      <x:c r="M14" s="404" t="n">
        <x:f>M12-M13</x:f>
        <x:v>-3768.2525808796267</x:v>
      </x:c>
      <x:c r="N14" s="404" t="n">
        <x:f>SUM(B14:M14)</x:f>
        <x:v>-118349.23985729401</x:v>
      </x:c>
    </x:row>
    <x:row r="15">
      <x:c r="A15" s="301" t="str">
        <x:v>Impôt sur les sociétés</x:v>
      </x:c>
      <x:c r="B15" s="302" t="n">
        <x:f>MAX(0,B14*'Hypothèses'!$C$15)</x:f>
        <x:v>0</x:v>
      </x:c>
      <x:c r="C15" s="302" t="n">
        <x:f>MAX(0,C14*'Hypothèses'!$C$15)</x:f>
        <x:v>0</x:v>
      </x:c>
      <x:c r="D15" s="302" t="n">
        <x:f>MAX(0,D14*'Hypothèses'!$C$15)</x:f>
        <x:v>0</x:v>
      </x:c>
      <x:c r="E15" s="302" t="n">
        <x:f>MAX(0,E14*'Hypothèses'!$C$15)</x:f>
        <x:v>0</x:v>
      </x:c>
      <x:c r="F15" s="302" t="n">
        <x:f>MAX(0,F14*'Hypothèses'!$C$15)</x:f>
        <x:v>0</x:v>
      </x:c>
      <x:c r="G15" s="302" t="n">
        <x:f>MAX(0,G14*'Hypothèses'!$C$15)</x:f>
        <x:v>0</x:v>
      </x:c>
      <x:c r="H15" s="302" t="n">
        <x:f>MAX(0,H14*'Hypothèses'!$C$15)</x:f>
        <x:v>0</x:v>
      </x:c>
      <x:c r="I15" s="302" t="n">
        <x:f>MAX(0,I14*'Hypothèses'!$C$15)</x:f>
        <x:v>0</x:v>
      </x:c>
      <x:c r="J15" s="302" t="n">
        <x:f>MAX(0,J14*'Hypothèses'!$C$15)</x:f>
        <x:v>0</x:v>
      </x:c>
      <x:c r="K15" s="302" t="n">
        <x:f>MAX(0,K14*'Hypothèses'!$C$15)</x:f>
        <x:v>0</x:v>
      </x:c>
      <x:c r="L15" s="302" t="n">
        <x:f>MAX(0,L14*'Hypothèses'!$C$15)</x:f>
        <x:v>0</x:v>
      </x:c>
      <x:c r="M15" s="302" t="n">
        <x:f>MAX(0,M14*'Hypothèses'!$C$15)</x:f>
        <x:v>0</x:v>
      </x:c>
      <x:c r="N15" s="302" t="n">
        <x:f>SUM(B15:M15)</x:f>
        <x:v>0</x:v>
      </x:c>
    </x:row>
    <x:row r="16">
      <x:c r="A16" s="403" t="str">
        <x:v>Résultat net</x:v>
      </x:c>
      <x:c r="B16" s="404" t="n">
        <x:f>B14-B15</x:f>
        <x:v>-15389.166666666666</x:v>
      </x:c>
      <x:c r="C16" s="404" t="n">
        <x:f>C14-C15</x:f>
        <x:v>-14480.789343343313</x:v>
      </x:c>
      <x:c r="D16" s="404" t="n">
        <x:f>D14-D15</x:f>
        <x:v>-13545.380605057497</x:v>
      </x:c>
      <x:c r="E16" s="404" t="n">
        <x:f>E14-E15</x:f>
        <x:v>-12582.130334003112</x:v>
      </x:c>
      <x:c r="F16" s="404" t="n">
        <x:f>F14-F15</x:f>
        <x:v>-11590.204111932266</x:v>
      </x:c>
      <x:c r="G16" s="404" t="n">
        <x:f>G14-G15</x:f>
        <x:v>-10568.742491153662</x:v>
      </x:c>
      <x:c r="H16" s="404" t="n">
        <x:f>H14-H15</x:f>
        <x:v>-9516.86024366088</x:v>
      </x:c>
      <x:c r="I16" s="404" t="n">
        <x:f>I14-I15</x:f>
        <x:v>-8433.645587734663</x:v>
      </x:c>
      <x:c r="J16" s="404" t="n">
        <x:f>J14-J15</x:f>
        <x:v>-7318.15939134323</x:v>
      </x:c>
      <x:c r="K16" s="404" t="n">
        <x:f>K14-K15</x:f>
        <x:v>-6169.434351644664</x:v>
      </x:c>
      <x:c r="L16" s="404" t="n">
        <x:f>L14-L15</x:f>
        <x:v>-4986.474149874447</x:v>
      </x:c>
      <x:c r="M16" s="404" t="n">
        <x:f>M14-M15</x:f>
        <x:v>-3768.2525808796267</x:v>
      </x:c>
      <x:c r="N16" s="404" t="n">
        <x:f>SUM(B16:M16)</x:f>
        <x:v>-118349.23985729401</x:v>
      </x:c>
    </x:row>
    <x:row r="17">
      <x:c r="A17" s="301"/>
      <x:c r="B17" s="301"/>
      <x:c r="C17" s="301"/>
      <x:c r="D17" s="301"/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/>
      <x:c r="B18" s="301"/>
      <x:c r="C18" s="301"/>
      <x:c r="D18" s="301"/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N2"/>
    <x:mergeCell ref="A3:N3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</x:cols>
  <x:sheetData>
    <x:row r="1" ht="28" customHeight="1">
      <x:c r="A1" s="279" t="str">
        <x:v>BILAN PRÉVISIONNEL – FIN D’ANNÉE</x:v>
      </x:c>
      <x:c r="B1" s="279"/>
      <x:c r="C1" s="279"/>
      <x:c r="D1" s="279"/>
      <x:c r="E1" s="279"/>
      <x:c r="F1" s="279"/>
      <x:c r="G1" s="301"/>
      <x:c r="H1" s="301"/>
      <x:c r="I1" s="301"/>
      <x:c r="J1" s="301"/>
      <x:c r="K1" s="301"/>
      <x:c r="L1" s="301"/>
      <x:c r="M1" s="301"/>
      <x:c r="N1" s="301"/>
    </x:row>
    <x:row r="2" ht="28" customHeight="1">
      <x:c r="A2" s="279"/>
      <x:c r="B2" s="279"/>
      <x:c r="C2" s="279"/>
      <x:c r="D2" s="279"/>
      <x:c r="E2" s="279"/>
      <x:c r="F2" s="279"/>
      <x:c r="G2" s="301"/>
      <x:c r="H2" s="301"/>
      <x:c r="I2" s="301"/>
      <x:c r="J2" s="301"/>
      <x:c r="K2" s="301"/>
      <x:c r="L2" s="301"/>
      <x:c r="M2" s="301"/>
      <x:c r="N2" s="301"/>
    </x:row>
    <x:row r="3" ht="22" customHeight="1">
      <x:c r="A3" s="407" t="str">
        <x:v>Vision synthétique de l’actif, du passif et de l’équilibre financier</x:v>
      </x:c>
      <x:c r="B3" s="407"/>
      <x:c r="C3" s="407"/>
      <x:c r="D3" s="407"/>
      <x:c r="E3" s="407"/>
      <x:c r="F3" s="407"/>
      <x:c r="G3" s="301"/>
      <x:c r="H3" s="301"/>
      <x:c r="I3" s="301"/>
      <x:c r="J3" s="301"/>
      <x:c r="K3" s="301"/>
      <x:c r="L3" s="301"/>
      <x:c r="M3" s="301"/>
      <x:c r="N3" s="301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408" t="str">
        <x:v>ACTIF</x:v>
      </x:c>
      <x:c r="B5" s="408" t="str">
        <x:v>Montant</x:v>
      </x:c>
      <x:c r="C5" s="408" t="str">
        <x:v>PASSIF</x:v>
      </x:c>
      <x:c r="D5" s="408" t="str">
        <x:v>Montant</x:v>
      </x:c>
      <x:c r="E5" s="408" t="str"/>
      <x:c r="F5" s="408" t="str"/>
      <x:c r="G5" s="301"/>
      <x:c r="H5" s="301"/>
      <x:c r="I5" s="301"/>
      <x:c r="J5" s="301"/>
      <x:c r="K5" s="301"/>
      <x:c r="L5" s="301"/>
      <x:c r="M5" s="301"/>
      <x:c r="N5" s="301"/>
    </x:row>
    <x:row r="6">
      <x:c r="A6" s="301" t="str">
        <x:v>Immobilisations nettes</x:v>
      </x:c>
      <x:c r="B6" s="302" t="n">
        <x:f>'Investissements'!$B$11-'Compte de résultat'!N11</x:f>
        <x:v>146000</x:v>
      </x:c>
      <x:c r="C6" s="301" t="str">
        <x:v>Capital</x:v>
      </x:c>
      <x:c r="D6" s="302" t="n">
        <x:f>'Hypothèses'!$C$17</x:f>
        <x:v>100000</x:v>
      </x:c>
      <x:c r="E6" s="301"/>
      <x:c r="F6" s="301"/>
      <x:c r="G6" s="301"/>
      <x:c r="H6" s="301"/>
      <x:c r="I6" s="301"/>
      <x:c r="J6" s="301"/>
      <x:c r="K6" s="301"/>
      <x:c r="L6" s="301"/>
      <x:c r="M6" s="301"/>
      <x:c r="N6" s="301"/>
    </x:row>
    <x:row r="7">
      <x:c r="A7" s="301" t="str">
        <x:v>Stocks</x:v>
      </x:c>
      <x:c r="B7" s="302" t="n">
        <x:f>'Hypothèses'!$C$11</x:f>
        <x:v>30</x:v>
      </x:c>
      <x:c r="C7" s="301" t="str">
        <x:v>Résultat net</x:v>
      </x:c>
      <x:c r="D7" s="302" t="n">
        <x:f>'Compte de résultat'!N16</x:f>
        <x:v>-118349.23985729401</x:v>
      </x:c>
      <x:c r="E7" s="301"/>
      <x:c r="F7" s="301"/>
      <x:c r="G7" s="301"/>
      <x:c r="H7" s="301"/>
      <x:c r="I7" s="301"/>
      <x:c r="J7" s="301"/>
      <x:c r="K7" s="301"/>
      <x:c r="L7" s="301"/>
      <x:c r="M7" s="301"/>
      <x:c r="N7" s="301"/>
    </x:row>
    <x:row r="8">
      <x:c r="A8" s="301" t="str">
        <x:v>Créances clients</x:v>
      </x:c>
      <x:c r="B8" s="302" t="n">
        <x:f>'Chiffre d''affaires'!M9*50%</x:f>
        <x:v>41527.01612173338</x:v>
      </x:c>
      <x:c r="C8" s="301" t="str">
        <x:v>Emprunt restant</x:v>
      </x:c>
      <x:c r="D8" s="302" t="n">
        <x:f>'Emprunt'!F17</x:f>
        <x:v>122632.69206874313</x:v>
      </x:c>
      <x:c r="E8" s="301"/>
      <x:c r="F8" s="301"/>
      <x:c r="G8" s="301"/>
      <x:c r="H8" s="301"/>
      <x:c r="I8" s="301"/>
      <x:c r="J8" s="301"/>
      <x:c r="K8" s="301"/>
      <x:c r="L8" s="301"/>
      <x:c r="M8" s="301"/>
      <x:c r="N8" s="301"/>
    </x:row>
    <x:row r="9">
      <x:c r="A9" s="301" t="str">
        <x:v>Trésorerie</x:v>
      </x:c>
      <x:c r="B9" s="302" t="n">
        <x:f>'Trésorerie'!N18</x:f>
        <x:v>43908.613458951426</x:v>
      </x:c>
      <x:c r="C9" s="301" t="str">
        <x:v>Dettes fournisseurs</x:v>
      </x:c>
      <x:c r="D9" s="302" t="n">
        <x:f>'Chiffre d''affaires'!M10*(1+'Hypothèses'!$C$21)*50%</x:f>
        <x:v>16610.80644869335</x:v>
      </x:c>
      <x:c r="E9" s="301"/>
      <x:c r="F9" s="301"/>
      <x:c r="G9" s="301"/>
      <x:c r="H9" s="301"/>
      <x:c r="I9" s="301"/>
      <x:c r="J9" s="301"/>
      <x:c r="K9" s="301"/>
      <x:c r="L9" s="301"/>
      <x:c r="M9" s="301"/>
      <x:c r="N9" s="301"/>
    </x:row>
    <x:row r="10">
      <x:c r="A10" s="364" t="str">
        <x:v>TOTAL ACTIF</x:v>
      </x:c>
      <x:c r="B10" s="365" t="n">
        <x:f>SUM(B6:B9)</x:f>
        <x:v>231465.62958068482</x:v>
      </x:c>
      <x:c r="C10" s="364" t="str">
        <x:v>TOTAL PASSIF</x:v>
      </x:c>
      <x:c r="D10" s="365" t="n">
        <x:f>SUM(D6:D9)</x:f>
        <x:v>120894.25866014246</x:v>
      </x:c>
      <x:c r="E10" s="301"/>
      <x:c r="F10" s="301"/>
      <x:c r="G10" s="301"/>
      <x:c r="H10" s="301"/>
      <x:c r="I10" s="301"/>
      <x:c r="J10" s="301"/>
      <x:c r="K10" s="301"/>
      <x:c r="L10" s="301"/>
      <x:c r="M10" s="301"/>
      <x:c r="N10" s="301"/>
    </x:row>
    <x:row r="11">
      <x:c r="A11" s="301"/>
      <x:c r="B11" s="301"/>
      <x:c r="C11" s="301"/>
      <x:c r="D11" s="301"/>
      <x:c r="E11" s="301"/>
      <x:c r="F11" s="301"/>
      <x:c r="G11" s="301"/>
      <x:c r="H11" s="301"/>
      <x:c r="I11" s="301"/>
      <x:c r="J11" s="301"/>
      <x:c r="K11" s="301"/>
      <x:c r="L11" s="301"/>
      <x:c r="M11" s="301"/>
      <x:c r="N11" s="301"/>
    </x:row>
    <x:row r="12">
      <x:c r="A12" s="301" t="str">
        <x:v>Contrôle d'équilibre</x:v>
      </x:c>
      <x:c r="B12" s="301" t="str"/>
      <x:c r="C12" s="301" t="str">
        <x:v>Écart Actif - Passif</x:v>
      </x:c>
      <x:c r="D12" s="302" t="n">
        <x:f>B10-D10</x:f>
        <x:v>110571.37092054237</x:v>
      </x:c>
      <x:c r="E12" s="301"/>
      <x:c r="F12" s="301"/>
      <x:c r="G12" s="301"/>
      <x:c r="H12" s="301"/>
      <x:c r="I12" s="301"/>
      <x:c r="J12" s="301"/>
      <x:c r="K12" s="301"/>
      <x:c r="L12" s="301"/>
      <x:c r="M12" s="301"/>
      <x:c r="N12" s="301"/>
    </x:row>
    <x:row r="13">
      <x:c r="A13" s="301"/>
      <x:c r="B13" s="301"/>
      <x:c r="C13" s="301"/>
      <x:c r="D13" s="301"/>
      <x:c r="E13" s="301"/>
      <x:c r="F13" s="301"/>
      <x:c r="G13" s="301"/>
      <x:c r="H13" s="301"/>
      <x:c r="I13" s="301"/>
      <x:c r="J13" s="301"/>
      <x:c r="K13" s="301"/>
      <x:c r="L13" s="301"/>
      <x:c r="M13" s="301"/>
      <x:c r="N13" s="301"/>
    </x:row>
    <x:row r="14">
      <x:c r="A14" s="301"/>
      <x:c r="B14" s="301"/>
      <x:c r="C14" s="301"/>
      <x:c r="D14" s="301"/>
      <x:c r="E14" s="301"/>
      <x:c r="F14" s="301"/>
      <x:c r="G14" s="301"/>
      <x:c r="H14" s="301"/>
      <x:c r="I14" s="301"/>
      <x:c r="J14" s="301"/>
      <x:c r="K14" s="301"/>
      <x:c r="L14" s="301"/>
      <x:c r="M14" s="301"/>
      <x:c r="N14" s="301"/>
    </x:row>
    <x:row r="15">
      <x:c r="A15" s="301"/>
      <x:c r="B15" s="301"/>
      <x:c r="C15" s="301"/>
      <x:c r="D15" s="301"/>
      <x:c r="E15" s="301"/>
      <x:c r="F15" s="301"/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/>
      <x:c r="B16" s="301"/>
      <x:c r="C16" s="301"/>
      <x:c r="D16" s="301"/>
      <x:c r="E16" s="301"/>
      <x:c r="F16" s="301"/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/>
      <x:c r="B17" s="301"/>
      <x:c r="C17" s="301"/>
      <x:c r="D17" s="301"/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/>
      <x:c r="B18" s="301"/>
      <x:c r="C18" s="301"/>
      <x:c r="D18" s="301"/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/>
      <x:c r="B19" s="301"/>
      <x:c r="C19" s="301"/>
      <x:c r="D19" s="301"/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F2"/>
    <x:mergeCell ref="A3:F3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6" hidden="0" customWidth="1"/>
    <x:col min="3" max="3" width="30" hidden="0" customWidth="1"/>
    <x:col min="4" max="4" width="16" hidden="0" customWidth="1"/>
  </x:cols>
  <x:sheetData>
    <x:row r="1" ht="28" customHeight="1">
      <x:c r="A1" s="411" t="str">
        <x:v>INDICATEURS FINANCIERS CLÉS</x:v>
      </x:c>
      <x:c r="B1" s="411"/>
      <x:c r="C1" s="411"/>
      <x:c r="D1" s="411"/>
      <x:c r="E1" s="411"/>
      <x:c r="F1" s="411"/>
      <x:c r="G1" s="411"/>
      <x:c r="H1" s="411"/>
      <x:c r="I1" s="301"/>
      <x:c r="J1" s="301"/>
      <x:c r="K1" s="301"/>
      <x:c r="L1" s="301"/>
      <x:c r="M1" s="301"/>
      <x:c r="N1" s="301"/>
    </x:row>
    <x:row r="2" ht="28" customHeight="1">
      <x:c r="A2" s="411"/>
      <x:c r="B2" s="411"/>
      <x:c r="C2" s="411"/>
      <x:c r="D2" s="411"/>
      <x:c r="E2" s="411"/>
      <x:c r="F2" s="411"/>
      <x:c r="G2" s="411"/>
      <x:c r="H2" s="411"/>
      <x:c r="I2" s="301"/>
      <x:c r="J2" s="301"/>
      <x:c r="K2" s="301"/>
      <x:c r="L2" s="301"/>
      <x:c r="M2" s="301"/>
      <x:c r="N2" s="301"/>
    </x:row>
    <x:row r="3" ht="22" customHeight="1">
      <x:c r="A3" s="336" t="str">
        <x:v>Synthèse automatique de la performance et de la solidité financière</x:v>
      </x:c>
      <x:c r="B3" s="336"/>
      <x:c r="C3" s="336"/>
      <x:c r="D3" s="336"/>
      <x:c r="E3" s="336"/>
      <x:c r="F3" s="336"/>
      <x:c r="G3" s="336"/>
      <x:c r="H3" s="336"/>
      <x:c r="I3" s="301"/>
      <x:c r="J3" s="301"/>
      <x:c r="K3" s="301"/>
      <x:c r="L3" s="301"/>
      <x:c r="M3" s="301"/>
      <x:c r="N3" s="301"/>
    </x:row>
    <x:row r="4">
      <x:c r="A4" s="301"/>
      <x:c r="B4" s="301"/>
      <x:c r="C4" s="301"/>
      <x:c r="D4" s="301"/>
      <x:c r="E4" s="301"/>
      <x:c r="F4" s="301"/>
      <x:c r="G4" s="301"/>
      <x:c r="H4" s="301"/>
      <x:c r="I4" s="301"/>
      <x:c r="J4" s="301"/>
      <x:c r="K4" s="301"/>
      <x:c r="L4" s="301"/>
      <x:c r="M4" s="301"/>
      <x:c r="N4" s="301"/>
    </x:row>
    <x:row r="5">
      <x:c r="A5" s="412" t="str">
        <x:v>KPI</x:v>
      </x:c>
      <x:c r="B5" s="412" t="str">
        <x:v>Valeur</x:v>
      </x:c>
      <x:c r="C5" s="412" t="str">
        <x:v>Objectif / lecture</x:v>
      </x:c>
      <x:c r="D5" s="412" t="str">
        <x:v>Statut</x:v>
      </x:c>
      <x:c r="E5" s="301"/>
      <x:c r="F5" s="301"/>
      <x:c r="G5" s="301"/>
      <x:c r="H5" s="301"/>
      <x:c r="I5" s="301"/>
      <x:c r="J5" s="301"/>
      <x:c r="K5" s="301"/>
      <x:c r="L5" s="301"/>
      <x:c r="M5" s="301"/>
      <x:c r="N5" s="301"/>
    </x:row>
    <x:row r="6">
      <x:c r="A6" s="301" t="str">
        <x:v>Chiffre d'affaires annuel</x:v>
      </x:c>
      <x:c r="B6" s="302" t="n">
        <x:f>'Compte de résultat'!N6</x:f>
        <x:v>709601.478076965</x:v>
      </x:c>
      <x:c r="C6" s="301" t="str">
        <x:v>Croissance cohérente</x:v>
      </x:c>
      <x:c r="D6" s="301" t="str">
        <x:f>IF(B6&gt;0,"OK","À surveiller")</x:f>
        <x:v>OK</x:v>
      </x:c>
      <x:c r="E6" s="301"/>
      <x:c r="F6" s="301"/>
      <x:c r="G6" s="301"/>
      <x:c r="H6" s="301"/>
      <x:c r="I6" s="301"/>
      <x:c r="J6" s="301"/>
      <x:c r="K6" s="301"/>
      <x:c r="L6" s="301"/>
      <x:c r="M6" s="301"/>
      <x:c r="N6" s="301"/>
    </x:row>
    <x:row r="7">
      <x:c r="A7" s="301" t="str">
        <x:v>Marge brute</x:v>
      </x:c>
      <x:c r="B7" s="302" t="n">
        <x:f>'Compte de résultat'!N8</x:f>
        <x:v>425760.8868461789</x:v>
      </x:c>
      <x:c r="C7" s="301" t="str">
        <x:v>Supérieure aux charges variables</x:v>
      </x:c>
      <x:c r="D7" s="301" t="str">
        <x:f>IF(B7&gt;0,"OK","À surveiller")</x:f>
        <x:v>OK</x:v>
      </x:c>
      <x:c r="E7" s="301"/>
      <x:c r="F7" s="301"/>
      <x:c r="G7" s="301"/>
      <x:c r="H7" s="301"/>
      <x:c r="I7" s="301"/>
      <x:c r="J7" s="301"/>
      <x:c r="K7" s="301"/>
      <x:c r="L7" s="301"/>
      <x:c r="M7" s="301"/>
      <x:c r="N7" s="301"/>
    </x:row>
    <x:row r="8">
      <x:c r="A8" s="301" t="str">
        <x:v>Taux de marge brute</x:v>
      </x:c>
      <x:c r="B8" s="421" t="n">
        <x:f>IFERROR(B7/B6,0)</x:f>
        <x:v>0.5999999999999999</x:v>
      </x:c>
      <x:c r="C8" s="301" t="str">
        <x:v>&gt; 40 % recommandé</x:v>
      </x:c>
      <x:c r="D8" s="301" t="str">
        <x:f>IF(B8&gt;0,"OK","À surveiller")</x:f>
        <x:v>OK</x:v>
      </x:c>
      <x:c r="E8" s="301"/>
      <x:c r="F8" s="301"/>
      <x:c r="G8" s="301"/>
      <x:c r="H8" s="301"/>
      <x:c r="I8" s="301"/>
      <x:c r="J8" s="301"/>
      <x:c r="K8" s="301"/>
      <x:c r="L8" s="301"/>
      <x:c r="M8" s="301"/>
      <x:c r="N8" s="301"/>
    </x:row>
    <x:row r="9">
      <x:c r="A9" s="301" t="str">
        <x:v>EBE / EBITDA</x:v>
      </x:c>
      <x:c r="B9" s="302" t="n">
        <x:f>'Compte de résultat'!N10</x:f>
        <x:v>-68159.11315382099</x:v>
      </x:c>
      <x:c r="C9" s="301" t="str">
        <x:v>Positif</x:v>
      </x:c>
      <x:c r="D9" s="301" t="str">
        <x:f>IF(B9&gt;0,"OK","À surveiller")</x:f>
        <x:v>À surveiller</x:v>
      </x:c>
      <x:c r="E9" s="301"/>
      <x:c r="F9" s="301"/>
      <x:c r="G9" s="301"/>
      <x:c r="H9" s="301"/>
      <x:c r="I9" s="301"/>
      <x:c r="J9" s="301"/>
      <x:c r="K9" s="301"/>
      <x:c r="L9" s="301"/>
      <x:c r="M9" s="301"/>
      <x:c r="N9" s="301"/>
    </x:row>
    <x:row r="10">
      <x:c r="A10" s="301" t="str">
        <x:v>Marge EBITDA</x:v>
      </x:c>
      <x:c r="B10" s="421" t="n">
        <x:f>IFERROR(B9/B6,0)</x:f>
        <x:v>-0.09605266513611785</x:v>
      </x:c>
      <x:c r="C10" s="301" t="str">
        <x:v>À suivre</x:v>
      </x:c>
      <x:c r="D10" s="301" t="str">
        <x:f>IF(B10&gt;0,"OK","À surveiller")</x:f>
        <x:v>À surveiller</x:v>
      </x:c>
      <x:c r="E10" s="301"/>
      <x:c r="F10" s="301"/>
      <x:c r="G10" s="301"/>
      <x:c r="H10" s="301"/>
      <x:c r="I10" s="301"/>
      <x:c r="J10" s="301"/>
      <x:c r="K10" s="301"/>
      <x:c r="L10" s="301"/>
      <x:c r="M10" s="301"/>
      <x:c r="N10" s="301"/>
    </x:row>
    <x:row r="11">
      <x:c r="A11" s="301" t="str">
        <x:v>Résultat net</x:v>
      </x:c>
      <x:c r="B11" s="302" t="n">
        <x:f>'Compte de résultat'!N16</x:f>
        <x:v>-118349.23985729401</x:v>
      </x:c>
      <x:c r="C11" s="301" t="str">
        <x:v>Positif</x:v>
      </x:c>
      <x:c r="D11" s="301" t="str">
        <x:f>IF(B11&gt;0,"OK","À surveiller")</x:f>
        <x:v>À surveiller</x:v>
      </x:c>
      <x:c r="E11" s="301"/>
      <x:c r="F11" s="301"/>
      <x:c r="G11" s="301"/>
      <x:c r="H11" s="301"/>
      <x:c r="I11" s="301"/>
      <x:c r="J11" s="301"/>
      <x:c r="K11" s="301"/>
      <x:c r="L11" s="301"/>
      <x:c r="M11" s="301"/>
      <x:c r="N11" s="301"/>
    </x:row>
    <x:row r="12">
      <x:c r="A12" s="301" t="str">
        <x:v>Marge nette</x:v>
      </x:c>
      <x:c r="B12" s="421" t="n">
        <x:f>IFERROR(B11/B6,0)</x:f>
        <x:v>-0.16678268508969704</x:v>
      </x:c>
      <x:c r="C12" s="301" t="str">
        <x:v>À suivre</x:v>
      </x:c>
      <x:c r="D12" s="301" t="str">
        <x:f>IF(B12&gt;0,"OK","À surveiller")</x:f>
        <x:v>À surveiller</x:v>
      </x:c>
      <x:c r="E12" s="301"/>
      <x:c r="F12" s="301"/>
      <x:c r="G12" s="301"/>
      <x:c r="H12" s="301"/>
      <x:c r="I12" s="301"/>
      <x:c r="J12" s="301"/>
      <x:c r="K12" s="301"/>
      <x:c r="L12" s="301"/>
      <x:c r="M12" s="301"/>
      <x:c r="N12" s="301"/>
    </x:row>
    <x:row r="13">
      <x:c r="A13" s="301" t="str">
        <x:v>CAF simplifiée</x:v>
      </x:c>
      <x:c r="B13" s="302" t="n">
        <x:f>B11+'Compte de résultat'!N11</x:f>
        <x:v>-74349.23985729401</x:v>
      </x:c>
      <x:c r="C13" s="301" t="str">
        <x:v>Capacité d'autofinancement</x:v>
      </x:c>
      <x:c r="D13" s="301" t="str">
        <x:f>IF(B13&gt;0,"OK","À surveiller")</x:f>
        <x:v>À surveiller</x:v>
      </x:c>
      <x:c r="E13" s="301"/>
      <x:c r="F13" s="301"/>
      <x:c r="G13" s="301"/>
      <x:c r="H13" s="301"/>
      <x:c r="I13" s="301"/>
      <x:c r="J13" s="301"/>
      <x:c r="K13" s="301"/>
      <x:c r="L13" s="301"/>
      <x:c r="M13" s="301"/>
      <x:c r="N13" s="301"/>
    </x:row>
    <x:row r="14">
      <x:c r="A14" s="301" t="str">
        <x:v>BFR estimé</x:v>
      </x:c>
      <x:c r="B14" s="302" t="n">
        <x:f>'Hypothèses'!$C$11+('Chiffre d''affaires'!N7/365*'Hypothèses'!$C$10)-('Chiffre d''affaires'!N10/365*'Hypothèses'!$C$11)</x:f>
        <x:v>35024.04549420648</x:v>
      </x:c>
      <x:c r="C14" s="301" t="str">
        <x:v>À financer si positif</x:v>
      </x:c>
      <x:c r="D14" s="301" t="str">
        <x:f>IF(B14&gt;0,"OK","À surveiller")</x:f>
        <x:v>OK</x:v>
      </x:c>
      <x:c r="E14" s="301"/>
      <x:c r="F14" s="301"/>
      <x:c r="G14" s="301"/>
      <x:c r="H14" s="301"/>
      <x:c r="I14" s="301"/>
      <x:c r="J14" s="301"/>
      <x:c r="K14" s="301"/>
      <x:c r="L14" s="301"/>
      <x:c r="M14" s="301"/>
      <x:c r="N14" s="301"/>
    </x:row>
    <x:row r="15">
      <x:c r="A15" s="301" t="str">
        <x:v>Trésorerie de fin d'année</x:v>
      </x:c>
      <x:c r="B15" s="302" t="n">
        <x:f>'Trésorerie'!N18</x:f>
        <x:v>43908.613458951426</x:v>
      </x:c>
      <x:c r="C15" s="301" t="str">
        <x:v>&gt; 0 €</x:v>
      </x:c>
      <x:c r="D15" s="301" t="str">
        <x:f>IF(B15&gt;0,"OK","À surveiller")</x:f>
        <x:v>OK</x:v>
      </x:c>
      <x:c r="E15" s="301"/>
      <x:c r="F15" s="301"/>
      <x:c r="G15" s="301"/>
      <x:c r="H15" s="301"/>
      <x:c r="I15" s="301"/>
      <x:c r="J15" s="301"/>
      <x:c r="K15" s="301"/>
      <x:c r="L15" s="301"/>
      <x:c r="M15" s="301"/>
      <x:c r="N15" s="301"/>
    </x:row>
    <x:row r="16">
      <x:c r="A16" s="301" t="str">
        <x:v>Seuil de rentabilité</x:v>
      </x:c>
      <x:c r="B16" s="302" t="n">
        <x:f>IFERROR('Charges'!N16/'Hypothèses'!$C$9,0)</x:f>
        <x:v>823200</x:v>
      </x:c>
      <x:c r="C16" s="301" t="str">
        <x:v>CA minimum à atteindre</x:v>
      </x:c>
      <x:c r="D16" s="301" t="str">
        <x:f>IF(B16&gt;0,"OK","À surveiller")</x:f>
        <x:v>OK</x:v>
      </x:c>
      <x:c r="E16" s="301"/>
      <x:c r="F16" s="301"/>
      <x:c r="G16" s="301"/>
      <x:c r="H16" s="301"/>
      <x:c r="I16" s="301"/>
      <x:c r="J16" s="301"/>
      <x:c r="K16" s="301"/>
      <x:c r="L16" s="301"/>
      <x:c r="M16" s="301"/>
      <x:c r="N16" s="301"/>
    </x:row>
    <x:row r="17">
      <x:c r="A17" s="301" t="str">
        <x:v>Point mort (jours)</x:v>
      </x:c>
      <x:c r="B17" s="422" t="n">
        <x:f>IFERROR(B16/B6*365,0)</x:f>
        <x:v>423.4320379578051</x:v>
      </x:c>
      <x:c r="C17" s="301" t="str">
        <x:v>Nombre de jours avant équilibre</x:v>
      </x:c>
      <x:c r="D17" s="301" t="str">
        <x:f>IF(B17&gt;0,"OK","À surveiller")</x:f>
        <x:v>OK</x:v>
      </x:c>
      <x:c r="E17" s="301"/>
      <x:c r="F17" s="301"/>
      <x:c r="G17" s="301"/>
      <x:c r="H17" s="301"/>
      <x:c r="I17" s="301"/>
      <x:c r="J17" s="301"/>
      <x:c r="K17" s="301"/>
      <x:c r="L17" s="301"/>
      <x:c r="M17" s="301"/>
      <x:c r="N17" s="301"/>
    </x:row>
    <x:row r="18">
      <x:c r="A18" s="301" t="str">
        <x:v>Dette restante à 12 mois</x:v>
      </x:c>
      <x:c r="B18" s="302" t="n">
        <x:f>'Emprunt'!F17</x:f>
        <x:v>122632.69206874313</x:v>
      </x:c>
      <x:c r="C18" s="301" t="str">
        <x:v>Solde bancaire</x:v>
      </x:c>
      <x:c r="D18" s="301" t="str">
        <x:f>IF(B18&gt;0,"OK","À surveiller")</x:f>
        <x:v>OK</x:v>
      </x:c>
      <x:c r="E18" s="301"/>
      <x:c r="F18" s="301"/>
      <x:c r="G18" s="301"/>
      <x:c r="H18" s="301"/>
      <x:c r="I18" s="301"/>
      <x:c r="J18" s="301"/>
      <x:c r="K18" s="301"/>
      <x:c r="L18" s="301"/>
      <x:c r="M18" s="301"/>
      <x:c r="N18" s="301"/>
    </x:row>
    <x:row r="19">
      <x:c r="A19" s="301" t="str">
        <x:v>Capacité de remboursement</x:v>
      </x:c>
      <x:c r="B19" s="423" t="n">
        <x:f>IFERROR(B18/B13,0)</x:f>
        <x:v>-1.649414201195929</x:v>
      </x:c>
      <x:c r="C19" s="301" t="str">
        <x:v>&lt; 3 à 4 ans</x:v>
      </x:c>
      <x:c r="D19" s="301" t="str">
        <x:f>IF(B19&gt;0,"OK","À surveiller")</x:f>
        <x:v>À surveiller</x:v>
      </x:c>
      <x:c r="E19" s="301"/>
      <x:c r="F19" s="301"/>
      <x:c r="G19" s="301"/>
      <x:c r="H19" s="301"/>
      <x:c r="I19" s="301"/>
      <x:c r="J19" s="301"/>
      <x:c r="K19" s="301"/>
      <x:c r="L19" s="301"/>
      <x:c r="M19" s="301"/>
      <x:c r="N19" s="301"/>
    </x:row>
    <x:row r="20">
      <x:c r="A20" s="301"/>
      <x:c r="B20" s="301"/>
      <x:c r="C20" s="301"/>
      <x:c r="D20" s="301"/>
      <x:c r="E20" s="301"/>
      <x:c r="F20" s="301"/>
      <x:c r="G20" s="301"/>
      <x:c r="H20" s="301"/>
      <x:c r="I20" s="301"/>
      <x:c r="J20" s="301"/>
      <x:c r="K20" s="301"/>
      <x:c r="L20" s="301"/>
      <x:c r="M20" s="301"/>
      <x:c r="N20" s="301"/>
    </x:row>
    <x:row r="21">
      <x:c r="A21" s="301"/>
      <x:c r="B21" s="301"/>
      <x:c r="C21" s="301"/>
      <x:c r="D21" s="301"/>
      <x:c r="E21" s="301"/>
      <x:c r="F21" s="301"/>
      <x:c r="G21" s="301"/>
      <x:c r="H21" s="301"/>
      <x:c r="I21" s="301"/>
      <x:c r="J21" s="301"/>
      <x:c r="K21" s="301"/>
      <x:c r="L21" s="301"/>
      <x:c r="M21" s="301"/>
      <x:c r="N21" s="301"/>
    </x:row>
    <x:row r="22">
      <x:c r="A22" s="301"/>
      <x:c r="B22" s="301"/>
      <x:c r="C22" s="301"/>
      <x:c r="D22" s="301"/>
      <x:c r="E22" s="301"/>
      <x:c r="F22" s="301"/>
      <x:c r="G22" s="301"/>
      <x:c r="H22" s="301"/>
      <x:c r="I22" s="301"/>
      <x:c r="J22" s="301"/>
      <x:c r="K22" s="301"/>
      <x:c r="L22" s="301"/>
      <x:c r="M22" s="301"/>
      <x:c r="N22" s="301"/>
    </x:row>
    <x:row r="23">
      <x:c r="A23" s="301"/>
      <x:c r="B23" s="301"/>
      <x:c r="C23" s="301"/>
      <x:c r="D23" s="301"/>
      <x:c r="E23" s="301"/>
      <x:c r="F23" s="301"/>
      <x:c r="G23" s="301"/>
      <x:c r="H23" s="301"/>
      <x:c r="I23" s="301"/>
      <x:c r="J23" s="301"/>
      <x:c r="K23" s="301"/>
      <x:c r="L23" s="301"/>
      <x:c r="M23" s="301"/>
      <x:c r="N23" s="301"/>
    </x:row>
    <x:row r="24">
      <x:c r="A24" s="301"/>
      <x:c r="B24" s="301"/>
      <x:c r="C24" s="301"/>
      <x:c r="D24" s="301"/>
      <x:c r="E24" s="301"/>
      <x:c r="F24" s="301"/>
      <x:c r="G24" s="301"/>
      <x:c r="H24" s="301"/>
      <x:c r="I24" s="301"/>
      <x:c r="J24" s="301"/>
      <x:c r="K24" s="301"/>
      <x:c r="L24" s="301"/>
      <x:c r="M24" s="301"/>
      <x:c r="N24" s="301"/>
    </x:row>
    <x:row r="25">
      <x:c r="A25" s="301"/>
      <x:c r="B25" s="301"/>
      <x:c r="C25" s="301"/>
      <x:c r="D25" s="301"/>
      <x:c r="E25" s="301"/>
      <x:c r="F25" s="301"/>
      <x:c r="G25" s="301"/>
      <x:c r="H25" s="301"/>
      <x:c r="I25" s="301"/>
      <x:c r="J25" s="301"/>
      <x:c r="K25" s="301"/>
      <x:c r="L25" s="301"/>
      <x:c r="M25" s="301"/>
      <x:c r="N25" s="301"/>
    </x:row>
    <x:row r="26">
      <x:c r="A26" s="301"/>
      <x:c r="B26" s="301"/>
      <x:c r="C26" s="301"/>
      <x:c r="D26" s="301"/>
      <x:c r="E26" s="301"/>
      <x:c r="F26" s="301"/>
      <x:c r="G26" s="301"/>
      <x:c r="H26" s="301"/>
      <x:c r="I26" s="301"/>
      <x:c r="J26" s="301"/>
      <x:c r="K26" s="301"/>
      <x:c r="L26" s="301"/>
      <x:c r="M26" s="301"/>
      <x:c r="N26" s="301"/>
    </x:row>
    <x:row r="27">
      <x:c r="A27" s="301"/>
      <x:c r="B27" s="301"/>
      <x:c r="C27" s="301"/>
      <x:c r="D27" s="301"/>
      <x:c r="E27" s="301"/>
      <x:c r="F27" s="301"/>
      <x:c r="G27" s="301"/>
      <x:c r="H27" s="301"/>
      <x:c r="I27" s="301"/>
      <x:c r="J27" s="301"/>
      <x:c r="K27" s="301"/>
      <x:c r="L27" s="301"/>
      <x:c r="M27" s="301"/>
      <x:c r="N27" s="301"/>
    </x:row>
    <x:row r="28">
      <x:c r="A28" s="301"/>
      <x:c r="B28" s="301"/>
      <x:c r="C28" s="301"/>
      <x:c r="D28" s="301"/>
      <x:c r="E28" s="301"/>
      <x:c r="F28" s="301"/>
      <x:c r="G28" s="301"/>
      <x:c r="H28" s="301"/>
      <x:c r="I28" s="301"/>
      <x:c r="J28" s="301"/>
      <x:c r="K28" s="301"/>
      <x:c r="L28" s="301"/>
      <x:c r="M28" s="301"/>
      <x:c r="N28" s="301"/>
    </x:row>
    <x:row r="29">
      <x:c r="A29" s="301"/>
      <x:c r="B29" s="301"/>
      <x:c r="C29" s="301"/>
      <x:c r="D29" s="301"/>
      <x:c r="E29" s="301"/>
      <x:c r="F29" s="301"/>
      <x:c r="G29" s="301"/>
      <x:c r="H29" s="301"/>
      <x:c r="I29" s="301"/>
      <x:c r="J29" s="301"/>
      <x:c r="K29" s="301"/>
      <x:c r="L29" s="301"/>
      <x:c r="M29" s="301"/>
      <x:c r="N29" s="301"/>
    </x:row>
    <x:row r="30">
      <x:c r="A30" s="301"/>
      <x:c r="B30" s="301"/>
      <x:c r="C30" s="301"/>
      <x:c r="D30" s="301"/>
      <x:c r="E30" s="301"/>
      <x:c r="F30" s="301"/>
      <x:c r="G30" s="301"/>
      <x:c r="H30" s="301"/>
      <x:c r="I30" s="301"/>
      <x:c r="J30" s="301"/>
      <x:c r="K30" s="301"/>
      <x:c r="L30" s="301"/>
      <x:c r="M30" s="301"/>
      <x:c r="N30" s="301"/>
    </x:row>
    <x:row r="31">
      <x:c r="A31" s="301"/>
      <x:c r="B31" s="301"/>
      <x:c r="C31" s="301"/>
      <x:c r="D31" s="301"/>
      <x:c r="E31" s="301"/>
      <x:c r="F31" s="301"/>
      <x:c r="G31" s="301"/>
      <x:c r="H31" s="301"/>
      <x:c r="I31" s="301"/>
      <x:c r="J31" s="301"/>
      <x:c r="K31" s="301"/>
      <x:c r="L31" s="301"/>
      <x:c r="M31" s="301"/>
      <x:c r="N31" s="301"/>
    </x:row>
    <x:row r="32">
      <x:c r="A32" s="301"/>
      <x:c r="B32" s="301"/>
      <x:c r="C32" s="301"/>
      <x:c r="D32" s="301"/>
      <x:c r="E32" s="301"/>
      <x:c r="F32" s="301"/>
      <x:c r="G32" s="301"/>
      <x:c r="H32" s="301"/>
      <x:c r="I32" s="301"/>
      <x:c r="J32" s="301"/>
      <x:c r="K32" s="301"/>
      <x:c r="L32" s="301"/>
      <x:c r="M32" s="301"/>
      <x:c r="N32" s="301"/>
    </x:row>
    <x:row r="33">
      <x:c r="A33" s="301"/>
      <x:c r="B33" s="301"/>
      <x:c r="C33" s="301"/>
      <x:c r="D33" s="301"/>
      <x:c r="E33" s="301"/>
      <x:c r="F33" s="301"/>
      <x:c r="G33" s="301"/>
      <x:c r="H33" s="301"/>
      <x:c r="I33" s="301"/>
      <x:c r="J33" s="301"/>
      <x:c r="K33" s="301"/>
      <x:c r="L33" s="301"/>
      <x:c r="M33" s="301"/>
      <x:c r="N33" s="301"/>
    </x:row>
    <x:row r="34">
      <x:c r="A34" s="301"/>
      <x:c r="B34" s="301"/>
      <x:c r="C34" s="301"/>
      <x:c r="D34" s="301"/>
      <x:c r="E34" s="301"/>
      <x:c r="F34" s="301"/>
      <x:c r="G34" s="301"/>
      <x:c r="H34" s="301"/>
      <x:c r="I34" s="301"/>
      <x:c r="J34" s="301"/>
      <x:c r="K34" s="301"/>
      <x:c r="L34" s="301"/>
      <x:c r="M34" s="301"/>
      <x:c r="N34" s="301"/>
    </x:row>
    <x:row r="35">
      <x:c r="A35" s="301"/>
      <x:c r="B35" s="301"/>
      <x:c r="C35" s="301"/>
      <x:c r="D35" s="301"/>
      <x:c r="E35" s="301"/>
      <x:c r="F35" s="301"/>
      <x:c r="G35" s="301"/>
      <x:c r="H35" s="301"/>
      <x:c r="I35" s="301"/>
      <x:c r="J35" s="301"/>
      <x:c r="K35" s="301"/>
      <x:c r="L35" s="301"/>
      <x:c r="M35" s="301"/>
      <x:c r="N35" s="301"/>
    </x:row>
    <x:row r="36">
      <x:c r="A36" s="301"/>
      <x:c r="B36" s="301"/>
      <x:c r="C36" s="301"/>
      <x:c r="D36" s="301"/>
      <x:c r="E36" s="301"/>
      <x:c r="F36" s="301"/>
      <x:c r="G36" s="301"/>
      <x:c r="H36" s="301"/>
      <x:c r="I36" s="301"/>
      <x:c r="J36" s="301"/>
      <x:c r="K36" s="301"/>
      <x:c r="L36" s="301"/>
      <x:c r="M36" s="301"/>
      <x:c r="N36" s="301"/>
    </x:row>
    <x:row r="37">
      <x:c r="A37" s="301"/>
      <x:c r="B37" s="301"/>
      <x:c r="C37" s="301"/>
      <x:c r="D37" s="301"/>
      <x:c r="E37" s="301"/>
      <x:c r="F37" s="301"/>
      <x:c r="G37" s="301"/>
      <x:c r="H37" s="301"/>
      <x:c r="I37" s="301"/>
      <x:c r="J37" s="301"/>
      <x:c r="K37" s="301"/>
      <x:c r="L37" s="301"/>
      <x:c r="M37" s="301"/>
      <x:c r="N37" s="301"/>
    </x:row>
    <x:row r="38">
      <x:c r="A38" s="301"/>
      <x:c r="B38" s="301"/>
      <x:c r="C38" s="301"/>
      <x:c r="D38" s="301"/>
      <x:c r="E38" s="301"/>
      <x:c r="F38" s="301"/>
      <x:c r="G38" s="301"/>
      <x:c r="H38" s="301"/>
      <x:c r="I38" s="301"/>
      <x:c r="J38" s="301"/>
      <x:c r="K38" s="301"/>
      <x:c r="L38" s="301"/>
      <x:c r="M38" s="301"/>
      <x:c r="N38" s="301"/>
    </x:row>
    <x:row r="39">
      <x:c r="A39" s="301"/>
      <x:c r="B39" s="301"/>
      <x:c r="C39" s="301"/>
      <x:c r="D39" s="301"/>
      <x:c r="E39" s="301"/>
      <x:c r="F39" s="301"/>
      <x:c r="G39" s="301"/>
      <x:c r="H39" s="301"/>
      <x:c r="I39" s="301"/>
      <x:c r="J39" s="301"/>
      <x:c r="K39" s="301"/>
      <x:c r="L39" s="301"/>
      <x:c r="M39" s="301"/>
      <x:c r="N39" s="301"/>
    </x:row>
    <x:row r="40">
      <x:c r="A40" s="301"/>
      <x:c r="B40" s="301"/>
      <x:c r="C40" s="301"/>
      <x:c r="D40" s="301"/>
      <x:c r="E40" s="301"/>
      <x:c r="F40" s="301"/>
      <x:c r="G40" s="301"/>
      <x:c r="H40" s="301"/>
      <x:c r="I40" s="301"/>
      <x:c r="J40" s="301"/>
      <x:c r="K40" s="301"/>
      <x:c r="L40" s="301"/>
      <x:c r="M40" s="301"/>
      <x:c r="N40" s="301"/>
    </x:row>
    <x:row r="41">
      <x:c r="A41" s="301"/>
      <x:c r="B41" s="301"/>
      <x:c r="C41" s="301"/>
      <x:c r="D41" s="301"/>
      <x:c r="E41" s="301"/>
      <x:c r="F41" s="301"/>
      <x:c r="G41" s="301"/>
      <x:c r="H41" s="301"/>
      <x:c r="I41" s="301"/>
      <x:c r="J41" s="301"/>
      <x:c r="K41" s="301"/>
      <x:c r="L41" s="301"/>
      <x:c r="M41" s="301"/>
      <x:c r="N41" s="301"/>
    </x:row>
    <x:row r="42">
      <x:c r="A42" s="301"/>
      <x:c r="B42" s="301"/>
      <x:c r="C42" s="301"/>
      <x:c r="D42" s="301"/>
      <x:c r="E42" s="301"/>
      <x:c r="F42" s="301"/>
      <x:c r="G42" s="301"/>
      <x:c r="H42" s="301"/>
      <x:c r="I42" s="301"/>
      <x:c r="J42" s="301"/>
      <x:c r="K42" s="301"/>
      <x:c r="L42" s="301"/>
      <x:c r="M42" s="301"/>
      <x:c r="N42" s="301"/>
    </x:row>
    <x:row r="43">
      <x:c r="A43" s="301"/>
      <x:c r="B43" s="301"/>
      <x:c r="C43" s="301"/>
      <x:c r="D43" s="301"/>
      <x:c r="E43" s="301"/>
      <x:c r="F43" s="301"/>
      <x:c r="G43" s="301"/>
      <x:c r="H43" s="301"/>
      <x:c r="I43" s="301"/>
      <x:c r="J43" s="301"/>
      <x:c r="K43" s="301"/>
      <x:c r="L43" s="301"/>
      <x:c r="M43" s="301"/>
      <x:c r="N43" s="301"/>
    </x:row>
    <x:row r="44">
      <x:c r="A44" s="301"/>
      <x:c r="B44" s="301"/>
      <x:c r="C44" s="301"/>
      <x:c r="D44" s="301"/>
      <x:c r="E44" s="301"/>
      <x:c r="F44" s="301"/>
      <x:c r="G44" s="301"/>
      <x:c r="H44" s="301"/>
      <x:c r="I44" s="301"/>
      <x:c r="J44" s="301"/>
      <x:c r="K44" s="301"/>
      <x:c r="L44" s="301"/>
      <x:c r="M44" s="301"/>
      <x:c r="N44" s="301"/>
    </x:row>
    <x:row r="45">
      <x:c r="A45" s="301"/>
      <x:c r="B45" s="301"/>
      <x:c r="C45" s="301"/>
      <x:c r="D45" s="301"/>
      <x:c r="E45" s="301"/>
      <x:c r="F45" s="301"/>
      <x:c r="G45" s="301"/>
      <x:c r="H45" s="301"/>
      <x:c r="I45" s="301"/>
      <x:c r="J45" s="301"/>
      <x:c r="K45" s="301"/>
      <x:c r="L45" s="301"/>
      <x:c r="M45" s="301"/>
      <x:c r="N45" s="301"/>
    </x:row>
    <x:row r="46">
      <x:c r="A46" s="301"/>
      <x:c r="B46" s="301"/>
      <x:c r="C46" s="301"/>
      <x:c r="D46" s="301"/>
      <x:c r="E46" s="301"/>
      <x:c r="F46" s="301"/>
      <x:c r="G46" s="301"/>
      <x:c r="H46" s="301"/>
      <x:c r="I46" s="301"/>
      <x:c r="J46" s="301"/>
      <x:c r="K46" s="301"/>
      <x:c r="L46" s="301"/>
      <x:c r="M46" s="301"/>
      <x:c r="N46" s="301"/>
    </x:row>
    <x:row r="47">
      <x:c r="A47" s="301"/>
      <x:c r="B47" s="301"/>
      <x:c r="C47" s="301"/>
      <x:c r="D47" s="301"/>
      <x:c r="E47" s="301"/>
      <x:c r="F47" s="301"/>
      <x:c r="G47" s="301"/>
      <x:c r="H47" s="301"/>
      <x:c r="I47" s="301"/>
      <x:c r="J47" s="301"/>
      <x:c r="K47" s="301"/>
      <x:c r="L47" s="301"/>
      <x:c r="M47" s="301"/>
      <x:c r="N47" s="301"/>
    </x:row>
    <x:row r="48">
      <x:c r="A48" s="301"/>
      <x:c r="B48" s="301"/>
      <x:c r="C48" s="301"/>
      <x:c r="D48" s="301"/>
      <x:c r="E48" s="301"/>
      <x:c r="F48" s="301"/>
      <x:c r="G48" s="301"/>
      <x:c r="H48" s="301"/>
      <x:c r="I48" s="301"/>
      <x:c r="J48" s="301"/>
      <x:c r="K48" s="301"/>
      <x:c r="L48" s="301"/>
      <x:c r="M48" s="301"/>
      <x:c r="N48" s="301"/>
    </x:row>
    <x:row r="49">
      <x:c r="A49" s="301"/>
      <x:c r="B49" s="301"/>
      <x:c r="C49" s="301"/>
      <x:c r="D49" s="301"/>
      <x:c r="E49" s="301"/>
      <x:c r="F49" s="301"/>
      <x:c r="G49" s="301"/>
      <x:c r="H49" s="301"/>
      <x:c r="I49" s="301"/>
      <x:c r="J49" s="301"/>
      <x:c r="K49" s="301"/>
      <x:c r="L49" s="301"/>
      <x:c r="M49" s="301"/>
      <x:c r="N49" s="301"/>
    </x:row>
    <x:row r="50">
      <x:c r="A50" s="301"/>
      <x:c r="B50" s="301"/>
      <x:c r="C50" s="301"/>
      <x:c r="D50" s="301"/>
      <x:c r="E50" s="301"/>
      <x:c r="F50" s="301"/>
      <x:c r="G50" s="301"/>
      <x:c r="H50" s="301"/>
      <x:c r="I50" s="301"/>
      <x:c r="J50" s="301"/>
      <x:c r="K50" s="301"/>
      <x:c r="L50" s="301"/>
      <x:c r="M50" s="301"/>
      <x:c r="N50" s="301"/>
    </x:row>
    <x:row r="51">
      <x:c r="A51" s="301"/>
      <x:c r="B51" s="301"/>
      <x:c r="C51" s="301"/>
      <x:c r="D51" s="301"/>
      <x:c r="E51" s="301"/>
      <x:c r="F51" s="301"/>
      <x:c r="G51" s="301"/>
      <x:c r="H51" s="301"/>
      <x:c r="I51" s="301"/>
      <x:c r="J51" s="301"/>
      <x:c r="K51" s="301"/>
      <x:c r="L51" s="301"/>
      <x:c r="M51" s="301"/>
      <x:c r="N51" s="301"/>
    </x:row>
    <x:row r="52">
      <x:c r="A52" s="301"/>
      <x:c r="B52" s="301"/>
      <x:c r="C52" s="301"/>
      <x:c r="D52" s="301"/>
      <x:c r="E52" s="301"/>
      <x:c r="F52" s="301"/>
      <x:c r="G52" s="301"/>
      <x:c r="H52" s="301"/>
      <x:c r="I52" s="301"/>
      <x:c r="J52" s="301"/>
      <x:c r="K52" s="301"/>
      <x:c r="L52" s="301"/>
      <x:c r="M52" s="301"/>
      <x:c r="N52" s="301"/>
    </x:row>
    <x:row r="53">
      <x:c r="A53" s="301"/>
      <x:c r="B53" s="301"/>
      <x:c r="C53" s="301"/>
      <x:c r="D53" s="301"/>
      <x:c r="E53" s="301"/>
      <x:c r="F53" s="301"/>
      <x:c r="G53" s="301"/>
      <x:c r="H53" s="301"/>
      <x:c r="I53" s="301"/>
      <x:c r="J53" s="301"/>
      <x:c r="K53" s="301"/>
      <x:c r="L53" s="301"/>
      <x:c r="M53" s="301"/>
      <x:c r="N53" s="301"/>
    </x:row>
    <x:row r="54">
      <x:c r="A54" s="301"/>
      <x:c r="B54" s="301"/>
      <x:c r="C54" s="301"/>
      <x:c r="D54" s="301"/>
      <x:c r="E54" s="301"/>
      <x:c r="F54" s="301"/>
      <x:c r="G54" s="301"/>
      <x:c r="H54" s="301"/>
      <x:c r="I54" s="301"/>
      <x:c r="J54" s="301"/>
      <x:c r="K54" s="301"/>
      <x:c r="L54" s="301"/>
      <x:c r="M54" s="301"/>
      <x:c r="N54" s="301"/>
    </x:row>
    <x:row r="55">
      <x:c r="A55" s="301"/>
      <x:c r="B55" s="301"/>
      <x:c r="C55" s="301"/>
      <x:c r="D55" s="301"/>
      <x:c r="E55" s="301"/>
      <x:c r="F55" s="301"/>
      <x:c r="G55" s="301"/>
      <x:c r="H55" s="301"/>
      <x:c r="I55" s="301"/>
      <x:c r="J55" s="301"/>
      <x:c r="K55" s="301"/>
      <x:c r="L55" s="301"/>
      <x:c r="M55" s="301"/>
      <x:c r="N55" s="301"/>
    </x:row>
    <x:row r="56">
      <x:c r="A56" s="301"/>
      <x:c r="B56" s="301"/>
      <x:c r="C56" s="301"/>
      <x:c r="D56" s="301"/>
      <x:c r="E56" s="301"/>
      <x:c r="F56" s="301"/>
      <x:c r="G56" s="301"/>
      <x:c r="H56" s="301"/>
      <x:c r="I56" s="301"/>
      <x:c r="J56" s="301"/>
      <x:c r="K56" s="301"/>
      <x:c r="L56" s="301"/>
      <x:c r="M56" s="301"/>
      <x:c r="N56" s="301"/>
    </x:row>
    <x:row r="57">
      <x:c r="A57" s="301"/>
      <x:c r="B57" s="301"/>
      <x:c r="C57" s="301"/>
      <x:c r="D57" s="301"/>
      <x:c r="E57" s="301"/>
      <x:c r="F57" s="301"/>
      <x:c r="G57" s="301"/>
      <x:c r="H57" s="301"/>
      <x:c r="I57" s="301"/>
      <x:c r="J57" s="301"/>
      <x:c r="K57" s="301"/>
      <x:c r="L57" s="301"/>
      <x:c r="M57" s="301"/>
      <x:c r="N57" s="301"/>
    </x:row>
    <x:row r="58">
      <x:c r="A58" s="301"/>
      <x:c r="B58" s="301"/>
      <x:c r="C58" s="301"/>
      <x:c r="D58" s="301"/>
      <x:c r="E58" s="301"/>
      <x:c r="F58" s="301"/>
      <x:c r="G58" s="301"/>
      <x:c r="H58" s="301"/>
      <x:c r="I58" s="301"/>
      <x:c r="J58" s="301"/>
      <x:c r="K58" s="301"/>
      <x:c r="L58" s="301"/>
      <x:c r="M58" s="301"/>
      <x:c r="N58" s="301"/>
    </x:row>
    <x:row r="59">
      <x:c r="A59" s="301"/>
      <x:c r="B59" s="301"/>
      <x:c r="C59" s="301"/>
      <x:c r="D59" s="301"/>
      <x:c r="E59" s="301"/>
      <x:c r="F59" s="301"/>
      <x:c r="G59" s="301"/>
      <x:c r="H59" s="301"/>
      <x:c r="I59" s="301"/>
      <x:c r="J59" s="301"/>
      <x:c r="K59" s="301"/>
      <x:c r="L59" s="301"/>
      <x:c r="M59" s="301"/>
      <x:c r="N59" s="301"/>
    </x:row>
    <x:row r="60">
      <x:c r="A60" s="301"/>
      <x:c r="B60" s="301"/>
      <x:c r="C60" s="301"/>
      <x:c r="D60" s="301"/>
      <x:c r="E60" s="301"/>
      <x:c r="F60" s="301"/>
      <x:c r="G60" s="301"/>
      <x:c r="H60" s="301"/>
      <x:c r="I60" s="301"/>
      <x:c r="J60" s="301"/>
      <x:c r="K60" s="301"/>
      <x:c r="L60" s="301"/>
      <x:c r="M60" s="301"/>
      <x:c r="N60" s="301"/>
    </x:row>
    <x:row r="61">
      <x:c r="A61" s="301"/>
      <x:c r="B61" s="301"/>
      <x:c r="C61" s="301"/>
      <x:c r="D61" s="301"/>
      <x:c r="E61" s="301"/>
      <x:c r="F61" s="301"/>
      <x:c r="G61" s="301"/>
      <x:c r="H61" s="301"/>
      <x:c r="I61" s="301"/>
      <x:c r="J61" s="301"/>
      <x:c r="K61" s="301"/>
      <x:c r="L61" s="301"/>
      <x:c r="M61" s="301"/>
      <x:c r="N61" s="301"/>
    </x:row>
    <x:row r="62">
      <x:c r="A62" s="301"/>
      <x:c r="B62" s="301"/>
      <x:c r="C62" s="301"/>
      <x:c r="D62" s="301"/>
      <x:c r="E62" s="301"/>
      <x:c r="F62" s="301"/>
      <x:c r="G62" s="301"/>
      <x:c r="H62" s="301"/>
      <x:c r="I62" s="301"/>
      <x:c r="J62" s="301"/>
      <x:c r="K62" s="301"/>
      <x:c r="L62" s="301"/>
      <x:c r="M62" s="301"/>
      <x:c r="N62" s="301"/>
    </x:row>
    <x:row r="63">
      <x:c r="A63" s="301"/>
      <x:c r="B63" s="301"/>
      <x:c r="C63" s="301"/>
      <x:c r="D63" s="301"/>
      <x:c r="E63" s="301"/>
      <x:c r="F63" s="301"/>
      <x:c r="G63" s="301"/>
      <x:c r="H63" s="301"/>
      <x:c r="I63" s="301"/>
      <x:c r="J63" s="301"/>
      <x:c r="K63" s="301"/>
      <x:c r="L63" s="301"/>
      <x:c r="M63" s="301"/>
      <x:c r="N63" s="301"/>
    </x:row>
    <x:row r="64">
      <x:c r="A64" s="301"/>
      <x:c r="B64" s="301"/>
      <x:c r="C64" s="301"/>
      <x:c r="D64" s="301"/>
      <x:c r="E64" s="301"/>
      <x:c r="F64" s="301"/>
      <x:c r="G64" s="301"/>
      <x:c r="H64" s="301"/>
      <x:c r="I64" s="301"/>
      <x:c r="J64" s="301"/>
      <x:c r="K64" s="301"/>
      <x:c r="L64" s="301"/>
      <x:c r="M64" s="301"/>
      <x:c r="N64" s="301"/>
    </x:row>
    <x:row r="65">
      <x:c r="A65" s="301"/>
      <x:c r="B65" s="301"/>
      <x:c r="C65" s="301"/>
      <x:c r="D65" s="301"/>
      <x:c r="E65" s="301"/>
      <x:c r="F65" s="301"/>
      <x:c r="G65" s="301"/>
      <x:c r="H65" s="301"/>
      <x:c r="I65" s="301"/>
      <x:c r="J65" s="301"/>
      <x:c r="K65" s="301"/>
      <x:c r="L65" s="301"/>
      <x:c r="M65" s="301"/>
      <x:c r="N65" s="301"/>
    </x:row>
    <x:row r="66">
      <x:c r="A66" s="301"/>
      <x:c r="B66" s="301"/>
      <x:c r="C66" s="301"/>
      <x:c r="D66" s="301"/>
      <x:c r="E66" s="301"/>
      <x:c r="F66" s="301"/>
      <x:c r="G66" s="301"/>
      <x:c r="H66" s="301"/>
      <x:c r="I66" s="301"/>
      <x:c r="J66" s="301"/>
      <x:c r="K66" s="301"/>
      <x:c r="L66" s="301"/>
      <x:c r="M66" s="301"/>
      <x:c r="N66" s="301"/>
    </x:row>
    <x:row r="67">
      <x:c r="A67" s="301"/>
      <x:c r="B67" s="301"/>
      <x:c r="C67" s="301"/>
      <x:c r="D67" s="301"/>
      <x:c r="E67" s="301"/>
      <x:c r="F67" s="301"/>
      <x:c r="G67" s="301"/>
      <x:c r="H67" s="301"/>
      <x:c r="I67" s="301"/>
      <x:c r="J67" s="301"/>
      <x:c r="K67" s="301"/>
      <x:c r="L67" s="301"/>
      <x:c r="M67" s="301"/>
      <x:c r="N67" s="301"/>
    </x:row>
    <x:row r="68">
      <x:c r="A68" s="301"/>
      <x:c r="B68" s="301"/>
      <x:c r="C68" s="301"/>
      <x:c r="D68" s="301"/>
      <x:c r="E68" s="301"/>
      <x:c r="F68" s="301"/>
      <x:c r="G68" s="301"/>
      <x:c r="H68" s="301"/>
      <x:c r="I68" s="301"/>
      <x:c r="J68" s="301"/>
      <x:c r="K68" s="301"/>
      <x:c r="L68" s="301"/>
      <x:c r="M68" s="301"/>
      <x:c r="N68" s="301"/>
    </x:row>
    <x:row r="69">
      <x:c r="A69" s="301"/>
      <x:c r="B69" s="301"/>
      <x:c r="C69" s="301"/>
      <x:c r="D69" s="301"/>
      <x:c r="E69" s="301"/>
      <x:c r="F69" s="301"/>
      <x:c r="G69" s="301"/>
      <x:c r="H69" s="301"/>
      <x:c r="I69" s="301"/>
      <x:c r="J69" s="301"/>
      <x:c r="K69" s="301"/>
      <x:c r="L69" s="301"/>
      <x:c r="M69" s="301"/>
      <x:c r="N69" s="301"/>
    </x:row>
    <x:row r="70">
      <x:c r="A70" s="301"/>
      <x:c r="B70" s="301"/>
      <x:c r="C70" s="301"/>
      <x:c r="D70" s="301"/>
      <x:c r="E70" s="301"/>
      <x:c r="F70" s="301"/>
      <x:c r="G70" s="301"/>
      <x:c r="H70" s="301"/>
      <x:c r="I70" s="301"/>
      <x:c r="J70" s="301"/>
      <x:c r="K70" s="301"/>
      <x:c r="L70" s="301"/>
      <x:c r="M70" s="301"/>
      <x:c r="N70" s="301"/>
    </x:row>
    <x:row r="71">
      <x:c r="A71" s="301"/>
      <x:c r="B71" s="301"/>
      <x:c r="C71" s="301"/>
      <x:c r="D71" s="301"/>
      <x:c r="E71" s="301"/>
      <x:c r="F71" s="301"/>
      <x:c r="G71" s="301"/>
      <x:c r="H71" s="301"/>
      <x:c r="I71" s="301"/>
      <x:c r="J71" s="301"/>
      <x:c r="K71" s="301"/>
      <x:c r="L71" s="301"/>
      <x:c r="M71" s="301"/>
      <x:c r="N71" s="301"/>
    </x:row>
    <x:row r="72">
      <x:c r="A72" s="301"/>
      <x:c r="B72" s="301"/>
      <x:c r="C72" s="301"/>
      <x:c r="D72" s="301"/>
      <x:c r="E72" s="301"/>
      <x:c r="F72" s="301"/>
      <x:c r="G72" s="301"/>
      <x:c r="H72" s="301"/>
      <x:c r="I72" s="301"/>
      <x:c r="J72" s="301"/>
      <x:c r="K72" s="301"/>
      <x:c r="L72" s="301"/>
      <x:c r="M72" s="301"/>
      <x:c r="N72" s="301"/>
    </x:row>
    <x:row r="73">
      <x:c r="A73" s="301"/>
      <x:c r="B73" s="301"/>
      <x:c r="C73" s="301"/>
      <x:c r="D73" s="301"/>
      <x:c r="E73" s="301"/>
      <x:c r="F73" s="301"/>
      <x:c r="G73" s="301"/>
      <x:c r="H73" s="301"/>
      <x:c r="I73" s="301"/>
      <x:c r="J73" s="301"/>
      <x:c r="K73" s="301"/>
      <x:c r="L73" s="301"/>
      <x:c r="M73" s="301"/>
      <x:c r="N73" s="301"/>
    </x:row>
    <x:row r="74">
      <x:c r="A74" s="301"/>
      <x:c r="B74" s="301"/>
      <x:c r="C74" s="301"/>
      <x:c r="D74" s="301"/>
      <x:c r="E74" s="301"/>
      <x:c r="F74" s="301"/>
      <x:c r="G74" s="301"/>
      <x:c r="H74" s="301"/>
      <x:c r="I74" s="301"/>
      <x:c r="J74" s="301"/>
      <x:c r="K74" s="301"/>
      <x:c r="L74" s="301"/>
      <x:c r="M74" s="301"/>
      <x:c r="N74" s="301"/>
    </x:row>
    <x:row r="75">
      <x:c r="A75" s="301"/>
      <x:c r="B75" s="301"/>
      <x:c r="C75" s="301"/>
      <x:c r="D75" s="301"/>
      <x:c r="E75" s="301"/>
      <x:c r="F75" s="301"/>
      <x:c r="G75" s="301"/>
      <x:c r="H75" s="301"/>
      <x:c r="I75" s="301"/>
      <x:c r="J75" s="301"/>
      <x:c r="K75" s="301"/>
      <x:c r="L75" s="301"/>
      <x:c r="M75" s="301"/>
      <x:c r="N75" s="301"/>
    </x:row>
    <x:row r="76">
      <x:c r="A76" s="301"/>
      <x:c r="B76" s="301"/>
      <x:c r="C76" s="301"/>
      <x:c r="D76" s="301"/>
      <x:c r="E76" s="301"/>
      <x:c r="F76" s="301"/>
      <x:c r="G76" s="301"/>
      <x:c r="H76" s="301"/>
      <x:c r="I76" s="301"/>
      <x:c r="J76" s="301"/>
      <x:c r="K76" s="301"/>
      <x:c r="L76" s="301"/>
      <x:c r="M76" s="301"/>
      <x:c r="N76" s="301"/>
    </x:row>
    <x:row r="77">
      <x:c r="A77" s="301"/>
      <x:c r="B77" s="301"/>
      <x:c r="C77" s="301"/>
      <x:c r="D77" s="301"/>
      <x:c r="E77" s="301"/>
      <x:c r="F77" s="301"/>
      <x:c r="G77" s="301"/>
      <x:c r="H77" s="301"/>
      <x:c r="I77" s="301"/>
      <x:c r="J77" s="301"/>
      <x:c r="K77" s="301"/>
      <x:c r="L77" s="301"/>
      <x:c r="M77" s="301"/>
      <x:c r="N77" s="301"/>
    </x:row>
    <x:row r="78">
      <x:c r="A78" s="301"/>
      <x:c r="B78" s="301"/>
      <x:c r="C78" s="301"/>
      <x:c r="D78" s="301"/>
      <x:c r="E78" s="301"/>
      <x:c r="F78" s="301"/>
      <x:c r="G78" s="301"/>
      <x:c r="H78" s="301"/>
      <x:c r="I78" s="301"/>
      <x:c r="J78" s="301"/>
      <x:c r="K78" s="301"/>
      <x:c r="L78" s="301"/>
      <x:c r="M78" s="301"/>
      <x:c r="N78" s="301"/>
    </x:row>
    <x:row r="79">
      <x:c r="A79" s="301"/>
      <x:c r="B79" s="301"/>
      <x:c r="C79" s="301"/>
      <x:c r="D79" s="301"/>
      <x:c r="E79" s="301"/>
      <x:c r="F79" s="301"/>
      <x:c r="G79" s="301"/>
      <x:c r="H79" s="301"/>
      <x:c r="I79" s="301"/>
      <x:c r="J79" s="301"/>
      <x:c r="K79" s="301"/>
      <x:c r="L79" s="301"/>
      <x:c r="M79" s="301"/>
      <x:c r="N79" s="301"/>
    </x:row>
    <x:row r="80">
      <x:c r="A80" s="301"/>
      <x:c r="B80" s="301"/>
      <x:c r="C80" s="301"/>
      <x:c r="D80" s="301"/>
      <x:c r="E80" s="301"/>
      <x:c r="F80" s="301"/>
      <x:c r="G80" s="301"/>
      <x:c r="H80" s="301"/>
      <x:c r="I80" s="301"/>
      <x:c r="J80" s="301"/>
      <x:c r="K80" s="301"/>
      <x:c r="L80" s="301"/>
      <x:c r="M80" s="301"/>
      <x:c r="N80" s="301"/>
    </x:row>
    <x:row r="81">
      <x:c r="A81" s="301"/>
      <x:c r="B81" s="301"/>
      <x:c r="C81" s="301"/>
      <x:c r="D81" s="301"/>
      <x:c r="E81" s="301"/>
      <x:c r="F81" s="301"/>
      <x:c r="G81" s="301"/>
      <x:c r="H81" s="301"/>
      <x:c r="I81" s="301"/>
      <x:c r="J81" s="301"/>
      <x:c r="K81" s="301"/>
      <x:c r="L81" s="301"/>
      <x:c r="M81" s="301"/>
      <x:c r="N81" s="301"/>
    </x:row>
    <x:row r="82">
      <x:c r="A82" s="301"/>
      <x:c r="B82" s="301"/>
      <x:c r="C82" s="301"/>
      <x:c r="D82" s="301"/>
      <x:c r="E82" s="301"/>
      <x:c r="F82" s="301"/>
      <x:c r="G82" s="301"/>
      <x:c r="H82" s="301"/>
      <x:c r="I82" s="301"/>
      <x:c r="J82" s="301"/>
      <x:c r="K82" s="301"/>
      <x:c r="L82" s="301"/>
      <x:c r="M82" s="301"/>
      <x:c r="N82" s="301"/>
    </x:row>
    <x:row r="83">
      <x:c r="A83" s="301"/>
      <x:c r="B83" s="301"/>
      <x:c r="C83" s="301"/>
      <x:c r="D83" s="301"/>
      <x:c r="E83" s="301"/>
      <x:c r="F83" s="301"/>
      <x:c r="G83" s="301"/>
      <x:c r="H83" s="301"/>
      <x:c r="I83" s="301"/>
      <x:c r="J83" s="301"/>
      <x:c r="K83" s="301"/>
      <x:c r="L83" s="301"/>
      <x:c r="M83" s="301"/>
      <x:c r="N83" s="301"/>
    </x:row>
    <x:row r="84">
      <x:c r="A84" s="301"/>
      <x:c r="B84" s="301"/>
      <x:c r="C84" s="301"/>
      <x:c r="D84" s="301"/>
      <x:c r="E84" s="301"/>
      <x:c r="F84" s="301"/>
      <x:c r="G84" s="301"/>
      <x:c r="H84" s="301"/>
      <x:c r="I84" s="301"/>
      <x:c r="J84" s="301"/>
      <x:c r="K84" s="301"/>
      <x:c r="L84" s="301"/>
      <x:c r="M84" s="301"/>
      <x:c r="N84" s="301"/>
    </x:row>
    <x:row r="85">
      <x:c r="A85" s="301"/>
      <x:c r="B85" s="301"/>
      <x:c r="C85" s="301"/>
      <x:c r="D85" s="301"/>
      <x:c r="E85" s="301"/>
      <x:c r="F85" s="301"/>
      <x:c r="G85" s="301"/>
      <x:c r="H85" s="301"/>
      <x:c r="I85" s="301"/>
      <x:c r="J85" s="301"/>
      <x:c r="K85" s="301"/>
      <x:c r="L85" s="301"/>
      <x:c r="M85" s="301"/>
      <x:c r="N85" s="301"/>
    </x:row>
    <x:row r="86">
      <x:c r="A86" s="301"/>
      <x:c r="B86" s="301"/>
      <x:c r="C86" s="301"/>
      <x:c r="D86" s="301"/>
      <x:c r="E86" s="301"/>
      <x:c r="F86" s="301"/>
      <x:c r="G86" s="301"/>
      <x:c r="H86" s="301"/>
      <x:c r="I86" s="301"/>
      <x:c r="J86" s="301"/>
      <x:c r="K86" s="301"/>
      <x:c r="L86" s="301"/>
      <x:c r="M86" s="301"/>
      <x:c r="N86" s="301"/>
    </x:row>
    <x:row r="87">
      <x:c r="A87" s="301"/>
      <x:c r="B87" s="301"/>
      <x:c r="C87" s="301"/>
      <x:c r="D87" s="301"/>
      <x:c r="E87" s="301"/>
      <x:c r="F87" s="301"/>
      <x:c r="G87" s="301"/>
      <x:c r="H87" s="301"/>
      <x:c r="I87" s="301"/>
      <x:c r="J87" s="301"/>
      <x:c r="K87" s="301"/>
      <x:c r="L87" s="301"/>
      <x:c r="M87" s="301"/>
      <x:c r="N87" s="301"/>
    </x:row>
    <x:row r="88">
      <x:c r="A88" s="301"/>
      <x:c r="B88" s="301"/>
      <x:c r="C88" s="301"/>
      <x:c r="D88" s="301"/>
      <x:c r="E88" s="301"/>
      <x:c r="F88" s="301"/>
      <x:c r="G88" s="301"/>
      <x:c r="H88" s="301"/>
      <x:c r="I88" s="301"/>
      <x:c r="J88" s="301"/>
      <x:c r="K88" s="301"/>
      <x:c r="L88" s="301"/>
      <x:c r="M88" s="301"/>
      <x:c r="N88" s="301"/>
    </x:row>
    <x:row r="89">
      <x:c r="A89" s="301"/>
      <x:c r="B89" s="301"/>
      <x:c r="C89" s="301"/>
      <x:c r="D89" s="301"/>
      <x:c r="E89" s="301"/>
      <x:c r="F89" s="301"/>
      <x:c r="G89" s="301"/>
      <x:c r="H89" s="301"/>
      <x:c r="I89" s="301"/>
      <x:c r="J89" s="301"/>
      <x:c r="K89" s="301"/>
      <x:c r="L89" s="301"/>
      <x:c r="M89" s="301"/>
      <x:c r="N89" s="301"/>
    </x:row>
    <x:row r="90">
      <x:c r="A90" s="301"/>
      <x:c r="B90" s="301"/>
      <x:c r="C90" s="301"/>
      <x:c r="D90" s="301"/>
      <x:c r="E90" s="301"/>
      <x:c r="F90" s="301"/>
      <x:c r="G90" s="301"/>
      <x:c r="H90" s="301"/>
      <x:c r="I90" s="301"/>
      <x:c r="J90" s="301"/>
      <x:c r="K90" s="301"/>
      <x:c r="L90" s="301"/>
      <x:c r="M90" s="301"/>
      <x:c r="N90" s="301"/>
    </x:row>
    <x:row r="91">
      <x:c r="A91" s="301"/>
      <x:c r="B91" s="301"/>
      <x:c r="C91" s="301"/>
      <x:c r="D91" s="301"/>
      <x:c r="E91" s="301"/>
      <x:c r="F91" s="301"/>
      <x:c r="G91" s="301"/>
      <x:c r="H91" s="301"/>
      <x:c r="I91" s="301"/>
      <x:c r="J91" s="301"/>
      <x:c r="K91" s="301"/>
      <x:c r="L91" s="301"/>
      <x:c r="M91" s="301"/>
      <x:c r="N91" s="301"/>
    </x:row>
    <x:row r="92">
      <x:c r="A92" s="301"/>
      <x:c r="B92" s="301"/>
      <x:c r="C92" s="301"/>
      <x:c r="D92" s="301"/>
      <x:c r="E92" s="301"/>
      <x:c r="F92" s="301"/>
      <x:c r="G92" s="301"/>
      <x:c r="H92" s="301"/>
      <x:c r="I92" s="301"/>
      <x:c r="J92" s="301"/>
      <x:c r="K92" s="301"/>
      <x:c r="L92" s="301"/>
      <x:c r="M92" s="301"/>
      <x:c r="N92" s="301"/>
    </x:row>
    <x:row r="93">
      <x:c r="A93" s="301"/>
      <x:c r="B93" s="301"/>
      <x:c r="C93" s="301"/>
      <x:c r="D93" s="301"/>
      <x:c r="E93" s="301"/>
      <x:c r="F93" s="301"/>
      <x:c r="G93" s="301"/>
      <x:c r="H93" s="301"/>
      <x:c r="I93" s="301"/>
      <x:c r="J93" s="301"/>
      <x:c r="K93" s="301"/>
      <x:c r="L93" s="301"/>
      <x:c r="M93" s="301"/>
      <x:c r="N93" s="301"/>
    </x:row>
    <x:row r="94">
      <x:c r="A94" s="301"/>
      <x:c r="B94" s="301"/>
      <x:c r="C94" s="301"/>
      <x:c r="D94" s="301"/>
      <x:c r="E94" s="301"/>
      <x:c r="F94" s="301"/>
      <x:c r="G94" s="301"/>
      <x:c r="H94" s="301"/>
      <x:c r="I94" s="301"/>
      <x:c r="J94" s="301"/>
      <x:c r="K94" s="301"/>
      <x:c r="L94" s="301"/>
      <x:c r="M94" s="301"/>
      <x:c r="N94" s="301"/>
    </x:row>
    <x:row r="95">
      <x:c r="A95" s="301"/>
      <x:c r="B95" s="301"/>
      <x:c r="C95" s="301"/>
      <x:c r="D95" s="301"/>
      <x:c r="E95" s="301"/>
      <x:c r="F95" s="301"/>
      <x:c r="G95" s="301"/>
      <x:c r="H95" s="301"/>
      <x:c r="I95" s="301"/>
      <x:c r="J95" s="301"/>
      <x:c r="K95" s="301"/>
      <x:c r="L95" s="301"/>
      <x:c r="M95" s="301"/>
      <x:c r="N95" s="301"/>
    </x:row>
    <x:row r="96">
      <x:c r="A96" s="301"/>
      <x:c r="B96" s="301"/>
      <x:c r="C96" s="301"/>
      <x:c r="D96" s="301"/>
      <x:c r="E96" s="301"/>
      <x:c r="F96" s="301"/>
      <x:c r="G96" s="301"/>
      <x:c r="H96" s="301"/>
      <x:c r="I96" s="301"/>
      <x:c r="J96" s="301"/>
      <x:c r="K96" s="301"/>
      <x:c r="L96" s="301"/>
      <x:c r="M96" s="301"/>
      <x:c r="N96" s="301"/>
    </x:row>
    <x:row r="97">
      <x:c r="A97" s="301"/>
      <x:c r="B97" s="301"/>
      <x:c r="C97" s="301"/>
      <x:c r="D97" s="301"/>
      <x:c r="E97" s="301"/>
      <x:c r="F97" s="301"/>
      <x:c r="G97" s="301"/>
      <x:c r="H97" s="301"/>
      <x:c r="I97" s="301"/>
      <x:c r="J97" s="301"/>
      <x:c r="K97" s="301"/>
      <x:c r="L97" s="301"/>
      <x:c r="M97" s="301"/>
      <x:c r="N97" s="301"/>
    </x:row>
    <x:row r="98">
      <x:c r="A98" s="301"/>
      <x:c r="B98" s="301"/>
      <x:c r="C98" s="301"/>
      <x:c r="D98" s="301"/>
      <x:c r="E98" s="301"/>
      <x:c r="F98" s="301"/>
      <x:c r="G98" s="301"/>
      <x:c r="H98" s="301"/>
      <x:c r="I98" s="301"/>
      <x:c r="J98" s="301"/>
      <x:c r="K98" s="301"/>
      <x:c r="L98" s="301"/>
      <x:c r="M98" s="301"/>
      <x:c r="N98" s="301"/>
    </x:row>
    <x:row r="99">
      <x:c r="A99" s="301"/>
      <x:c r="B99" s="301"/>
      <x:c r="C99" s="301"/>
      <x:c r="D99" s="301"/>
      <x:c r="E99" s="301"/>
      <x:c r="F99" s="301"/>
      <x:c r="G99" s="301"/>
      <x:c r="H99" s="301"/>
      <x:c r="I99" s="301"/>
      <x:c r="J99" s="301"/>
      <x:c r="K99" s="301"/>
      <x:c r="L99" s="301"/>
      <x:c r="M99" s="301"/>
      <x:c r="N99" s="301"/>
    </x:row>
    <x:row r="100">
      <x:c r="A100" s="301"/>
      <x:c r="B100" s="301"/>
      <x:c r="C100" s="301"/>
      <x:c r="D100" s="301"/>
      <x:c r="E100" s="301"/>
      <x:c r="F100" s="301"/>
      <x:c r="G100" s="301"/>
      <x:c r="H100" s="301"/>
      <x:c r="I100" s="301"/>
      <x:c r="J100" s="301"/>
      <x:c r="K100" s="301"/>
      <x:c r="L100" s="301"/>
      <x:c r="M100" s="301"/>
      <x:c r="N100" s="301"/>
    </x:row>
  </x:sheetData>
  <x:mergeCells>
    <x:mergeCell ref="A1:H2"/>
    <x:mergeCell ref="A3:H3"/>
  </x:mergeCells>
  <x:conditionalFormatting sqref="D6:D19">
    <x:cfRule type="expression" dxfId="1" priority="1">
      <x:formula>D6="OK"</x:formula>
    </x:cfRule>
    <x:cfRule type="expression" dxfId="2" priority="2">
      <x:formula>D6="À surveiller"</x:formula>
    </x:cfRule>
  </x:conditionalFormatting>
  <x:pageMargins left="0.7" right="0.7" top="0.75" bottom="0.75" header="0.3" footer="0.3"/>
</x:worksheet>
</file>