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4.xml" ContentType="application/vnd.openxmlformats-officedocument.spreadsheetml.worksheet+xml"/>
  <Override PartName="/xl/drawings/drawing3.xml" ContentType="application/vnd.openxmlformats-officedocument.drawing+xml"/>
  <Override PartName="/xl/drawings/charts/chart4.xml" ContentType="application/vnd.openxmlformats-officedocument.drawingml.chart+xml"/>
  <Override PartName="/xl/drawings/charts/chart5.xml" ContentType="application/vnd.openxmlformats-officedocument.drawingml.chart+xml"/>
  <Override PartName="/xl/worksheets/sheet5.xml" ContentType="application/vnd.openxmlformats-officedocument.spreadsheetml.worksheet+xml"/>
  <Override PartName="/xl/drawings/drawing4.xml" ContentType="application/vnd.openxmlformats-officedocument.drawing+xml"/>
  <Override PartName="/xl/drawings/charts/chart6.xml" ContentType="application/vnd.openxmlformats-officedocument.drawingml.chart+xml"/>
  <Override PartName="/xl/drawings/charts/chart7.xml" ContentType="application/vnd.openxmlformats-officedocument.drawingml.chart+xml"/>
  <Override PartName="/xl/worksheets/sheet6.xml" ContentType="application/vnd.openxmlformats-officedocument.spreadsheetml.worksheet+xml"/>
  <Override PartName="/xl/drawings/drawing5.xml" ContentType="application/vnd.openxmlformats-officedocument.drawing+xml"/>
  <Override PartName="/xl/drawings/charts/chart8.xml" ContentType="application/vnd.openxmlformats-officedocument.drawingml.chart+xml"/>
  <Override PartName="/xl/drawings/charts/chart9.xml" ContentType="application/vnd.openxmlformats-officedocument.drawingml.chart+xml"/>
  <Override PartName="/xl/worksheets/sheet7.xml" ContentType="application/vnd.openxmlformats-officedocument.spreadsheetml.worksheet+xml"/>
  <Override PartName="/xl/drawings/drawing6.xml" ContentType="application/vnd.openxmlformats-officedocument.drawing+xml"/>
  <Override PartName="/xl/drawings/charts/chart10.xml" ContentType="application/vnd.openxmlformats-officedocument.drawingml.chart+xml"/>
  <Override PartName="/xl/drawings/charts/chart11.xml" ContentType="application/vnd.openxmlformats-officedocument.drawingml.chart+xml"/>
  <Override PartName="/xl/worksheets/sheet8.xml" ContentType="application/vnd.openxmlformats-officedocument.spreadsheetml.worksheet+xml"/>
  <Override PartName="/xl/drawings/drawing7.xml" ContentType="application/vnd.openxmlformats-officedocument.drawing+xml"/>
  <Override PartName="/xl/drawings/charts/chart12.xml" ContentType="application/vnd.openxmlformats-officedocument.drawingml.chart+xml"/>
  <Override PartName="/xl/drawings/charts/chart13.xml" ContentType="application/vnd.openxmlformats-officedocument.drawingml.chart+xml"/>
  <Override PartName="/xl/worksheets/sheet9.xml" ContentType="application/vnd.openxmlformats-officedocument.spreadsheetml.worksheet+xml"/>
  <Override PartName="/xl/drawings/drawing8.xml" ContentType="application/vnd.openxmlformats-officedocument.drawing+xml"/>
  <Override PartName="/xl/drawings/charts/chart14.xml" ContentType="application/vnd.openxmlformats-officedocument.drawingml.chart+xml"/>
  <Override PartName="/xl/drawings/charts/chart15.xml" ContentType="application/vnd.openxmlformats-officedocument.drawingml.chart+xml"/>
  <Override PartName="/xl/worksheets/sheet10.xml" ContentType="application/vnd.openxmlformats-officedocument.spreadsheetml.worksheet+xml"/>
  <Override PartName="/xl/drawings/drawing9.xml" ContentType="application/vnd.openxmlformats-officedocument.drawing+xml"/>
  <Override PartName="/xl/drawings/charts/chart16.xml" ContentType="application/vnd.openxmlformats-officedocument.drawingml.chart+xml"/>
  <Override PartName="/xl/drawings/charts/chart17.xml" ContentType="application/vnd.openxmlformats-officedocument.drawingml.char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403dd98e9740b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63bbc53fc94142c3"/>
    <x:sheet xmlns:r="http://schemas.openxmlformats.org/officeDocument/2006/relationships" name="Données" sheetId="2" r:id="R48498e5b2d034d99"/>
    <x:sheet xmlns:r="http://schemas.openxmlformats.org/officeDocument/2006/relationships" name="Mensuel" sheetId="3" r:id="Rf1e202de318240c0"/>
    <x:sheet xmlns:r="http://schemas.openxmlformats.org/officeDocument/2006/relationships" name="Hebdomadaire" sheetId="4" r:id="Rc74c5175c27d4c6f"/>
    <x:sheet xmlns:r="http://schemas.openxmlformats.org/officeDocument/2006/relationships" name="Trimestriel" sheetId="5" r:id="R897baf09314e490d"/>
    <x:sheet xmlns:r="http://schemas.openxmlformats.org/officeDocument/2006/relationships" name="Annuel" sheetId="6" r:id="R4b810ab8e790463e"/>
    <x:sheet xmlns:r="http://schemas.openxmlformats.org/officeDocument/2006/relationships" name="Groupe" sheetId="7" r:id="Rb4ede26769584ac2"/>
    <x:sheet xmlns:r="http://schemas.openxmlformats.org/officeDocument/2006/relationships" name="Filiale" sheetId="8" r:id="Rab2c5b8fd78045ec"/>
    <x:sheet xmlns:r="http://schemas.openxmlformats.org/officeDocument/2006/relationships" name="IFRS" sheetId="9" r:id="R81474db4fc984553"/>
    <x:sheet xmlns:r="http://schemas.openxmlformats.org/officeDocument/2006/relationships" name="PME" sheetId="10" r:id="Rb030bd3404ac43a4"/>
    <x:sheet xmlns:r="http://schemas.openxmlformats.org/officeDocument/2006/relationships" name="Paramètres" sheetId="11" r:id="Rb2b2b32d587a40eb"/>
    <x:sheet xmlns:r="http://schemas.openxmlformats.org/officeDocument/2006/relationships" name="Mode d'emploi" sheetId="12" r:id="R168696a5dcdf45d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.00;[Red](#,##0.00);-"/>
    <x:numFmt numFmtId="201" formatCode="0.0%;[Red](0.0%);-"/>
    <x:numFmt numFmtId="202" formatCode="dd/mm/yyyy"/>
    <x:numFmt numFmtId="203" formatCode="0 &quot;jours&quot;"/>
  </x:numFmts>
  <x:fonts count="14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sz val="11"/>
      <x:color rgb="FF0000FF"/>
      <x:name val="Carlito"/>
    </x:font>
    <x:font>
      <x:sz val="11"/>
      <x:color rgb="FF000000"/>
      <x:name val="Carlito"/>
    </x:font>
    <x:font>
      <x:b/>
      <x:sz val="17"/>
      <x:color rgb="FFFFFFFF"/>
      <x:name val="Carlito"/>
    </x:font>
    <x:font>
      <x:i/>
      <x:sz val="11"/>
      <x:color rgb="FF18212F"/>
      <x:name val="Carlito"/>
    </x:font>
    <x:font>
      <x:b/>
      <x:sz val="11"/>
      <x:color rgb="FF18212F"/>
      <x:name val="Carlito"/>
    </x:font>
    <x:font>
      <x:b/>
      <x:sz val="16"/>
      <x:color rgb="FF000000"/>
      <x:name val="Carlito"/>
    </x:font>
    <x:font>
      <x:b/>
      <x:sz val="19"/>
      <x:color rgb="FFFFFFFF"/>
      <x:name val="Carlito"/>
    </x:font>
    <x:font>
      <x:b/>
      <x:sz val="17"/>
      <x:color rgb="FF000000"/>
      <x:name val="Carlito"/>
    </x:font>
    <x:font>
      <x:b/>
      <x:sz val="13"/>
      <x:color rgb="FFFFFFFF"/>
      <x:name val="Carlito"/>
    </x:font>
    <x:font>
      <x:b/>
      <x:sz val="12"/>
      <x:color rgb="FF173F5F"/>
      <x:name val="Carlito"/>
    </x:font>
    <x:font>
      <x:b/>
      <x:sz val="11"/>
      <x:color rgb="FF173F5F"/>
      <x:name val="Carlito"/>
    </x:font>
  </x:fonts>
  <x:fills count="21">
    <x:fill>
      <x:patternFill patternType="none"/>
    </x:fill>
    <x:fill>
      <x:patternFill patternType="gray125"/>
    </x:fill>
    <x:fill>
      <x:patternFill patternType="solid">
        <x:fgColor rgb="FF173F5F"/>
      </x:patternFill>
    </x:fill>
    <x:fill>
      <x:patternFill patternType="solid">
        <x:fgColor rgb="FF20639B"/>
      </x:patternFill>
    </x:fill>
    <x:fill>
      <x:patternFill patternType="solid">
        <x:fgColor rgb="FF6F42C1"/>
      </x:patternFill>
    </x:fill>
    <x:fill>
      <x:patternFill patternType="solid">
        <x:fgColor rgb="FFEAF1F8"/>
      </x:patternFill>
    </x:fill>
    <x:fill>
      <x:patternFill patternType="solid">
        <x:fgColor rgb="FFDCE6F1"/>
      </x:patternFill>
    </x:fill>
    <x:fill>
      <x:patternFill patternType="solid">
        <x:fgColor rgb="FFFCE4D6"/>
      </x:patternFill>
    </x:fill>
    <x:fill>
      <x:patternFill patternType="solid">
        <x:fgColor rgb="FFE2F0D9"/>
      </x:patternFill>
    </x:fill>
    <x:fill>
      <x:patternFill patternType="solid">
        <x:fgColor rgb="FFE4DFEC"/>
      </x:patternFill>
    </x:fill>
    <x:fill>
      <x:patternFill patternType="solid">
        <x:fgColor rgb="FFDDEBF7"/>
      </x:patternFill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3CAEA3"/>
      </x:patternFill>
    </x:fill>
    <x:fill>
      <x:patternFill patternType="solid">
        <x:fgColor rgb="FFD4A017"/>
      </x:patternFill>
    </x:fill>
    <x:fill>
      <x:patternFill patternType="solid">
        <x:fgColor rgb="FF2E8B57"/>
      </x:patternFill>
    </x:fill>
    <x:fill>
      <x:patternFill patternType="solid">
        <x:fgColor rgb="FFC0392B"/>
      </x:patternFill>
    </x:fill>
    <x:fill>
      <x:patternFill patternType="solid">
        <x:fgColor rgb="FFF6A623"/>
      </x:patternFill>
    </x:fill>
    <x:fill>
      <x:patternFill patternType="solid">
        <x:fgColor rgb="FFD9EAF7"/>
      </x:patternFill>
    </x:fill>
    <x:fill>
      <x:patternFill patternType="solid">
        <x:fgColor rgb="FFEDEDED"/>
      </x:patternFill>
    </x:fill>
    <x:fill>
      <x:patternFill patternType="solid">
        <x:fgColor rgb="FFD9EAD3"/>
      </x:patternFill>
    </x:fill>
  </x:fills>
  <x:borders count="66">
    <x:border/>
    <x:border/>
    <x:border>
      <x:left style="thin">
        <x:color rgb="FFDCE4EE"/>
      </x:left>
      <x:top style="thin">
        <x:color rgb="FFDCE4EE"/>
      </x:top>
    </x:border>
    <x:border>
      <x:right style="thin">
        <x:color rgb="FFDCE4EE"/>
      </x:right>
      <x:top style="thin">
        <x:color rgb="FFDCE4EE"/>
      </x:top>
    </x:border>
    <x:border>
      <x:left style="thin">
        <x:color rgb="FFDCE4EE"/>
      </x:left>
      <x:bottom style="thin">
        <x:color rgb="FFDCE4EE"/>
      </x:bottom>
    </x:border>
    <x:border>
      <x:right style="thin">
        <x:color rgb="FFDCE4EE"/>
      </x:right>
      <x:bottom style="thin">
        <x:color rgb="FFDCE4EE"/>
      </x:bottom>
    </x:border>
    <x:border>
      <x:left style="thin">
        <x:color rgb="FFDCE4EE"/>
      </x:left>
      <x:top style="thin">
        <x:color rgb="FFDCE4EE"/>
      </x:top>
    </x:border>
    <x:border>
      <x:right style="thin">
        <x:color rgb="FFDCE4EE"/>
      </x:right>
      <x:top style="thin">
        <x:color rgb="FFDCE4EE"/>
      </x:top>
    </x:border>
    <x:border>
      <x:left style="thin">
        <x:color rgb="FFDCE4EE"/>
      </x:left>
      <x:bottom style="thin">
        <x:color rgb="FFDCE4EE"/>
      </x:bottom>
    </x:border>
    <x:border>
      <x:right style="thin">
        <x:color rgb="FFDCE4EE"/>
      </x:right>
      <x:bottom style="thin">
        <x:color rgb="FFDCE4EE"/>
      </x:bottom>
    </x:border>
    <x:border>
      <x:left style="thin">
        <x:color rgb="FF20639B"/>
      </x:left>
      <x:top style="thin">
        <x:color rgb="FF20639B"/>
      </x:top>
    </x:border>
    <x:border>
      <x:top style="thin">
        <x:color rgb="FF20639B"/>
      </x:top>
    </x:border>
    <x:border>
      <x:right style="thin">
        <x:color rgb="FF20639B"/>
      </x:right>
      <x:top style="thin">
        <x:color rgb="FF20639B"/>
      </x:top>
    </x:border>
    <x:border>
      <x:left style="thin">
        <x:color rgb="FF20639B"/>
      </x:left>
      <x:bottom style="thin">
        <x:color rgb="FF20639B"/>
      </x:bottom>
    </x:border>
    <x:border>
      <x:bottom style="thin">
        <x:color rgb="FF20639B"/>
      </x:bottom>
    </x:border>
    <x:border>
      <x:right style="thin">
        <x:color rgb="FF20639B"/>
      </x:right>
      <x:bottom style="thin">
        <x:color rgb="FF20639B"/>
      </x:bottom>
    </x:border>
    <x:border>
      <x:left style="thin">
        <x:color rgb="FF20639B"/>
      </x:left>
      <x:top style="thin">
        <x:color rgb="FF20639B"/>
      </x:top>
    </x:border>
    <x:border>
      <x:top style="thin">
        <x:color rgb="FF20639B"/>
      </x:top>
    </x:border>
    <x:border>
      <x:right style="thin">
        <x:color rgb="FF20639B"/>
      </x:right>
      <x:top style="thin">
        <x:color rgb="FF20639B"/>
      </x:top>
    </x:border>
    <x:border>
      <x:left style="thin">
        <x:color rgb="FF20639B"/>
      </x:left>
      <x:bottom style="thin">
        <x:color rgb="FF20639B"/>
      </x:bottom>
    </x:border>
    <x:border>
      <x:bottom style="thin">
        <x:color rgb="FF20639B"/>
      </x:bottom>
    </x:border>
    <x:border>
      <x:right style="thin">
        <x:color rgb="FF20639B"/>
      </x:right>
      <x:bottom style="thin">
        <x:color rgb="FF20639B"/>
      </x:bottom>
    </x:border>
    <x:border>
      <x:left style="thin">
        <x:color rgb="FF2E8B57"/>
      </x:left>
      <x:top style="thin">
        <x:color rgb="FF2E8B57"/>
      </x:top>
    </x:border>
    <x:border>
      <x:top style="thin">
        <x:color rgb="FF2E8B57"/>
      </x:top>
    </x:border>
    <x:border>
      <x:right style="thin">
        <x:color rgb="FF2E8B57"/>
      </x:right>
      <x:top style="thin">
        <x:color rgb="FF2E8B57"/>
      </x:top>
    </x:border>
    <x:border>
      <x:left style="thin">
        <x:color rgb="FF2E8B57"/>
      </x:left>
      <x:bottom style="thin">
        <x:color rgb="FF2E8B57"/>
      </x:bottom>
    </x:border>
    <x:border>
      <x:bottom style="thin">
        <x:color rgb="FF2E8B57"/>
      </x:bottom>
    </x:border>
    <x:border>
      <x:right style="thin">
        <x:color rgb="FF2E8B57"/>
      </x:right>
      <x:bottom style="thin">
        <x:color rgb="FF2E8B57"/>
      </x:bottom>
    </x:border>
    <x:border>
      <x:left style="thin">
        <x:color rgb="FF2E8B57"/>
      </x:left>
      <x:top style="thin">
        <x:color rgb="FF2E8B57"/>
      </x:top>
    </x:border>
    <x:border>
      <x:top style="thin">
        <x:color rgb="FF2E8B57"/>
      </x:top>
    </x:border>
    <x:border>
      <x:right style="thin">
        <x:color rgb="FF2E8B57"/>
      </x:right>
      <x:top style="thin">
        <x:color rgb="FF2E8B57"/>
      </x:top>
    </x:border>
    <x:border>
      <x:left style="thin">
        <x:color rgb="FF2E8B57"/>
      </x:left>
      <x:bottom style="thin">
        <x:color rgb="FF2E8B57"/>
      </x:bottom>
    </x:border>
    <x:border>
      <x:bottom style="thin">
        <x:color rgb="FF2E8B57"/>
      </x:bottom>
    </x:border>
    <x:border>
      <x:right style="thin">
        <x:color rgb="FF2E8B57"/>
      </x:right>
      <x:bottom style="thin">
        <x:color rgb="FF2E8B57"/>
      </x:bottom>
    </x:border>
    <x:border>
      <x:left style="thin">
        <x:color rgb="FF6F42C1"/>
      </x:left>
      <x:top style="thin">
        <x:color rgb="FF6F42C1"/>
      </x:top>
    </x:border>
    <x:border>
      <x:top style="thin">
        <x:color rgb="FF6F42C1"/>
      </x:top>
    </x:border>
    <x:border>
      <x:right style="thin">
        <x:color rgb="FF6F42C1"/>
      </x:right>
      <x:top style="thin">
        <x:color rgb="FF6F42C1"/>
      </x:top>
    </x:border>
    <x:border>
      <x:left style="thin">
        <x:color rgb="FF6F42C1"/>
      </x:left>
      <x:bottom style="thin">
        <x:color rgb="FF6F42C1"/>
      </x:bottom>
    </x:border>
    <x:border>
      <x:bottom style="thin">
        <x:color rgb="FF6F42C1"/>
      </x:bottom>
    </x:border>
    <x:border>
      <x:right style="thin">
        <x:color rgb="FF6F42C1"/>
      </x:right>
      <x:bottom style="thin">
        <x:color rgb="FF6F42C1"/>
      </x:bottom>
    </x:border>
    <x:border>
      <x:left style="thin">
        <x:color rgb="FF6F42C1"/>
      </x:left>
      <x:top style="thin">
        <x:color rgb="FF6F42C1"/>
      </x:top>
    </x:border>
    <x:border>
      <x:top style="thin">
        <x:color rgb="FF6F42C1"/>
      </x:top>
    </x:border>
    <x:border>
      <x:right style="thin">
        <x:color rgb="FF6F42C1"/>
      </x:right>
      <x:top style="thin">
        <x:color rgb="FF6F42C1"/>
      </x:top>
    </x:border>
    <x:border>
      <x:left style="thin">
        <x:color rgb="FF6F42C1"/>
      </x:left>
      <x:bottom style="thin">
        <x:color rgb="FF6F42C1"/>
      </x:bottom>
    </x:border>
    <x:border>
      <x:bottom style="thin">
        <x:color rgb="FF6F42C1"/>
      </x:bottom>
    </x:border>
    <x:border>
      <x:right style="thin">
        <x:color rgb="FF6F42C1"/>
      </x:right>
      <x:bottom style="thin">
        <x:color rgb="FF6F42C1"/>
      </x:bottom>
    </x:border>
    <x:border>
      <x:left style="thin">
        <x:color rgb="FFF6A623"/>
      </x:left>
      <x:top style="thin">
        <x:color rgb="FFF6A623"/>
      </x:top>
    </x:border>
    <x:border>
      <x:top style="thin">
        <x:color rgb="FFF6A623"/>
      </x:top>
    </x:border>
    <x:border>
      <x:right style="thin">
        <x:color rgb="FFF6A623"/>
      </x:right>
      <x:top style="thin">
        <x:color rgb="FFF6A623"/>
      </x:top>
    </x:border>
    <x:border>
      <x:left style="thin">
        <x:color rgb="FFF6A623"/>
      </x:left>
      <x:bottom style="thin">
        <x:color rgb="FFF6A623"/>
      </x:bottom>
    </x:border>
    <x:border>
      <x:bottom style="thin">
        <x:color rgb="FFF6A623"/>
      </x:bottom>
    </x:border>
    <x:border>
      <x:right style="thin">
        <x:color rgb="FFF6A623"/>
      </x:right>
      <x:bottom style="thin">
        <x:color rgb="FFF6A623"/>
      </x:bottom>
    </x:border>
    <x:border>
      <x:left style="thin">
        <x:color rgb="FFF6A623"/>
      </x:left>
      <x:top style="thin">
        <x:color rgb="FFF6A623"/>
      </x:top>
    </x:border>
    <x:border>
      <x:top style="thin">
        <x:color rgb="FFF6A623"/>
      </x:top>
    </x:border>
    <x:border>
      <x:right style="thin">
        <x:color rgb="FFF6A623"/>
      </x:right>
      <x:top style="thin">
        <x:color rgb="FFF6A623"/>
      </x:top>
    </x:border>
    <x:border>
      <x:left style="thin">
        <x:color rgb="FFF6A623"/>
      </x:left>
      <x:bottom style="thin">
        <x:color rgb="FFF6A623"/>
      </x:bottom>
    </x:border>
    <x:border>
      <x:bottom style="thin">
        <x:color rgb="FFF6A623"/>
      </x:bottom>
    </x:border>
    <x:border>
      <x:right style="thin">
        <x:color rgb="FFF6A623"/>
      </x:right>
      <x:bottom style="thin">
        <x:color rgb="FFF6A623"/>
      </x:bottom>
    </x:border>
    <x:border>
      <x:left style="thin">
        <x:color rgb="FFC0392B"/>
      </x:left>
      <x:top style="thin">
        <x:color rgb="FFC0392B"/>
      </x:top>
    </x:border>
    <x:border>
      <x:right style="thin">
        <x:color rgb="FFC0392B"/>
      </x:right>
      <x:top style="thin">
        <x:color rgb="FFC0392B"/>
      </x:top>
    </x:border>
    <x:border>
      <x:left style="thin">
        <x:color rgb="FFC0392B"/>
      </x:left>
      <x:bottom style="thin">
        <x:color rgb="FFC0392B"/>
      </x:bottom>
    </x:border>
    <x:border>
      <x:right style="thin">
        <x:color rgb="FFC0392B"/>
      </x:right>
      <x:bottom style="thin">
        <x:color rgb="FFC0392B"/>
      </x:bottom>
    </x:border>
    <x:border>
      <x:left style="thin">
        <x:color rgb="FFC0392B"/>
      </x:left>
      <x:top style="thin">
        <x:color rgb="FFC0392B"/>
      </x:top>
    </x:border>
    <x:border>
      <x:right style="thin">
        <x:color rgb="FFC0392B"/>
      </x:right>
      <x:top style="thin">
        <x:color rgb="FFC0392B"/>
      </x:top>
    </x:border>
    <x:border>
      <x:left style="thin">
        <x:color rgb="FFC0392B"/>
      </x:left>
      <x:bottom style="thin">
        <x:color rgb="FFC0392B"/>
      </x:bottom>
    </x:border>
    <x:border>
      <x:right style="thin">
        <x:color rgb="FFC0392B"/>
      </x:right>
      <x:bottom style="thin">
        <x:color rgb="FFC0392B"/>
      </x:bottom>
    </x:border>
  </x:borders>
  <x:cellStyleXfs count="1">
    <x:xf numFmtId="0" fontId="0" fillId="0" borderId="0"/>
  </x:cellStyleXfs>
  <x:cellXfs count="62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200" fontId="3" fillId="0" borderId="0" xfId="0" applyNumberFormat="1" applyFont="1" applyFill="1" applyBorder="1"/>
    <x:xf numFmtId="200" fontId="3" fillId="0" borderId="1" xfId="0" applyNumberFormat="1" applyFont="1" applyFill="1" applyBorder="1"/>
    <x:xf numFmtId="201" fontId="3" fillId="0" borderId="0" xfId="0" applyNumberFormat="1" applyFont="1" applyFill="1" applyBorder="1"/>
    <x:xf numFmtId="201" fontId="3" fillId="0" borderId="1" xfId="0" applyNumberFormat="1" applyFont="1" applyFill="1" applyBorder="1"/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2" fontId="3" fillId="0" borderId="0" xfId="0" applyNumberFormat="1" applyFont="1" applyFill="1" applyBorder="1"/>
    <x:xf numFmtId="202" fontId="3" fillId="0" borderId="1" xfId="0" applyNumberFormat="1" applyFont="1" applyFill="1" applyBorder="1"/>
    <x:xf numFmtId="200" fontId="4" fillId="0" borderId="0" xfId="0" applyNumberFormat="1" applyFont="1" applyFill="1" applyBorder="1"/>
    <x:xf numFmtId="200" fontId="4" fillId="0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0" xfId="0" applyNumberFormat="1" applyFont="1" applyFill="1" applyBorder="1" applyAlignment="1">
      <x:alignment horizontal="center"/>
    </x:xf>
    <x:xf numFmtId="0" fontId="5" fillId="3" borderId="0" xfId="0" applyNumberFormat="1" applyFont="1" applyFill="1" applyBorder="1" applyAlignment="1">
      <x:alignment horizontal="center" vertical="center"/>
    </x:xf>
    <x:xf numFmtId="0" fontId="5" fillId="3" borderId="1" xfId="0" applyNumberFormat="1" applyFont="1" applyFill="1" applyBorder="1"/>
    <x:xf numFmtId="0" fontId="5" fillId="3" borderId="1" xfId="0" applyNumberFormat="1" applyFont="1" applyFill="1" applyBorder="1" applyAlignment="1">
      <x:alignment horizontal="center"/>
    </x:xf>
    <x:xf numFmtId="0" fontId="5" fillId="3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6" fillId="5" borderId="0" xfId="0" applyNumberFormat="1" applyFont="1" applyFill="1" applyBorder="1"/>
    <x:xf numFmtId="0" fontId="6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6" fillId="5" borderId="1" xfId="0" applyNumberFormat="1" applyFont="1" applyFill="1" applyBorder="1"/>
    <x:xf numFmtId="0" fontId="6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7" fillId="6" borderId="0" xfId="0" applyNumberFormat="1" applyFont="1" applyFill="1" applyBorder="1"/>
    <x:xf numFmtId="0" fontId="7" fillId="6" borderId="0" xfId="0" applyNumberFormat="1" applyFont="1" applyFill="1" applyBorder="1" applyAlignment="1">
      <x:alignment wrapText="1"/>
    </x:xf>
    <x:xf numFmtId="0" fontId="7" fillId="6" borderId="0" xfId="0" applyNumberFormat="1" applyFont="1" applyFill="1" applyBorder="1" applyAlignment="1">
      <x:alignment horizontal="center" wrapText="1"/>
    </x:xf>
    <x:xf numFmtId="0" fontId="7" fillId="6" borderId="0" xfId="0" applyNumberFormat="1" applyFont="1" applyFill="1" applyBorder="1" applyAlignment="1">
      <x:alignment horizontal="center" vertical="top" wrapText="1"/>
    </x:xf>
    <x:xf numFmtId="0" fontId="0" fillId="6" borderId="1" xfId="0" applyNumberFormat="1" applyFont="1" applyFill="1" applyBorder="1"/>
    <x:xf numFmtId="0" fontId="7" fillId="6" borderId="1" xfId="0" applyNumberFormat="1" applyFont="1" applyFill="1" applyBorder="1"/>
    <x:xf numFmtId="0" fontId="7" fillId="6" borderId="1" xfId="0" applyNumberFormat="1" applyFont="1" applyFill="1" applyBorder="1" applyAlignment="1">
      <x:alignment wrapText="1"/>
    </x:xf>
    <x:xf numFmtId="0" fontId="7" fillId="6" borderId="1" xfId="0" applyNumberFormat="1" applyFont="1" applyFill="1" applyBorder="1" applyAlignment="1">
      <x:alignment horizontal="center" wrapText="1"/>
    </x:xf>
    <x:xf numFmtId="0" fontId="7" fillId="6" borderId="1" xfId="0" applyNumberFormat="1" applyFont="1" applyFill="1" applyBorder="1" applyAlignment="1">
      <x:alignment horizontal="center" vertical="top" wrapText="1"/>
    </x:xf>
    <x:xf numFmtId="0" fontId="0" fillId="7" borderId="0" xfId="0" applyNumberFormat="1" applyFont="1" applyFill="1" applyBorder="1"/>
    <x:xf numFmtId="0" fontId="7" fillId="7" borderId="0" xfId="0" applyNumberFormat="1" applyFont="1" applyFill="1" applyBorder="1"/>
    <x:xf numFmtId="0" fontId="7" fillId="7" borderId="0" xfId="0" applyNumberFormat="1" applyFont="1" applyFill="1" applyBorder="1" applyAlignment="1">
      <x:alignment wrapText="1"/>
    </x:xf>
    <x:xf numFmtId="0" fontId="7" fillId="7" borderId="0" xfId="0" applyNumberFormat="1" applyFont="1" applyFill="1" applyBorder="1" applyAlignment="1">
      <x:alignment horizontal="center" wrapText="1"/>
    </x:xf>
    <x:xf numFmtId="0" fontId="7" fillId="7" borderId="0" xfId="0" applyNumberFormat="1" applyFont="1" applyFill="1" applyBorder="1" applyAlignment="1">
      <x:alignment horizontal="center" vertical="top" wrapText="1"/>
    </x:xf>
    <x:xf numFmtId="0" fontId="0" fillId="7" borderId="1" xfId="0" applyNumberFormat="1" applyFont="1" applyFill="1" applyBorder="1"/>
    <x:xf numFmtId="0" fontId="7" fillId="7" borderId="1" xfId="0" applyNumberFormat="1" applyFont="1" applyFill="1" applyBorder="1"/>
    <x:xf numFmtId="0" fontId="7" fillId="7" borderId="1" xfId="0" applyNumberFormat="1" applyFont="1" applyFill="1" applyBorder="1" applyAlignment="1">
      <x:alignment wrapText="1"/>
    </x:xf>
    <x:xf numFmtId="0" fontId="7" fillId="7" borderId="1" xfId="0" applyNumberFormat="1" applyFont="1" applyFill="1" applyBorder="1" applyAlignment="1">
      <x:alignment horizontal="center" wrapText="1"/>
    </x:xf>
    <x:xf numFmtId="0" fontId="7" fillId="7" borderId="1" xfId="0" applyNumberFormat="1" applyFont="1" applyFill="1" applyBorder="1" applyAlignment="1">
      <x:alignment horizontal="center" vertical="top" wrapText="1"/>
    </x:xf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0" fontId="7" fillId="8" borderId="0" xfId="0" applyNumberFormat="1" applyFont="1" applyFill="1" applyBorder="1" applyAlignment="1">
      <x:alignment wrapText="1"/>
    </x:xf>
    <x:xf numFmtId="0" fontId="7" fillId="8" borderId="0" xfId="0" applyNumberFormat="1" applyFont="1" applyFill="1" applyBorder="1" applyAlignment="1">
      <x:alignment horizontal="center" wrapText="1"/>
    </x:xf>
    <x:xf numFmtId="0" fontId="7" fillId="8" borderId="0" xfId="0" applyNumberFormat="1" applyFont="1" applyFill="1" applyBorder="1" applyAlignment="1">
      <x:alignment horizontal="center" vertical="top" wrapText="1"/>
    </x:xf>
    <x:xf numFmtId="0" fontId="0" fillId="8" borderId="1" xfId="0" applyNumberFormat="1" applyFont="1" applyFill="1" applyBorder="1"/>
    <x:xf numFmtId="0" fontId="7" fillId="8" borderId="1" xfId="0" applyNumberFormat="1" applyFont="1" applyFill="1" applyBorder="1"/>
    <x:xf numFmtId="0" fontId="7" fillId="8" borderId="1" xfId="0" applyNumberFormat="1" applyFont="1" applyFill="1" applyBorder="1" applyAlignment="1">
      <x:alignment wrapText="1"/>
    </x:xf>
    <x:xf numFmtId="0" fontId="7" fillId="8" borderId="1" xfId="0" applyNumberFormat="1" applyFont="1" applyFill="1" applyBorder="1" applyAlignment="1">
      <x:alignment horizontal="center" wrapText="1"/>
    </x:xf>
    <x:xf numFmtId="0" fontId="7" fillId="8" borderId="1" xfId="0" applyNumberFormat="1" applyFont="1" applyFill="1" applyBorder="1" applyAlignment="1">
      <x:alignment horizontal="center" vertical="top" wrapText="1"/>
    </x:xf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0" fontId="7" fillId="9" borderId="0" xfId="0" applyNumberFormat="1" applyFont="1" applyFill="1" applyBorder="1" applyAlignment="1">
      <x:alignment wrapText="1"/>
    </x:xf>
    <x:xf numFmtId="0" fontId="7" fillId="9" borderId="0" xfId="0" applyNumberFormat="1" applyFont="1" applyFill="1" applyBorder="1" applyAlignment="1">
      <x:alignment horizontal="center" wrapText="1"/>
    </x:xf>
    <x:xf numFmtId="0" fontId="7" fillId="9" borderId="0" xfId="0" applyNumberFormat="1" applyFont="1" applyFill="1" applyBorder="1" applyAlignment="1">
      <x:alignment horizontal="center" vertical="top" wrapText="1"/>
    </x:xf>
    <x:xf numFmtId="0" fontId="0" fillId="9" borderId="1" xfId="0" applyNumberFormat="1" applyFont="1" applyFill="1" applyBorder="1"/>
    <x:xf numFmtId="0" fontId="7" fillId="9" borderId="1" xfId="0" applyNumberFormat="1" applyFont="1" applyFill="1" applyBorder="1"/>
    <x:xf numFmtId="0" fontId="7" fillId="9" borderId="1" xfId="0" applyNumberFormat="1" applyFont="1" applyFill="1" applyBorder="1" applyAlignment="1">
      <x:alignment wrapText="1"/>
    </x:xf>
    <x:xf numFmtId="0" fontId="7" fillId="9" borderId="1" xfId="0" applyNumberFormat="1" applyFont="1" applyFill="1" applyBorder="1" applyAlignment="1">
      <x:alignment horizontal="center" wrapText="1"/>
    </x:xf>
    <x:xf numFmtId="0" fontId="7" fillId="9" borderId="1" xfId="0" applyNumberFormat="1" applyFont="1" applyFill="1" applyBorder="1" applyAlignment="1">
      <x:alignment horizontal="center" vertical="top" wrapText="1"/>
    </x:xf>
    <x:xf numFmtId="0" fontId="0" fillId="10" borderId="0" xfId="0" applyNumberFormat="1" applyFont="1" applyFill="1" applyBorder="1"/>
    <x:xf numFmtId="0" fontId="7" fillId="10" borderId="0" xfId="0" applyNumberFormat="1" applyFont="1" applyFill="1" applyBorder="1"/>
    <x:xf numFmtId="0" fontId="7" fillId="10" borderId="0" xfId="0" applyNumberFormat="1" applyFont="1" applyFill="1" applyBorder="1" applyAlignment="1">
      <x:alignment wrapText="1"/>
    </x:xf>
    <x:xf numFmtId="0" fontId="7" fillId="10" borderId="0" xfId="0" applyNumberFormat="1" applyFont="1" applyFill="1" applyBorder="1" applyAlignment="1">
      <x:alignment horizontal="center" wrapText="1"/>
    </x:xf>
    <x:xf numFmtId="0" fontId="7" fillId="10" borderId="0" xfId="0" applyNumberFormat="1" applyFont="1" applyFill="1" applyBorder="1" applyAlignment="1">
      <x:alignment horizontal="center" vertical="top" wrapText="1"/>
    </x:xf>
    <x:xf numFmtId="0" fontId="0" fillId="10" borderId="1" xfId="0" applyNumberFormat="1" applyFont="1" applyFill="1" applyBorder="1"/>
    <x:xf numFmtId="0" fontId="7" fillId="10" borderId="1" xfId="0" applyNumberFormat="1" applyFont="1" applyFill="1" applyBorder="1"/>
    <x:xf numFmtId="0" fontId="7" fillId="10" borderId="1" xfId="0" applyNumberFormat="1" applyFont="1" applyFill="1" applyBorder="1" applyAlignment="1">
      <x:alignment wrapText="1"/>
    </x:xf>
    <x:xf numFmtId="0" fontId="7" fillId="10" borderId="1" xfId="0" applyNumberFormat="1" applyFont="1" applyFill="1" applyBorder="1" applyAlignment="1">
      <x:alignment horizontal="center" wrapText="1"/>
    </x:xf>
    <x:xf numFmtId="0" fontId="7" fillId="10" borderId="1" xfId="0" applyNumberFormat="1" applyFont="1" applyFill="1" applyBorder="1" applyAlignment="1">
      <x:alignment horizontal="center" vertical="top" wrapText="1"/>
    </x:xf>
    <x:xf numFmtId="0" fontId="0" fillId="11" borderId="0" xfId="0" applyNumberFormat="1" applyFont="1" applyFill="1" applyBorder="1"/>
    <x:xf numFmtId="0" fontId="7" fillId="11" borderId="0" xfId="0" applyNumberFormat="1" applyFont="1" applyFill="1" applyBorder="1"/>
    <x:xf numFmtId="0" fontId="7" fillId="11" borderId="0" xfId="0" applyNumberFormat="1" applyFont="1" applyFill="1" applyBorder="1" applyAlignment="1">
      <x:alignment wrapText="1"/>
    </x:xf>
    <x:xf numFmtId="0" fontId="7" fillId="11" borderId="0" xfId="0" applyNumberFormat="1" applyFont="1" applyFill="1" applyBorder="1" applyAlignment="1">
      <x:alignment horizontal="center" wrapText="1"/>
    </x:xf>
    <x:xf numFmtId="0" fontId="7" fillId="11" borderId="0" xfId="0" applyNumberFormat="1" applyFont="1" applyFill="1" applyBorder="1" applyAlignment="1">
      <x:alignment horizontal="center" vertical="top" wrapText="1"/>
    </x:xf>
    <x:xf numFmtId="0" fontId="0" fillId="11" borderId="1" xfId="0" applyNumberFormat="1" applyFont="1" applyFill="1" applyBorder="1"/>
    <x:xf numFmtId="0" fontId="7" fillId="11" borderId="1" xfId="0" applyNumberFormat="1" applyFont="1" applyFill="1" applyBorder="1"/>
    <x:xf numFmtId="0" fontId="7" fillId="11" borderId="1" xfId="0" applyNumberFormat="1" applyFont="1" applyFill="1" applyBorder="1" applyAlignment="1">
      <x:alignment wrapText="1"/>
    </x:xf>
    <x:xf numFmtId="0" fontId="7" fillId="11" borderId="1" xfId="0" applyNumberFormat="1" applyFont="1" applyFill="1" applyBorder="1" applyAlignment="1">
      <x:alignment horizontal="center" wrapText="1"/>
    </x:xf>
    <x:xf numFmtId="0" fontId="7" fillId="11" borderId="1" xfId="0" applyNumberFormat="1" applyFont="1" applyFill="1" applyBorder="1" applyAlignment="1">
      <x:alignment horizontal="center" vertical="top" wrapText="1"/>
    </x:xf>
    <x:xf numFmtId="0" fontId="7" fillId="6" borderId="0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 applyAlignment="1">
      <x:alignment horizontal="center" vertical="center" wrapText="1"/>
    </x:xf>
    <x:xf numFmtId="0" fontId="7" fillId="6" borderId="0" xfId="0" applyNumberFormat="1" applyFont="1" applyFill="1" applyBorder="1" applyAlignment="1">
      <x:alignment horizontal="center" vertical="center"/>
    </x:xf>
    <x:xf numFmtId="0" fontId="7" fillId="6" borderId="1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 applyAlignment="1">
      <x:alignment horizontal="center" vertical="center" wrapText="1"/>
    </x:xf>
    <x:xf numFmtId="0" fontId="7" fillId="6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8" fillId="12" borderId="0" xfId="0" applyNumberFormat="1" applyFont="1" applyFill="1" applyBorder="1"/>
    <x:xf numFmtId="0" fontId="8" fillId="12" borderId="2" xfId="0" applyNumberFormat="1" applyFont="1" applyFill="1" applyBorder="1"/>
    <x:xf numFmtId="0" fontId="8" fillId="12" borderId="3" xfId="0" applyNumberFormat="1" applyFont="1" applyFill="1" applyBorder="1"/>
    <x:xf numFmtId="0" fontId="8" fillId="12" borderId="4" xfId="0" applyNumberFormat="1" applyFont="1" applyFill="1" applyBorder="1"/>
    <x:xf numFmtId="0" fontId="8" fillId="12" borderId="5" xfId="0" applyNumberFormat="1" applyFont="1" applyFill="1" applyBorder="1"/>
    <x:xf numFmtId="0" fontId="8" fillId="12" borderId="2" xfId="0" applyNumberFormat="1" applyFont="1" applyFill="1" applyBorder="1" applyAlignment="1">
      <x:alignment horizontal="center"/>
    </x:xf>
    <x:xf numFmtId="0" fontId="8" fillId="12" borderId="3" xfId="0" applyNumberFormat="1" applyFont="1" applyFill="1" applyBorder="1" applyAlignment="1">
      <x:alignment horizontal="center"/>
    </x:xf>
    <x:xf numFmtId="0" fontId="8" fillId="12" borderId="4" xfId="0" applyNumberFormat="1" applyFont="1" applyFill="1" applyBorder="1" applyAlignment="1">
      <x:alignment horizontal="center"/>
    </x:xf>
    <x:xf numFmtId="0" fontId="8" fillId="12" borderId="5" xfId="0" applyNumberFormat="1" applyFont="1" applyFill="1" applyBorder="1" applyAlignment="1">
      <x:alignment horizontal="center"/>
    </x:xf>
    <x:xf numFmtId="0" fontId="8" fillId="12" borderId="2" xfId="0" applyNumberFormat="1" applyFont="1" applyFill="1" applyBorder="1" applyAlignment="1">
      <x:alignment horizontal="center" vertical="center"/>
    </x:xf>
    <x:xf numFmtId="0" fontId="8" fillId="12" borderId="3" xfId="0" applyNumberFormat="1" applyFont="1" applyFill="1" applyBorder="1" applyAlignment="1">
      <x:alignment horizontal="center" vertical="center"/>
    </x:xf>
    <x:xf numFmtId="0" fontId="8" fillId="12" borderId="4" xfId="0" applyNumberFormat="1" applyFont="1" applyFill="1" applyBorder="1" applyAlignment="1">
      <x:alignment horizontal="center" vertical="center"/>
    </x:xf>
    <x:xf numFmtId="0" fontId="8" fillId="12" borderId="5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8" fillId="12" borderId="1" xfId="0" applyNumberFormat="1" applyFont="1" applyFill="1" applyBorder="1"/>
    <x:xf numFmtId="0" fontId="8" fillId="12" borderId="6" xfId="0" applyNumberFormat="1" applyFont="1" applyFill="1" applyBorder="1"/>
    <x:xf numFmtId="0" fontId="8" fillId="12" borderId="7" xfId="0" applyNumberFormat="1" applyFont="1" applyFill="1" applyBorder="1"/>
    <x:xf numFmtId="0" fontId="8" fillId="12" borderId="8" xfId="0" applyNumberFormat="1" applyFont="1" applyFill="1" applyBorder="1"/>
    <x:xf numFmtId="0" fontId="8" fillId="12" borderId="9" xfId="0" applyNumberFormat="1" applyFont="1" applyFill="1" applyBorder="1"/>
    <x:xf numFmtId="0" fontId="8" fillId="12" borderId="6" xfId="0" applyNumberFormat="1" applyFont="1" applyFill="1" applyBorder="1" applyAlignment="1">
      <x:alignment horizontal="center"/>
    </x:xf>
    <x:xf numFmtId="0" fontId="8" fillId="12" borderId="7" xfId="0" applyNumberFormat="1" applyFont="1" applyFill="1" applyBorder="1" applyAlignment="1">
      <x:alignment horizontal="center"/>
    </x:xf>
    <x:xf numFmtId="0" fontId="8" fillId="12" borderId="8" xfId="0" applyNumberFormat="1" applyFont="1" applyFill="1" applyBorder="1" applyAlignment="1">
      <x:alignment horizontal="center"/>
    </x:xf>
    <x:xf numFmtId="0" fontId="8" fillId="12" borderId="9" xfId="0" applyNumberFormat="1" applyFont="1" applyFill="1" applyBorder="1" applyAlignment="1">
      <x:alignment horizontal="center"/>
    </x:xf>
    <x:xf numFmtId="0" fontId="8" fillId="12" borderId="6" xfId="0" applyNumberFormat="1" applyFont="1" applyFill="1" applyBorder="1" applyAlignment="1">
      <x:alignment horizontal="center" vertical="center"/>
    </x:xf>
    <x:xf numFmtId="0" fontId="8" fillId="12" borderId="7" xfId="0" applyNumberFormat="1" applyFont="1" applyFill="1" applyBorder="1" applyAlignment="1">
      <x:alignment horizontal="center" vertical="center"/>
    </x:xf>
    <x:xf numFmtId="0" fontId="8" fillId="12" borderId="8" xfId="0" applyNumberFormat="1" applyFont="1" applyFill="1" applyBorder="1" applyAlignment="1">
      <x:alignment horizontal="center" vertical="center"/>
    </x:xf>
    <x:xf numFmtId="0" fontId="8" fillId="12" borderId="9" xfId="0" applyNumberFormat="1" applyFont="1" applyFill="1" applyBorder="1" applyAlignment="1">
      <x:alignment horizontal="center" vertical="center"/>
    </x:xf>
    <x:xf numFmtId="0" fontId="7" fillId="7" borderId="0" xfId="0" applyNumberFormat="1" applyFont="1" applyFill="1" applyBorder="1" applyAlignment="1">
      <x:alignment horizontal="center"/>
    </x:xf>
    <x:xf numFmtId="0" fontId="7" fillId="7" borderId="0" xfId="0" applyNumberFormat="1" applyFont="1" applyFill="1" applyBorder="1" applyAlignment="1">
      <x:alignment horizontal="center" vertical="center" wrapText="1"/>
    </x:xf>
    <x:xf numFmtId="0" fontId="7" fillId="7" borderId="0" xfId="0" applyNumberFormat="1" applyFont="1" applyFill="1" applyBorder="1" applyAlignment="1">
      <x:alignment horizontal="center" vertical="center"/>
    </x:xf>
    <x:xf numFmtId="0" fontId="7" fillId="7" borderId="1" xfId="0" applyNumberFormat="1" applyFont="1" applyFill="1" applyBorder="1" applyAlignment="1">
      <x:alignment horizontal="center"/>
    </x:xf>
    <x:xf numFmtId="0" fontId="7" fillId="7" borderId="1" xfId="0" applyNumberFormat="1" applyFont="1" applyFill="1" applyBorder="1" applyAlignment="1">
      <x:alignment horizontal="center" vertical="center" wrapText="1"/>
    </x:xf>
    <x:xf numFmtId="0" fontId="7" fillId="7" borderId="1" xfId="0" applyNumberFormat="1" applyFont="1" applyFill="1" applyBorder="1" applyAlignment="1">
      <x:alignment horizontal="center" vertical="center"/>
    </x:xf>
    <x:xf numFmtId="0" fontId="7" fillId="8" borderId="0" xfId="0" applyNumberFormat="1" applyFont="1" applyFill="1" applyBorder="1" applyAlignment="1">
      <x:alignment horizontal="center"/>
    </x:xf>
    <x:xf numFmtId="0" fontId="7" fillId="8" borderId="0" xfId="0" applyNumberFormat="1" applyFont="1" applyFill="1" applyBorder="1" applyAlignment="1">
      <x:alignment horizontal="center" vertical="center" wrapText="1"/>
    </x:xf>
    <x:xf numFmtId="0" fontId="7" fillId="8" borderId="0" xfId="0" applyNumberFormat="1" applyFont="1" applyFill="1" applyBorder="1" applyAlignment="1">
      <x:alignment horizontal="center" vertical="center"/>
    </x:xf>
    <x:xf numFmtId="0" fontId="7" fillId="8" borderId="1" xfId="0" applyNumberFormat="1" applyFont="1" applyFill="1" applyBorder="1" applyAlignment="1">
      <x:alignment horizontal="center"/>
    </x:xf>
    <x:xf numFmtId="0" fontId="7" fillId="8" borderId="1" xfId="0" applyNumberFormat="1" applyFont="1" applyFill="1" applyBorder="1" applyAlignment="1">
      <x:alignment horizontal="center" vertical="center" wrapText="1"/>
    </x:xf>
    <x:xf numFmtId="0" fontId="7" fillId="8" borderId="1" xfId="0" applyNumberFormat="1" applyFont="1" applyFill="1" applyBorder="1" applyAlignment="1">
      <x:alignment horizontal="center" vertical="center"/>
    </x:xf>
    <x:xf numFmtId="0" fontId="7" fillId="9" borderId="0" xfId="0" applyNumberFormat="1" applyFont="1" applyFill="1" applyBorder="1" applyAlignment="1">
      <x:alignment horizontal="center"/>
    </x:xf>
    <x:xf numFmtId="0" fontId="7" fillId="9" borderId="0" xfId="0" applyNumberFormat="1" applyFont="1" applyFill="1" applyBorder="1" applyAlignment="1">
      <x:alignment horizontal="center" vertical="center" wrapText="1"/>
    </x:xf>
    <x:xf numFmtId="0" fontId="7" fillId="9" borderId="0" xfId="0" applyNumberFormat="1" applyFont="1" applyFill="1" applyBorder="1" applyAlignment="1">
      <x:alignment horizontal="center" vertical="center"/>
    </x:xf>
    <x:xf numFmtId="0" fontId="7" fillId="9" borderId="1" xfId="0" applyNumberFormat="1" applyFont="1" applyFill="1" applyBorder="1" applyAlignment="1">
      <x:alignment horizontal="center"/>
    </x:xf>
    <x:xf numFmtId="0" fontId="7" fillId="9" borderId="1" xfId="0" applyNumberFormat="1" applyFont="1" applyFill="1" applyBorder="1" applyAlignment="1">
      <x:alignment horizontal="center" vertical="center" wrapText="1"/>
    </x:xf>
    <x:xf numFmtId="0" fontId="7" fillId="9" borderId="1" xfId="0" applyNumberFormat="1" applyFont="1" applyFill="1" applyBorder="1" applyAlignment="1">
      <x:alignment horizontal="center" vertical="center"/>
    </x:xf>
    <x:xf numFmtId="0" fontId="7" fillId="10" borderId="0" xfId="0" applyNumberFormat="1" applyFont="1" applyFill="1" applyBorder="1" applyAlignment="1">
      <x:alignment horizontal="center"/>
    </x:xf>
    <x:xf numFmtId="0" fontId="7" fillId="10" borderId="0" xfId="0" applyNumberFormat="1" applyFont="1" applyFill="1" applyBorder="1" applyAlignment="1">
      <x:alignment horizontal="center" vertical="center" wrapText="1"/>
    </x:xf>
    <x:xf numFmtId="0" fontId="7" fillId="10" borderId="0" xfId="0" applyNumberFormat="1" applyFont="1" applyFill="1" applyBorder="1" applyAlignment="1">
      <x:alignment horizontal="center" vertical="center"/>
    </x:xf>
    <x:xf numFmtId="0" fontId="7" fillId="10" borderId="1" xfId="0" applyNumberFormat="1" applyFont="1" applyFill="1" applyBorder="1" applyAlignment="1">
      <x:alignment horizontal="center"/>
    </x:xf>
    <x:xf numFmtId="0" fontId="7" fillId="10" borderId="1" xfId="0" applyNumberFormat="1" applyFont="1" applyFill="1" applyBorder="1" applyAlignment="1">
      <x:alignment horizontal="center" vertical="center" wrapText="1"/>
    </x:xf>
    <x:xf numFmtId="0" fontId="7" fillId="10" borderId="1" xfId="0" applyNumberFormat="1" applyFont="1" applyFill="1" applyBorder="1" applyAlignment="1">
      <x:alignment horizontal="center" vertical="center"/>
    </x:xf>
    <x:xf numFmtId="0" fontId="7" fillId="11" borderId="0" xfId="0" applyNumberFormat="1" applyFont="1" applyFill="1" applyBorder="1" applyAlignment="1">
      <x:alignment horizontal="center"/>
    </x:xf>
    <x:xf numFmtId="0" fontId="7" fillId="11" borderId="0" xfId="0" applyNumberFormat="1" applyFont="1" applyFill="1" applyBorder="1" applyAlignment="1">
      <x:alignment horizontal="center" vertical="center" wrapText="1"/>
    </x:xf>
    <x:xf numFmtId="0" fontId="7" fillId="11" borderId="0" xfId="0" applyNumberFormat="1" applyFont="1" applyFill="1" applyBorder="1" applyAlignment="1">
      <x:alignment horizontal="center" vertical="center"/>
    </x:xf>
    <x:xf numFmtId="0" fontId="7" fillId="11" borderId="1" xfId="0" applyNumberFormat="1" applyFont="1" applyFill="1" applyBorder="1" applyAlignment="1">
      <x:alignment horizontal="center"/>
    </x:xf>
    <x:xf numFmtId="0" fontId="7" fillId="11" borderId="1" xfId="0" applyNumberFormat="1" applyFont="1" applyFill="1" applyBorder="1" applyAlignment="1">
      <x:alignment horizontal="center" vertical="center" wrapText="1"/>
    </x:xf>
    <x:xf numFmtId="0" fontId="7" fillId="11" borderId="1" xfId="0" applyNumberFormat="1" applyFont="1" applyFill="1" applyBorder="1" applyAlignment="1">
      <x:alignment horizontal="center" vertical="center"/>
    </x:xf>
    <x:xf numFmtId="200" fontId="8" fillId="12" borderId="2" xfId="0" applyNumberFormat="1" applyFont="1" applyFill="1" applyBorder="1" applyAlignment="1">
      <x:alignment horizontal="center" vertical="center"/>
    </x:xf>
    <x:xf numFmtId="200" fontId="8" fillId="12" borderId="3" xfId="0" applyNumberFormat="1" applyFont="1" applyFill="1" applyBorder="1" applyAlignment="1">
      <x:alignment horizontal="center" vertical="center"/>
    </x:xf>
    <x:xf numFmtId="200" fontId="8" fillId="12" borderId="4" xfId="0" applyNumberFormat="1" applyFont="1" applyFill="1" applyBorder="1" applyAlignment="1">
      <x:alignment horizontal="center" vertical="center"/>
    </x:xf>
    <x:xf numFmtId="200" fontId="8" fillId="12" borderId="5" xfId="0" applyNumberFormat="1" applyFont="1" applyFill="1" applyBorder="1" applyAlignment="1">
      <x:alignment horizontal="center" vertical="center"/>
    </x:xf>
    <x:xf numFmtId="200" fontId="8" fillId="12" borderId="6" xfId="0" applyNumberFormat="1" applyFont="1" applyFill="1" applyBorder="1" applyAlignment="1">
      <x:alignment horizontal="center" vertical="center"/>
    </x:xf>
    <x:xf numFmtId="200" fontId="8" fillId="12" borderId="7" xfId="0" applyNumberFormat="1" applyFont="1" applyFill="1" applyBorder="1" applyAlignment="1">
      <x:alignment horizontal="center" vertical="center"/>
    </x:xf>
    <x:xf numFmtId="200" fontId="8" fillId="12" borderId="8" xfId="0" applyNumberFormat="1" applyFont="1" applyFill="1" applyBorder="1" applyAlignment="1">
      <x:alignment horizontal="center" vertical="center"/>
    </x:xf>
    <x:xf numFmtId="200" fontId="8" fillId="12" borderId="9" xfId="0" applyNumberFormat="1" applyFont="1" applyFill="1" applyBorder="1" applyAlignment="1">
      <x:alignment horizontal="center" vertical="center"/>
    </x:xf>
    <x:xf numFmtId="201" fontId="8" fillId="12" borderId="2" xfId="0" applyNumberFormat="1" applyFont="1" applyFill="1" applyBorder="1" applyAlignment="1">
      <x:alignment horizontal="center" vertical="center"/>
    </x:xf>
    <x:xf numFmtId="201" fontId="8" fillId="12" borderId="3" xfId="0" applyNumberFormat="1" applyFont="1" applyFill="1" applyBorder="1" applyAlignment="1">
      <x:alignment horizontal="center" vertical="center"/>
    </x:xf>
    <x:xf numFmtId="201" fontId="8" fillId="12" borderId="4" xfId="0" applyNumberFormat="1" applyFont="1" applyFill="1" applyBorder="1" applyAlignment="1">
      <x:alignment horizontal="center" vertical="center"/>
    </x:xf>
    <x:xf numFmtId="201" fontId="8" fillId="12" borderId="5" xfId="0" applyNumberFormat="1" applyFont="1" applyFill="1" applyBorder="1" applyAlignment="1">
      <x:alignment horizontal="center" vertical="center"/>
    </x:xf>
    <x:xf numFmtId="201" fontId="8" fillId="12" borderId="6" xfId="0" applyNumberFormat="1" applyFont="1" applyFill="1" applyBorder="1" applyAlignment="1">
      <x:alignment horizontal="center" vertical="center"/>
    </x:xf>
    <x:xf numFmtId="201" fontId="8" fillId="12" borderId="7" xfId="0" applyNumberFormat="1" applyFont="1" applyFill="1" applyBorder="1" applyAlignment="1">
      <x:alignment horizontal="center" vertical="center"/>
    </x:xf>
    <x:xf numFmtId="201" fontId="8" fillId="12" borderId="8" xfId="0" applyNumberFormat="1" applyFont="1" applyFill="1" applyBorder="1" applyAlignment="1">
      <x:alignment horizontal="center" vertical="center"/>
    </x:xf>
    <x:xf numFmtId="201" fontId="8" fillId="12" borderId="9" xfId="0" applyNumberFormat="1" applyFont="1" applyFill="1" applyBorder="1" applyAlignment="1">
      <x:alignment horizontal="center" vertic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7" fillId="5" borderId="0" xfId="0" applyNumberFormat="1" applyFont="1" applyFill="1" applyBorder="1"/>
    <x:xf numFmtId="0" fontId="7" fillId="5" borderId="1" xfId="0" applyNumberFormat="1" applyFont="1" applyFill="1" applyBorder="1"/>
    <x:xf numFmtId="0" fontId="0" fillId="13" borderId="0" xfId="0" applyNumberFormat="1" applyFont="1" applyFill="1" applyBorder="1"/>
    <x:xf numFmtId="0" fontId="5" fillId="13" borderId="0" xfId="0" applyNumberFormat="1" applyFont="1" applyFill="1" applyBorder="1"/>
    <x:xf numFmtId="0" fontId="5" fillId="13" borderId="0" xfId="0" applyNumberFormat="1" applyFont="1" applyFill="1" applyBorder="1" applyAlignment="1">
      <x:alignment horizontal="center"/>
    </x:xf>
    <x:xf numFmtId="0" fontId="5" fillId="13" borderId="0" xfId="0" applyNumberFormat="1" applyFont="1" applyFill="1" applyBorder="1" applyAlignment="1">
      <x:alignment horizontal="center" vertical="center"/>
    </x:xf>
    <x:xf numFmtId="0" fontId="0" fillId="13" borderId="1" xfId="0" applyNumberFormat="1" applyFont="1" applyFill="1" applyBorder="1"/>
    <x:xf numFmtId="0" fontId="5" fillId="13" borderId="1" xfId="0" applyNumberFormat="1" applyFont="1" applyFill="1" applyBorder="1"/>
    <x:xf numFmtId="0" fontId="5" fillId="13" borderId="1" xfId="0" applyNumberFormat="1" applyFont="1" applyFill="1" applyBorder="1" applyAlignment="1">
      <x:alignment horizontal="center"/>
    </x:xf>
    <x:xf numFmtId="0" fontId="5" fillId="13" borderId="1" xfId="0" applyNumberFormat="1" applyFont="1" applyFill="1" applyBorder="1" applyAlignment="1">
      <x:alignment horizontal="center" vertical="center"/>
    </x:xf>
    <x:xf numFmtId="0" fontId="2" fillId="13" borderId="0" xfId="0" applyNumberFormat="1" applyFont="1" applyFill="1" applyBorder="1"/>
    <x:xf numFmtId="0" fontId="2" fillId="13" borderId="0" xfId="0" applyNumberFormat="1" applyFont="1" applyFill="1" applyBorder="1" applyAlignment="1">
      <x:alignment horizontal="center"/>
    </x:xf>
    <x:xf numFmtId="0" fontId="2" fillId="13" borderId="1" xfId="0" applyNumberFormat="1" applyFont="1" applyFill="1" applyBorder="1"/>
    <x:xf numFmtId="0" fontId="2" fillId="13" borderId="1" xfId="0" applyNumberFormat="1" applyFont="1" applyFill="1" applyBorder="1" applyAlignment="1">
      <x:alignment horizontal="center"/>
    </x:xf>
    <x:xf numFmtId="0" fontId="5" fillId="4" borderId="0" xfId="0" applyNumberFormat="1" applyFont="1" applyFill="1" applyBorder="1"/>
    <x:xf numFmtId="0" fontId="5" fillId="4" borderId="0" xfId="0" applyNumberFormat="1" applyFont="1" applyFill="1" applyBorder="1" applyAlignment="1">
      <x:alignment horizontal="center"/>
    </x:xf>
    <x:xf numFmtId="0" fontId="5" fillId="4" borderId="0" xfId="0" applyNumberFormat="1" applyFont="1" applyFill="1" applyBorder="1" applyAlignment="1">
      <x:alignment horizontal="center" vertical="center"/>
    </x:xf>
    <x:xf numFmtId="0" fontId="5" fillId="4" borderId="1" xfId="0" applyNumberFormat="1" applyFont="1" applyFill="1" applyBorder="1"/>
    <x:xf numFmtId="0" fontId="5" fillId="4" borderId="1" xfId="0" applyNumberFormat="1" applyFont="1" applyFill="1" applyBorder="1" applyAlignment="1">
      <x:alignment horizontal="center"/>
    </x:xf>
    <x:xf numFmtId="0" fontId="5" fillId="4" borderId="1" xfId="0" applyNumberFormat="1" applyFont="1" applyFill="1" applyBorder="1" applyAlignment="1">
      <x:alignment horizontal="center" vertical="center"/>
    </x:xf>
    <x:xf numFmtId="0" fontId="2" fillId="4" borderId="0" xfId="0" applyNumberFormat="1" applyFont="1" applyFill="1" applyBorder="1" applyAlignment="1">
      <x:alignment horizontal="center"/>
    </x:xf>
    <x:xf numFmtId="0" fontId="2" fillId="4" borderId="1" xfId="0" applyNumberFormat="1" applyFont="1" applyFill="1" applyBorder="1" applyAlignment="1">
      <x:alignment horizontal="center"/>
    </x:xf>
    <x:xf numFmtId="0" fontId="0" fillId="14" borderId="0" xfId="0" applyNumberFormat="1" applyFont="1" applyFill="1" applyBorder="1"/>
    <x:xf numFmtId="0" fontId="5" fillId="14" borderId="0" xfId="0" applyNumberFormat="1" applyFont="1" applyFill="1" applyBorder="1"/>
    <x:xf numFmtId="0" fontId="5" fillId="14" borderId="0" xfId="0" applyNumberFormat="1" applyFont="1" applyFill="1" applyBorder="1" applyAlignment="1">
      <x:alignment horizontal="center"/>
    </x:xf>
    <x:xf numFmtId="0" fontId="5" fillId="14" borderId="0" xfId="0" applyNumberFormat="1" applyFont="1" applyFill="1" applyBorder="1" applyAlignment="1">
      <x:alignment horizontal="center" vertical="center"/>
    </x:xf>
    <x:xf numFmtId="0" fontId="0" fillId="14" borderId="1" xfId="0" applyNumberFormat="1" applyFont="1" applyFill="1" applyBorder="1"/>
    <x:xf numFmtId="0" fontId="5" fillId="14" borderId="1" xfId="0" applyNumberFormat="1" applyFont="1" applyFill="1" applyBorder="1"/>
    <x:xf numFmtId="0" fontId="5" fillId="14" borderId="1" xfId="0" applyNumberFormat="1" applyFont="1" applyFill="1" applyBorder="1" applyAlignment="1">
      <x:alignment horizontal="center"/>
    </x:xf>
    <x:xf numFmtId="0" fontId="5" fillId="14" borderId="1" xfId="0" applyNumberFormat="1" applyFont="1" applyFill="1" applyBorder="1" applyAlignment="1">
      <x:alignment horizontal="center" vertical="center"/>
    </x:xf>
    <x:xf numFmtId="0" fontId="2" fillId="14" borderId="0" xfId="0" applyNumberFormat="1" applyFont="1" applyFill="1" applyBorder="1"/>
    <x:xf numFmtId="0" fontId="2" fillId="14" borderId="0" xfId="0" applyNumberFormat="1" applyFont="1" applyFill="1" applyBorder="1" applyAlignment="1">
      <x:alignment horizontal="center"/>
    </x:xf>
    <x:xf numFmtId="0" fontId="2" fillId="14" borderId="1" xfId="0" applyNumberFormat="1" applyFont="1" applyFill="1" applyBorder="1"/>
    <x:xf numFmtId="0" fontId="2" fillId="14" borderId="1" xfId="0" applyNumberFormat="1" applyFont="1" applyFill="1" applyBorder="1" applyAlignment="1">
      <x:alignment horizontal="center"/>
    </x:xf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5" fillId="2" borderId="0" xfId="0" applyNumberFormat="1" applyFont="1" applyFill="1" applyBorder="1" applyAlignment="1">
      <x:alignment horizontal="center" vertical="center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 applyAlignment="1">
      <x:alignment horizontal="center" vertical="center"/>
    </x:xf>
    <x:xf numFmtId="0" fontId="0" fillId="15" borderId="0" xfId="0" applyNumberFormat="1" applyFont="1" applyFill="1" applyBorder="1"/>
    <x:xf numFmtId="0" fontId="5" fillId="15" borderId="0" xfId="0" applyNumberFormat="1" applyFont="1" applyFill="1" applyBorder="1"/>
    <x:xf numFmtId="0" fontId="5" fillId="15" borderId="0" xfId="0" applyNumberFormat="1" applyFont="1" applyFill="1" applyBorder="1" applyAlignment="1">
      <x:alignment horizontal="center"/>
    </x:xf>
    <x:xf numFmtId="0" fontId="5" fillId="15" borderId="0" xfId="0" applyNumberFormat="1" applyFont="1" applyFill="1" applyBorder="1" applyAlignment="1">
      <x:alignment horizontal="center" vertical="center"/>
    </x:xf>
    <x:xf numFmtId="0" fontId="0" fillId="15" borderId="1" xfId="0" applyNumberFormat="1" applyFont="1" applyFill="1" applyBorder="1"/>
    <x:xf numFmtId="0" fontId="5" fillId="15" borderId="1" xfId="0" applyNumberFormat="1" applyFont="1" applyFill="1" applyBorder="1"/>
    <x:xf numFmtId="0" fontId="5" fillId="15" borderId="1" xfId="0" applyNumberFormat="1" applyFont="1" applyFill="1" applyBorder="1" applyAlignment="1">
      <x:alignment horizontal="center"/>
    </x:xf>
    <x:xf numFmtId="0" fontId="5" fillId="15" borderId="1" xfId="0" applyNumberFormat="1" applyFont="1" applyFill="1" applyBorder="1" applyAlignment="1">
      <x:alignment horizontal="center" vertical="center"/>
    </x:xf>
    <x:xf numFmtId="0" fontId="2" fillId="15" borderId="0" xfId="0" applyNumberFormat="1" applyFont="1" applyFill="1" applyBorder="1"/>
    <x:xf numFmtId="0" fontId="2" fillId="15" borderId="0" xfId="0" applyNumberFormat="1" applyFont="1" applyFill="1" applyBorder="1" applyAlignment="1">
      <x:alignment horizontal="center"/>
    </x:xf>
    <x:xf numFmtId="0" fontId="2" fillId="15" borderId="1" xfId="0" applyNumberFormat="1" applyFont="1" applyFill="1" applyBorder="1"/>
    <x:xf numFmtId="0" fontId="2" fillId="15" borderId="1" xfId="0" applyNumberFormat="1" applyFont="1" applyFill="1" applyBorder="1" applyAlignment="1">
      <x:alignment horizontal="center"/>
    </x:xf>
    <x:xf numFmtId="0" fontId="0" fillId="16" borderId="0" xfId="0" applyNumberFormat="1" applyFont="1" applyFill="1" applyBorder="1"/>
    <x:xf numFmtId="0" fontId="5" fillId="16" borderId="0" xfId="0" applyNumberFormat="1" applyFont="1" applyFill="1" applyBorder="1"/>
    <x:xf numFmtId="0" fontId="5" fillId="16" borderId="0" xfId="0" applyNumberFormat="1" applyFont="1" applyFill="1" applyBorder="1" applyAlignment="1">
      <x:alignment horizontal="center"/>
    </x:xf>
    <x:xf numFmtId="0" fontId="5" fillId="16" borderId="0" xfId="0" applyNumberFormat="1" applyFont="1" applyFill="1" applyBorder="1" applyAlignment="1">
      <x:alignment horizontal="center" vertical="center"/>
    </x:xf>
    <x:xf numFmtId="0" fontId="0" fillId="16" borderId="1" xfId="0" applyNumberFormat="1" applyFont="1" applyFill="1" applyBorder="1"/>
    <x:xf numFmtId="0" fontId="5" fillId="16" borderId="1" xfId="0" applyNumberFormat="1" applyFont="1" applyFill="1" applyBorder="1"/>
    <x:xf numFmtId="0" fontId="5" fillId="16" borderId="1" xfId="0" applyNumberFormat="1" applyFont="1" applyFill="1" applyBorder="1" applyAlignment="1">
      <x:alignment horizontal="center"/>
    </x:xf>
    <x:xf numFmtId="0" fontId="5" fillId="16" borderId="1" xfId="0" applyNumberFormat="1" applyFont="1" applyFill="1" applyBorder="1" applyAlignment="1">
      <x:alignment horizontal="center" vertical="center"/>
    </x:xf>
    <x:xf numFmtId="0" fontId="2" fillId="16" borderId="0" xfId="0" applyNumberFormat="1" applyFont="1" applyFill="1" applyBorder="1"/>
    <x:xf numFmtId="0" fontId="2" fillId="16" borderId="0" xfId="0" applyNumberFormat="1" applyFont="1" applyFill="1" applyBorder="1" applyAlignment="1">
      <x:alignment horizontal="center"/>
    </x:xf>
    <x:xf numFmtId="0" fontId="2" fillId="16" borderId="1" xfId="0" applyNumberFormat="1" applyFont="1" applyFill="1" applyBorder="1"/>
    <x:xf numFmtId="0" fontId="2" fillId="16" borderId="1" xfId="0" applyNumberFormat="1" applyFont="1" applyFill="1" applyBorder="1" applyAlignment="1">
      <x:alignment horizontal="center"/>
    </x:xf>
    <x:xf numFmtId="0" fontId="0" fillId="17" borderId="0" xfId="0" applyNumberFormat="1" applyFont="1" applyFill="1" applyBorder="1"/>
    <x:xf numFmtId="0" fontId="5" fillId="17" borderId="0" xfId="0" applyNumberFormat="1" applyFont="1" applyFill="1" applyBorder="1"/>
    <x:xf numFmtId="0" fontId="5" fillId="17" borderId="0" xfId="0" applyNumberFormat="1" applyFont="1" applyFill="1" applyBorder="1" applyAlignment="1">
      <x:alignment horizontal="center"/>
    </x:xf>
    <x:xf numFmtId="0" fontId="5" fillId="17" borderId="0" xfId="0" applyNumberFormat="1" applyFont="1" applyFill="1" applyBorder="1" applyAlignment="1">
      <x:alignment horizontal="center" vertical="center"/>
    </x:xf>
    <x:xf numFmtId="0" fontId="0" fillId="17" borderId="1" xfId="0" applyNumberFormat="1" applyFont="1" applyFill="1" applyBorder="1"/>
    <x:xf numFmtId="0" fontId="5" fillId="17" borderId="1" xfId="0" applyNumberFormat="1" applyFont="1" applyFill="1" applyBorder="1"/>
    <x:xf numFmtId="0" fontId="5" fillId="17" borderId="1" xfId="0" applyNumberFormat="1" applyFont="1" applyFill="1" applyBorder="1" applyAlignment="1">
      <x:alignment horizontal="center"/>
    </x:xf>
    <x:xf numFmtId="0" fontId="5" fillId="17" borderId="1" xfId="0" applyNumberFormat="1" applyFont="1" applyFill="1" applyBorder="1" applyAlignment="1">
      <x:alignment horizontal="center" vertical="center"/>
    </x:xf>
    <x:xf numFmtId="0" fontId="2" fillId="17" borderId="0" xfId="0" applyNumberFormat="1" applyFont="1" applyFill="1" applyBorder="1"/>
    <x:xf numFmtId="0" fontId="2" fillId="17" borderId="0" xfId="0" applyNumberFormat="1" applyFont="1" applyFill="1" applyBorder="1" applyAlignment="1">
      <x:alignment horizontal="center"/>
    </x:xf>
    <x:xf numFmtId="0" fontId="2" fillId="17" borderId="1" xfId="0" applyNumberFormat="1" applyFont="1" applyFill="1" applyBorder="1"/>
    <x:xf numFmtId="0" fontId="2" fillId="17" borderId="1" xfId="0" applyNumberFormat="1" applyFont="1" applyFill="1" applyBorder="1" applyAlignment="1">
      <x:alignment horizontal="center"/>
    </x:xf>
    <x:xf numFmtId="0" fontId="9" fillId="2" borderId="0" xfId="0" applyNumberFormat="1" applyFont="1" applyFill="1" applyBorder="1"/>
    <x:xf numFmtId="0" fontId="9" fillId="2" borderId="0" xfId="0" applyNumberFormat="1" applyFont="1" applyFill="1" applyBorder="1" applyAlignment="1">
      <x:alignment horizontal="center"/>
    </x:xf>
    <x:xf numFmtId="0" fontId="9" fillId="2" borderId="0" xfId="0" applyNumberFormat="1" applyFont="1" applyFill="1" applyBorder="1" applyAlignment="1">
      <x:alignment horizontal="center" vertical="center"/>
    </x:xf>
    <x:xf numFmtId="0" fontId="9" fillId="2" borderId="1" xfId="0" applyNumberFormat="1" applyFont="1" applyFill="1" applyBorder="1"/>
    <x:xf numFmtId="0" fontId="9" fillId="2" borderId="1" xfId="0" applyNumberFormat="1" applyFont="1" applyFill="1" applyBorder="1" applyAlignment="1">
      <x:alignment horizontal="center"/>
    </x:xf>
    <x:xf numFmtId="0" fontId="9" fillId="2" borderId="1" xfId="0" applyNumberFormat="1" applyFont="1" applyFill="1" applyBorder="1" applyAlignment="1">
      <x:alignment horizontal="center" vertical="center"/>
    </x:xf>
    <x:xf numFmtId="0" fontId="6" fillId="6" borderId="0" xfId="0" applyNumberFormat="1" applyFont="1" applyFill="1" applyBorder="1"/>
    <x:xf numFmtId="0" fontId="6" fillId="6" borderId="0" xfId="0" applyNumberFormat="1" applyFont="1" applyFill="1" applyBorder="1" applyAlignment="1">
      <x:alignment horizontal="center"/>
    </x:xf>
    <x:xf numFmtId="0" fontId="6" fillId="6" borderId="1" xfId="0" applyNumberFormat="1" applyFont="1" applyFill="1" applyBorder="1"/>
    <x:xf numFmtId="0" fontId="6" fillId="6" borderId="1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10" fillId="12" borderId="0" xfId="0" applyNumberFormat="1" applyFont="1" applyFill="1" applyBorder="1"/>
    <x:xf numFmtId="0" fontId="10" fillId="12" borderId="10" xfId="0" applyNumberFormat="1" applyFont="1" applyFill="1" applyBorder="1"/>
    <x:xf numFmtId="0" fontId="10" fillId="12" borderId="11" xfId="0" applyNumberFormat="1" applyFont="1" applyFill="1" applyBorder="1"/>
    <x:xf numFmtId="0" fontId="10" fillId="12" borderId="12" xfId="0" applyNumberFormat="1" applyFont="1" applyFill="1" applyBorder="1"/>
    <x:xf numFmtId="0" fontId="10" fillId="12" borderId="13" xfId="0" applyNumberFormat="1" applyFont="1" applyFill="1" applyBorder="1"/>
    <x:xf numFmtId="0" fontId="10" fillId="12" borderId="14" xfId="0" applyNumberFormat="1" applyFont="1" applyFill="1" applyBorder="1"/>
    <x:xf numFmtId="0" fontId="10" fillId="12" borderId="15" xfId="0" applyNumberFormat="1" applyFont="1" applyFill="1" applyBorder="1"/>
    <x:xf numFmtId="0" fontId="10" fillId="12" borderId="10" xfId="0" applyNumberFormat="1" applyFont="1" applyFill="1" applyBorder="1" applyAlignment="1">
      <x:alignment horizontal="center"/>
    </x:xf>
    <x:xf numFmtId="0" fontId="10" fillId="12" borderId="11" xfId="0" applyNumberFormat="1" applyFont="1" applyFill="1" applyBorder="1" applyAlignment="1">
      <x:alignment horizontal="center"/>
    </x:xf>
    <x:xf numFmtId="0" fontId="10" fillId="12" borderId="12" xfId="0" applyNumberFormat="1" applyFont="1" applyFill="1" applyBorder="1" applyAlignment="1">
      <x:alignment horizontal="center"/>
    </x:xf>
    <x:xf numFmtId="0" fontId="10" fillId="12" borderId="13" xfId="0" applyNumberFormat="1" applyFont="1" applyFill="1" applyBorder="1" applyAlignment="1">
      <x:alignment horizontal="center"/>
    </x:xf>
    <x:xf numFmtId="0" fontId="10" fillId="12" borderId="14" xfId="0" applyNumberFormat="1" applyFont="1" applyFill="1" applyBorder="1" applyAlignment="1">
      <x:alignment horizontal="center"/>
    </x:xf>
    <x:xf numFmtId="0" fontId="10" fillId="12" borderId="15" xfId="0" applyNumberFormat="1" applyFont="1" applyFill="1" applyBorder="1" applyAlignment="1">
      <x:alignment horizontal="center"/>
    </x:xf>
    <x:xf numFmtId="0" fontId="10" fillId="12" borderId="10" xfId="0" applyNumberFormat="1" applyFont="1" applyFill="1" applyBorder="1" applyAlignment="1">
      <x:alignment horizontal="center" vertical="center"/>
    </x:xf>
    <x:xf numFmtId="0" fontId="10" fillId="12" borderId="11" xfId="0" applyNumberFormat="1" applyFont="1" applyFill="1" applyBorder="1" applyAlignment="1">
      <x:alignment horizontal="center" vertical="center"/>
    </x:xf>
    <x:xf numFmtId="0" fontId="10" fillId="12" borderId="12" xfId="0" applyNumberFormat="1" applyFont="1" applyFill="1" applyBorder="1" applyAlignment="1">
      <x:alignment horizontal="center" vertical="center"/>
    </x:xf>
    <x:xf numFmtId="0" fontId="10" fillId="12" borderId="13" xfId="0" applyNumberFormat="1" applyFont="1" applyFill="1" applyBorder="1" applyAlignment="1">
      <x:alignment horizontal="center" vertical="center"/>
    </x:xf>
    <x:xf numFmtId="0" fontId="10" fillId="12" borderId="14" xfId="0" applyNumberFormat="1" applyFont="1" applyFill="1" applyBorder="1" applyAlignment="1">
      <x:alignment horizontal="center" vertical="center"/>
    </x:xf>
    <x:xf numFmtId="0" fontId="10" fillId="12" borderId="15" xfId="0" applyNumberFormat="1" applyFont="1" applyFill="1" applyBorder="1" applyAlignment="1">
      <x:alignment horizontal="center" vertical="center"/>
    </x:xf>
    <x:xf numFmtId="0" fontId="10" fillId="12" borderId="1" xfId="0" applyNumberFormat="1" applyFont="1" applyFill="1" applyBorder="1"/>
    <x:xf numFmtId="0" fontId="10" fillId="12" borderId="16" xfId="0" applyNumberFormat="1" applyFont="1" applyFill="1" applyBorder="1"/>
    <x:xf numFmtId="0" fontId="10" fillId="12" borderId="17" xfId="0" applyNumberFormat="1" applyFont="1" applyFill="1" applyBorder="1"/>
    <x:xf numFmtId="0" fontId="10" fillId="12" borderId="18" xfId="0" applyNumberFormat="1" applyFont="1" applyFill="1" applyBorder="1"/>
    <x:xf numFmtId="0" fontId="10" fillId="12" borderId="19" xfId="0" applyNumberFormat="1" applyFont="1" applyFill="1" applyBorder="1"/>
    <x:xf numFmtId="0" fontId="10" fillId="12" borderId="20" xfId="0" applyNumberFormat="1" applyFont="1" applyFill="1" applyBorder="1"/>
    <x:xf numFmtId="0" fontId="10" fillId="12" borderId="21" xfId="0" applyNumberFormat="1" applyFont="1" applyFill="1" applyBorder="1"/>
    <x:xf numFmtId="0" fontId="10" fillId="12" borderId="16" xfId="0" applyNumberFormat="1" applyFont="1" applyFill="1" applyBorder="1" applyAlignment="1">
      <x:alignment horizontal="center"/>
    </x:xf>
    <x:xf numFmtId="0" fontId="10" fillId="12" borderId="17" xfId="0" applyNumberFormat="1" applyFont="1" applyFill="1" applyBorder="1" applyAlignment="1">
      <x:alignment horizontal="center"/>
    </x:xf>
    <x:xf numFmtId="0" fontId="10" fillId="12" borderId="18" xfId="0" applyNumberFormat="1" applyFont="1" applyFill="1" applyBorder="1" applyAlignment="1">
      <x:alignment horizontal="center"/>
    </x:xf>
    <x:xf numFmtId="0" fontId="10" fillId="12" borderId="19" xfId="0" applyNumberFormat="1" applyFont="1" applyFill="1" applyBorder="1" applyAlignment="1">
      <x:alignment horizontal="center"/>
    </x:xf>
    <x:xf numFmtId="0" fontId="10" fillId="12" borderId="20" xfId="0" applyNumberFormat="1" applyFont="1" applyFill="1" applyBorder="1" applyAlignment="1">
      <x:alignment horizontal="center"/>
    </x:xf>
    <x:xf numFmtId="0" fontId="10" fillId="12" borderId="21" xfId="0" applyNumberFormat="1" applyFont="1" applyFill="1" applyBorder="1" applyAlignment="1">
      <x:alignment horizontal="center"/>
    </x:xf>
    <x:xf numFmtId="0" fontId="10" fillId="12" borderId="16" xfId="0" applyNumberFormat="1" applyFont="1" applyFill="1" applyBorder="1" applyAlignment="1">
      <x:alignment horizontal="center" vertical="center"/>
    </x:xf>
    <x:xf numFmtId="0" fontId="10" fillId="12" borderId="17" xfId="0" applyNumberFormat="1" applyFont="1" applyFill="1" applyBorder="1" applyAlignment="1">
      <x:alignment horizontal="center" vertical="center"/>
    </x:xf>
    <x:xf numFmtId="0" fontId="10" fillId="12" borderId="18" xfId="0" applyNumberFormat="1" applyFont="1" applyFill="1" applyBorder="1" applyAlignment="1">
      <x:alignment horizontal="center" vertical="center"/>
    </x:xf>
    <x:xf numFmtId="0" fontId="10" fillId="12" borderId="19" xfId="0" applyNumberFormat="1" applyFont="1" applyFill="1" applyBorder="1" applyAlignment="1">
      <x:alignment horizontal="center" vertical="center"/>
    </x:xf>
    <x:xf numFmtId="0" fontId="10" fillId="12" borderId="20" xfId="0" applyNumberFormat="1" applyFont="1" applyFill="1" applyBorder="1" applyAlignment="1">
      <x:alignment horizontal="center" vertical="center"/>
    </x:xf>
    <x:xf numFmtId="0" fontId="10" fillId="12" borderId="21" xfId="0" applyNumberFormat="1" applyFont="1" applyFill="1" applyBorder="1" applyAlignment="1">
      <x:alignment horizontal="center" vertical="center"/>
    </x:xf>
    <x:xf numFmtId="200" fontId="10" fillId="12" borderId="10" xfId="0" applyNumberFormat="1" applyFont="1" applyFill="1" applyBorder="1" applyAlignment="1">
      <x:alignment horizontal="center" vertical="center"/>
    </x:xf>
    <x:xf numFmtId="200" fontId="10" fillId="12" borderId="11" xfId="0" applyNumberFormat="1" applyFont="1" applyFill="1" applyBorder="1" applyAlignment="1">
      <x:alignment horizontal="center" vertical="center"/>
    </x:xf>
    <x:xf numFmtId="200" fontId="10" fillId="12" borderId="12" xfId="0" applyNumberFormat="1" applyFont="1" applyFill="1" applyBorder="1" applyAlignment="1">
      <x:alignment horizontal="center" vertical="center"/>
    </x:xf>
    <x:xf numFmtId="200" fontId="10" fillId="12" borderId="13" xfId="0" applyNumberFormat="1" applyFont="1" applyFill="1" applyBorder="1" applyAlignment="1">
      <x:alignment horizontal="center" vertical="center"/>
    </x:xf>
    <x:xf numFmtId="200" fontId="10" fillId="12" borderId="14" xfId="0" applyNumberFormat="1" applyFont="1" applyFill="1" applyBorder="1" applyAlignment="1">
      <x:alignment horizontal="center" vertical="center"/>
    </x:xf>
    <x:xf numFmtId="200" fontId="10" fillId="12" borderId="15" xfId="0" applyNumberFormat="1" applyFont="1" applyFill="1" applyBorder="1" applyAlignment="1">
      <x:alignment horizontal="center" vertical="center"/>
    </x:xf>
    <x:xf numFmtId="200" fontId="10" fillId="12" borderId="16" xfId="0" applyNumberFormat="1" applyFont="1" applyFill="1" applyBorder="1" applyAlignment="1">
      <x:alignment horizontal="center" vertical="center"/>
    </x:xf>
    <x:xf numFmtId="200" fontId="10" fillId="12" borderId="17" xfId="0" applyNumberFormat="1" applyFont="1" applyFill="1" applyBorder="1" applyAlignment="1">
      <x:alignment horizontal="center" vertical="center"/>
    </x:xf>
    <x:xf numFmtId="200" fontId="10" fillId="12" borderId="18" xfId="0" applyNumberFormat="1" applyFont="1" applyFill="1" applyBorder="1" applyAlignment="1">
      <x:alignment horizontal="center" vertical="center"/>
    </x:xf>
    <x:xf numFmtId="200" fontId="10" fillId="12" borderId="19" xfId="0" applyNumberFormat="1" applyFont="1" applyFill="1" applyBorder="1" applyAlignment="1">
      <x:alignment horizontal="center" vertical="center"/>
    </x:xf>
    <x:xf numFmtId="200" fontId="10" fillId="12" borderId="20" xfId="0" applyNumberFormat="1" applyFont="1" applyFill="1" applyBorder="1" applyAlignment="1">
      <x:alignment horizontal="center" vertical="center"/>
    </x:xf>
    <x:xf numFmtId="200" fontId="10" fillId="12" borderId="21" xfId="0" applyNumberFormat="1" applyFont="1" applyFill="1" applyBorder="1" applyAlignment="1">
      <x:alignment horizontal="center" vertical="center"/>
    </x:xf>
    <x:xf numFmtId="0" fontId="2" fillId="15" borderId="0" xfId="0" applyNumberFormat="1" applyFont="1" applyFill="1" applyBorder="1" applyAlignment="1">
      <x:alignment horizontal="center" vertical="center"/>
    </x:xf>
    <x:xf numFmtId="0" fontId="2" fillId="15" borderId="1" xfId="0" applyNumberFormat="1" applyFont="1" applyFill="1" applyBorder="1" applyAlignment="1">
      <x:alignment horizontal="center" vertical="center"/>
    </x:xf>
    <x:xf numFmtId="0" fontId="10" fillId="12" borderId="22" xfId="0" applyNumberFormat="1" applyFont="1" applyFill="1" applyBorder="1"/>
    <x:xf numFmtId="0" fontId="10" fillId="12" borderId="23" xfId="0" applyNumberFormat="1" applyFont="1" applyFill="1" applyBorder="1"/>
    <x:xf numFmtId="0" fontId="10" fillId="12" borderId="24" xfId="0" applyNumberFormat="1" applyFont="1" applyFill="1" applyBorder="1"/>
    <x:xf numFmtId="0" fontId="10" fillId="12" borderId="25" xfId="0" applyNumberFormat="1" applyFont="1" applyFill="1" applyBorder="1"/>
    <x:xf numFmtId="0" fontId="10" fillId="12" borderId="26" xfId="0" applyNumberFormat="1" applyFont="1" applyFill="1" applyBorder="1"/>
    <x:xf numFmtId="0" fontId="10" fillId="12" borderId="27" xfId="0" applyNumberFormat="1" applyFont="1" applyFill="1" applyBorder="1"/>
    <x:xf numFmtId="0" fontId="10" fillId="12" borderId="22" xfId="0" applyNumberFormat="1" applyFont="1" applyFill="1" applyBorder="1" applyAlignment="1">
      <x:alignment horizontal="center"/>
    </x:xf>
    <x:xf numFmtId="0" fontId="10" fillId="12" borderId="23" xfId="0" applyNumberFormat="1" applyFont="1" applyFill="1" applyBorder="1" applyAlignment="1">
      <x:alignment horizontal="center"/>
    </x:xf>
    <x:xf numFmtId="0" fontId="10" fillId="12" borderId="24" xfId="0" applyNumberFormat="1" applyFont="1" applyFill="1" applyBorder="1" applyAlignment="1">
      <x:alignment horizontal="center"/>
    </x:xf>
    <x:xf numFmtId="0" fontId="10" fillId="12" borderId="25" xfId="0" applyNumberFormat="1" applyFont="1" applyFill="1" applyBorder="1" applyAlignment="1">
      <x:alignment horizontal="center"/>
    </x:xf>
    <x:xf numFmtId="0" fontId="10" fillId="12" borderId="26" xfId="0" applyNumberFormat="1" applyFont="1" applyFill="1" applyBorder="1" applyAlignment="1">
      <x:alignment horizontal="center"/>
    </x:xf>
    <x:xf numFmtId="0" fontId="10" fillId="12" borderId="27" xfId="0" applyNumberFormat="1" applyFont="1" applyFill="1" applyBorder="1" applyAlignment="1">
      <x:alignment horizontal="center"/>
    </x:xf>
    <x:xf numFmtId="0" fontId="10" fillId="12" borderId="22" xfId="0" applyNumberFormat="1" applyFont="1" applyFill="1" applyBorder="1" applyAlignment="1">
      <x:alignment horizontal="center" vertical="center"/>
    </x:xf>
    <x:xf numFmtId="0" fontId="10" fillId="12" borderId="23" xfId="0" applyNumberFormat="1" applyFont="1" applyFill="1" applyBorder="1" applyAlignment="1">
      <x:alignment horizontal="center" vertical="center"/>
    </x:xf>
    <x:xf numFmtId="0" fontId="10" fillId="12" borderId="24" xfId="0" applyNumberFormat="1" applyFont="1" applyFill="1" applyBorder="1" applyAlignment="1">
      <x:alignment horizontal="center" vertical="center"/>
    </x:xf>
    <x:xf numFmtId="0" fontId="10" fillId="12" borderId="25" xfId="0" applyNumberFormat="1" applyFont="1" applyFill="1" applyBorder="1" applyAlignment="1">
      <x:alignment horizontal="center" vertical="center"/>
    </x:xf>
    <x:xf numFmtId="0" fontId="10" fillId="12" borderId="26" xfId="0" applyNumberFormat="1" applyFont="1" applyFill="1" applyBorder="1" applyAlignment="1">
      <x:alignment horizontal="center" vertical="center"/>
    </x:xf>
    <x:xf numFmtId="0" fontId="10" fillId="12" borderId="27" xfId="0" applyNumberFormat="1" applyFont="1" applyFill="1" applyBorder="1" applyAlignment="1">
      <x:alignment horizontal="center" vertical="center"/>
    </x:xf>
    <x:xf numFmtId="0" fontId="10" fillId="12" borderId="28" xfId="0" applyNumberFormat="1" applyFont="1" applyFill="1" applyBorder="1"/>
    <x:xf numFmtId="0" fontId="10" fillId="12" borderId="29" xfId="0" applyNumberFormat="1" applyFont="1" applyFill="1" applyBorder="1"/>
    <x:xf numFmtId="0" fontId="10" fillId="12" borderId="30" xfId="0" applyNumberFormat="1" applyFont="1" applyFill="1" applyBorder="1"/>
    <x:xf numFmtId="0" fontId="10" fillId="12" borderId="31" xfId="0" applyNumberFormat="1" applyFont="1" applyFill="1" applyBorder="1"/>
    <x:xf numFmtId="0" fontId="10" fillId="12" borderId="32" xfId="0" applyNumberFormat="1" applyFont="1" applyFill="1" applyBorder="1"/>
    <x:xf numFmtId="0" fontId="10" fillId="12" borderId="33" xfId="0" applyNumberFormat="1" applyFont="1" applyFill="1" applyBorder="1"/>
    <x:xf numFmtId="0" fontId="10" fillId="12" borderId="28" xfId="0" applyNumberFormat="1" applyFont="1" applyFill="1" applyBorder="1" applyAlignment="1">
      <x:alignment horizontal="center"/>
    </x:xf>
    <x:xf numFmtId="0" fontId="10" fillId="12" borderId="29" xfId="0" applyNumberFormat="1" applyFont="1" applyFill="1" applyBorder="1" applyAlignment="1">
      <x:alignment horizontal="center"/>
    </x:xf>
    <x:xf numFmtId="0" fontId="10" fillId="12" borderId="30" xfId="0" applyNumberFormat="1" applyFont="1" applyFill="1" applyBorder="1" applyAlignment="1">
      <x:alignment horizontal="center"/>
    </x:xf>
    <x:xf numFmtId="0" fontId="10" fillId="12" borderId="31" xfId="0" applyNumberFormat="1" applyFont="1" applyFill="1" applyBorder="1" applyAlignment="1">
      <x:alignment horizontal="center"/>
    </x:xf>
    <x:xf numFmtId="0" fontId="10" fillId="12" borderId="32" xfId="0" applyNumberFormat="1" applyFont="1" applyFill="1" applyBorder="1" applyAlignment="1">
      <x:alignment horizontal="center"/>
    </x:xf>
    <x:xf numFmtId="0" fontId="10" fillId="12" borderId="33" xfId="0" applyNumberFormat="1" applyFont="1" applyFill="1" applyBorder="1" applyAlignment="1">
      <x:alignment horizontal="center"/>
    </x:xf>
    <x:xf numFmtId="0" fontId="10" fillId="12" borderId="28" xfId="0" applyNumberFormat="1" applyFont="1" applyFill="1" applyBorder="1" applyAlignment="1">
      <x:alignment horizontal="center" vertical="center"/>
    </x:xf>
    <x:xf numFmtId="0" fontId="10" fillId="12" borderId="29" xfId="0" applyNumberFormat="1" applyFont="1" applyFill="1" applyBorder="1" applyAlignment="1">
      <x:alignment horizontal="center" vertical="center"/>
    </x:xf>
    <x:xf numFmtId="0" fontId="10" fillId="12" borderId="30" xfId="0" applyNumberFormat="1" applyFont="1" applyFill="1" applyBorder="1" applyAlignment="1">
      <x:alignment horizontal="center" vertical="center"/>
    </x:xf>
    <x:xf numFmtId="0" fontId="10" fillId="12" borderId="31" xfId="0" applyNumberFormat="1" applyFont="1" applyFill="1" applyBorder="1" applyAlignment="1">
      <x:alignment horizontal="center" vertical="center"/>
    </x:xf>
    <x:xf numFmtId="0" fontId="10" fillId="12" borderId="32" xfId="0" applyNumberFormat="1" applyFont="1" applyFill="1" applyBorder="1" applyAlignment="1">
      <x:alignment horizontal="center" vertical="center"/>
    </x:xf>
    <x:xf numFmtId="0" fontId="10" fillId="12" borderId="33" xfId="0" applyNumberFormat="1" applyFont="1" applyFill="1" applyBorder="1" applyAlignment="1">
      <x:alignment horizontal="center" vertical="center"/>
    </x:xf>
    <x:xf numFmtId="200" fontId="10" fillId="12" borderId="22" xfId="0" applyNumberFormat="1" applyFont="1" applyFill="1" applyBorder="1" applyAlignment="1">
      <x:alignment horizontal="center" vertical="center"/>
    </x:xf>
    <x:xf numFmtId="200" fontId="10" fillId="12" borderId="23" xfId="0" applyNumberFormat="1" applyFont="1" applyFill="1" applyBorder="1" applyAlignment="1">
      <x:alignment horizontal="center" vertical="center"/>
    </x:xf>
    <x:xf numFmtId="200" fontId="10" fillId="12" borderId="24" xfId="0" applyNumberFormat="1" applyFont="1" applyFill="1" applyBorder="1" applyAlignment="1">
      <x:alignment horizontal="center" vertical="center"/>
    </x:xf>
    <x:xf numFmtId="200" fontId="10" fillId="12" borderId="25" xfId="0" applyNumberFormat="1" applyFont="1" applyFill="1" applyBorder="1" applyAlignment="1">
      <x:alignment horizontal="center" vertical="center"/>
    </x:xf>
    <x:xf numFmtId="200" fontId="10" fillId="12" borderId="26" xfId="0" applyNumberFormat="1" applyFont="1" applyFill="1" applyBorder="1" applyAlignment="1">
      <x:alignment horizontal="center" vertical="center"/>
    </x:xf>
    <x:xf numFmtId="200" fontId="10" fillId="12" borderId="27" xfId="0" applyNumberFormat="1" applyFont="1" applyFill="1" applyBorder="1" applyAlignment="1">
      <x:alignment horizontal="center" vertical="center"/>
    </x:xf>
    <x:xf numFmtId="200" fontId="10" fillId="12" borderId="28" xfId="0" applyNumberFormat="1" applyFont="1" applyFill="1" applyBorder="1" applyAlignment="1">
      <x:alignment horizontal="center" vertical="center"/>
    </x:xf>
    <x:xf numFmtId="200" fontId="10" fillId="12" borderId="29" xfId="0" applyNumberFormat="1" applyFont="1" applyFill="1" applyBorder="1" applyAlignment="1">
      <x:alignment horizontal="center" vertical="center"/>
    </x:xf>
    <x:xf numFmtId="200" fontId="10" fillId="12" borderId="30" xfId="0" applyNumberFormat="1" applyFont="1" applyFill="1" applyBorder="1" applyAlignment="1">
      <x:alignment horizontal="center" vertical="center"/>
    </x:xf>
    <x:xf numFmtId="200" fontId="10" fillId="12" borderId="31" xfId="0" applyNumberFormat="1" applyFont="1" applyFill="1" applyBorder="1" applyAlignment="1">
      <x:alignment horizontal="center" vertical="center"/>
    </x:xf>
    <x:xf numFmtId="200" fontId="10" fillId="12" borderId="32" xfId="0" applyNumberFormat="1" applyFont="1" applyFill="1" applyBorder="1" applyAlignment="1">
      <x:alignment horizontal="center" vertical="center"/>
    </x:xf>
    <x:xf numFmtId="200" fontId="10" fillId="12" borderId="33" xfId="0" applyNumberFormat="1" applyFont="1" applyFill="1" applyBorder="1" applyAlignment="1">
      <x:alignment horizontal="center" vertical="center"/>
    </x:xf>
    <x:xf numFmtId="0" fontId="2" fillId="4" borderId="0" xfId="0" applyNumberFormat="1" applyFont="1" applyFill="1" applyBorder="1" applyAlignment="1">
      <x:alignment horizontal="center" vertical="center"/>
    </x:xf>
    <x:xf numFmtId="0" fontId="2" fillId="4" borderId="1" xfId="0" applyNumberFormat="1" applyFont="1" applyFill="1" applyBorder="1" applyAlignment="1">
      <x:alignment horizontal="center" vertical="center"/>
    </x:xf>
    <x:xf numFmtId="0" fontId="10" fillId="12" borderId="34" xfId="0" applyNumberFormat="1" applyFont="1" applyFill="1" applyBorder="1"/>
    <x:xf numFmtId="0" fontId="10" fillId="12" borderId="35" xfId="0" applyNumberFormat="1" applyFont="1" applyFill="1" applyBorder="1"/>
    <x:xf numFmtId="0" fontId="10" fillId="12" borderId="36" xfId="0" applyNumberFormat="1" applyFont="1" applyFill="1" applyBorder="1"/>
    <x:xf numFmtId="0" fontId="10" fillId="12" borderId="37" xfId="0" applyNumberFormat="1" applyFont="1" applyFill="1" applyBorder="1"/>
    <x:xf numFmtId="0" fontId="10" fillId="12" borderId="38" xfId="0" applyNumberFormat="1" applyFont="1" applyFill="1" applyBorder="1"/>
    <x:xf numFmtId="0" fontId="10" fillId="12" borderId="39" xfId="0" applyNumberFormat="1" applyFont="1" applyFill="1" applyBorder="1"/>
    <x:xf numFmtId="0" fontId="10" fillId="12" borderId="34" xfId="0" applyNumberFormat="1" applyFont="1" applyFill="1" applyBorder="1" applyAlignment="1">
      <x:alignment horizontal="center"/>
    </x:xf>
    <x:xf numFmtId="0" fontId="10" fillId="12" borderId="35" xfId="0" applyNumberFormat="1" applyFont="1" applyFill="1" applyBorder="1" applyAlignment="1">
      <x:alignment horizontal="center"/>
    </x:xf>
    <x:xf numFmtId="0" fontId="10" fillId="12" borderId="36" xfId="0" applyNumberFormat="1" applyFont="1" applyFill="1" applyBorder="1" applyAlignment="1">
      <x:alignment horizontal="center"/>
    </x:xf>
    <x:xf numFmtId="0" fontId="10" fillId="12" borderId="37" xfId="0" applyNumberFormat="1" applyFont="1" applyFill="1" applyBorder="1" applyAlignment="1">
      <x:alignment horizontal="center"/>
    </x:xf>
    <x:xf numFmtId="0" fontId="10" fillId="12" borderId="38" xfId="0" applyNumberFormat="1" applyFont="1" applyFill="1" applyBorder="1" applyAlignment="1">
      <x:alignment horizontal="center"/>
    </x:xf>
    <x:xf numFmtId="0" fontId="10" fillId="12" borderId="39" xfId="0" applyNumberFormat="1" applyFont="1" applyFill="1" applyBorder="1" applyAlignment="1">
      <x:alignment horizontal="center"/>
    </x:xf>
    <x:xf numFmtId="0" fontId="10" fillId="12" borderId="34" xfId="0" applyNumberFormat="1" applyFont="1" applyFill="1" applyBorder="1" applyAlignment="1">
      <x:alignment horizontal="center" vertical="center"/>
    </x:xf>
    <x:xf numFmtId="0" fontId="10" fillId="12" borderId="35" xfId="0" applyNumberFormat="1" applyFont="1" applyFill="1" applyBorder="1" applyAlignment="1">
      <x:alignment horizontal="center" vertical="center"/>
    </x:xf>
    <x:xf numFmtId="0" fontId="10" fillId="12" borderId="36" xfId="0" applyNumberFormat="1" applyFont="1" applyFill="1" applyBorder="1" applyAlignment="1">
      <x:alignment horizontal="center" vertical="center"/>
    </x:xf>
    <x:xf numFmtId="0" fontId="10" fillId="12" borderId="37" xfId="0" applyNumberFormat="1" applyFont="1" applyFill="1" applyBorder="1" applyAlignment="1">
      <x:alignment horizontal="center" vertical="center"/>
    </x:xf>
    <x:xf numFmtId="0" fontId="10" fillId="12" borderId="38" xfId="0" applyNumberFormat="1" applyFont="1" applyFill="1" applyBorder="1" applyAlignment="1">
      <x:alignment horizontal="center" vertical="center"/>
    </x:xf>
    <x:xf numFmtId="0" fontId="10" fillId="12" borderId="39" xfId="0" applyNumberFormat="1" applyFont="1" applyFill="1" applyBorder="1" applyAlignment="1">
      <x:alignment horizontal="center" vertical="center"/>
    </x:xf>
    <x:xf numFmtId="0" fontId="10" fillId="12" borderId="40" xfId="0" applyNumberFormat="1" applyFont="1" applyFill="1" applyBorder="1"/>
    <x:xf numFmtId="0" fontId="10" fillId="12" borderId="41" xfId="0" applyNumberFormat="1" applyFont="1" applyFill="1" applyBorder="1"/>
    <x:xf numFmtId="0" fontId="10" fillId="12" borderId="42" xfId="0" applyNumberFormat="1" applyFont="1" applyFill="1" applyBorder="1"/>
    <x:xf numFmtId="0" fontId="10" fillId="12" borderId="43" xfId="0" applyNumberFormat="1" applyFont="1" applyFill="1" applyBorder="1"/>
    <x:xf numFmtId="0" fontId="10" fillId="12" borderId="44" xfId="0" applyNumberFormat="1" applyFont="1" applyFill="1" applyBorder="1"/>
    <x:xf numFmtId="0" fontId="10" fillId="12" borderId="45" xfId="0" applyNumberFormat="1" applyFont="1" applyFill="1" applyBorder="1"/>
    <x:xf numFmtId="0" fontId="10" fillId="12" borderId="40" xfId="0" applyNumberFormat="1" applyFont="1" applyFill="1" applyBorder="1" applyAlignment="1">
      <x:alignment horizontal="center"/>
    </x:xf>
    <x:xf numFmtId="0" fontId="10" fillId="12" borderId="41" xfId="0" applyNumberFormat="1" applyFont="1" applyFill="1" applyBorder="1" applyAlignment="1">
      <x:alignment horizontal="center"/>
    </x:xf>
    <x:xf numFmtId="0" fontId="10" fillId="12" borderId="42" xfId="0" applyNumberFormat="1" applyFont="1" applyFill="1" applyBorder="1" applyAlignment="1">
      <x:alignment horizontal="center"/>
    </x:xf>
    <x:xf numFmtId="0" fontId="10" fillId="12" borderId="43" xfId="0" applyNumberFormat="1" applyFont="1" applyFill="1" applyBorder="1" applyAlignment="1">
      <x:alignment horizontal="center"/>
    </x:xf>
    <x:xf numFmtId="0" fontId="10" fillId="12" borderId="44" xfId="0" applyNumberFormat="1" applyFont="1" applyFill="1" applyBorder="1" applyAlignment="1">
      <x:alignment horizontal="center"/>
    </x:xf>
    <x:xf numFmtId="0" fontId="10" fillId="12" borderId="45" xfId="0" applyNumberFormat="1" applyFont="1" applyFill="1" applyBorder="1" applyAlignment="1">
      <x:alignment horizontal="center"/>
    </x:xf>
    <x:xf numFmtId="0" fontId="10" fillId="12" borderId="40" xfId="0" applyNumberFormat="1" applyFont="1" applyFill="1" applyBorder="1" applyAlignment="1">
      <x:alignment horizontal="center" vertical="center"/>
    </x:xf>
    <x:xf numFmtId="0" fontId="10" fillId="12" borderId="41" xfId="0" applyNumberFormat="1" applyFont="1" applyFill="1" applyBorder="1" applyAlignment="1">
      <x:alignment horizontal="center" vertical="center"/>
    </x:xf>
    <x:xf numFmtId="0" fontId="10" fillId="12" borderId="42" xfId="0" applyNumberFormat="1" applyFont="1" applyFill="1" applyBorder="1" applyAlignment="1">
      <x:alignment horizontal="center" vertical="center"/>
    </x:xf>
    <x:xf numFmtId="0" fontId="10" fillId="12" borderId="43" xfId="0" applyNumberFormat="1" applyFont="1" applyFill="1" applyBorder="1" applyAlignment="1">
      <x:alignment horizontal="center" vertical="center"/>
    </x:xf>
    <x:xf numFmtId="0" fontId="10" fillId="12" borderId="44" xfId="0" applyNumberFormat="1" applyFont="1" applyFill="1" applyBorder="1" applyAlignment="1">
      <x:alignment horizontal="center" vertical="center"/>
    </x:xf>
    <x:xf numFmtId="0" fontId="10" fillId="12" borderId="45" xfId="0" applyNumberFormat="1" applyFont="1" applyFill="1" applyBorder="1" applyAlignment="1">
      <x:alignment horizontal="center" vertical="center"/>
    </x:xf>
    <x:xf numFmtId="201" fontId="10" fillId="12" borderId="34" xfId="0" applyNumberFormat="1" applyFont="1" applyFill="1" applyBorder="1" applyAlignment="1">
      <x:alignment horizontal="center" vertical="center"/>
    </x:xf>
    <x:xf numFmtId="201" fontId="10" fillId="12" borderId="35" xfId="0" applyNumberFormat="1" applyFont="1" applyFill="1" applyBorder="1" applyAlignment="1">
      <x:alignment horizontal="center" vertical="center"/>
    </x:xf>
    <x:xf numFmtId="201" fontId="10" fillId="12" borderId="36" xfId="0" applyNumberFormat="1" applyFont="1" applyFill="1" applyBorder="1" applyAlignment="1">
      <x:alignment horizontal="center" vertical="center"/>
    </x:xf>
    <x:xf numFmtId="201" fontId="10" fillId="12" borderId="37" xfId="0" applyNumberFormat="1" applyFont="1" applyFill="1" applyBorder="1" applyAlignment="1">
      <x:alignment horizontal="center" vertical="center"/>
    </x:xf>
    <x:xf numFmtId="201" fontId="10" fillId="12" borderId="38" xfId="0" applyNumberFormat="1" applyFont="1" applyFill="1" applyBorder="1" applyAlignment="1">
      <x:alignment horizontal="center" vertical="center"/>
    </x:xf>
    <x:xf numFmtId="201" fontId="10" fillId="12" borderId="39" xfId="0" applyNumberFormat="1" applyFont="1" applyFill="1" applyBorder="1" applyAlignment="1">
      <x:alignment horizontal="center" vertical="center"/>
    </x:xf>
    <x:xf numFmtId="201" fontId="10" fillId="12" borderId="40" xfId="0" applyNumberFormat="1" applyFont="1" applyFill="1" applyBorder="1" applyAlignment="1">
      <x:alignment horizontal="center" vertical="center"/>
    </x:xf>
    <x:xf numFmtId="201" fontId="10" fillId="12" borderId="41" xfId="0" applyNumberFormat="1" applyFont="1" applyFill="1" applyBorder="1" applyAlignment="1">
      <x:alignment horizontal="center" vertical="center"/>
    </x:xf>
    <x:xf numFmtId="201" fontId="10" fillId="12" borderId="42" xfId="0" applyNumberFormat="1" applyFont="1" applyFill="1" applyBorder="1" applyAlignment="1">
      <x:alignment horizontal="center" vertical="center"/>
    </x:xf>
    <x:xf numFmtId="201" fontId="10" fillId="12" borderId="43" xfId="0" applyNumberFormat="1" applyFont="1" applyFill="1" applyBorder="1" applyAlignment="1">
      <x:alignment horizontal="center" vertical="center"/>
    </x:xf>
    <x:xf numFmtId="201" fontId="10" fillId="12" borderId="44" xfId="0" applyNumberFormat="1" applyFont="1" applyFill="1" applyBorder="1" applyAlignment="1">
      <x:alignment horizontal="center" vertical="center"/>
    </x:xf>
    <x:xf numFmtId="201" fontId="10" fillId="12" borderId="45" xfId="0" applyNumberFormat="1" applyFont="1" applyFill="1" applyBorder="1" applyAlignment="1">
      <x:alignment horizontal="center" vertical="center"/>
    </x:xf>
    <x:xf numFmtId="0" fontId="2" fillId="17" borderId="0" xfId="0" applyNumberFormat="1" applyFont="1" applyFill="1" applyBorder="1" applyAlignment="1">
      <x:alignment horizontal="center" vertical="center"/>
    </x:xf>
    <x:xf numFmtId="0" fontId="2" fillId="17" borderId="1" xfId="0" applyNumberFormat="1" applyFont="1" applyFill="1" applyBorder="1" applyAlignment="1">
      <x:alignment horizontal="center" vertical="center"/>
    </x:xf>
    <x:xf numFmtId="0" fontId="10" fillId="12" borderId="46" xfId="0" applyNumberFormat="1" applyFont="1" applyFill="1" applyBorder="1"/>
    <x:xf numFmtId="0" fontId="10" fillId="12" borderId="47" xfId="0" applyNumberFormat="1" applyFont="1" applyFill="1" applyBorder="1"/>
    <x:xf numFmtId="0" fontId="10" fillId="12" borderId="48" xfId="0" applyNumberFormat="1" applyFont="1" applyFill="1" applyBorder="1"/>
    <x:xf numFmtId="0" fontId="10" fillId="12" borderId="49" xfId="0" applyNumberFormat="1" applyFont="1" applyFill="1" applyBorder="1"/>
    <x:xf numFmtId="0" fontId="10" fillId="12" borderId="50" xfId="0" applyNumberFormat="1" applyFont="1" applyFill="1" applyBorder="1"/>
    <x:xf numFmtId="0" fontId="10" fillId="12" borderId="51" xfId="0" applyNumberFormat="1" applyFont="1" applyFill="1" applyBorder="1"/>
    <x:xf numFmtId="0" fontId="10" fillId="12" borderId="46" xfId="0" applyNumberFormat="1" applyFont="1" applyFill="1" applyBorder="1" applyAlignment="1">
      <x:alignment horizontal="center"/>
    </x:xf>
    <x:xf numFmtId="0" fontId="10" fillId="12" borderId="47" xfId="0" applyNumberFormat="1" applyFont="1" applyFill="1" applyBorder="1" applyAlignment="1">
      <x:alignment horizontal="center"/>
    </x:xf>
    <x:xf numFmtId="0" fontId="10" fillId="12" borderId="48" xfId="0" applyNumberFormat="1" applyFont="1" applyFill="1" applyBorder="1" applyAlignment="1">
      <x:alignment horizontal="center"/>
    </x:xf>
    <x:xf numFmtId="0" fontId="10" fillId="12" borderId="49" xfId="0" applyNumberFormat="1" applyFont="1" applyFill="1" applyBorder="1" applyAlignment="1">
      <x:alignment horizontal="center"/>
    </x:xf>
    <x:xf numFmtId="0" fontId="10" fillId="12" borderId="50" xfId="0" applyNumberFormat="1" applyFont="1" applyFill="1" applyBorder="1" applyAlignment="1">
      <x:alignment horizontal="center"/>
    </x:xf>
    <x:xf numFmtId="0" fontId="10" fillId="12" borderId="51" xfId="0" applyNumberFormat="1" applyFont="1" applyFill="1" applyBorder="1" applyAlignment="1">
      <x:alignment horizontal="center"/>
    </x:xf>
    <x:xf numFmtId="0" fontId="10" fillId="12" borderId="46" xfId="0" applyNumberFormat="1" applyFont="1" applyFill="1" applyBorder="1" applyAlignment="1">
      <x:alignment horizontal="center" vertical="center"/>
    </x:xf>
    <x:xf numFmtId="0" fontId="10" fillId="12" borderId="47" xfId="0" applyNumberFormat="1" applyFont="1" applyFill="1" applyBorder="1" applyAlignment="1">
      <x:alignment horizontal="center" vertical="center"/>
    </x:xf>
    <x:xf numFmtId="0" fontId="10" fillId="12" borderId="48" xfId="0" applyNumberFormat="1" applyFont="1" applyFill="1" applyBorder="1" applyAlignment="1">
      <x:alignment horizontal="center" vertical="center"/>
    </x:xf>
    <x:xf numFmtId="0" fontId="10" fillId="12" borderId="49" xfId="0" applyNumberFormat="1" applyFont="1" applyFill="1" applyBorder="1" applyAlignment="1">
      <x:alignment horizontal="center" vertical="center"/>
    </x:xf>
    <x:xf numFmtId="0" fontId="10" fillId="12" borderId="50" xfId="0" applyNumberFormat="1" applyFont="1" applyFill="1" applyBorder="1" applyAlignment="1">
      <x:alignment horizontal="center" vertical="center"/>
    </x:xf>
    <x:xf numFmtId="0" fontId="10" fillId="12" borderId="51" xfId="0" applyNumberFormat="1" applyFont="1" applyFill="1" applyBorder="1" applyAlignment="1">
      <x:alignment horizontal="center" vertical="center"/>
    </x:xf>
    <x:xf numFmtId="0" fontId="10" fillId="12" borderId="52" xfId="0" applyNumberFormat="1" applyFont="1" applyFill="1" applyBorder="1"/>
    <x:xf numFmtId="0" fontId="10" fillId="12" borderId="53" xfId="0" applyNumberFormat="1" applyFont="1" applyFill="1" applyBorder="1"/>
    <x:xf numFmtId="0" fontId="10" fillId="12" borderId="54" xfId="0" applyNumberFormat="1" applyFont="1" applyFill="1" applyBorder="1"/>
    <x:xf numFmtId="0" fontId="10" fillId="12" borderId="55" xfId="0" applyNumberFormat="1" applyFont="1" applyFill="1" applyBorder="1"/>
    <x:xf numFmtId="0" fontId="10" fillId="12" borderId="56" xfId="0" applyNumberFormat="1" applyFont="1" applyFill="1" applyBorder="1"/>
    <x:xf numFmtId="0" fontId="10" fillId="12" borderId="57" xfId="0" applyNumberFormat="1" applyFont="1" applyFill="1" applyBorder="1"/>
    <x:xf numFmtId="0" fontId="10" fillId="12" borderId="52" xfId="0" applyNumberFormat="1" applyFont="1" applyFill="1" applyBorder="1" applyAlignment="1">
      <x:alignment horizontal="center"/>
    </x:xf>
    <x:xf numFmtId="0" fontId="10" fillId="12" borderId="53" xfId="0" applyNumberFormat="1" applyFont="1" applyFill="1" applyBorder="1" applyAlignment="1">
      <x:alignment horizontal="center"/>
    </x:xf>
    <x:xf numFmtId="0" fontId="10" fillId="12" borderId="54" xfId="0" applyNumberFormat="1" applyFont="1" applyFill="1" applyBorder="1" applyAlignment="1">
      <x:alignment horizontal="center"/>
    </x:xf>
    <x:xf numFmtId="0" fontId="10" fillId="12" borderId="55" xfId="0" applyNumberFormat="1" applyFont="1" applyFill="1" applyBorder="1" applyAlignment="1">
      <x:alignment horizontal="center"/>
    </x:xf>
    <x:xf numFmtId="0" fontId="10" fillId="12" borderId="56" xfId="0" applyNumberFormat="1" applyFont="1" applyFill="1" applyBorder="1" applyAlignment="1">
      <x:alignment horizontal="center"/>
    </x:xf>
    <x:xf numFmtId="0" fontId="10" fillId="12" borderId="57" xfId="0" applyNumberFormat="1" applyFont="1" applyFill="1" applyBorder="1" applyAlignment="1">
      <x:alignment horizontal="center"/>
    </x:xf>
    <x:xf numFmtId="0" fontId="10" fillId="12" borderId="52" xfId="0" applyNumberFormat="1" applyFont="1" applyFill="1" applyBorder="1" applyAlignment="1">
      <x:alignment horizontal="center" vertical="center"/>
    </x:xf>
    <x:xf numFmtId="0" fontId="10" fillId="12" borderId="53" xfId="0" applyNumberFormat="1" applyFont="1" applyFill="1" applyBorder="1" applyAlignment="1">
      <x:alignment horizontal="center" vertical="center"/>
    </x:xf>
    <x:xf numFmtId="0" fontId="10" fillId="12" borderId="54" xfId="0" applyNumberFormat="1" applyFont="1" applyFill="1" applyBorder="1" applyAlignment="1">
      <x:alignment horizontal="center" vertical="center"/>
    </x:xf>
    <x:xf numFmtId="0" fontId="10" fillId="12" borderId="55" xfId="0" applyNumberFormat="1" applyFont="1" applyFill="1" applyBorder="1" applyAlignment="1">
      <x:alignment horizontal="center" vertical="center"/>
    </x:xf>
    <x:xf numFmtId="0" fontId="10" fillId="12" borderId="56" xfId="0" applyNumberFormat="1" applyFont="1" applyFill="1" applyBorder="1" applyAlignment="1">
      <x:alignment horizontal="center" vertical="center"/>
    </x:xf>
    <x:xf numFmtId="0" fontId="10" fillId="12" borderId="57" xfId="0" applyNumberFormat="1" applyFont="1" applyFill="1" applyBorder="1" applyAlignment="1">
      <x:alignment horizontal="center" vertical="center"/>
    </x:xf>
    <x:xf numFmtId="200" fontId="10" fillId="12" borderId="46" xfId="0" applyNumberFormat="1" applyFont="1" applyFill="1" applyBorder="1" applyAlignment="1">
      <x:alignment horizontal="center" vertical="center"/>
    </x:xf>
    <x:xf numFmtId="200" fontId="10" fillId="12" borderId="47" xfId="0" applyNumberFormat="1" applyFont="1" applyFill="1" applyBorder="1" applyAlignment="1">
      <x:alignment horizontal="center" vertical="center"/>
    </x:xf>
    <x:xf numFmtId="200" fontId="10" fillId="12" borderId="48" xfId="0" applyNumberFormat="1" applyFont="1" applyFill="1" applyBorder="1" applyAlignment="1">
      <x:alignment horizontal="center" vertical="center"/>
    </x:xf>
    <x:xf numFmtId="200" fontId="10" fillId="12" borderId="49" xfId="0" applyNumberFormat="1" applyFont="1" applyFill="1" applyBorder="1" applyAlignment="1">
      <x:alignment horizontal="center" vertical="center"/>
    </x:xf>
    <x:xf numFmtId="200" fontId="10" fillId="12" borderId="50" xfId="0" applyNumberFormat="1" applyFont="1" applyFill="1" applyBorder="1" applyAlignment="1">
      <x:alignment horizontal="center" vertical="center"/>
    </x:xf>
    <x:xf numFmtId="200" fontId="10" fillId="12" borderId="51" xfId="0" applyNumberFormat="1" applyFont="1" applyFill="1" applyBorder="1" applyAlignment="1">
      <x:alignment horizontal="center" vertical="center"/>
    </x:xf>
    <x:xf numFmtId="200" fontId="10" fillId="12" borderId="52" xfId="0" applyNumberFormat="1" applyFont="1" applyFill="1" applyBorder="1" applyAlignment="1">
      <x:alignment horizontal="center" vertical="center"/>
    </x:xf>
    <x:xf numFmtId="200" fontId="10" fillId="12" borderId="53" xfId="0" applyNumberFormat="1" applyFont="1" applyFill="1" applyBorder="1" applyAlignment="1">
      <x:alignment horizontal="center" vertical="center"/>
    </x:xf>
    <x:xf numFmtId="200" fontId="10" fillId="12" borderId="54" xfId="0" applyNumberFormat="1" applyFont="1" applyFill="1" applyBorder="1" applyAlignment="1">
      <x:alignment horizontal="center" vertical="center"/>
    </x:xf>
    <x:xf numFmtId="200" fontId="10" fillId="12" borderId="55" xfId="0" applyNumberFormat="1" applyFont="1" applyFill="1" applyBorder="1" applyAlignment="1">
      <x:alignment horizontal="center" vertical="center"/>
    </x:xf>
    <x:xf numFmtId="200" fontId="10" fillId="12" borderId="56" xfId="0" applyNumberFormat="1" applyFont="1" applyFill="1" applyBorder="1" applyAlignment="1">
      <x:alignment horizontal="center" vertical="center"/>
    </x:xf>
    <x:xf numFmtId="200" fontId="10" fillId="12" borderId="57" xfId="0" applyNumberFormat="1" applyFont="1" applyFill="1" applyBorder="1" applyAlignment="1">
      <x:alignment horizontal="center" vertical="center"/>
    </x:xf>
    <x:xf numFmtId="0" fontId="2" fillId="16" borderId="0" xfId="0" applyNumberFormat="1" applyFont="1" applyFill="1" applyBorder="1" applyAlignment="1">
      <x:alignment horizontal="center" vertical="center"/>
    </x:xf>
    <x:xf numFmtId="0" fontId="2" fillId="16" borderId="1" xfId="0" applyNumberFormat="1" applyFont="1" applyFill="1" applyBorder="1" applyAlignment="1">
      <x:alignment horizontal="center" vertical="center"/>
    </x:xf>
    <x:xf numFmtId="0" fontId="10" fillId="12" borderId="58" xfId="0" applyNumberFormat="1" applyFont="1" applyFill="1" applyBorder="1"/>
    <x:xf numFmtId="0" fontId="10" fillId="12" borderId="59" xfId="0" applyNumberFormat="1" applyFont="1" applyFill="1" applyBorder="1"/>
    <x:xf numFmtId="0" fontId="10" fillId="12" borderId="60" xfId="0" applyNumberFormat="1" applyFont="1" applyFill="1" applyBorder="1"/>
    <x:xf numFmtId="0" fontId="10" fillId="12" borderId="61" xfId="0" applyNumberFormat="1" applyFont="1" applyFill="1" applyBorder="1"/>
    <x:xf numFmtId="0" fontId="10" fillId="12" borderId="58" xfId="0" applyNumberFormat="1" applyFont="1" applyFill="1" applyBorder="1" applyAlignment="1">
      <x:alignment horizontal="center"/>
    </x:xf>
    <x:xf numFmtId="0" fontId="10" fillId="12" borderId="59" xfId="0" applyNumberFormat="1" applyFont="1" applyFill="1" applyBorder="1" applyAlignment="1">
      <x:alignment horizontal="center"/>
    </x:xf>
    <x:xf numFmtId="0" fontId="10" fillId="12" borderId="60" xfId="0" applyNumberFormat="1" applyFont="1" applyFill="1" applyBorder="1" applyAlignment="1">
      <x:alignment horizontal="center"/>
    </x:xf>
    <x:xf numFmtId="0" fontId="10" fillId="12" borderId="61" xfId="0" applyNumberFormat="1" applyFont="1" applyFill="1" applyBorder="1" applyAlignment="1">
      <x:alignment horizontal="center"/>
    </x:xf>
    <x:xf numFmtId="0" fontId="10" fillId="12" borderId="58" xfId="0" applyNumberFormat="1" applyFont="1" applyFill="1" applyBorder="1" applyAlignment="1">
      <x:alignment horizontal="center" vertical="center"/>
    </x:xf>
    <x:xf numFmtId="0" fontId="10" fillId="12" borderId="59" xfId="0" applyNumberFormat="1" applyFont="1" applyFill="1" applyBorder="1" applyAlignment="1">
      <x:alignment horizontal="center" vertical="center"/>
    </x:xf>
    <x:xf numFmtId="0" fontId="10" fillId="12" borderId="60" xfId="0" applyNumberFormat="1" applyFont="1" applyFill="1" applyBorder="1" applyAlignment="1">
      <x:alignment horizontal="center" vertical="center"/>
    </x:xf>
    <x:xf numFmtId="0" fontId="10" fillId="12" borderId="61" xfId="0" applyNumberFormat="1" applyFont="1" applyFill="1" applyBorder="1" applyAlignment="1">
      <x:alignment horizontal="center" vertical="center"/>
    </x:xf>
    <x:xf numFmtId="0" fontId="10" fillId="12" borderId="62" xfId="0" applyNumberFormat="1" applyFont="1" applyFill="1" applyBorder="1"/>
    <x:xf numFmtId="0" fontId="10" fillId="12" borderId="63" xfId="0" applyNumberFormat="1" applyFont="1" applyFill="1" applyBorder="1"/>
    <x:xf numFmtId="0" fontId="10" fillId="12" borderId="64" xfId="0" applyNumberFormat="1" applyFont="1" applyFill="1" applyBorder="1"/>
    <x:xf numFmtId="0" fontId="10" fillId="12" borderId="65" xfId="0" applyNumberFormat="1" applyFont="1" applyFill="1" applyBorder="1"/>
    <x:xf numFmtId="0" fontId="10" fillId="12" borderId="62" xfId="0" applyNumberFormat="1" applyFont="1" applyFill="1" applyBorder="1" applyAlignment="1">
      <x:alignment horizontal="center"/>
    </x:xf>
    <x:xf numFmtId="0" fontId="10" fillId="12" borderId="63" xfId="0" applyNumberFormat="1" applyFont="1" applyFill="1" applyBorder="1" applyAlignment="1">
      <x:alignment horizontal="center"/>
    </x:xf>
    <x:xf numFmtId="0" fontId="10" fillId="12" borderId="64" xfId="0" applyNumberFormat="1" applyFont="1" applyFill="1" applyBorder="1" applyAlignment="1">
      <x:alignment horizontal="center"/>
    </x:xf>
    <x:xf numFmtId="0" fontId="10" fillId="12" borderId="65" xfId="0" applyNumberFormat="1" applyFont="1" applyFill="1" applyBorder="1" applyAlignment="1">
      <x:alignment horizontal="center"/>
    </x:xf>
    <x:xf numFmtId="0" fontId="10" fillId="12" borderId="62" xfId="0" applyNumberFormat="1" applyFont="1" applyFill="1" applyBorder="1" applyAlignment="1">
      <x:alignment horizontal="center" vertical="center"/>
    </x:xf>
    <x:xf numFmtId="0" fontId="10" fillId="12" borderId="63" xfId="0" applyNumberFormat="1" applyFont="1" applyFill="1" applyBorder="1" applyAlignment="1">
      <x:alignment horizontal="center" vertical="center"/>
    </x:xf>
    <x:xf numFmtId="0" fontId="10" fillId="12" borderId="64" xfId="0" applyNumberFormat="1" applyFont="1" applyFill="1" applyBorder="1" applyAlignment="1">
      <x:alignment horizontal="center" vertical="center"/>
    </x:xf>
    <x:xf numFmtId="0" fontId="10" fillId="12" borderId="65" xfId="0" applyNumberFormat="1" applyFont="1" applyFill="1" applyBorder="1" applyAlignment="1">
      <x:alignment horizontal="center" vertical="center"/>
    </x:xf>
    <x:xf numFmtId="203" fontId="10" fillId="12" borderId="58" xfId="0" applyNumberFormat="1" applyFont="1" applyFill="1" applyBorder="1" applyAlignment="1">
      <x:alignment horizontal="center" vertical="center"/>
    </x:xf>
    <x:xf numFmtId="203" fontId="10" fillId="12" borderId="59" xfId="0" applyNumberFormat="1" applyFont="1" applyFill="1" applyBorder="1" applyAlignment="1">
      <x:alignment horizontal="center" vertical="center"/>
    </x:xf>
    <x:xf numFmtId="203" fontId="10" fillId="12" borderId="60" xfId="0" applyNumberFormat="1" applyFont="1" applyFill="1" applyBorder="1" applyAlignment="1">
      <x:alignment horizontal="center" vertical="center"/>
    </x:xf>
    <x:xf numFmtId="203" fontId="10" fillId="12" borderId="61" xfId="0" applyNumberFormat="1" applyFont="1" applyFill="1" applyBorder="1" applyAlignment="1">
      <x:alignment horizontal="center" vertical="center"/>
    </x:xf>
    <x:xf numFmtId="203" fontId="10" fillId="12" borderId="62" xfId="0" applyNumberFormat="1" applyFont="1" applyFill="1" applyBorder="1" applyAlignment="1">
      <x:alignment horizontal="center" vertical="center"/>
    </x:xf>
    <x:xf numFmtId="203" fontId="10" fillId="12" borderId="63" xfId="0" applyNumberFormat="1" applyFont="1" applyFill="1" applyBorder="1" applyAlignment="1">
      <x:alignment horizontal="center" vertical="center"/>
    </x:xf>
    <x:xf numFmtId="203" fontId="10" fillId="12" borderId="64" xfId="0" applyNumberFormat="1" applyFont="1" applyFill="1" applyBorder="1" applyAlignment="1">
      <x:alignment horizontal="center" vertical="center"/>
    </x:xf>
    <x:xf numFmtId="203" fontId="10" fillId="12" borderId="65" xfId="0" applyNumberFormat="1" applyFont="1" applyFill="1" applyBorder="1" applyAlignment="1">
      <x:alignment horizontal="center" vertical="center"/>
    </x:xf>
    <x:xf numFmtId="0" fontId="11" fillId="3" borderId="0" xfId="0" applyNumberFormat="1" applyFont="1" applyFill="1" applyBorder="1"/>
    <x:xf numFmtId="0" fontId="11" fillId="3" borderId="0" xfId="0" applyNumberFormat="1" applyFont="1" applyFill="1" applyBorder="1" applyAlignment="1">
      <x:alignment horizontal="center"/>
    </x:xf>
    <x:xf numFmtId="0" fontId="11" fillId="3" borderId="0" xfId="0" applyNumberFormat="1" applyFont="1" applyFill="1" applyBorder="1" applyAlignment="1">
      <x:alignment horizontal="center" vertical="center"/>
    </x:xf>
    <x:xf numFmtId="0" fontId="11" fillId="3" borderId="1" xfId="0" applyNumberFormat="1" applyFont="1" applyFill="1" applyBorder="1"/>
    <x:xf numFmtId="0" fontId="11" fillId="3" borderId="1" xfId="0" applyNumberFormat="1" applyFont="1" applyFill="1" applyBorder="1" applyAlignment="1">
      <x:alignment horizontal="center"/>
    </x:xf>
    <x:xf numFmtId="0" fontId="11" fillId="3" borderId="1" xfId="0" applyNumberFormat="1" applyFont="1" applyFill="1" applyBorder="1" applyAlignment="1">
      <x:alignment horizontal="center" vertical="center"/>
    </x:xf>
    <x:xf numFmtId="0" fontId="11" fillId="13" borderId="0" xfId="0" applyNumberFormat="1" applyFont="1" applyFill="1" applyBorder="1"/>
    <x:xf numFmtId="0" fontId="11" fillId="13" borderId="0" xfId="0" applyNumberFormat="1" applyFont="1" applyFill="1" applyBorder="1" applyAlignment="1">
      <x:alignment horizontal="center"/>
    </x:xf>
    <x:xf numFmtId="0" fontId="11" fillId="13" borderId="0" xfId="0" applyNumberFormat="1" applyFont="1" applyFill="1" applyBorder="1" applyAlignment="1">
      <x:alignment horizontal="center" vertical="center"/>
    </x:xf>
    <x:xf numFmtId="0" fontId="11" fillId="13" borderId="1" xfId="0" applyNumberFormat="1" applyFont="1" applyFill="1" applyBorder="1"/>
    <x:xf numFmtId="0" fontId="11" fillId="13" borderId="1" xfId="0" applyNumberFormat="1" applyFont="1" applyFill="1" applyBorder="1" applyAlignment="1">
      <x:alignment horizontal="center"/>
    </x:xf>
    <x:xf numFmtId="0" fontId="11" fillId="13" borderId="1" xfId="0" applyNumberFormat="1" applyFont="1" applyFill="1" applyBorder="1" applyAlignment="1">
      <x:alignment horizontal="center" vertical="center"/>
    </x:xf>
    <x:xf numFmtId="0" fontId="11" fillId="4" borderId="0" xfId="0" applyNumberFormat="1" applyFont="1" applyFill="1" applyBorder="1"/>
    <x:xf numFmtId="0" fontId="11" fillId="4" borderId="0" xfId="0" applyNumberFormat="1" applyFont="1" applyFill="1" applyBorder="1" applyAlignment="1">
      <x:alignment horizontal="center"/>
    </x:xf>
    <x:xf numFmtId="0" fontId="11" fillId="4" borderId="0" xfId="0" applyNumberFormat="1" applyFont="1" applyFill="1" applyBorder="1" applyAlignment="1">
      <x:alignment horizontal="center" vertical="center"/>
    </x:xf>
    <x:xf numFmtId="0" fontId="11" fillId="4" borderId="1" xfId="0" applyNumberFormat="1" applyFont="1" applyFill="1" applyBorder="1"/>
    <x:xf numFmtId="0" fontId="11" fillId="4" borderId="1" xfId="0" applyNumberFormat="1" applyFont="1" applyFill="1" applyBorder="1" applyAlignment="1">
      <x:alignment horizontal="center"/>
    </x:xf>
    <x:xf numFmtId="0" fontId="11" fillId="4" borderId="1" xfId="0" applyNumberFormat="1" applyFont="1" applyFill="1" applyBorder="1" applyAlignment="1">
      <x:alignment horizontal="center" vertical="center"/>
    </x:xf>
    <x:xf numFmtId="0" fontId="11" fillId="14" borderId="0" xfId="0" applyNumberFormat="1" applyFont="1" applyFill="1" applyBorder="1"/>
    <x:xf numFmtId="0" fontId="11" fillId="14" borderId="0" xfId="0" applyNumberFormat="1" applyFont="1" applyFill="1" applyBorder="1" applyAlignment="1">
      <x:alignment horizontal="center"/>
    </x:xf>
    <x:xf numFmtId="0" fontId="11" fillId="14" borderId="0" xfId="0" applyNumberFormat="1" applyFont="1" applyFill="1" applyBorder="1" applyAlignment="1">
      <x:alignment horizontal="center" vertical="center"/>
    </x:xf>
    <x:xf numFmtId="0" fontId="11" fillId="14" borderId="1" xfId="0" applyNumberFormat="1" applyFont="1" applyFill="1" applyBorder="1"/>
    <x:xf numFmtId="0" fontId="11" fillId="14" borderId="1" xfId="0" applyNumberFormat="1" applyFont="1" applyFill="1" applyBorder="1" applyAlignment="1">
      <x:alignment horizontal="center"/>
    </x:xf>
    <x:xf numFmtId="0" fontId="11" fillId="14" borderId="1" xfId="0" applyNumberFormat="1" applyFont="1" applyFill="1" applyBorder="1" applyAlignment="1">
      <x:alignment horizontal="center" vertical="center"/>
    </x:xf>
    <x:xf numFmtId="0" fontId="11" fillId="2" borderId="0" xfId="0" applyNumberFormat="1" applyFont="1" applyFill="1" applyBorder="1"/>
    <x:xf numFmtId="0" fontId="11" fillId="2" borderId="0" xfId="0" applyNumberFormat="1" applyFont="1" applyFill="1" applyBorder="1" applyAlignment="1">
      <x:alignment horizontal="center"/>
    </x:xf>
    <x:xf numFmtId="0" fontId="11" fillId="2" borderId="0" xfId="0" applyNumberFormat="1" applyFont="1" applyFill="1" applyBorder="1" applyAlignment="1">
      <x:alignment horizontal="center" vertical="center"/>
    </x:xf>
    <x:xf numFmtId="0" fontId="11" fillId="2" borderId="1" xfId="0" applyNumberFormat="1" applyFont="1" applyFill="1" applyBorder="1"/>
    <x:xf numFmtId="0" fontId="11" fillId="2" borderId="1" xfId="0" applyNumberFormat="1" applyFont="1" applyFill="1" applyBorder="1" applyAlignment="1">
      <x:alignment horizontal="center"/>
    </x:xf>
    <x:xf numFmtId="0" fontId="11" fillId="2" borderId="1" xfId="0" applyNumberFormat="1" applyFont="1" applyFill="1" applyBorder="1" applyAlignment="1">
      <x:alignment horizontal="center" vertical="center"/>
    </x:xf>
    <x:xf numFmtId="0" fontId="11" fillId="15" borderId="0" xfId="0" applyNumberFormat="1" applyFont="1" applyFill="1" applyBorder="1"/>
    <x:xf numFmtId="0" fontId="11" fillId="15" borderId="0" xfId="0" applyNumberFormat="1" applyFont="1" applyFill="1" applyBorder="1" applyAlignment="1">
      <x:alignment horizontal="center"/>
    </x:xf>
    <x:xf numFmtId="0" fontId="11" fillId="15" borderId="0" xfId="0" applyNumberFormat="1" applyFont="1" applyFill="1" applyBorder="1" applyAlignment="1">
      <x:alignment horizontal="center" vertical="center"/>
    </x:xf>
    <x:xf numFmtId="0" fontId="11" fillId="15" borderId="1" xfId="0" applyNumberFormat="1" applyFont="1" applyFill="1" applyBorder="1"/>
    <x:xf numFmtId="0" fontId="11" fillId="15" borderId="1" xfId="0" applyNumberFormat="1" applyFont="1" applyFill="1" applyBorder="1" applyAlignment="1">
      <x:alignment horizontal="center"/>
    </x:xf>
    <x:xf numFmtId="0" fontId="11" fillId="15" borderId="1" xfId="0" applyNumberFormat="1" applyFont="1" applyFill="1" applyBorder="1" applyAlignment="1">
      <x:alignment horizontal="center" vertical="center"/>
    </x:xf>
    <x:xf numFmtId="0" fontId="11" fillId="16" borderId="0" xfId="0" applyNumberFormat="1" applyFont="1" applyFill="1" applyBorder="1"/>
    <x:xf numFmtId="0" fontId="11" fillId="16" borderId="0" xfId="0" applyNumberFormat="1" applyFont="1" applyFill="1" applyBorder="1" applyAlignment="1">
      <x:alignment horizontal="center"/>
    </x:xf>
    <x:xf numFmtId="0" fontId="11" fillId="16" borderId="0" xfId="0" applyNumberFormat="1" applyFont="1" applyFill="1" applyBorder="1" applyAlignment="1">
      <x:alignment horizontal="center" vertical="center"/>
    </x:xf>
    <x:xf numFmtId="0" fontId="11" fillId="16" borderId="1" xfId="0" applyNumberFormat="1" applyFont="1" applyFill="1" applyBorder="1"/>
    <x:xf numFmtId="0" fontId="11" fillId="16" borderId="1" xfId="0" applyNumberFormat="1" applyFont="1" applyFill="1" applyBorder="1" applyAlignment="1">
      <x:alignment horizontal="center"/>
    </x:xf>
    <x:xf numFmtId="0" fontId="11" fillId="16" borderId="1" xfId="0" applyNumberFormat="1" applyFont="1" applyFill="1" applyBorder="1" applyAlignment="1">
      <x:alignment horizontal="center" vertical="center"/>
    </x:xf>
    <x:xf numFmtId="0" fontId="11" fillId="17" borderId="0" xfId="0" applyNumberFormat="1" applyFont="1" applyFill="1" applyBorder="1"/>
    <x:xf numFmtId="0" fontId="11" fillId="17" borderId="0" xfId="0" applyNumberFormat="1" applyFont="1" applyFill="1" applyBorder="1" applyAlignment="1">
      <x:alignment horizontal="center"/>
    </x:xf>
    <x:xf numFmtId="0" fontId="11" fillId="17" borderId="0" xfId="0" applyNumberFormat="1" applyFont="1" applyFill="1" applyBorder="1" applyAlignment="1">
      <x:alignment horizontal="center" vertical="center"/>
    </x:xf>
    <x:xf numFmtId="0" fontId="11" fillId="17" borderId="1" xfId="0" applyNumberFormat="1" applyFont="1" applyFill="1" applyBorder="1"/>
    <x:xf numFmtId="0" fontId="11" fillId="17" borderId="1" xfId="0" applyNumberFormat="1" applyFont="1" applyFill="1" applyBorder="1" applyAlignment="1">
      <x:alignment horizontal="center"/>
    </x:xf>
    <x:xf numFmtId="0" fontId="11" fillId="17" borderId="1" xfId="0" applyNumberFormat="1" applyFont="1" applyFill="1" applyBorder="1" applyAlignment="1">
      <x:alignment horizontal="center" vertical="center"/>
    </x:xf>
    <x:xf numFmtId="0" fontId="12" fillId="5" borderId="0" xfId="0" applyNumberFormat="1" applyFont="1" applyFill="1" applyBorder="1"/>
    <x:xf numFmtId="0" fontId="12" fillId="5" borderId="0" xfId="0" applyNumberFormat="1" applyFont="1" applyFill="1" applyBorder="1" applyAlignment="1">
      <x:alignment wrapText="1"/>
    </x:xf>
    <x:xf numFmtId="0" fontId="12" fillId="5" borderId="0" xfId="0" applyNumberFormat="1" applyFont="1" applyFill="1" applyBorder="1" applyAlignment="1">
      <x:alignment horizontal="center" wrapText="1"/>
    </x:xf>
    <x:xf numFmtId="0" fontId="12" fillId="5" borderId="0" xfId="0" applyNumberFormat="1" applyFont="1" applyFill="1" applyBorder="1" applyAlignment="1">
      <x:alignment horizontal="center" vertical="center" wrapText="1"/>
    </x:xf>
    <x:xf numFmtId="0" fontId="12" fillId="5" borderId="1" xfId="0" applyNumberFormat="1" applyFont="1" applyFill="1" applyBorder="1"/>
    <x:xf numFmtId="0" fontId="12" fillId="5" borderId="1" xfId="0" applyNumberFormat="1" applyFont="1" applyFill="1" applyBorder="1" applyAlignment="1">
      <x:alignment wrapText="1"/>
    </x:xf>
    <x:xf numFmtId="0" fontId="12" fillId="5" borderId="1" xfId="0" applyNumberFormat="1" applyFont="1" applyFill="1" applyBorder="1" applyAlignment="1">
      <x:alignment horizontal="center" wrapText="1"/>
    </x:xf>
    <x:xf numFmtId="0" fontId="12" fillId="5" borderId="1" xfId="0" applyNumberFormat="1" applyFont="1" applyFill="1" applyBorder="1" applyAlignment="1">
      <x:alignment horizontal="center" vertical="center" wrapText="1"/>
    </x:xf>
    <x:xf numFmtId="0" fontId="13" fillId="5" borderId="0" xfId="0" applyNumberFormat="1" applyFont="1" applyFill="1" applyBorder="1"/>
    <x:xf numFmtId="0" fontId="13" fillId="5" borderId="0" xfId="0" applyNumberFormat="1" applyFont="1" applyFill="1" applyBorder="1" applyAlignment="1">
      <x:alignment horizontal="center"/>
    </x:xf>
    <x:xf numFmtId="0" fontId="13" fillId="5" borderId="1" xfId="0" applyNumberFormat="1" applyFont="1" applyFill="1" applyBorder="1"/>
    <x:xf numFmtId="0" fontId="13" fillId="5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18" borderId="0" xfId="0" applyNumberFormat="1" applyFont="1" applyFill="1" applyBorder="1" applyAlignment="1">
      <x:alignment wrapText="1"/>
    </x:xf>
    <x:xf numFmtId="0" fontId="0" fillId="18" borderId="1" xfId="0" applyNumberFormat="1" applyFont="1" applyFill="1" applyBorder="1" applyAlignment="1">
      <x:alignment wrapText="1"/>
    </x:xf>
    <x:xf numFmtId="0" fontId="0" fillId="19" borderId="0" xfId="0" applyNumberFormat="1" applyFont="1" applyFill="1" applyBorder="1" applyAlignment="1">
      <x:alignment wrapText="1"/>
    </x:xf>
    <x:xf numFmtId="0" fontId="0" fillId="19" borderId="1" xfId="0" applyNumberFormat="1" applyFont="1" applyFill="1" applyBorder="1" applyAlignment="1">
      <x:alignment wrapText="1"/>
    </x:xf>
    <x:xf numFmtId="0" fontId="0" fillId="20" borderId="0" xfId="0" applyNumberFormat="1" applyFont="1" applyFill="1" applyBorder="1" applyAlignment="1">
      <x:alignment wrapText="1"/>
    </x:xf>
    <x:xf numFmtId="0" fontId="0" fillId="20" borderId="1" xfId="0" applyNumberFormat="1" applyFont="1" applyFill="1" applyBorder="1" applyAlignment="1">
      <x:alignment wrapText="1"/>
    </x:xf>
    <x:xf numFmtId="0" fontId="0" fillId="11" borderId="0" xfId="0" applyNumberFormat="1" applyFont="1" applyFill="1" applyBorder="1" applyAlignment="1">
      <x:alignment wrapText="1"/>
    </x:xf>
    <x:xf numFmtId="0" fontId="0" fillId="11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/>
    </x:xf>
    <x:xf numFmtId="0" fontId="6" fillId="6" borderId="0" xfId="0" applyNumberFormat="1" applyFont="1" applyFill="1" applyBorder="1" applyAlignment="1">
      <x:alignment horizontal="center" vertical="center"/>
    </x:xf>
    <x:xf numFmtId="0" fontId="2" fillId="2" borderId="0" xfId="0" applyNumberFormat="1" applyFont="1" applyFill="1" applyBorder="1" applyAlignment="1">
      <x:alignment horizontal="center" vertical="center"/>
    </x:xf>
    <x:xf numFmtId="200" fontId="0" fillId="0" borderId="0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/>
    </x:xf>
    <x:xf numFmtId="0" fontId="6" fillId="6" borderId="1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 applyAlignment="1">
      <x:alignment horizontal="center" vertical="center"/>
    </x:xf>
    <x:xf numFmtId="200" fontId="0" fillId="0" borderId="1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  <x:xf numFmtId="202" fontId="3" fillId="0" borderId="0" xfId="0" applyNumberFormat="1" applyFont="1" applyFill="1" applyBorder="1" applyAlignment="1">
      <x:alignment vertical="center"/>
    </x:xf>
    <x:xf numFmtId="0" fontId="3" fillId="0" borderId="0" xfId="0" applyNumberFormat="1" applyFont="1" applyFill="1" applyBorder="1" applyAlignment="1">
      <x:alignment vertical="center"/>
    </x:xf>
    <x:xf numFmtId="200" fontId="3" fillId="0" borderId="0" xfId="0" applyNumberFormat="1" applyFont="1" applyFill="1" applyBorder="1" applyAlignment="1">
      <x:alignment vertical="center"/>
    </x:xf>
    <x:xf numFmtId="200" fontId="4" fillId="0" borderId="0" xfId="0" applyNumberFormat="1" applyFont="1" applyFill="1" applyBorder="1" applyAlignment="1">
      <x:alignment vertical="center"/>
    </x:xf>
    <x:xf numFmtId="202" fontId="3" fillId="0" borderId="1" xfId="0" applyNumberFormat="1" applyFont="1" applyFill="1" applyBorder="1" applyAlignment="1">
      <x:alignment vertical="center"/>
    </x:xf>
    <x:xf numFmtId="0" fontId="3" fillId="0" borderId="1" xfId="0" applyNumberFormat="1" applyFont="1" applyFill="1" applyBorder="1" applyAlignment="1">
      <x:alignment vertical="center"/>
    </x:xf>
    <x:xf numFmtId="200" fontId="3" fillId="0" borderId="1" xfId="0" applyNumberFormat="1" applyFont="1" applyFill="1" applyBorder="1" applyAlignment="1">
      <x:alignment vertical="center"/>
    </x:xf>
    <x:xf numFmtId="200" fontId="4" fillId="0" borderId="1" xfId="0" applyNumberFormat="1" applyFont="1" applyFill="1" applyBorder="1" applyAlignment="1">
      <x:alignment vertical="center"/>
    </x:xf>
    <x:xf numFmtId="0" fontId="6" fillId="5" borderId="0" xfId="0" applyNumberFormat="1" applyFont="1" applyFill="1" applyBorder="1" applyAlignment="1">
      <x:alignment horizontal="center" vertical="center"/>
    </x:xf>
    <x:xf numFmtId="0" fontId="7" fillId="5" borderId="0" xfId="0" applyNumberFormat="1" applyFont="1" applyFill="1" applyBorder="1" applyAlignment="1">
      <x:alignment vertical="center"/>
    </x:xf>
    <x:xf numFmtId="0" fontId="6" fillId="5" borderId="1" xfId="0" applyNumberFormat="1" applyFont="1" applyFill="1" applyBorder="1" applyAlignment="1">
      <x:alignment horizontal="center" vertical="center"/>
    </x:xf>
    <x:xf numFmtId="0" fontId="7" fillId="5" borderId="1" xfId="0" applyNumberFormat="1" applyFont="1" applyFill="1" applyBorder="1" applyAlignment="1">
      <x:alignment vertical="center"/>
    </x:xf>
    <x:xf numFmtId="0" fontId="2" fillId="13" borderId="0" xfId="0" applyNumberFormat="1" applyFont="1" applyFill="1" applyBorder="1" applyAlignment="1">
      <x:alignment horizontal="center" vertical="center"/>
    </x:xf>
    <x:xf numFmtId="0" fontId="2" fillId="13" borderId="1" xfId="0" applyNumberFormat="1" applyFont="1" applyFill="1" applyBorder="1" applyAlignment="1">
      <x:alignment horizontal="center" vertical="center"/>
    </x:xf>
    <x:xf numFmtId="0" fontId="2" fillId="14" borderId="0" xfId="0" applyNumberFormat="1" applyFont="1" applyFill="1" applyBorder="1" applyAlignment="1">
      <x:alignment horizontal="center" vertical="center"/>
    </x:xf>
    <x:xf numFmtId="0" fontId="2" fillId="14" borderId="1" xfId="0" applyNumberFormat="1" applyFont="1" applyFill="1" applyBorder="1" applyAlignment="1">
      <x:alignment horizontal="center" vertical="center"/>
    </x:xf>
    <x:xf numFmtId="201" fontId="3" fillId="0" borderId="0" xfId="0" applyNumberFormat="1" applyFont="1" applyFill="1" applyBorder="1" applyAlignment="1">
      <x:alignment vertical="center"/>
    </x:xf>
    <x:xf numFmtId="0" fontId="2" fillId="4" borderId="0" xfId="0" applyNumberFormat="1" applyFont="1" applyFill="1" applyBorder="1" applyAlignment="1">
      <x:alignment vertical="center"/>
    </x:xf>
    <x:xf numFmtId="201" fontId="3" fillId="0" borderId="1" xfId="0" applyNumberFormat="1" applyFont="1" applyFill="1" applyBorder="1" applyAlignment="1">
      <x:alignment vertical="center"/>
    </x:xf>
    <x:xf numFmtId="0" fontId="2" fillId="4" borderId="1" xfId="0" applyNumberFormat="1" applyFont="1" applyFill="1" applyBorder="1" applyAlignment="1">
      <x:alignment vertical="center"/>
    </x:xf>
    <x:xf numFmtId="0" fontId="2" fillId="3" borderId="0" xfId="0" applyNumberFormat="1" applyFont="1" applyFill="1" applyBorder="1" applyAlignment="1">
      <x:alignment vertical="center"/>
    </x:xf>
    <x:xf numFmtId="0" fontId="13" fillId="5" borderId="0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vertical="center" wrapText="1"/>
    </x:xf>
    <x:xf numFmtId="0" fontId="0" fillId="18" borderId="0" xfId="0" applyNumberFormat="1" applyFont="1" applyFill="1" applyBorder="1" applyAlignment="1">
      <x:alignment vertical="center" wrapText="1"/>
    </x:xf>
    <x:xf numFmtId="0" fontId="0" fillId="19" borderId="0" xfId="0" applyNumberFormat="1" applyFont="1" applyFill="1" applyBorder="1" applyAlignment="1">
      <x:alignment vertical="center" wrapText="1"/>
    </x:xf>
    <x:xf numFmtId="0" fontId="0" fillId="20" borderId="0" xfId="0" applyNumberFormat="1" applyFont="1" applyFill="1" applyBorder="1" applyAlignment="1">
      <x:alignment vertical="center" wrapText="1"/>
    </x:xf>
    <x:xf numFmtId="0" fontId="0" fillId="11" borderId="0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e053dc460b0425f" /><Relationship Type="http://schemas.openxmlformats.org/officeDocument/2006/relationships/theme" Target="/xl/theme/theme1.xml" Id="R849e70e3feb84137" /><Relationship Type="http://schemas.openxmlformats.org/officeDocument/2006/relationships/sharedStrings" Target="/xl/sharedStrings.xml" Id="R936ed8da91314b9e" /><Relationship Type="http://schemas.openxmlformats.org/officeDocument/2006/relationships/worksheet" Target="/xl/worksheets/sheet1.xml" Id="R63bbc53fc94142c3" /><Relationship Type="http://schemas.openxmlformats.org/officeDocument/2006/relationships/worksheet" Target="/xl/worksheets/sheet2.xml" Id="R48498e5b2d034d99" /><Relationship Type="http://schemas.openxmlformats.org/officeDocument/2006/relationships/worksheet" Target="/xl/worksheets/sheet3.xml" Id="Rf1e202de318240c0" /><Relationship Type="http://schemas.openxmlformats.org/officeDocument/2006/relationships/worksheet" Target="/xl/worksheets/sheet4.xml" Id="Rc74c5175c27d4c6f" /><Relationship Type="http://schemas.openxmlformats.org/officeDocument/2006/relationships/worksheet" Target="/xl/worksheets/sheet5.xml" Id="R897baf09314e490d" /><Relationship Type="http://schemas.openxmlformats.org/officeDocument/2006/relationships/worksheet" Target="/xl/worksheets/sheet6.xml" Id="R4b810ab8e790463e" /><Relationship Type="http://schemas.openxmlformats.org/officeDocument/2006/relationships/worksheet" Target="/xl/worksheets/sheet7.xml" Id="Rb4ede26769584ac2" /><Relationship Type="http://schemas.openxmlformats.org/officeDocument/2006/relationships/worksheet" Target="/xl/worksheets/sheet8.xml" Id="Rab2c5b8fd78045ec" /><Relationship Type="http://schemas.openxmlformats.org/officeDocument/2006/relationships/worksheet" Target="/xl/worksheets/sheet9.xml" Id="R81474db4fc984553" /><Relationship Type="http://schemas.openxmlformats.org/officeDocument/2006/relationships/worksheet" Target="/xl/worksheets/sheet10.xml" Id="Rb030bd3404ac43a4" /><Relationship Type="http://schemas.openxmlformats.org/officeDocument/2006/relationships/worksheet" Target="/xl/worksheets/sheet11.xml" Id="Rb2b2b32d587a40eb" /><Relationship Type="http://schemas.openxmlformats.org/officeDocument/2006/relationships/worksheet" Target="/xl/worksheets/sheet12.xml" Id="R168696a5dcdf45d7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c6fd88ab9b0c4015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157c595836c94021" /><Relationship Type="http://schemas.openxmlformats.org/officeDocument/2006/relationships/chart" Target="/xl/drawings/charts/chart3.xml" Id="R683533daad6c4562" /></Relationships>
</file>

<file path=xl/drawings/_rels/drawing3.xml.rels>&#65279;<?xml version="1.0" encoding="utf-8"?><Relationships xmlns="http://schemas.openxmlformats.org/package/2006/relationships"><Relationship Type="http://schemas.openxmlformats.org/officeDocument/2006/relationships/chart" Target="/xl/drawings/charts/chart4.xml" Id="R675b657465124407" /><Relationship Type="http://schemas.openxmlformats.org/officeDocument/2006/relationships/chart" Target="/xl/drawings/charts/chart5.xml" Id="Rf98d9515f4f945a4" /></Relationships>
</file>

<file path=xl/drawings/_rels/drawing4.xml.rels>&#65279;<?xml version="1.0" encoding="utf-8"?><Relationships xmlns="http://schemas.openxmlformats.org/package/2006/relationships"><Relationship Type="http://schemas.openxmlformats.org/officeDocument/2006/relationships/chart" Target="/xl/drawings/charts/chart6.xml" Id="R98750e9c96e8460a" /><Relationship Type="http://schemas.openxmlformats.org/officeDocument/2006/relationships/chart" Target="/xl/drawings/charts/chart7.xml" Id="Rf862c6a572e54a91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chart" Target="/xl/drawings/charts/chart8.xml" Id="Raff591cb250b46a7" /><Relationship Type="http://schemas.openxmlformats.org/officeDocument/2006/relationships/chart" Target="/xl/drawings/charts/chart9.xml" Id="R22ca490d961649ad" /></Relationships>
</file>

<file path=xl/drawings/_rels/drawing6.xml.rels>&#65279;<?xml version="1.0" encoding="utf-8"?><Relationships xmlns="http://schemas.openxmlformats.org/package/2006/relationships"><Relationship Type="http://schemas.openxmlformats.org/officeDocument/2006/relationships/chart" Target="/xl/drawings/charts/chart10.xml" Id="Rc2ddd8f73dce41c9" /><Relationship Type="http://schemas.openxmlformats.org/officeDocument/2006/relationships/chart" Target="/xl/drawings/charts/chart11.xml" Id="Re6a15c35e6c14c4e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chart" Target="/xl/drawings/charts/chart12.xml" Id="R3507ba7c8b53455e" /><Relationship Type="http://schemas.openxmlformats.org/officeDocument/2006/relationships/chart" Target="/xl/drawings/charts/chart13.xml" Id="R2af160b37bf24842" /></Relationships>
</file>

<file path=xl/drawings/_rels/drawing8.xml.rels>&#65279;<?xml version="1.0" encoding="utf-8"?><Relationships xmlns="http://schemas.openxmlformats.org/package/2006/relationships"><Relationship Type="http://schemas.openxmlformats.org/officeDocument/2006/relationships/chart" Target="/xl/drawings/charts/chart14.xml" Id="R629af4a3a3d24a9b" /><Relationship Type="http://schemas.openxmlformats.org/officeDocument/2006/relationships/chart" Target="/xl/drawings/charts/chart15.xml" Id="Re84d20131d834ef8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chart" Target="/xl/drawings/charts/chart16.xml" Id="Re87bbf9d04b14709" /><Relationship Type="http://schemas.openxmlformats.org/officeDocument/2006/relationships/chart" Target="/xl/drawings/charts/chart17.xml" Id="Rcc057fb5cfce4a8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mensuelle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</c:v>
          </c:tx>
          <c:cat>
            <c:strRef>
              <c:f>'Dashboard'!$A$20:$A$31</c:f>
              <c:strCache>
                <c:ptCount val="0"/>
              </c:strCache>
            </c:strRef>
          </c:cat>
          <c:val>
            <c:numRef>
              <c:f>'Dashboard'!$B$20:$B$31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'Dashboard'!$A$20:$A$31</c:f>
              <c:strCache>
                <c:ptCount val="0"/>
              </c:strCache>
            </c:strRef>
          </c:cat>
          <c:val>
            <c:numRef>
              <c:f>'Dashboard'!$C$20:$C$31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Résultat</c:v>
          </c:tx>
          <c:cat>
            <c:strRef>
              <c:f>'Dashboard'!$A$20:$A$31</c:f>
              <c:strCache>
                <c:ptCount val="0"/>
              </c:strCache>
            </c:strRef>
          </c:cat>
          <c:val>
            <c:numRef>
              <c:f>'Dashboard'!$D$20:$D$31</c:f>
              <c:numCache>
                <c:formatCode>#,##0.00;[Red](#,##0.00);-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— REPORTING COMPTABLE MENSUEL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</c:v>
          </c:tx>
          <c:cat>
            <c:strRef>
              <c:f>'Mensuel'!$A$9:$A$20</c:f>
              <c:strCache>
                <c:ptCount val="0"/>
              </c:strCache>
            </c:strRef>
          </c:cat>
          <c:val>
            <c:numRef>
              <c:f>'Mensuel'!$B$9:$B$20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'Mensuel'!$A$9:$A$20</c:f>
              <c:strCache>
                <c:ptCount val="0"/>
              </c:strCache>
            </c:strRef>
          </c:cat>
          <c:val>
            <c:numRef>
              <c:f>'Mensuel'!$C$9:$C$20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Résultat</c:v>
          </c:tx>
          <c:cat>
            <c:strRef>
              <c:f>'Mensuel'!$A$9:$A$20</c:f>
              <c:strCache>
                <c:ptCount val="0"/>
              </c:strCache>
            </c:strRef>
          </c:cat>
          <c:val>
            <c:numRef>
              <c:f>'Mensuel'!$D$9:$D$20</c:f>
              <c:numCache>
                <c:formatCode>#,##0.00;[Red](#,##0.00);-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Produits vs charges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CA</c:v>
          </c:tx>
          <c:cat>
            <c:strRef>
              <c:f>'Mensuel'!$A$9:$A$20</c:f>
              <c:strCache>
                <c:ptCount val="0"/>
              </c:strCache>
            </c:strRef>
          </c:cat>
          <c:val>
            <c:numRef>
              <c:f>'Mensuel'!$B$9:$B$20</c:f>
              <c:numCache>
                <c:formatCode>#,##0.00;[Red](#,##0.00);-</c:formatCode>
                <c:ptCount val="0"/>
              </c:numCache>
            </c:numRef>
          </c:val>
        </c:ser>
        <c:ser>
          <c:idx val="1"/>
          <c:order val="1"/>
          <c:tx>
            <c:v>Charges</c:v>
          </c:tx>
          <c:cat>
            <c:strRef>
              <c:f>'Mensuel'!$A$9:$A$20</c:f>
              <c:strCache>
                <c:ptCount val="0"/>
              </c:strCache>
            </c:strRef>
          </c:cat>
          <c:val>
            <c:numRef>
              <c:f>'Mensuel'!$C$9:$C$20</c:f>
              <c:numCache>
                <c:formatCode>#,##0.00;[Red](#,##0.00);-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— REPORTING COMPTABLE HEBDOMADAIRE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</c:v>
          </c:tx>
          <c:cat>
            <c:strRef>
              <c:f>'Hebdomadaire'!$A$9:$A$21</c:f>
              <c:strCache>
                <c:ptCount val="0"/>
              </c:strCache>
            </c:strRef>
          </c:cat>
          <c:val>
            <c:numRef>
              <c:f>'Hebdomadaire'!$B$9:$B$21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'Hebdomadaire'!$A$9:$A$21</c:f>
              <c:strCache>
                <c:ptCount val="0"/>
              </c:strCache>
            </c:strRef>
          </c:cat>
          <c:val>
            <c:numRef>
              <c:f>'Hebdomadaire'!$C$9:$C$21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Résultat</c:v>
          </c:tx>
          <c:cat>
            <c:strRef>
              <c:f>'Hebdomadaire'!$A$9:$A$21</c:f>
              <c:strCache>
                <c:ptCount val="0"/>
              </c:strCache>
            </c:strRef>
          </c:cat>
          <c:val>
            <c:numRef>
              <c:f>'Hebdomadaire'!$D$9:$D$21</c:f>
              <c:numCache>
                <c:formatCode>#,##0.00;[Red](#,##0.00);-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5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Produits vs charges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CA</c:v>
          </c:tx>
          <c:cat>
            <c:strRef>
              <c:f>'Hebdomadaire'!$A$9:$A$21</c:f>
              <c:strCache>
                <c:ptCount val="0"/>
              </c:strCache>
            </c:strRef>
          </c:cat>
          <c:val>
            <c:numRef>
              <c:f>'Hebdomadaire'!$B$9:$B$21</c:f>
              <c:numCache>
                <c:formatCode>#,##0.00;[Red](#,##0.00);-</c:formatCode>
                <c:ptCount val="0"/>
              </c:numCache>
            </c:numRef>
          </c:val>
        </c:ser>
        <c:ser>
          <c:idx val="1"/>
          <c:order val="1"/>
          <c:tx>
            <c:v>Charges</c:v>
          </c:tx>
          <c:cat>
            <c:strRef>
              <c:f>'Hebdomadaire'!$A$9:$A$21</c:f>
              <c:strCache>
                <c:ptCount val="0"/>
              </c:strCache>
            </c:strRef>
          </c:cat>
          <c:val>
            <c:numRef>
              <c:f>'Hebdomadaire'!$C$9:$C$21</c:f>
              <c:numCache>
                <c:formatCode>#,##0.00;[Red](#,##0.00);-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6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— REPORTING COMPTABLE TRIMESTRIEL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</c:v>
          </c:tx>
          <c:cat>
            <c:strRef>
              <c:f>'Trimestriel'!$A$9:$A$12</c:f>
              <c:strCache>
                <c:ptCount val="0"/>
              </c:strCache>
            </c:strRef>
          </c:cat>
          <c:val>
            <c:numRef>
              <c:f>'Trimestriel'!$B$9:$B$12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'Trimestriel'!$A$9:$A$12</c:f>
              <c:strCache>
                <c:ptCount val="0"/>
              </c:strCache>
            </c:strRef>
          </c:cat>
          <c:val>
            <c:numRef>
              <c:f>'Trimestriel'!$C$9:$C$12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Résultat</c:v>
          </c:tx>
          <c:cat>
            <c:strRef>
              <c:f>'Trimestriel'!$A$9:$A$12</c:f>
              <c:strCache>
                <c:ptCount val="0"/>
              </c:strCache>
            </c:strRef>
          </c:cat>
          <c:val>
            <c:numRef>
              <c:f>'Trimestriel'!$D$9:$D$12</c:f>
              <c:numCache>
                <c:formatCode>#,##0.00;[Red](#,##0.00);-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7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Produits vs charges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CA</c:v>
          </c:tx>
          <c:cat>
            <c:strRef>
              <c:f>'Trimestriel'!$A$9:$A$12</c:f>
              <c:strCache>
                <c:ptCount val="0"/>
              </c:strCache>
            </c:strRef>
          </c:cat>
          <c:val>
            <c:numRef>
              <c:f>'Trimestriel'!$B$9:$B$12</c:f>
              <c:numCache>
                <c:formatCode>#,##0.00;[Red](#,##0.00);-</c:formatCode>
                <c:ptCount val="0"/>
              </c:numCache>
            </c:numRef>
          </c:val>
        </c:ser>
        <c:ser>
          <c:idx val="1"/>
          <c:order val="1"/>
          <c:tx>
            <c:v>Charges</c:v>
          </c:tx>
          <c:cat>
            <c:strRef>
              <c:f>'Trimestriel'!$A$9:$A$12</c:f>
              <c:strCache>
                <c:ptCount val="0"/>
              </c:strCache>
            </c:strRef>
          </c:cat>
          <c:val>
            <c:numRef>
              <c:f>'Trimestriel'!$C$9:$C$12</c:f>
              <c:numCache>
                <c:formatCode>#,##0.00;[Red](#,##0.00);-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8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— REPORTING COMPTABLE ANNUEL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</c:v>
          </c:tx>
          <c:cat>
            <c:strRef>
              <c:f>'Annuel'!$A$9:$A$11</c:f>
              <c:strCache>
                <c:ptCount val="0"/>
              </c:strCache>
            </c:strRef>
          </c:cat>
          <c:val>
            <c:numRef>
              <c:f>'Annuel'!$B$9:$B$11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'Annuel'!$A$9:$A$11</c:f>
              <c:strCache>
                <c:ptCount val="0"/>
              </c:strCache>
            </c:strRef>
          </c:cat>
          <c:val>
            <c:numRef>
              <c:f>'Annuel'!$C$9:$C$11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Résultat</c:v>
          </c:tx>
          <c:cat>
            <c:strRef>
              <c:f>'Annuel'!$A$9:$A$11</c:f>
              <c:strCache>
                <c:ptCount val="0"/>
              </c:strCache>
            </c:strRef>
          </c:cat>
          <c:val>
            <c:numRef>
              <c:f>'Annuel'!$D$9:$D$11</c:f>
              <c:numCache>
                <c:formatCode>#,##0.00;[Red](#,##0.00);-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9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Produits vs charges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CA</c:v>
          </c:tx>
          <c:cat>
            <c:strRef>
              <c:f>'Annuel'!$A$9:$A$11</c:f>
              <c:strCache>
                <c:ptCount val="0"/>
              </c:strCache>
            </c:strRef>
          </c:cat>
          <c:val>
            <c:numRef>
              <c:f>'Annuel'!$B$9:$B$11</c:f>
              <c:numCache>
                <c:formatCode>#,##0.00;[Red](#,##0.00);-</c:formatCode>
                <c:ptCount val="0"/>
              </c:numCache>
            </c:numRef>
          </c:val>
        </c:ser>
        <c:ser>
          <c:idx val="1"/>
          <c:order val="1"/>
          <c:tx>
            <c:v>Charges</c:v>
          </c:tx>
          <c:cat>
            <c:strRef>
              <c:f>'Annuel'!$A$9:$A$11</c:f>
              <c:strCache>
                <c:ptCount val="0"/>
              </c:strCache>
            </c:strRef>
          </c:cat>
          <c:val>
            <c:numRef>
              <c:f>'Annuel'!$C$9:$C$11</c:f>
              <c:numCache>
                <c:formatCode>#,##0.00;[Red](#,##0.00);-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0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— REPORTING GROUPE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</c:v>
          </c:tx>
          <c:cat>
            <c:strRef>
              <c:f>'Groupe'!$A$9:$A$11</c:f>
              <c:strCache>
                <c:ptCount val="0"/>
              </c:strCache>
            </c:strRef>
          </c:cat>
          <c:val>
            <c:numRef>
              <c:f>'Groupe'!$B$9:$B$11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'Groupe'!$A$9:$A$11</c:f>
              <c:strCache>
                <c:ptCount val="0"/>
              </c:strCache>
            </c:strRef>
          </c:cat>
          <c:val>
            <c:numRef>
              <c:f>'Groupe'!$C$9:$C$11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Résultat</c:v>
          </c:tx>
          <c:cat>
            <c:strRef>
              <c:f>'Groupe'!$A$9:$A$11</c:f>
              <c:strCache>
                <c:ptCount val="0"/>
              </c:strCache>
            </c:strRef>
          </c:cat>
          <c:val>
            <c:numRef>
              <c:f>'Groupe'!$D$9:$D$11</c:f>
              <c:numCache>
                <c:formatCode>#,##0.00;[Red](#,##0.00);-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Produits vs charges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CA</c:v>
          </c:tx>
          <c:cat>
            <c:strRef>
              <c:f>'Groupe'!$A$9:$A$11</c:f>
              <c:strCache>
                <c:ptCount val="0"/>
              </c:strCache>
            </c:strRef>
          </c:cat>
          <c:val>
            <c:numRef>
              <c:f>'Groupe'!$B$9:$B$11</c:f>
              <c:numCache>
                <c:formatCode>#,##0.00;[Red](#,##0.00);-</c:formatCode>
                <c:ptCount val="0"/>
              </c:numCache>
            </c:numRef>
          </c:val>
        </c:ser>
        <c:ser>
          <c:idx val="1"/>
          <c:order val="1"/>
          <c:tx>
            <c:v>Charges</c:v>
          </c:tx>
          <c:cat>
            <c:strRef>
              <c:f>'Groupe'!$A$9:$A$11</c:f>
              <c:strCache>
                <c:ptCount val="0"/>
              </c:strCache>
            </c:strRef>
          </c:cat>
          <c:val>
            <c:numRef>
              <c:f>'Groupe'!$C$9:$C$11</c:f>
              <c:numCache>
                <c:formatCode>#,##0.00;[Red](#,##0.00);-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— REPORTING FILIALE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</c:v>
          </c:tx>
          <c:cat>
            <c:strRef>
              <c:f>'Filiale'!$A$9:$A$10</c:f>
              <c:strCache>
                <c:ptCount val="0"/>
              </c:strCache>
            </c:strRef>
          </c:cat>
          <c:val>
            <c:numRef>
              <c:f>'Filiale'!$B$9:$B$10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'Filiale'!$A$9:$A$10</c:f>
              <c:strCache>
                <c:ptCount val="0"/>
              </c:strCache>
            </c:strRef>
          </c:cat>
          <c:val>
            <c:numRef>
              <c:f>'Filiale'!$C$9:$C$10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Résultat</c:v>
          </c:tx>
          <c:cat>
            <c:strRef>
              <c:f>'Filiale'!$A$9:$A$10</c:f>
              <c:strCache>
                <c:ptCount val="0"/>
              </c:strCache>
            </c:strRef>
          </c:cat>
          <c:val>
            <c:numRef>
              <c:f>'Filiale'!$D$9:$D$10</c:f>
              <c:numCache>
                <c:formatCode>#,##0.00;[Red](#,##0.00);-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Produits vs charges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CA</c:v>
          </c:tx>
          <c:cat>
            <c:strRef>
              <c:f>'Filiale'!$A$9:$A$10</c:f>
              <c:strCache>
                <c:ptCount val="0"/>
              </c:strCache>
            </c:strRef>
          </c:cat>
          <c:val>
            <c:numRef>
              <c:f>'Filiale'!$B$9:$B$10</c:f>
              <c:numCache>
                <c:formatCode>#,##0.00;[Red](#,##0.00);-</c:formatCode>
                <c:ptCount val="0"/>
              </c:numCache>
            </c:numRef>
          </c:val>
        </c:ser>
        <c:ser>
          <c:idx val="1"/>
          <c:order val="1"/>
          <c:tx>
            <c:v>Charges</c:v>
          </c:tx>
          <c:cat>
            <c:strRef>
              <c:f>'Filiale'!$A$9:$A$10</c:f>
              <c:strCache>
                <c:ptCount val="0"/>
              </c:strCache>
            </c:strRef>
          </c:cat>
          <c:val>
            <c:numRef>
              <c:f>'Filiale'!$C$9:$C$10</c:f>
              <c:numCache>
                <c:formatCode>#,##0.00;[Red](#,##0.00);-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— REPORTING IFRS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</c:v>
          </c:tx>
          <c:cat>
            <c:strRef>
              <c:f>'IFRS'!$A$9:$A$11</c:f>
              <c:strCache>
                <c:ptCount val="0"/>
              </c:strCache>
            </c:strRef>
          </c:cat>
          <c:val>
            <c:numRef>
              <c:f>'IFRS'!$B$9:$B$11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'IFRS'!$A$9:$A$11</c:f>
              <c:strCache>
                <c:ptCount val="0"/>
              </c:strCache>
            </c:strRef>
          </c:cat>
          <c:val>
            <c:numRef>
              <c:f>'IFRS'!$C$9:$C$11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Résultat</c:v>
          </c:tx>
          <c:cat>
            <c:strRef>
              <c:f>'IFRS'!$A$9:$A$11</c:f>
              <c:strCache>
                <c:ptCount val="0"/>
              </c:strCache>
            </c:strRef>
          </c:cat>
          <c:val>
            <c:numRef>
              <c:f>'IFRS'!$D$9:$D$11</c:f>
              <c:numCache>
                <c:formatCode>#,##0.00;[Red](#,##0.00);-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5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Produits vs charges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CA</c:v>
          </c:tx>
          <c:cat>
            <c:strRef>
              <c:f>'IFRS'!$A$9:$A$11</c:f>
              <c:strCache>
                <c:ptCount val="0"/>
              </c:strCache>
            </c:strRef>
          </c:cat>
          <c:val>
            <c:numRef>
              <c:f>'IFRS'!$B$9:$B$11</c:f>
              <c:numCache>
                <c:formatCode>#,##0.00;[Red](#,##0.00);-</c:formatCode>
                <c:ptCount val="0"/>
              </c:numCache>
            </c:numRef>
          </c:val>
        </c:ser>
        <c:ser>
          <c:idx val="1"/>
          <c:order val="1"/>
          <c:tx>
            <c:v>Charges</c:v>
          </c:tx>
          <c:cat>
            <c:strRef>
              <c:f>'IFRS'!$A$9:$A$11</c:f>
              <c:strCache>
                <c:ptCount val="0"/>
              </c:strCache>
            </c:strRef>
          </c:cat>
          <c:val>
            <c:numRef>
              <c:f>'IFRS'!$C$9:$C$11</c:f>
              <c:numCache>
                <c:formatCode>#,##0.00;[Red](#,##0.00);-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6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— REPORTING PME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</c:v>
          </c:tx>
          <c:cat>
            <c:strRef>
              <c:f>'PME'!$A$9:$A$20</c:f>
              <c:strCache>
                <c:ptCount val="0"/>
              </c:strCache>
            </c:strRef>
          </c:cat>
          <c:val>
            <c:numRef>
              <c:f>'PME'!$B$9:$B$20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'PME'!$A$9:$A$20</c:f>
              <c:strCache>
                <c:ptCount val="0"/>
              </c:strCache>
            </c:strRef>
          </c:cat>
          <c:val>
            <c:numRef>
              <c:f>'PME'!$C$9:$C$20</c:f>
              <c:numCache>
                <c:formatCode>#,##0.00;[Red](#,##0.00);-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Résultat</c:v>
          </c:tx>
          <c:cat>
            <c:strRef>
              <c:f>'PME'!$A$9:$A$20</c:f>
              <c:strCache>
                <c:ptCount val="0"/>
              </c:strCache>
            </c:strRef>
          </c:cat>
          <c:val>
            <c:numRef>
              <c:f>'PME'!$D$9:$D$20</c:f>
              <c:numCache>
                <c:formatCode>#,##0.00;[Red](#,##0.00);-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7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Produits vs charges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CA</c:v>
          </c:tx>
          <c:cat>
            <c:strRef>
              <c:f>'PME'!$A$9:$A$20</c:f>
              <c:strCache>
                <c:ptCount val="0"/>
              </c:strCache>
            </c:strRef>
          </c:cat>
          <c:val>
            <c:numRef>
              <c:f>'PME'!$B$9:$B$20</c:f>
              <c:numCache>
                <c:formatCode>#,##0.00;[Red](#,##0.00);-</c:formatCode>
                <c:ptCount val="0"/>
              </c:numCache>
            </c:numRef>
          </c:val>
        </c:ser>
        <c:ser>
          <c:idx val="1"/>
          <c:order val="1"/>
          <c:tx>
            <c:v>Charges</c:v>
          </c:tx>
          <c:cat>
            <c:strRef>
              <c:f>'PME'!$A$9:$A$20</c:f>
              <c:strCache>
                <c:ptCount val="0"/>
              </c:strCache>
            </c:strRef>
          </c:cat>
          <c:val>
            <c:numRef>
              <c:f>'PME'!$C$9:$C$20</c:f>
              <c:numCache>
                <c:formatCode>#,##0.00;[Red](#,##0.00);-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8</xdr:col>
      <xdr:colOff>0</xdr:colOff>
      <xdr:row>18</xdr:row>
      <xdr:rowOff>0</xdr:rowOff>
    </xdr:from>
    <xdr:to>
      <xdr:col>14</xdr:col>
      <xdr:colOff>0</xdr:colOff>
      <xdr:row>31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6fd88ab9b0c401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0</xdr:col>
      <xdr:colOff>0</xdr:colOff>
      <xdr:row>20</xdr:row>
      <xdr:rowOff>0</xdr:rowOff>
    </xdr:from>
    <xdr:to>
      <xdr:col>8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57c595836c94021"/>
        </a:graphicData>
      </a:graphic>
    </xdr:graphicFrame>
    <xdr:clientData/>
  </xdr:twoCellAnchor>
  <xdr:twoCellAnchor>
    <xdr:from>
      <xdr:col>8</xdr:col>
      <xdr:colOff>0</xdr:colOff>
      <xdr:row>20</xdr:row>
      <xdr:rowOff>0</xdr:rowOff>
    </xdr:from>
    <xdr:to>
      <xdr:col>12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83533daad6c456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>
  <xdr:twoCellAnchor>
    <xdr:from>
      <xdr:col>0</xdr:col>
      <xdr:colOff>0</xdr:colOff>
      <xdr:row>20</xdr:row>
      <xdr:rowOff>0</xdr:rowOff>
    </xdr:from>
    <xdr:to>
      <xdr:col>8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75b657465124407"/>
        </a:graphicData>
      </a:graphic>
    </xdr:graphicFrame>
    <xdr:clientData/>
  </xdr:twoCellAnchor>
  <xdr:twoCellAnchor>
    <xdr:from>
      <xdr:col>8</xdr:col>
      <xdr:colOff>0</xdr:colOff>
      <xdr:row>20</xdr:row>
      <xdr:rowOff>0</xdr:rowOff>
    </xdr:from>
    <xdr:to>
      <xdr:col>12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98d9515f4f945a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>
  <xdr:twoCellAnchor>
    <xdr:from>
      <xdr:col>0</xdr:col>
      <xdr:colOff>0</xdr:colOff>
      <xdr:row>20</xdr:row>
      <xdr:rowOff>0</xdr:rowOff>
    </xdr:from>
    <xdr:to>
      <xdr:col>8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8750e9c96e8460a"/>
        </a:graphicData>
      </a:graphic>
    </xdr:graphicFrame>
    <xdr:clientData/>
  </xdr:twoCellAnchor>
  <xdr:twoCellAnchor>
    <xdr:from>
      <xdr:col>8</xdr:col>
      <xdr:colOff>0</xdr:colOff>
      <xdr:row>20</xdr:row>
      <xdr:rowOff>0</xdr:rowOff>
    </xdr:from>
    <xdr:to>
      <xdr:col>12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862c6a572e54a9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>
  <xdr:twoCellAnchor>
    <xdr:from>
      <xdr:col>0</xdr:col>
      <xdr:colOff>0</xdr:colOff>
      <xdr:row>20</xdr:row>
      <xdr:rowOff>0</xdr:rowOff>
    </xdr:from>
    <xdr:to>
      <xdr:col>8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ff591cb250b46a7"/>
        </a:graphicData>
      </a:graphic>
    </xdr:graphicFrame>
    <xdr:clientData/>
  </xdr:twoCellAnchor>
  <xdr:twoCellAnchor>
    <xdr:from>
      <xdr:col>8</xdr:col>
      <xdr:colOff>0</xdr:colOff>
      <xdr:row>20</xdr:row>
      <xdr:rowOff>0</xdr:rowOff>
    </xdr:from>
    <xdr:to>
      <xdr:col>12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2ca490d961649ad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>
  <xdr:twoCellAnchor>
    <xdr:from>
      <xdr:col>0</xdr:col>
      <xdr:colOff>0</xdr:colOff>
      <xdr:row>20</xdr:row>
      <xdr:rowOff>0</xdr:rowOff>
    </xdr:from>
    <xdr:to>
      <xdr:col>8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2ddd8f73dce41c9"/>
        </a:graphicData>
      </a:graphic>
    </xdr:graphicFrame>
    <xdr:clientData/>
  </xdr:twoCellAnchor>
  <xdr:twoCellAnchor>
    <xdr:from>
      <xdr:col>8</xdr:col>
      <xdr:colOff>0</xdr:colOff>
      <xdr:row>20</xdr:row>
      <xdr:rowOff>0</xdr:rowOff>
    </xdr:from>
    <xdr:to>
      <xdr:col>12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6a15c35e6c14c4e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>
  <xdr:twoCellAnchor>
    <xdr:from>
      <xdr:col>0</xdr:col>
      <xdr:colOff>0</xdr:colOff>
      <xdr:row>20</xdr:row>
      <xdr:rowOff>0</xdr:rowOff>
    </xdr:from>
    <xdr:to>
      <xdr:col>8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507ba7c8b53455e"/>
        </a:graphicData>
      </a:graphic>
    </xdr:graphicFrame>
    <xdr:clientData/>
  </xdr:twoCellAnchor>
  <xdr:twoCellAnchor>
    <xdr:from>
      <xdr:col>8</xdr:col>
      <xdr:colOff>0</xdr:colOff>
      <xdr:row>20</xdr:row>
      <xdr:rowOff>0</xdr:rowOff>
    </xdr:from>
    <xdr:to>
      <xdr:col>12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af160b37bf2484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>
  <xdr:twoCellAnchor>
    <xdr:from>
      <xdr:col>0</xdr:col>
      <xdr:colOff>0</xdr:colOff>
      <xdr:row>20</xdr:row>
      <xdr:rowOff>0</xdr:rowOff>
    </xdr:from>
    <xdr:to>
      <xdr:col>8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29af4a3a3d24a9b"/>
        </a:graphicData>
      </a:graphic>
    </xdr:graphicFrame>
    <xdr:clientData/>
  </xdr:twoCellAnchor>
  <xdr:twoCellAnchor>
    <xdr:from>
      <xdr:col>8</xdr:col>
      <xdr:colOff>0</xdr:colOff>
      <xdr:row>20</xdr:row>
      <xdr:rowOff>0</xdr:rowOff>
    </xdr:from>
    <xdr:to>
      <xdr:col>12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84d20131d834ef8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>
  <xdr:twoCellAnchor>
    <xdr:from>
      <xdr:col>0</xdr:col>
      <xdr:colOff>0</xdr:colOff>
      <xdr:row>20</xdr:row>
      <xdr:rowOff>0</xdr:rowOff>
    </xdr:from>
    <xdr:to>
      <xdr:col>8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87bbf9d04b14709"/>
        </a:graphicData>
      </a:graphic>
    </xdr:graphicFrame>
    <xdr:clientData/>
  </xdr:twoCellAnchor>
  <xdr:twoCellAnchor>
    <xdr:from>
      <xdr:col>8</xdr:col>
      <xdr:colOff>0</xdr:colOff>
      <xdr:row>20</xdr:row>
      <xdr:rowOff>0</xdr:rowOff>
    </xdr:from>
    <xdr:to>
      <xdr:col>12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c057fb5cfce4a8a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DonneesComptables" displayName="DonneesComptables" ref="A3:P243" headerRowCount="1">
  <x:tableColumns count="16">
    <x:tableColumn id="1" name="Date"/>
    <x:tableColumn id="2" name="Semaine"/>
    <x:tableColumn id="3" name="Mois"/>
    <x:tableColumn id="4" name="Trimestre"/>
    <x:tableColumn id="5" name="Année"/>
    <x:tableColumn id="6" name="Entité"/>
    <x:tableColumn id="7" name="Compte"/>
    <x:tableColumn id="8" name="Libellé"/>
    <x:tableColumn id="9" name="Type"/>
    <x:tableColumn id="10" name="Statut"/>
    <x:tableColumn id="11" name="Débit"/>
    <x:tableColumn id="12" name="Crédit"/>
    <x:tableColumn id="13" name="Montant net"/>
    <x:tableColumn id="14" name="Budget"/>
    <x:tableColumn id="15" name="Écart"/>
    <x:tableColumn id="16" name="Norm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9ce7fbdebd264b5e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ec7b5b1bb52c4512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2.xml" Id="R7f84a0220d684273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3.xml" Id="R45fc60e0d8c1425e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drawing" Target="/xl/drawings/drawing4.xml" Id="Rfcc60ea28ad54b2a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5.xml" Id="Rce108259c02d42fa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drawing" Target="/xl/drawings/drawing6.xml" Id="Ra56a971114c546f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7.xml" Id="R18af83e2be9142a3" /></Relationships>
</file>

<file path=xl/worksheets/_rels/sheet9.xml.rels>&#65279;<?xml version="1.0" encoding="utf-8"?><Relationships xmlns="http://schemas.openxmlformats.org/package/2006/relationships"><Relationship Type="http://schemas.openxmlformats.org/officeDocument/2006/relationships/drawing" Target="/xl/drawings/drawing8.xml" Id="Rb6b0ca3777264dc5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9.xml" Id="R31582ba027e94c32" /></Relationships>
</file>

<file path=xl/worksheets/sheet1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2" hidden="0" customWidth="1"/>
    <x:col min="8" max="8" width="3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14" hidden="0" customWidth="1"/>
    <x:col min="14" max="14" width="14" hidden="0" customWidth="1"/>
  </x:cols>
  <x:sheetData>
    <x:row r="1">
      <x:c r="A1" s="276" t="str">
        <x:v>TABLEAU DE BORD — REPORTING COMPTABLE MULTI-PÉRIODES</x:v>
      </x:c>
      <x:c r="B1" s="276"/>
      <x:c r="C1" s="276"/>
      <x:c r="D1" s="276"/>
      <x:c r="E1" s="276"/>
      <x:c r="F1" s="276"/>
      <x:c r="G1" s="276"/>
      <x:c r="H1" s="276"/>
      <x:c r="I1" s="276"/>
      <x:c r="J1" s="276"/>
      <x:c r="K1" s="276"/>
      <x:c r="L1" s="276"/>
      <x:c r="M1" s="276"/>
      <x:c r="N1" s="276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276"/>
      <x:c r="B2" s="276"/>
      <x:c r="C2" s="276"/>
      <x:c r="D2" s="276"/>
      <x:c r="E2" s="276"/>
      <x:c r="F2" s="276"/>
      <x:c r="G2" s="276"/>
      <x:c r="H2" s="276"/>
      <x:c r="I2" s="276"/>
      <x:c r="J2" s="276"/>
      <x:c r="K2" s="276"/>
      <x:c r="L2" s="276"/>
      <x:c r="M2" s="276"/>
      <x:c r="N2" s="276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1" t="str">
        <x:v>Vue exécutive : mensuel, hebdomadaire, trimestriel, annuel, groupe, filiale, IFRS et PME</x:v>
      </x:c>
      <x:c r="B3" s="591"/>
      <x:c r="C3" s="591"/>
      <x:c r="D3" s="591"/>
      <x:c r="E3" s="591"/>
      <x:c r="F3" s="591"/>
      <x:c r="G3" s="591"/>
      <x:c r="H3" s="591"/>
      <x:c r="I3" s="591"/>
      <x:c r="J3" s="591"/>
      <x:c r="K3" s="591"/>
      <x:c r="L3" s="591"/>
      <x:c r="M3" s="591"/>
      <x:c r="N3" s="591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590"/>
      <x:c r="B4" s="590"/>
      <x:c r="C4" s="590"/>
      <x:c r="D4" s="590"/>
      <x:c r="E4" s="590"/>
      <x:c r="F4" s="590"/>
      <x:c r="G4" s="590"/>
      <x:c r="H4" s="590"/>
      <x:c r="I4" s="590"/>
      <x:c r="J4" s="590"/>
      <x:c r="K4" s="590"/>
      <x:c r="L4" s="590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284" t="str">
        <x:v>CA réalisé</x:v>
      </x:c>
      <x:c r="B5" s="284"/>
      <x:c r="C5" s="284"/>
      <x:c r="D5" s="336" t="str">
        <x:v>Résultat net</x:v>
      </x:c>
      <x:c r="E5" s="336"/>
      <x:c r="F5" s="336"/>
      <x:c r="G5" s="386" t="str">
        <x:v>Marge nette</x:v>
      </x:c>
      <x:c r="H5" s="386"/>
      <x:c r="I5" s="386"/>
      <x:c r="J5" s="436" t="str">
        <x:v>Écart budget</x:v>
      </x:c>
      <x:c r="K5" s="436"/>
      <x:c r="L5" s="436"/>
      <x:c r="M5" s="486" t="str">
        <x:v>DSO cible</x:v>
      </x:c>
      <x:c r="N5" s="486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284"/>
      <x:c r="B6" s="284"/>
      <x:c r="C6" s="284"/>
      <x:c r="D6" s="336"/>
      <x:c r="E6" s="336"/>
      <x:c r="F6" s="336"/>
      <x:c r="G6" s="386"/>
      <x:c r="H6" s="386"/>
      <x:c r="I6" s="386"/>
      <x:c r="J6" s="436"/>
      <x:c r="K6" s="436"/>
      <x:c r="L6" s="436"/>
      <x:c r="M6" s="486"/>
      <x:c r="N6" s="486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324" t="n">
        <x:f>SUMIFS('Données'!$M$4:$M$243,'Données'!$I$4:$I$243,"Produit",'Données'!$J$4:$J$243,"&lt;&gt;Prévision")</x:f>
        <x:v>912308</x:v>
      </x:c>
      <x:c r="B7" s="325"/>
      <x:c r="C7" s="326"/>
      <x:c r="D7" s="374" t="n">
        <x:f>SUMIFS('Données'!$M$4:$M$243,'Données'!$J$4:$J$243,"&lt;&gt;Prévision")</x:f>
        <x:v>-298341</x:v>
      </x:c>
      <x:c r="E7" s="375"/>
      <x:c r="F7" s="376"/>
      <x:c r="G7" s="424" t="n">
        <x:f>IFERROR(D6/A6,0)</x:f>
        <x:v>0</x:v>
      </x:c>
      <x:c r="H7" s="425"/>
      <x:c r="I7" s="426"/>
      <x:c r="J7" s="474" t="n">
        <x:f>SUM('Données'!$O$4:$O$243)</x:f>
        <x:v>-2226.292562321263</x:v>
      </x:c>
      <x:c r="K7" s="475"/>
      <x:c r="L7" s="476"/>
      <x:c r="M7" s="512" t="n">
        <x:f>'Paramètres'!$B$9</x:f>
        <x:v>45</x:v>
      </x:c>
      <x:c r="N7" s="513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327"/>
      <x:c r="B8" s="328"/>
      <x:c r="C8" s="329"/>
      <x:c r="D8" s="377"/>
      <x:c r="E8" s="378"/>
      <x:c r="F8" s="379"/>
      <x:c r="G8" s="427"/>
      <x:c r="H8" s="428"/>
      <x:c r="I8" s="429"/>
      <x:c r="J8" s="477"/>
      <x:c r="K8" s="478"/>
      <x:c r="L8" s="479"/>
      <x:c r="M8" s="514"/>
      <x:c r="N8" s="515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590"/>
      <x:c r="B9" s="590"/>
      <x:c r="C9" s="590"/>
      <x:c r="D9" s="590"/>
      <x:c r="E9" s="590"/>
      <x:c r="F9" s="590"/>
      <x:c r="G9" s="590"/>
      <x:c r="H9" s="590"/>
      <x:c r="I9" s="590"/>
      <x:c r="J9" s="590"/>
      <x:c r="K9" s="590"/>
      <x:c r="L9" s="590"/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522" t="e">
        <x:f>HYPERLINK("#'Mensuel'!A1","📅 Mensuel")</x:f>
      </x:c>
      <x:c r="B10" s="522"/>
      <x:c r="C10" s="522"/>
      <x:c r="D10" s="528" t="e">
        <x:f>HYPERLINK("#'Hebdomadaire'!A1","🗓️ Hebdomadaire")</x:f>
      </x:c>
      <x:c r="E10" s="528"/>
      <x:c r="F10" s="528"/>
      <x:c r="G10" s="534" t="e">
        <x:f>HYPERLINK("#'Trimestriel'!A1","📊 Trimestriel")</x:f>
      </x:c>
      <x:c r="H10" s="534"/>
      <x:c r="I10" s="534"/>
      <x:c r="J10" s="540" t="e">
        <x:f>HYPERLINK("#'Annuel'!A1","📘 Annuel")</x:f>
      </x:c>
      <x:c r="K10" s="540"/>
      <x:c r="L10" s="540"/>
      <x:c r="M10" s="571" t="e">
        <x:f>HYPERLINK("#'Données'!A1","🧾 Ouvrir la base de données")</x:f>
      </x:c>
      <x:c r="N10" s="571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522"/>
      <x:c r="B11" s="522"/>
      <x:c r="C11" s="522"/>
      <x:c r="D11" s="528"/>
      <x:c r="E11" s="528"/>
      <x:c r="F11" s="528"/>
      <x:c r="G11" s="534"/>
      <x:c r="H11" s="534"/>
      <x:c r="I11" s="534"/>
      <x:c r="J11" s="540"/>
      <x:c r="K11" s="540"/>
      <x:c r="L11" s="540"/>
      <x:c r="M11" s="571"/>
      <x:c r="N11" s="571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22"/>
      <x:c r="B12" s="522"/>
      <x:c r="C12" s="522"/>
      <x:c r="D12" s="528"/>
      <x:c r="E12" s="528"/>
      <x:c r="F12" s="528"/>
      <x:c r="G12" s="534"/>
      <x:c r="H12" s="534"/>
      <x:c r="I12" s="534"/>
      <x:c r="J12" s="540"/>
      <x:c r="K12" s="540"/>
      <x:c r="L12" s="540"/>
      <x:c r="M12" s="571"/>
      <x:c r="N12" s="571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/>
      <x:c r="J13" s="590"/>
      <x:c r="K13" s="590"/>
      <x:c r="L13" s="590"/>
      <x:c r="M13" s="571"/>
      <x:c r="N13" s="571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46" t="e">
        <x:f>HYPERLINK("#'Groupe'!A1","🏢 Groupe")</x:f>
      </x:c>
      <x:c r="B14" s="546"/>
      <x:c r="C14" s="546"/>
      <x:c r="D14" s="552" t="e">
        <x:f>HYPERLINK("#'Filiale'!A1","🏬 Filiale")</x:f>
      </x:c>
      <x:c r="E14" s="552"/>
      <x:c r="F14" s="552"/>
      <x:c r="G14" s="558" t="e">
        <x:f>HYPERLINK("#'IFRS'!A1","🌍 IFRS")</x:f>
      </x:c>
      <x:c r="H14" s="558"/>
      <x:c r="I14" s="558"/>
      <x:c r="J14" s="564" t="e">
        <x:f>HYPERLINK("#'PME'!A1","💼 PME")</x:f>
      </x:c>
      <x:c r="K14" s="564"/>
      <x:c r="L14" s="564"/>
      <x:c r="M14" s="571"/>
      <x:c r="N14" s="571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46"/>
      <x:c r="B15" s="546"/>
      <x:c r="C15" s="546"/>
      <x:c r="D15" s="552"/>
      <x:c r="E15" s="552"/>
      <x:c r="F15" s="552"/>
      <x:c r="G15" s="558"/>
      <x:c r="H15" s="558"/>
      <x:c r="I15" s="558"/>
      <x:c r="J15" s="564"/>
      <x:c r="K15" s="564"/>
      <x:c r="L15" s="564"/>
      <x:c r="M15" s="571"/>
      <x:c r="N15" s="571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46"/>
      <x:c r="B16" s="546"/>
      <x:c r="C16" s="546"/>
      <x:c r="D16" s="552"/>
      <x:c r="E16" s="552"/>
      <x:c r="F16" s="552"/>
      <x:c r="G16" s="558"/>
      <x:c r="H16" s="558"/>
      <x:c r="I16" s="558"/>
      <x:c r="J16" s="564"/>
      <x:c r="K16" s="564"/>
      <x:c r="L16" s="564"/>
      <x:c r="M16" s="571"/>
      <x:c r="N16" s="571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/>
      <x:c r="J17" s="590"/>
      <x:c r="K17" s="590"/>
      <x:c r="L17" s="590"/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/>
      <x:c r="J18" s="590"/>
      <x:c r="K18" s="590"/>
      <x:c r="L18" s="590"/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2" t="str">
        <x:v>Mois</x:v>
      </x:c>
      <x:c r="B19" s="592" t="str">
        <x:v>CA</x:v>
      </x:c>
      <x:c r="C19" s="592" t="str">
        <x:v>Charges</x:v>
      </x:c>
      <x:c r="D19" s="592" t="str">
        <x:v>Résultat</x:v>
      </x:c>
      <x:c r="E19" s="592" t="str">
        <x:v>Budget</x:v>
      </x:c>
      <x:c r="F19" s="592" t="str">
        <x:v>Écart</x:v>
      </x:c>
      <x:c r="G19" s="592" t="str">
        <x:v>Marge</x:v>
      </x:c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 t="str">
        <x:v>01 - January</x:v>
      </x:c>
      <x:c r="B20" s="593" t="n">
        <x:f>SUMIFS('Données'!$M$4:$M$243,'Données'!$I$4:$I$243,"Produit",'Données'!$C$4:$C$243,"01 - January",'Données'!$J$4:$J$243,"&lt;&gt;Prévision")</x:f>
        <x:v>156284</x:v>
      </x:c>
      <x:c r="C20" s="593" t="n">
        <x:f>-SUMIFS('Données'!$M$4:$M$243,'Données'!$I$4:$I$243,"Charge",'Données'!$C$4:$C$243,"01 - January",'Données'!$J$4:$J$243,"&lt;&gt;Prévision")</x:f>
        <x:v>48337</x:v>
      </x:c>
      <x:c r="D20" s="593" t="n">
        <x:f>B20-C20</x:f>
        <x:v>107947</x:v>
      </x:c>
      <x:c r="E20" s="593" t="n">
        <x:f>SUMIFS('Données'!$N$4:$N$243,'Données'!$C$4:$C$243,"01 - January")</x:f>
        <x:v>170178.86820309726</x:v>
      </x:c>
      <x:c r="F20" s="593" t="n">
        <x:f>D20-E20</x:f>
        <x:v>-62231.868203097256</x:v>
      </x:c>
      <x:c r="G20" s="594" t="n">
        <x:f>IFERROR(D20/B20,0)</x:f>
        <x:v>0.6907105013948964</x:v>
      </x:c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 t="str">
        <x:v>02 - February</x:v>
      </x:c>
      <x:c r="B21" s="593" t="n">
        <x:f>SUMIFS('Données'!$M$4:$M$243,'Données'!$I$4:$I$243,"Produit",'Données'!$C$4:$C$243,"02 - February",'Données'!$J$4:$J$243,"&lt;&gt;Prévision")</x:f>
        <x:v>0</x:v>
      </x:c>
      <x:c r="C21" s="593" t="n">
        <x:f>-SUMIFS('Données'!$M$4:$M$243,'Données'!$I$4:$I$243,"Charge",'Données'!$C$4:$C$243,"02 - February",'Données'!$J$4:$J$243,"&lt;&gt;Prévision")</x:f>
        <x:v>114970</x:v>
      </x:c>
      <x:c r="D21" s="593" t="n">
        <x:f>B21-C21</x:f>
        <x:v>-114970</x:v>
      </x:c>
      <x:c r="E21" s="593" t="n">
        <x:f>SUMIFS('Données'!$N$4:$N$243,'Données'!$C$4:$C$243,"02 - February")</x:f>
        <x:v>-132069.2461002683</x:v>
      </x:c>
      <x:c r="F21" s="593" t="n">
        <x:f>D21-E21</x:f>
        <x:v>17099.246100268298</x:v>
      </x:c>
      <x:c r="G21" s="594" t="n">
        <x:f>IFERROR(D21/B21,0)</x:f>
        <x:v>0</x:v>
      </x:c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 t="str">
        <x:v>03 - March</x:v>
      </x:c>
      <x:c r="B22" s="593" t="n">
        <x:f>SUMIFS('Données'!$M$4:$M$243,'Données'!$I$4:$I$243,"Produit",'Données'!$C$4:$C$243,"03 - March",'Données'!$J$4:$J$243,"&lt;&gt;Prévision")</x:f>
        <x:v>108580</x:v>
      </x:c>
      <x:c r="C22" s="593" t="n">
        <x:f>-SUMIFS('Données'!$M$4:$M$243,'Données'!$I$4:$I$243,"Charge",'Données'!$C$4:$C$243,"03 - March",'Données'!$J$4:$J$243,"&lt;&gt;Prévision")</x:f>
        <x:v>122573</x:v>
      </x:c>
      <x:c r="D22" s="593" t="n">
        <x:f>B22-C22</x:f>
        <x:v>-13993</x:v>
      </x:c>
      <x:c r="E22" s="593" t="n">
        <x:f>SUMIFS('Données'!$N$4:$N$243,'Données'!$C$4:$C$243,"03 - March")</x:f>
        <x:v>-41571.327354672234</x:v>
      </x:c>
      <x:c r="F22" s="593" t="n">
        <x:f>D22-E22</x:f>
        <x:v>27578.327354672234</x:v>
      </x:c>
      <x:c r="G22" s="594" t="n">
        <x:f>IFERROR(D22/B22,0)</x:f>
        <x:v>-0.12887272057469149</x:v>
      </x:c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 t="str">
        <x:v>04 - April</x:v>
      </x:c>
      <x:c r="B23" s="593" t="n">
        <x:f>SUMIFS('Données'!$M$4:$M$243,'Données'!$I$4:$I$243,"Produit",'Données'!$C$4:$C$243,"04 - April",'Données'!$J$4:$J$243,"&lt;&gt;Prévision")</x:f>
        <x:v>31960</x:v>
      </x:c>
      <x:c r="C23" s="593" t="n">
        <x:f>-SUMIFS('Données'!$M$4:$M$243,'Données'!$I$4:$I$243,"Charge",'Données'!$C$4:$C$243,"04 - April",'Données'!$J$4:$J$243,"&lt;&gt;Prévision")</x:f>
        <x:v>113368</x:v>
      </x:c>
      <x:c r="D23" s="593" t="n">
        <x:f>B23-C23</x:f>
        <x:v>-81408</x:v>
      </x:c>
      <x:c r="E23" s="593" t="n">
        <x:f>SUMIFS('Données'!$N$4:$N$243,'Données'!$C$4:$C$243,"04 - April")</x:f>
        <x:v>-121590.75904972896</x:v>
      </x:c>
      <x:c r="F23" s="593" t="n">
        <x:f>D23-E23</x:f>
        <x:v>40182.759049728964</x:v>
      </x:c>
      <x:c r="G23" s="594" t="n">
        <x:f>IFERROR(D23/B23,0)</x:f>
        <x:v>-2.5471839799749687</x:v>
      </x:c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 t="str">
        <x:v>05 - May</x:v>
      </x:c>
      <x:c r="B24" s="593" t="n">
        <x:f>SUMIFS('Données'!$M$4:$M$243,'Données'!$I$4:$I$243,"Produit",'Données'!$C$4:$C$243,"05 - May",'Données'!$J$4:$J$243,"&lt;&gt;Prévision")</x:f>
        <x:v>76048</x:v>
      </x:c>
      <x:c r="C24" s="593" t="n">
        <x:f>-SUMIFS('Données'!$M$4:$M$243,'Données'!$I$4:$I$243,"Charge",'Données'!$C$4:$C$243,"05 - May",'Données'!$J$4:$J$243,"&lt;&gt;Prévision")</x:f>
        <x:v>91252</x:v>
      </x:c>
      <x:c r="D24" s="593" t="n">
        <x:f>B24-C24</x:f>
        <x:v>-15204</x:v>
      </x:c>
      <x:c r="E24" s="593" t="n">
        <x:f>SUMIFS('Données'!$N$4:$N$243,'Données'!$C$4:$C$243,"05 - May")</x:f>
        <x:v>-64724.53005201821</x:v>
      </x:c>
      <x:c r="F24" s="593" t="n">
        <x:f>D24-E24</x:f>
        <x:v>49520.53005201821</x:v>
      </x:c>
      <x:c r="G24" s="594" t="n">
        <x:f>IFERROR(D24/B24,0)</x:f>
        <x:v>-0.19992636229749633</x:v>
      </x:c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 t="str">
        <x:v>06 - June</x:v>
      </x:c>
      <x:c r="B25" s="593" t="n">
        <x:f>SUMIFS('Données'!$M$4:$M$243,'Données'!$I$4:$I$243,"Produit",'Données'!$C$4:$C$243,"06 - June",'Données'!$J$4:$J$243,"&lt;&gt;Prévision")</x:f>
        <x:v>91996</x:v>
      </x:c>
      <x:c r="C25" s="593" t="n">
        <x:f>-SUMIFS('Données'!$M$4:$M$243,'Données'!$I$4:$I$243,"Charge",'Données'!$C$4:$C$243,"06 - June",'Données'!$J$4:$J$243,"&lt;&gt;Prévision")</x:f>
        <x:v>109456</x:v>
      </x:c>
      <x:c r="D25" s="593" t="n">
        <x:f>B25-C25</x:f>
        <x:v>-17460</x:v>
      </x:c>
      <x:c r="E25" s="593" t="n">
        <x:f>SUMIFS('Données'!$N$4:$N$243,'Données'!$C$4:$C$243,"06 - June")</x:f>
        <x:v>-37348.8391056233</x:v>
      </x:c>
      <x:c r="F25" s="593" t="n">
        <x:f>D25-E25</x:f>
        <x:v>19888.8391056233</x:v>
      </x:c>
      <x:c r="G25" s="594" t="n">
        <x:f>IFERROR(D25/B25,0)</x:f>
        <x:v>-0.18979086047219446</x:v>
      </x:c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 t="str">
        <x:v>07 - July</x:v>
      </x:c>
      <x:c r="B26" s="593" t="n">
        <x:f>SUMIFS('Données'!$M$4:$M$243,'Données'!$I$4:$I$243,"Produit",'Données'!$C$4:$C$243,"07 - July",'Données'!$J$4:$J$243,"&lt;&gt;Prévision")</x:f>
        <x:v>209156</x:v>
      </x:c>
      <x:c r="C26" s="593" t="n">
        <x:f>-SUMIFS('Données'!$M$4:$M$243,'Données'!$I$4:$I$243,"Charge",'Données'!$C$4:$C$243,"07 - July",'Données'!$J$4:$J$243,"&lt;&gt;Prévision")</x:f>
        <x:v>81780</x:v>
      </x:c>
      <x:c r="D26" s="593" t="n">
        <x:f>B26-C26</x:f>
        <x:v>127376</x:v>
      </x:c>
      <x:c r="E26" s="593" t="n">
        <x:f>SUMIFS('Données'!$N$4:$N$243,'Données'!$C$4:$C$243,"07 - July")</x:f>
        <x:v>94911.25935026063</x:v>
      </x:c>
      <x:c r="F26" s="593" t="n">
        <x:f>D26-E26</x:f>
        <x:v>32464.740649739368</x:v>
      </x:c>
      <x:c r="G26" s="594" t="n">
        <x:f>IFERROR(D26/B26,0)</x:f>
        <x:v>0.6089999808755188</x:v>
      </x:c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 t="str">
        <x:v>08 - August</x:v>
      </x:c>
      <x:c r="B27" s="593" t="n">
        <x:f>SUMIFS('Données'!$M$4:$M$243,'Données'!$I$4:$I$243,"Produit",'Données'!$C$4:$C$243,"08 - August",'Données'!$J$4:$J$243,"&lt;&gt;Prévision")</x:f>
        <x:v>12610</x:v>
      </x:c>
      <x:c r="C27" s="593" t="n">
        <x:f>-SUMIFS('Données'!$M$4:$M$243,'Données'!$I$4:$I$243,"Charge",'Données'!$C$4:$C$243,"08 - August",'Données'!$J$4:$J$243,"&lt;&gt;Prévision")</x:f>
        <x:v>60692</x:v>
      </x:c>
      <x:c r="D27" s="593" t="n">
        <x:f>B27-C27</x:f>
        <x:v>-48082</x:v>
      </x:c>
      <x:c r="E27" s="593" t="n">
        <x:f>SUMIFS('Données'!$N$4:$N$243,'Données'!$C$4:$C$243,"08 - August")</x:f>
        <x:v>-78687.16450667832</x:v>
      </x:c>
      <x:c r="F27" s="593" t="n">
        <x:f>D27-E27</x:f>
        <x:v>30605.164506678324</x:v>
      </x:c>
      <x:c r="G27" s="594" t="n">
        <x:f>IFERROR(D27/B27,0)</x:f>
        <x:v>-3.8130055511498813</x:v>
      </x:c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 t="str">
        <x:v>09 - September</x:v>
      </x:c>
      <x:c r="B28" s="593" t="n">
        <x:f>SUMIFS('Données'!$M$4:$M$243,'Données'!$I$4:$I$243,"Produit",'Données'!$C$4:$C$243,"09 - September",'Données'!$J$4:$J$243,"&lt;&gt;Prévision")</x:f>
        <x:v>95054</x:v>
      </x:c>
      <x:c r="C28" s="593" t="n">
        <x:f>-SUMIFS('Données'!$M$4:$M$243,'Données'!$I$4:$I$243,"Charge",'Données'!$C$4:$C$243,"09 - September",'Données'!$J$4:$J$243,"&lt;&gt;Prévision")</x:f>
        <x:v>147933</x:v>
      </x:c>
      <x:c r="D28" s="593" t="n">
        <x:f>B28-C28</x:f>
        <x:v>-52879</x:v>
      </x:c>
      <x:c r="E28" s="593" t="n">
        <x:f>SUMIFS('Données'!$N$4:$N$243,'Données'!$C$4:$C$243,"09 - September")</x:f>
        <x:v>-61745.949878166735</x:v>
      </x:c>
      <x:c r="F28" s="593" t="n">
        <x:f>D28-E28</x:f>
        <x:v>8866.949878166735</x:v>
      </x:c>
      <x:c r="G28" s="594" t="n">
        <x:f>IFERROR(D28/B28,0)</x:f>
        <x:v>-0.556304837250405</x:v>
      </x:c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 t="str">
        <x:v>10 - October</x:v>
      </x:c>
      <x:c r="B29" s="593" t="n">
        <x:f>SUMIFS('Données'!$M$4:$M$243,'Données'!$I$4:$I$243,"Produit",'Données'!$C$4:$C$243,"10 - October",'Données'!$J$4:$J$243,"&lt;&gt;Prévision")</x:f>
        <x:v>16397</x:v>
      </x:c>
      <x:c r="C29" s="593" t="n">
        <x:f>-SUMIFS('Données'!$M$4:$M$243,'Données'!$I$4:$I$243,"Charge",'Données'!$C$4:$C$243,"10 - October",'Données'!$J$4:$J$243,"&lt;&gt;Prévision")</x:f>
        <x:v>88710</x:v>
      </x:c>
      <x:c r="D29" s="593" t="n">
        <x:f>B29-C29</x:f>
        <x:v>-72313</x:v>
      </x:c>
      <x:c r="E29" s="593" t="n">
        <x:f>SUMIFS('Données'!$N$4:$N$243,'Données'!$C$4:$C$243,"10 - October")</x:f>
        <x:v>-33596.54893870241</x:v>
      </x:c>
      <x:c r="F29" s="593" t="n">
        <x:f>D29-E29</x:f>
        <x:v>-38716.45106129759</x:v>
      </x:c>
      <x:c r="G29" s="594" t="n">
        <x:f>IFERROR(D29/B29,0)</x:f>
        <x:v>-4.410136000487894</x:v>
      </x:c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 t="str">
        <x:v>11 - November</x:v>
      </x:c>
      <x:c r="B30" s="593" t="n">
        <x:f>SUMIFS('Données'!$M$4:$M$243,'Données'!$I$4:$I$243,"Produit",'Données'!$C$4:$C$243,"11 - November",'Données'!$J$4:$J$243,"&lt;&gt;Prévision")</x:f>
        <x:v>9789</x:v>
      </x:c>
      <x:c r="C30" s="593" t="n">
        <x:f>-SUMIFS('Données'!$M$4:$M$243,'Données'!$I$4:$I$243,"Charge",'Données'!$C$4:$C$243,"11 - November",'Données'!$J$4:$J$243,"&lt;&gt;Prévision")</x:f>
        <x:v>88569</x:v>
      </x:c>
      <x:c r="D30" s="593" t="n">
        <x:f>B30-C30</x:f>
        <x:v>-78780</x:v>
      </x:c>
      <x:c r="E30" s="593" t="n">
        <x:f>SUMIFS('Données'!$N$4:$N$243,'Données'!$C$4:$C$243,"11 - November")</x:f>
        <x:v>-71829.18146969228</x:v>
      </x:c>
      <x:c r="F30" s="593" t="n">
        <x:f>D30-E30</x:f>
        <x:v>-6950.818530307719</x:v>
      </x:c>
      <x:c r="G30" s="594" t="n">
        <x:f>IFERROR(D30/B30,0)</x:f>
        <x:v>-8.047808764940239</x:v>
      </x:c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 t="str">
        <x:v>12 - December</x:v>
      </x:c>
      <x:c r="B31" s="593" t="n">
        <x:f>SUMIFS('Données'!$M$4:$M$243,'Données'!$I$4:$I$243,"Produit",'Données'!$C$4:$C$243,"12 - December",'Données'!$J$4:$J$243,"&lt;&gt;Prévision")</x:f>
        <x:v>104434</x:v>
      </x:c>
      <x:c r="C31" s="593" t="n">
        <x:f>-SUMIFS('Données'!$M$4:$M$243,'Données'!$I$4:$I$243,"Charge",'Données'!$C$4:$C$243,"12 - December",'Données'!$J$4:$J$243,"&lt;&gt;Prévision")</x:f>
        <x:v>143009</x:v>
      </x:c>
      <x:c r="D31" s="593" t="n">
        <x:f>B31-C31</x:f>
        <x:v>-38575</x:v>
      </x:c>
      <x:c r="E31" s="593" t="n">
        <x:f>SUMIFS('Données'!$N$4:$N$243,'Données'!$C$4:$C$243,"12 - December")</x:f>
        <x:v>-47095.28853548585</x:v>
      </x:c>
      <x:c r="F31" s="593" t="n">
        <x:f>D31-E31</x:f>
        <x:v>8520.288535485852</x:v>
      </x:c>
      <x:c r="G31" s="594" t="n">
        <x:f>IFERROR(D31/B31,0)</x:f>
        <x:v>-0.36937204358733744</x:v>
      </x:c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N2"/>
    <x:mergeCell ref="A3:N3"/>
    <x:mergeCell ref="A5:C6"/>
    <x:mergeCell ref="A7:C8"/>
    <x:mergeCell ref="D5:F6"/>
    <x:mergeCell ref="D7:F8"/>
    <x:mergeCell ref="G5:I6"/>
    <x:mergeCell ref="G7:I8"/>
    <x:mergeCell ref="J5:L6"/>
    <x:mergeCell ref="J7:L8"/>
    <x:mergeCell ref="M5:N6"/>
    <x:mergeCell ref="M7:N8"/>
    <x:mergeCell ref="A10:C12"/>
    <x:mergeCell ref="D10:F12"/>
    <x:mergeCell ref="G10:I12"/>
    <x:mergeCell ref="J10:L12"/>
    <x:mergeCell ref="A14:C16"/>
    <x:mergeCell ref="D14:F16"/>
    <x:mergeCell ref="G14:I16"/>
    <x:mergeCell ref="J14:L16"/>
    <x:mergeCell ref="M10:N16"/>
  </x:mergeCells>
  <x:conditionalFormatting sqref="F20:F31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G20:G31">
    <x:cfRule type="dataBar" priority="2">
      <x:dataBar>
        <x:cfvo type="min"/>
        <x:cfvo type="max"/>
        <x:color rgb="FF20639B"/>
      </x:dataBar>
      <x:extLst>
        <x:ext xmlns:x14="http://schemas.microsoft.com/office/spreadsheetml/2009/9/main" uri="{B025F937-C7B1-47D3-B67F-A62EFF666E3E}">
          <x14:id>{169BE573-5479-287D-BE93-74B15E11EBFA}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9ce7fbdebd264b5e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169BE573-5479-287D-BE93-74B15E11EBFA}">
            <x14:dataBar gradient="1">
              <x14:cfvo type="min"/>
              <x14:cfvo type="max"/>
              <x14:fillColor rgb="FF20639B"/>
            </x14:dataBar>
          </x14:cfRule>
          <xm:sqref>G20:G31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9" hidden="0" customWidth="1"/>
    <x:col min="3" max="3" width="16" hidden="0" customWidth="1"/>
    <x:col min="4" max="4" width="10" hidden="0" customWidth="1"/>
    <x:col min="5" max="5" width="9" hidden="0" customWidth="1"/>
    <x:col min="6" max="6" width="16" hidden="0" customWidth="1"/>
    <x:col min="7" max="7" width="12" hidden="0" customWidth="1"/>
    <x:col min="8" max="8" width="26" hidden="0" customWidth="1"/>
    <x:col min="9" max="9" width="12" hidden="0" customWidth="1"/>
    <x:col min="10" max="10" width="12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4" hidden="0" customWidth="1"/>
    <x:col min="16" max="16" width="14" hidden="0" customWidth="1"/>
  </x:cols>
  <x:sheetData>
    <x:row r="1">
      <x:c r="A1" s="5" t="str">
        <x:v>BASE DE DONNÉES COMPTABLES — SAISIE ET IMPORT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O1" s="5"/>
      <x:c r="P1" s="5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590"/>
      <x:c r="B2" s="590"/>
      <x:c r="C2" s="590"/>
      <x:c r="D2" s="590"/>
      <x:c r="E2" s="590"/>
      <x:c r="F2" s="590"/>
      <x:c r="G2" s="590"/>
      <x:c r="H2" s="590"/>
      <x:c r="I2" s="590"/>
      <x:c r="J2" s="590"/>
      <x:c r="K2" s="590"/>
      <x:c r="L2" s="590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28" t="str">
        <x:v>Date</x:v>
      </x:c>
      <x:c r="B3" s="28" t="str">
        <x:v>Semaine</x:v>
      </x:c>
      <x:c r="C3" s="28" t="str">
        <x:v>Mois</x:v>
      </x:c>
      <x:c r="D3" s="28" t="str">
        <x:v>Trimestre</x:v>
      </x:c>
      <x:c r="E3" s="28" t="str">
        <x:v>Année</x:v>
      </x:c>
      <x:c r="F3" s="28" t="str">
        <x:v>Entité</x:v>
      </x:c>
      <x:c r="G3" s="28" t="str">
        <x:v>Compte</x:v>
      </x:c>
      <x:c r="H3" s="28" t="str">
        <x:v>Libellé</x:v>
      </x:c>
      <x:c r="I3" s="28" t="str">
        <x:v>Type</x:v>
      </x:c>
      <x:c r="J3" s="28" t="str">
        <x:v>Statut</x:v>
      </x:c>
      <x:c r="K3" s="28" t="str">
        <x:v>Débit</x:v>
      </x:c>
      <x:c r="L3" s="28" t="str">
        <x:v>Crédit</x:v>
      </x:c>
      <x:c r="M3" s="28" t="str">
        <x:v>Montant net</x:v>
      </x:c>
      <x:c r="N3" s="28" t="str">
        <x:v>Budget</x:v>
      </x:c>
      <x:c r="O3" s="28" t="str">
        <x:v>Écart</x:v>
      </x:c>
      <x:c r="P3" s="28" t="str">
        <x:v>Norme</x:v>
      </x:c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600" t="n">
        <x:v>46139</x:v>
      </x:c>
      <x:c r="B4" s="601" t="n">
        <x:v>18</x:v>
      </x:c>
      <x:c r="C4" s="601" t="str">
        <x:v>04 - April</x:v>
      </x:c>
      <x:c r="D4" s="601" t="str">
        <x:v>T2</x:v>
      </x:c>
      <x:c r="E4" s="601" t="n">
        <x:v>2026</x:v>
      </x:c>
      <x:c r="F4" s="601" t="str">
        <x:v>Filiale Nord</x:v>
      </x:c>
      <x:c r="G4" s="601" t="str">
        <x:v>615000</x:v>
      </x:c>
      <x:c r="H4" s="601" t="str">
        <x:v>Maintenance</x:v>
      </x:c>
      <x:c r="I4" s="601" t="str">
        <x:v>Charge</x:v>
      </x:c>
      <x:c r="J4" s="601" t="str">
        <x:v>Prévision</x:v>
      </x:c>
      <x:c r="K4" s="602" t="n">
        <x:v>5639</x:v>
      </x:c>
      <x:c r="L4" s="602" t="n">
        <x:v>0</x:v>
      </x:c>
      <x:c r="M4" s="603" t="n">
        <x:v>-5639</x:v>
      </x:c>
      <x:c r="N4" s="603" t="n">
        <x:v>-5292.896955373082</x:v>
      </x:c>
      <x:c r="O4" s="603" t="n">
        <x:f>M4-N4</x:f>
        <x:v>-346.10304462691784</x:v>
      </x:c>
      <x:c r="P4" s="601" t="str">
        <x:v>PCG</x:v>
      </x:c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600" t="n">
        <x:v>46093</x:v>
      </x:c>
      <x:c r="B5" s="601" t="n">
        <x:v>11</x:v>
      </x:c>
      <x:c r="C5" s="601" t="str">
        <x:v>03 - March</x:v>
      </x:c>
      <x:c r="D5" s="601" t="str">
        <x:v>T1</x:v>
      </x:c>
      <x:c r="E5" s="601" t="n">
        <x:v>2026</x:v>
      </x:c>
      <x:c r="F5" s="601" t="str">
        <x:v>Groupe</x:v>
      </x:c>
      <x:c r="G5" s="601" t="str">
        <x:v>641000</x:v>
      </x:c>
      <x:c r="H5" s="601" t="str">
        <x:v>Salaires</x:v>
      </x:c>
      <x:c r="I5" s="601" t="str">
        <x:v>Charge</x:v>
      </x:c>
      <x:c r="J5" s="601" t="str">
        <x:v>Réalisé</x:v>
      </x:c>
      <x:c r="K5" s="602" t="n">
        <x:v>14630</x:v>
      </x:c>
      <x:c r="L5" s="602" t="n">
        <x:v>0</x:v>
      </x:c>
      <x:c r="M5" s="603" t="n">
        <x:v>-14630</x:v>
      </x:c>
      <x:c r="N5" s="603" t="n">
        <x:v>-15045.107041020987</x:v>
      </x:c>
      <x:c r="O5" s="603" t="n">
        <x:f>M5-N5</x:f>
        <x:v>415.1070410209868</x:v>
      </x:c>
      <x:c r="P5" s="601" t="str">
        <x:v>IFRS</x:v>
      </x:c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600" t="n">
        <x:v>46255</x:v>
      </x:c>
      <x:c r="B6" s="601" t="n">
        <x:v>34</x:v>
      </x:c>
      <x:c r="C6" s="601" t="str">
        <x:v>08 - August</x:v>
      </x:c>
      <x:c r="D6" s="601" t="str">
        <x:v>T3</x:v>
      </x:c>
      <x:c r="E6" s="601" t="n">
        <x:v>2026</x:v>
      </x:c>
      <x:c r="F6" s="601" t="str">
        <x:v>Filiale Nord</x:v>
      </x:c>
      <x:c r="G6" s="601" t="str">
        <x:v>627000</x:v>
      </x:c>
      <x:c r="H6" s="601" t="str">
        <x:v>Frais bancaires</x:v>
      </x:c>
      <x:c r="I6" s="601" t="str">
        <x:v>Charge</x:v>
      </x:c>
      <x:c r="J6" s="601" t="str">
        <x:v>Réalisé</x:v>
      </x:c>
      <x:c r="K6" s="602" t="n">
        <x:v>7799</x:v>
      </x:c>
      <x:c r="L6" s="602" t="n">
        <x:v>0</x:v>
      </x:c>
      <x:c r="M6" s="603" t="n">
        <x:v>-7799</x:v>
      </x:c>
      <x:c r="N6" s="603" t="n">
        <x:v>-8418.769744140262</x:v>
      </x:c>
      <x:c r="O6" s="603" t="n">
        <x:f>M6-N6</x:f>
        <x:v>619.7697441402615</x:v>
      </x:c>
      <x:c r="P6" s="601" t="str">
        <x:v>PCG</x:v>
      </x:c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600" t="n">
        <x:v>46271</x:v>
      </x:c>
      <x:c r="B7" s="601" t="n">
        <x:v>36</x:v>
      </x:c>
      <x:c r="C7" s="601" t="str">
        <x:v>09 - September</x:v>
      </x:c>
      <x:c r="D7" s="601" t="str">
        <x:v>T3</x:v>
      </x:c>
      <x:c r="E7" s="601" t="n">
        <x:v>2026</x:v>
      </x:c>
      <x:c r="F7" s="601" t="str">
        <x:v>Groupe</x:v>
      </x:c>
      <x:c r="G7" s="601" t="str">
        <x:v>701000</x:v>
      </x:c>
      <x:c r="H7" s="601" t="str">
        <x:v>Ventes de produits</x:v>
      </x:c>
      <x:c r="I7" s="601" t="str">
        <x:v>Produit</x:v>
      </x:c>
      <x:c r="J7" s="601" t="str">
        <x:v>Réalisé</x:v>
      </x:c>
      <x:c r="K7" s="602" t="n">
        <x:v>0</x:v>
      </x:c>
      <x:c r="L7" s="602" t="n">
        <x:v>30975</x:v>
      </x:c>
      <x:c r="M7" s="603" t="n">
        <x:v>30975</x:v>
      </x:c>
      <x:c r="N7" s="603" t="n">
        <x:v>29530.12442091481</x:v>
      </x:c>
      <x:c r="O7" s="603" t="n">
        <x:f>M7-N7</x:f>
        <x:v>1444.87557908519</x:v>
      </x:c>
      <x:c r="P7" s="601" t="str">
        <x:v>IFRS</x:v>
      </x:c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00" t="n">
        <x:v>46217</x:v>
      </x:c>
      <x:c r="B8" s="601" t="n">
        <x:v>29</x:v>
      </x:c>
      <x:c r="C8" s="601" t="str">
        <x:v>07 - July</x:v>
      </x:c>
      <x:c r="D8" s="601" t="str">
        <x:v>T3</x:v>
      </x:c>
      <x:c r="E8" s="601" t="n">
        <x:v>2026</x:v>
      </x:c>
      <x:c r="F8" s="601" t="str">
        <x:v>Filiale Sud</x:v>
      </x:c>
      <x:c r="G8" s="601" t="str">
        <x:v>706000</x:v>
      </x:c>
      <x:c r="H8" s="601" t="str">
        <x:v>Prestations de services</x:v>
      </x:c>
      <x:c r="I8" s="601" t="str">
        <x:v>Produit</x:v>
      </x:c>
      <x:c r="J8" s="601" t="str">
        <x:v>Prévision</x:v>
      </x:c>
      <x:c r="K8" s="602" t="n">
        <x:v>0</x:v>
      </x:c>
      <x:c r="L8" s="602" t="n">
        <x:v>29723</x:v>
      </x:c>
      <x:c r="M8" s="603" t="n">
        <x:v>29723</x:v>
      </x:c>
      <x:c r="N8" s="603" t="n">
        <x:v>28286.52727467731</x:v>
      </x:c>
      <x:c r="O8" s="603" t="n">
        <x:f>M8-N8</x:f>
        <x:v>1436.4727253226883</x:v>
      </x:c>
      <x:c r="P8" s="601" t="str">
        <x:v>IFRS</x:v>
      </x:c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600" t="n">
        <x:v>46340</x:v>
      </x:c>
      <x:c r="B9" s="601" t="n">
        <x:v>46</x:v>
      </x:c>
      <x:c r="C9" s="601" t="str">
        <x:v>11 - November</x:v>
      </x:c>
      <x:c r="D9" s="601" t="str">
        <x:v>T4</x:v>
      </x:c>
      <x:c r="E9" s="601" t="n">
        <x:v>2026</x:v>
      </x:c>
      <x:c r="F9" s="601" t="str">
        <x:v>Filiale Nord</x:v>
      </x:c>
      <x:c r="G9" s="601" t="str">
        <x:v>706000</x:v>
      </x:c>
      <x:c r="H9" s="601" t="str">
        <x:v>Prestations de services</x:v>
      </x:c>
      <x:c r="I9" s="601" t="str">
        <x:v>Produit</x:v>
      </x:c>
      <x:c r="J9" s="601" t="str">
        <x:v>Prévision</x:v>
      </x:c>
      <x:c r="K9" s="602" t="n">
        <x:v>0</x:v>
      </x:c>
      <x:c r="L9" s="602" t="n">
        <x:v>29654</x:v>
      </x:c>
      <x:c r="M9" s="603" t="n">
        <x:v>29654</x:v>
      </x:c>
      <x:c r="N9" s="603" t="n">
        <x:v>27032.908225557298</x:v>
      </x:c>
      <x:c r="O9" s="603" t="n">
        <x:f>M9-N9</x:f>
        <x:v>2621.0917744427024</x:v>
      </x:c>
      <x:c r="P9" s="601" t="str">
        <x:v>Management</x:v>
      </x:c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00" t="n">
        <x:v>46067</x:v>
      </x:c>
      <x:c r="B10" s="601" t="n">
        <x:v>7</x:v>
      </x:c>
      <x:c r="C10" s="601" t="str">
        <x:v>02 - February</x:v>
      </x:c>
      <x:c r="D10" s="601" t="str">
        <x:v>T1</x:v>
      </x:c>
      <x:c r="E10" s="601" t="n">
        <x:v>2026</x:v>
      </x:c>
      <x:c r="F10" s="601" t="str">
        <x:v>Filiale Nord</x:v>
      </x:c>
      <x:c r="G10" s="601" t="str">
        <x:v>641000</x:v>
      </x:c>
      <x:c r="H10" s="601" t="str">
        <x:v>Salaires</x:v>
      </x:c>
      <x:c r="I10" s="601" t="str">
        <x:v>Charge</x:v>
      </x:c>
      <x:c r="J10" s="601" t="str">
        <x:v>Clôturé</x:v>
      </x:c>
      <x:c r="K10" s="602" t="n">
        <x:v>6157</x:v>
      </x:c>
      <x:c r="L10" s="602" t="n">
        <x:v>0</x:v>
      </x:c>
      <x:c r="M10" s="603" t="n">
        <x:v>-6157</x:v>
      </x:c>
      <x:c r="N10" s="603" t="n">
        <x:v>-6288.4107246538215</x:v>
      </x:c>
      <x:c r="O10" s="603" t="n">
        <x:f>M10-N10</x:f>
        <x:v>131.4107246538215</x:v>
      </x:c>
      <x:c r="P10" s="601" t="str">
        <x:v>PCG</x:v>
      </x:c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600" t="n">
        <x:v>46273</x:v>
      </x:c>
      <x:c r="B11" s="601" t="n">
        <x:v>37</x:v>
      </x:c>
      <x:c r="C11" s="601" t="str">
        <x:v>09 - September</x:v>
      </x:c>
      <x:c r="D11" s="601" t="str">
        <x:v>T3</x:v>
      </x:c>
      <x:c r="E11" s="601" t="n">
        <x:v>2026</x:v>
      </x:c>
      <x:c r="F11" s="601" t="str">
        <x:v>Filiale Sud</x:v>
      </x:c>
      <x:c r="G11" s="601" t="str">
        <x:v>641000</x:v>
      </x:c>
      <x:c r="H11" s="601" t="str">
        <x:v>Salaires</x:v>
      </x:c>
      <x:c r="I11" s="601" t="str">
        <x:v>Charge</x:v>
      </x:c>
      <x:c r="J11" s="601" t="str">
        <x:v>Clôturé</x:v>
      </x:c>
      <x:c r="K11" s="602" t="n">
        <x:v>6356</x:v>
      </x:c>
      <x:c r="L11" s="602" t="n">
        <x:v>0</x:v>
      </x:c>
      <x:c r="M11" s="603" t="n">
        <x:v>-6356</x:v>
      </x:c>
      <x:c r="N11" s="603" t="n">
        <x:v>-6923.0115456702515</x:v>
      </x:c>
      <x:c r="O11" s="603" t="n">
        <x:f>M11-N11</x:f>
        <x:v>567.0115456702515</x:v>
      </x:c>
      <x:c r="P11" s="601" t="str">
        <x:v>IFRS</x:v>
      </x:c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600" t="n">
        <x:v>46322</x:v>
      </x:c>
      <x:c r="B12" s="601" t="n">
        <x:v>44</x:v>
      </x:c>
      <x:c r="C12" s="601" t="str">
        <x:v>10 - October</x:v>
      </x:c>
      <x:c r="D12" s="601" t="str">
        <x:v>T4</x:v>
      </x:c>
      <x:c r="E12" s="601" t="n">
        <x:v>2026</x:v>
      </x:c>
      <x:c r="F12" s="601" t="str">
        <x:v>Filiale Nord</x:v>
      </x:c>
      <x:c r="G12" s="601" t="str">
        <x:v>645000</x:v>
      </x:c>
      <x:c r="H12" s="601" t="str">
        <x:v>Charges sociales</x:v>
      </x:c>
      <x:c r="I12" s="601" t="str">
        <x:v>Charge</x:v>
      </x:c>
      <x:c r="J12" s="601" t="str">
        <x:v>Réalisé</x:v>
      </x:c>
      <x:c r="K12" s="602" t="n">
        <x:v>13188</x:v>
      </x:c>
      <x:c r="L12" s="602" t="n">
        <x:v>0</x:v>
      </x:c>
      <x:c r="M12" s="603" t="n">
        <x:v>-13188</x:v>
      </x:c>
      <x:c r="N12" s="603" t="n">
        <x:v>-14124.45237852942</x:v>
      </x:c>
      <x:c r="O12" s="603" t="n">
        <x:f>M12-N12</x:f>
        <x:v>936.4523785294205</x:v>
      </x:c>
      <x:c r="P12" s="601" t="str">
        <x:v>PCG</x:v>
      </x:c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600" t="n">
        <x:v>46104</x:v>
      </x:c>
      <x:c r="B13" s="601" t="n">
        <x:v>13</x:v>
      </x:c>
      <x:c r="C13" s="601" t="str">
        <x:v>03 - March</x:v>
      </x:c>
      <x:c r="D13" s="601" t="str">
        <x:v>T1</x:v>
      </x:c>
      <x:c r="E13" s="601" t="n">
        <x:v>2026</x:v>
      </x:c>
      <x:c r="F13" s="601" t="str">
        <x:v>Filiale Sud</x:v>
      </x:c>
      <x:c r="G13" s="601" t="str">
        <x:v>706000</x:v>
      </x:c>
      <x:c r="H13" s="601" t="str">
        <x:v>Prestations de services</x:v>
      </x:c>
      <x:c r="I13" s="601" t="str">
        <x:v>Produit</x:v>
      </x:c>
      <x:c r="J13" s="601" t="str">
        <x:v>Clôturé</x:v>
      </x:c>
      <x:c r="K13" s="602" t="n">
        <x:v>0</x:v>
      </x:c>
      <x:c r="L13" s="602" t="n">
        <x:v>25426</x:v>
      </x:c>
      <x:c r="M13" s="603" t="n">
        <x:v>25426</x:v>
      </x:c>
      <x:c r="N13" s="603" t="n">
        <x:v>26393.10973154655</x:v>
      </x:c>
      <x:c r="O13" s="603" t="n">
        <x:f>M13-N13</x:f>
        <x:v>-967.1097315465486</x:v>
      </x:c>
      <x:c r="P13" s="601" t="str">
        <x:v>IFRS</x:v>
      </x:c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600" t="n">
        <x:v>46352</x:v>
      </x:c>
      <x:c r="B14" s="601" t="n">
        <x:v>48</x:v>
      </x:c>
      <x:c r="C14" s="601" t="str">
        <x:v>11 - November</x:v>
      </x:c>
      <x:c r="D14" s="601" t="str">
        <x:v>T4</x:v>
      </x:c>
      <x:c r="E14" s="601" t="n">
        <x:v>2026</x:v>
      </x:c>
      <x:c r="F14" s="601" t="str">
        <x:v>Filiale Nord</x:v>
      </x:c>
      <x:c r="G14" s="601" t="str">
        <x:v>641000</x:v>
      </x:c>
      <x:c r="H14" s="601" t="str">
        <x:v>Salaires</x:v>
      </x:c>
      <x:c r="I14" s="601" t="str">
        <x:v>Charge</x:v>
      </x:c>
      <x:c r="J14" s="601" t="str">
        <x:v>Clôturé</x:v>
      </x:c>
      <x:c r="K14" s="602" t="n">
        <x:v>11618</x:v>
      </x:c>
      <x:c r="L14" s="602" t="n">
        <x:v>0</x:v>
      </x:c>
      <x:c r="M14" s="603" t="n">
        <x:v>-11618</x:v>
      </x:c>
      <x:c r="N14" s="603" t="n">
        <x:v>-10805.111469908024</x:v>
      </x:c>
      <x:c r="O14" s="603" t="n">
        <x:f>M14-N14</x:f>
        <x:v>-812.8885300919756</x:v>
      </x:c>
      <x:c r="P14" s="601" t="str">
        <x:v>IFRS</x:v>
      </x:c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600" t="n">
        <x:v>46284</x:v>
      </x:c>
      <x:c r="B15" s="601" t="n">
        <x:v>38</x:v>
      </x:c>
      <x:c r="C15" s="601" t="str">
        <x:v>09 - September</x:v>
      </x:c>
      <x:c r="D15" s="601" t="str">
        <x:v>T3</x:v>
      </x:c>
      <x:c r="E15" s="601" t="n">
        <x:v>2026</x:v>
      </x:c>
      <x:c r="F15" s="601" t="str">
        <x:v>Filiale Sud</x:v>
      </x:c>
      <x:c r="G15" s="601" t="str">
        <x:v>706000</x:v>
      </x:c>
      <x:c r="H15" s="601" t="str">
        <x:v>Prestations de services</x:v>
      </x:c>
      <x:c r="I15" s="601" t="str">
        <x:v>Produit</x:v>
      </x:c>
      <x:c r="J15" s="601" t="str">
        <x:v>Clôturé</x:v>
      </x:c>
      <x:c r="K15" s="602" t="n">
        <x:v>0</x:v>
      </x:c>
      <x:c r="L15" s="602" t="n">
        <x:v>24627</x:v>
      </x:c>
      <x:c r="M15" s="603" t="n">
        <x:v>24627</x:v>
      </x:c>
      <x:c r="N15" s="603" t="n">
        <x:v>26661.5100165051</x:v>
      </x:c>
      <x:c r="O15" s="603" t="n">
        <x:f>M15-N15</x:f>
        <x:v>-2034.5100165051008</x:v>
      </x:c>
      <x:c r="P15" s="601" t="str">
        <x:v>PCG</x:v>
      </x:c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600" t="n">
        <x:v>46199</x:v>
      </x:c>
      <x:c r="B16" s="601" t="n">
        <x:v>26</x:v>
      </x:c>
      <x:c r="C16" s="601" t="str">
        <x:v>06 - June</x:v>
      </x:c>
      <x:c r="D16" s="601" t="str">
        <x:v>T2</x:v>
      </x:c>
      <x:c r="E16" s="601" t="n">
        <x:v>2026</x:v>
      </x:c>
      <x:c r="F16" s="601" t="str">
        <x:v>Groupe</x:v>
      </x:c>
      <x:c r="G16" s="601" t="str">
        <x:v>701000</x:v>
      </x:c>
      <x:c r="H16" s="601" t="str">
        <x:v>Ventes de produits</x:v>
      </x:c>
      <x:c r="I16" s="601" t="str">
        <x:v>Produit</x:v>
      </x:c>
      <x:c r="J16" s="601" t="str">
        <x:v>Réalisé</x:v>
      </x:c>
      <x:c r="K16" s="602" t="n">
        <x:v>0</x:v>
      </x:c>
      <x:c r="L16" s="602" t="n">
        <x:v>17689</x:v>
      </x:c>
      <x:c r="M16" s="603" t="n">
        <x:v>17689</x:v>
      </x:c>
      <x:c r="N16" s="603" t="n">
        <x:v>17134.383612885907</x:v>
      </x:c>
      <x:c r="O16" s="603" t="n">
        <x:f>M16-N16</x:f>
        <x:v>554.6163871140925</x:v>
      </x:c>
      <x:c r="P16" s="601" t="str">
        <x:v>PCG</x:v>
      </x:c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600" t="n">
        <x:v>46239</x:v>
      </x:c>
      <x:c r="B17" s="601" t="n">
        <x:v>32</x:v>
      </x:c>
      <x:c r="C17" s="601" t="str">
        <x:v>08 - August</x:v>
      </x:c>
      <x:c r="D17" s="601" t="str">
        <x:v>T3</x:v>
      </x:c>
      <x:c r="E17" s="601" t="n">
        <x:v>2026</x:v>
      </x:c>
      <x:c r="F17" s="601" t="str">
        <x:v>Filiale Nord</x:v>
      </x:c>
      <x:c r="G17" s="601" t="str">
        <x:v>615000</x:v>
      </x:c>
      <x:c r="H17" s="601" t="str">
        <x:v>Maintenance</x:v>
      </x:c>
      <x:c r="I17" s="601" t="str">
        <x:v>Charge</x:v>
      </x:c>
      <x:c r="J17" s="601" t="str">
        <x:v>Réalisé</x:v>
      </x:c>
      <x:c r="K17" s="602" t="n">
        <x:v>11276</x:v>
      </x:c>
      <x:c r="L17" s="602" t="n">
        <x:v>0</x:v>
      </x:c>
      <x:c r="M17" s="603" t="n">
        <x:v>-11276</x:v>
      </x:c>
      <x:c r="N17" s="603" t="n">
        <x:v>-12029.949909493393</x:v>
      </x:c>
      <x:c r="O17" s="603" t="n">
        <x:f>M17-N17</x:f>
        <x:v>753.9499094933926</x:v>
      </x:c>
      <x:c r="P17" s="601" t="str">
        <x:v>PCG</x:v>
      </x:c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600" t="n">
        <x:v>46359</x:v>
      </x:c>
      <x:c r="B18" s="601" t="n">
        <x:v>49</x:v>
      </x:c>
      <x:c r="C18" s="601" t="str">
        <x:v>12 - December</x:v>
      </x:c>
      <x:c r="D18" s="601" t="str">
        <x:v>T4</x:v>
      </x:c>
      <x:c r="E18" s="601" t="n">
        <x:v>2026</x:v>
      </x:c>
      <x:c r="F18" s="601" t="str">
        <x:v>Filiale Nord</x:v>
      </x:c>
      <x:c r="G18" s="601" t="str">
        <x:v>706000</x:v>
      </x:c>
      <x:c r="H18" s="601" t="str">
        <x:v>Prestations de services</x:v>
      </x:c>
      <x:c r="I18" s="601" t="str">
        <x:v>Produit</x:v>
      </x:c>
      <x:c r="J18" s="601" t="str">
        <x:v>Prévision</x:v>
      </x:c>
      <x:c r="K18" s="602" t="n">
        <x:v>0</x:v>
      </x:c>
      <x:c r="L18" s="602" t="n">
        <x:v>13445</x:v>
      </x:c>
      <x:c r="M18" s="603" t="n">
        <x:v>13445</x:v>
      </x:c>
      <x:c r="N18" s="603" t="n">
        <x:v>14608.110389726371</x:v>
      </x:c>
      <x:c r="O18" s="603" t="n">
        <x:f>M18-N18</x:f>
        <x:v>-1163.110389726371</x:v>
      </x:c>
      <x:c r="P18" s="601" t="str">
        <x:v>PCG</x:v>
      </x:c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600" t="n">
        <x:v>46105</x:v>
      </x:c>
      <x:c r="B19" s="601" t="n">
        <x:v>13</x:v>
      </x:c>
      <x:c r="C19" s="601" t="str">
        <x:v>03 - March</x:v>
      </x:c>
      <x:c r="D19" s="601" t="str">
        <x:v>T1</x:v>
      </x:c>
      <x:c r="E19" s="601" t="n">
        <x:v>2026</x:v>
      </x:c>
      <x:c r="F19" s="601" t="str">
        <x:v>Filiale Nord</x:v>
      </x:c>
      <x:c r="G19" s="601" t="str">
        <x:v>706000</x:v>
      </x:c>
      <x:c r="H19" s="601" t="str">
        <x:v>Prestations de services</x:v>
      </x:c>
      <x:c r="I19" s="601" t="str">
        <x:v>Produit</x:v>
      </x:c>
      <x:c r="J19" s="601" t="str">
        <x:v>Réalisé</x:v>
      </x:c>
      <x:c r="K19" s="602" t="n">
        <x:v>0</x:v>
      </x:c>
      <x:c r="L19" s="602" t="n">
        <x:v>8433</x:v>
      </x:c>
      <x:c r="M19" s="603" t="n">
        <x:v>8433</x:v>
      </x:c>
      <x:c r="N19" s="603" t="n">
        <x:v>8932.938426216433</x:v>
      </x:c>
      <x:c r="O19" s="603" t="n">
        <x:f>M19-N19</x:f>
        <x:v>-499.9384262164331</x:v>
      </x:c>
      <x:c r="P19" s="601" t="str">
        <x:v>IFRS</x:v>
      </x:c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600" t="n">
        <x:v>46110</x:v>
      </x:c>
      <x:c r="B20" s="601" t="n">
        <x:v>13</x:v>
      </x:c>
      <x:c r="C20" s="601" t="str">
        <x:v>03 - March</x:v>
      </x:c>
      <x:c r="D20" s="601" t="str">
        <x:v>T1</x:v>
      </x:c>
      <x:c r="E20" s="601" t="n">
        <x:v>2026</x:v>
      </x:c>
      <x:c r="F20" s="601" t="str">
        <x:v>Filiale Sud</x:v>
      </x:c>
      <x:c r="G20" s="601" t="str">
        <x:v>615000</x:v>
      </x:c>
      <x:c r="H20" s="601" t="str">
        <x:v>Maintenance</x:v>
      </x:c>
      <x:c r="I20" s="601" t="str">
        <x:v>Charge</x:v>
      </x:c>
      <x:c r="J20" s="601" t="str">
        <x:v>Clôturé</x:v>
      </x:c>
      <x:c r="K20" s="602" t="n">
        <x:v>9092</x:v>
      </x:c>
      <x:c r="L20" s="602" t="n">
        <x:v>0</x:v>
      </x:c>
      <x:c r="M20" s="603" t="n">
        <x:v>-9092</x:v>
      </x:c>
      <x:c r="N20" s="603" t="n">
        <x:v>-8435.627430046556</x:v>
      </x:c>
      <x:c r="O20" s="603" t="n">
        <x:f>M20-N20</x:f>
        <x:v>-656.3725699534443</x:v>
      </x:c>
      <x:c r="P20" s="601" t="str">
        <x:v>IFRS</x:v>
      </x:c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600" t="n">
        <x:v>46231</x:v>
      </x:c>
      <x:c r="B21" s="601" t="n">
        <x:v>31</x:v>
      </x:c>
      <x:c r="C21" s="601" t="str">
        <x:v>07 - July</x:v>
      </x:c>
      <x:c r="D21" s="601" t="str">
        <x:v>T3</x:v>
      </x:c>
      <x:c r="E21" s="601" t="n">
        <x:v>2026</x:v>
      </x:c>
      <x:c r="F21" s="601" t="str">
        <x:v>Filiale Nord</x:v>
      </x:c>
      <x:c r="G21" s="601" t="str">
        <x:v>706000</x:v>
      </x:c>
      <x:c r="H21" s="601" t="str">
        <x:v>Prestations de services</x:v>
      </x:c>
      <x:c r="I21" s="601" t="str">
        <x:v>Produit</x:v>
      </x:c>
      <x:c r="J21" s="601" t="str">
        <x:v>Clôturé</x:v>
      </x:c>
      <x:c r="K21" s="602" t="n">
        <x:v>0</x:v>
      </x:c>
      <x:c r="L21" s="602" t="n">
        <x:v>27284</x:v>
      </x:c>
      <x:c r="M21" s="603" t="n">
        <x:v>27284</x:v>
      </x:c>
      <x:c r="N21" s="603" t="n">
        <x:v>24937.44213207677</x:v>
      </x:c>
      <x:c r="O21" s="603" t="n">
        <x:f>M21-N21</x:f>
        <x:v>2346.5578679232312</x:v>
      </x:c>
      <x:c r="P21" s="601" t="str">
        <x:v>PCG</x:v>
      </x:c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600" t="n">
        <x:v>46040</x:v>
      </x:c>
      <x:c r="B22" s="601" t="n">
        <x:v>3</x:v>
      </x:c>
      <x:c r="C22" s="601" t="str">
        <x:v>01 - January</x:v>
      </x:c>
      <x:c r="D22" s="601" t="str">
        <x:v>T1</x:v>
      </x:c>
      <x:c r="E22" s="601" t="n">
        <x:v>2026</x:v>
      </x:c>
      <x:c r="F22" s="601" t="str">
        <x:v>Groupe</x:v>
      </x:c>
      <x:c r="G22" s="601" t="str">
        <x:v>706000</x:v>
      </x:c>
      <x:c r="H22" s="601" t="str">
        <x:v>Prestations de services</x:v>
      </x:c>
      <x:c r="I22" s="601" t="str">
        <x:v>Produit</x:v>
      </x:c>
      <x:c r="J22" s="601" t="str">
        <x:v>Prévision</x:v>
      </x:c>
      <x:c r="K22" s="602" t="n">
        <x:v>0</x:v>
      </x:c>
      <x:c r="L22" s="602" t="n">
        <x:v>25070</x:v>
      </x:c>
      <x:c r="M22" s="603" t="n">
        <x:v>25070</x:v>
      </x:c>
      <x:c r="N22" s="603" t="n">
        <x:v>25206.802157907652</x:v>
      </x:c>
      <x:c r="O22" s="603" t="n">
        <x:f>M22-N22</x:f>
        <x:v>-136.80215790765214</x:v>
      </x:c>
      <x:c r="P22" s="601" t="str">
        <x:v>Management</x:v>
      </x:c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600" t="n">
        <x:v>46272</x:v>
      </x:c>
      <x:c r="B23" s="601" t="n">
        <x:v>37</x:v>
      </x:c>
      <x:c r="C23" s="601" t="str">
        <x:v>09 - September</x:v>
      </x:c>
      <x:c r="D23" s="601" t="str">
        <x:v>T3</x:v>
      </x:c>
      <x:c r="E23" s="601" t="n">
        <x:v>2026</x:v>
      </x:c>
      <x:c r="F23" s="601" t="str">
        <x:v>Filiale Sud</x:v>
      </x:c>
      <x:c r="G23" s="601" t="str">
        <x:v>607000</x:v>
      </x:c>
      <x:c r="H23" s="601" t="str">
        <x:v>Achats de marchandises</x:v>
      </x:c>
      <x:c r="I23" s="601" t="str">
        <x:v>Charge</x:v>
      </x:c>
      <x:c r="J23" s="601" t="str">
        <x:v>Prévision</x:v>
      </x:c>
      <x:c r="K23" s="602" t="n">
        <x:v>3563</x:v>
      </x:c>
      <x:c r="L23" s="602" t="n">
        <x:v>0</x:v>
      </x:c>
      <x:c r="M23" s="603" t="n">
        <x:v>-3563</x:v>
      </x:c>
      <x:c r="N23" s="603" t="n">
        <x:v>-3341.8658584689574</x:v>
      </x:c>
      <x:c r="O23" s="603" t="n">
        <x:f>M23-N23</x:f>
        <x:v>-221.1341415310426</x:v>
      </x:c>
      <x:c r="P23" s="601" t="str">
        <x:v>IFRS</x:v>
      </x:c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600" t="n">
        <x:v>46220</x:v>
      </x:c>
      <x:c r="B24" s="601" t="n">
        <x:v>29</x:v>
      </x:c>
      <x:c r="C24" s="601" t="str">
        <x:v>07 - July</x:v>
      </x:c>
      <x:c r="D24" s="601" t="str">
        <x:v>T3</x:v>
      </x:c>
      <x:c r="E24" s="601" t="n">
        <x:v>2026</x:v>
      </x:c>
      <x:c r="F24" s="601" t="str">
        <x:v>Filiale Sud</x:v>
      </x:c>
      <x:c r="G24" s="601" t="str">
        <x:v>706000</x:v>
      </x:c>
      <x:c r="H24" s="601" t="str">
        <x:v>Prestations de services</x:v>
      </x:c>
      <x:c r="I24" s="601" t="str">
        <x:v>Produit</x:v>
      </x:c>
      <x:c r="J24" s="601" t="str">
        <x:v>Réalisé</x:v>
      </x:c>
      <x:c r="K24" s="602" t="n">
        <x:v>0</x:v>
      </x:c>
      <x:c r="L24" s="602" t="n">
        <x:v>17811</x:v>
      </x:c>
      <x:c r="M24" s="603" t="n">
        <x:v>17811</x:v>
      </x:c>
      <x:c r="N24" s="603" t="n">
        <x:v>17281.81474906551</x:v>
      </x:c>
      <x:c r="O24" s="603" t="n">
        <x:f>M24-N24</x:f>
        <x:v>529.1852509344899</x:v>
      </x:c>
      <x:c r="P24" s="601" t="str">
        <x:v>PCG</x:v>
      </x:c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600" t="n">
        <x:v>46353</x:v>
      </x:c>
      <x:c r="B25" s="601" t="n">
        <x:v>48</x:v>
      </x:c>
      <x:c r="C25" s="601" t="str">
        <x:v>11 - November</x:v>
      </x:c>
      <x:c r="D25" s="601" t="str">
        <x:v>T4</x:v>
      </x:c>
      <x:c r="E25" s="601" t="n">
        <x:v>2026</x:v>
      </x:c>
      <x:c r="F25" s="601" t="str">
        <x:v>Filiale Nord</x:v>
      </x:c>
      <x:c r="G25" s="601" t="str">
        <x:v>641000</x:v>
      </x:c>
      <x:c r="H25" s="601" t="str">
        <x:v>Salaires</x:v>
      </x:c>
      <x:c r="I25" s="601" t="str">
        <x:v>Charge</x:v>
      </x:c>
      <x:c r="J25" s="601" t="str">
        <x:v>Prévision</x:v>
      </x:c>
      <x:c r="K25" s="602" t="n">
        <x:v>3487</x:v>
      </x:c>
      <x:c r="L25" s="602" t="n">
        <x:v>0</x:v>
      </x:c>
      <x:c r="M25" s="603" t="n">
        <x:v>-3487</x:v>
      </x:c>
      <x:c r="N25" s="603" t="n">
        <x:v>-3748.649962650816</x:v>
      </x:c>
      <x:c r="O25" s="603" t="n">
        <x:f>M25-N25</x:f>
        <x:v>261.6499626508162</x:v>
      </x:c>
      <x:c r="P25" s="601" t="str">
        <x:v>Management</x:v>
      </x:c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600" t="n">
        <x:v>46111</x:v>
      </x:c>
      <x:c r="B26" s="601" t="n">
        <x:v>14</x:v>
      </x:c>
      <x:c r="C26" s="601" t="str">
        <x:v>03 - March</x:v>
      </x:c>
      <x:c r="D26" s="601" t="str">
        <x:v>T1</x:v>
      </x:c>
      <x:c r="E26" s="601" t="n">
        <x:v>2026</x:v>
      </x:c>
      <x:c r="F26" s="601" t="str">
        <x:v>Groupe</x:v>
      </x:c>
      <x:c r="G26" s="601" t="str">
        <x:v>613000</x:v>
      </x:c>
      <x:c r="H26" s="601" t="str">
        <x:v>Loyers</x:v>
      </x:c>
      <x:c r="I26" s="601" t="str">
        <x:v>Charge</x:v>
      </x:c>
      <x:c r="J26" s="601" t="str">
        <x:v>Prévision</x:v>
      </x:c>
      <x:c r="K26" s="602" t="n">
        <x:v>15624</x:v>
      </x:c>
      <x:c r="L26" s="602" t="n">
        <x:v>0</x:v>
      </x:c>
      <x:c r="M26" s="603" t="n">
        <x:v>-15624</x:v>
      </x:c>
      <x:c r="N26" s="603" t="n">
        <x:v>-15441.27379902861</x:v>
      </x:c>
      <x:c r="O26" s="603" t="n">
        <x:f>M26-N26</x:f>
        <x:v>-182.72620097139043</x:v>
      </x:c>
      <x:c r="P26" s="601" t="str">
        <x:v>PCG</x:v>
      </x:c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600" t="n">
        <x:v>46332</x:v>
      </x:c>
      <x:c r="B27" s="601" t="n">
        <x:v>45</x:v>
      </x:c>
      <x:c r="C27" s="601" t="str">
        <x:v>11 - November</x:v>
      </x:c>
      <x:c r="D27" s="601" t="str">
        <x:v>T4</x:v>
      </x:c>
      <x:c r="E27" s="601" t="n">
        <x:v>2026</x:v>
      </x:c>
      <x:c r="F27" s="601" t="str">
        <x:v>Groupe</x:v>
      </x:c>
      <x:c r="G27" s="601" t="str">
        <x:v>627000</x:v>
      </x:c>
      <x:c r="H27" s="601" t="str">
        <x:v>Frais bancaires</x:v>
      </x:c>
      <x:c r="I27" s="601" t="str">
        <x:v>Charge</x:v>
      </x:c>
      <x:c r="J27" s="601" t="str">
        <x:v>Réalisé</x:v>
      </x:c>
      <x:c r="K27" s="602" t="n">
        <x:v>17005</x:v>
      </x:c>
      <x:c r="L27" s="602" t="n">
        <x:v>0</x:v>
      </x:c>
      <x:c r="M27" s="603" t="n">
        <x:v>-17005</x:v>
      </x:c>
      <x:c r="N27" s="603" t="n">
        <x:v>-17992.005814280517</x:v>
      </x:c>
      <x:c r="O27" s="603" t="n">
        <x:f>M27-N27</x:f>
        <x:v>987.0058142805174</x:v>
      </x:c>
      <x:c r="P27" s="601" t="str">
        <x:v>PCG</x:v>
      </x:c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600" t="n">
        <x:v>46078</x:v>
      </x:c>
      <x:c r="B28" s="601" t="n">
        <x:v>9</x:v>
      </x:c>
      <x:c r="C28" s="601" t="str">
        <x:v>02 - February</x:v>
      </x:c>
      <x:c r="D28" s="601" t="str">
        <x:v>T1</x:v>
      </x:c>
      <x:c r="E28" s="601" t="n">
        <x:v>2026</x:v>
      </x:c>
      <x:c r="F28" s="601" t="str">
        <x:v>Filiale Sud</x:v>
      </x:c>
      <x:c r="G28" s="601" t="str">
        <x:v>627000</x:v>
      </x:c>
      <x:c r="H28" s="601" t="str">
        <x:v>Frais bancaires</x:v>
      </x:c>
      <x:c r="I28" s="601" t="str">
        <x:v>Charge</x:v>
      </x:c>
      <x:c r="J28" s="601" t="str">
        <x:v>Clôturé</x:v>
      </x:c>
      <x:c r="K28" s="602" t="n">
        <x:v>5643</x:v>
      </x:c>
      <x:c r="L28" s="602" t="n">
        <x:v>0</x:v>
      </x:c>
      <x:c r="M28" s="603" t="n">
        <x:v>-5643</x:v>
      </x:c>
      <x:c r="N28" s="603" t="n">
        <x:v>-5890.554288065443</x:v>
      </x:c>
      <x:c r="O28" s="603" t="n">
        <x:f>M28-N28</x:f>
        <x:v>247.55428806544296</x:v>
      </x:c>
      <x:c r="P28" s="601" t="str">
        <x:v>Management</x:v>
      </x:c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600" t="n">
        <x:v>46069</x:v>
      </x:c>
      <x:c r="B29" s="601" t="n">
        <x:v>8</x:v>
      </x:c>
      <x:c r="C29" s="601" t="str">
        <x:v>02 - February</x:v>
      </x:c>
      <x:c r="D29" s="601" t="str">
        <x:v>T1</x:v>
      </x:c>
      <x:c r="E29" s="601" t="n">
        <x:v>2026</x:v>
      </x:c>
      <x:c r="F29" s="601" t="str">
        <x:v>Filiale Sud</x:v>
      </x:c>
      <x:c r="G29" s="601" t="str">
        <x:v>627000</x:v>
      </x:c>
      <x:c r="H29" s="601" t="str">
        <x:v>Frais bancaires</x:v>
      </x:c>
      <x:c r="I29" s="601" t="str">
        <x:v>Charge</x:v>
      </x:c>
      <x:c r="J29" s="601" t="str">
        <x:v>Réalisé</x:v>
      </x:c>
      <x:c r="K29" s="602" t="n">
        <x:v>14402</x:v>
      </x:c>
      <x:c r="L29" s="602" t="n">
        <x:v>0</x:v>
      </x:c>
      <x:c r="M29" s="603" t="n">
        <x:v>-14402</x:v>
      </x:c>
      <x:c r="N29" s="603" t="n">
        <x:v>-15313.535379070576</x:v>
      </x:c>
      <x:c r="O29" s="603" t="n">
        <x:f>M29-N29</x:f>
        <x:v>911.5353790705758</x:v>
      </x:c>
      <x:c r="P29" s="601" t="str">
        <x:v>PCG</x:v>
      </x:c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600" t="n">
        <x:v>46049</x:v>
      </x:c>
      <x:c r="B30" s="601" t="n">
        <x:v>5</x:v>
      </x:c>
      <x:c r="C30" s="601" t="str">
        <x:v>01 - January</x:v>
      </x:c>
      <x:c r="D30" s="601" t="str">
        <x:v>T1</x:v>
      </x:c>
      <x:c r="E30" s="601" t="n">
        <x:v>2026</x:v>
      </x:c>
      <x:c r="F30" s="601" t="str">
        <x:v>Groupe</x:v>
      </x:c>
      <x:c r="G30" s="601" t="str">
        <x:v>701000</x:v>
      </x:c>
      <x:c r="H30" s="601" t="str">
        <x:v>Ventes de produits</x:v>
      </x:c>
      <x:c r="I30" s="601" t="str">
        <x:v>Produit</x:v>
      </x:c>
      <x:c r="J30" s="601" t="str">
        <x:v>Prévision</x:v>
      </x:c>
      <x:c r="K30" s="602" t="n">
        <x:v>0</x:v>
      </x:c>
      <x:c r="L30" s="602" t="n">
        <x:v>22621</x:v>
      </x:c>
      <x:c r="M30" s="603" t="n">
        <x:v>22621</x:v>
      </x:c>
      <x:c r="N30" s="603" t="n">
        <x:v>20862.875291507255</x:v>
      </x:c>
      <x:c r="O30" s="603" t="n">
        <x:f>M30-N30</x:f>
        <x:v>1758.1247084927454</x:v>
      </x:c>
      <x:c r="P30" s="601" t="str">
        <x:v>Management</x:v>
      </x:c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600" t="n">
        <x:v>46025</x:v>
      </x:c>
      <x:c r="B31" s="601" t="n">
        <x:v>1</x:v>
      </x:c>
      <x:c r="C31" s="601" t="str">
        <x:v>01 - January</x:v>
      </x:c>
      <x:c r="D31" s="601" t="str">
        <x:v>T1</x:v>
      </x:c>
      <x:c r="E31" s="601" t="n">
        <x:v>2026</x:v>
      </x:c>
      <x:c r="F31" s="601" t="str">
        <x:v>Filiale Sud</x:v>
      </x:c>
      <x:c r="G31" s="601" t="str">
        <x:v>701000</x:v>
      </x:c>
      <x:c r="H31" s="601" t="str">
        <x:v>Ventes de produits</x:v>
      </x:c>
      <x:c r="I31" s="601" t="str">
        <x:v>Produit</x:v>
      </x:c>
      <x:c r="J31" s="601" t="str">
        <x:v>Réalisé</x:v>
      </x:c>
      <x:c r="K31" s="602" t="n">
        <x:v>0</x:v>
      </x:c>
      <x:c r="L31" s="602" t="n">
        <x:v>29469</x:v>
      </x:c>
      <x:c r="M31" s="603" t="n">
        <x:v>29469</x:v>
      </x:c>
      <x:c r="N31" s="603" t="n">
        <x:v>28668.021516948356</x:v>
      </x:c>
      <x:c r="O31" s="603" t="n">
        <x:f>M31-N31</x:f>
        <x:v>800.9784830516437</x:v>
      </x:c>
      <x:c r="P31" s="601" t="str">
        <x:v>Management</x:v>
      </x:c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600" t="n">
        <x:v>46070</x:v>
      </x:c>
      <x:c r="B32" s="601" t="n">
        <x:v>8</x:v>
      </x:c>
      <x:c r="C32" s="601" t="str">
        <x:v>02 - February</x:v>
      </x:c>
      <x:c r="D32" s="601" t="str">
        <x:v>T1</x:v>
      </x:c>
      <x:c r="E32" s="601" t="n">
        <x:v>2026</x:v>
      </x:c>
      <x:c r="F32" s="601" t="str">
        <x:v>Filiale Sud</x:v>
      </x:c>
      <x:c r="G32" s="601" t="str">
        <x:v>641000</x:v>
      </x:c>
      <x:c r="H32" s="601" t="str">
        <x:v>Salaires</x:v>
      </x:c>
      <x:c r="I32" s="601" t="str">
        <x:v>Charge</x:v>
      </x:c>
      <x:c r="J32" s="601" t="str">
        <x:v>Clôturé</x:v>
      </x:c>
      <x:c r="K32" s="602" t="n">
        <x:v>17934</x:v>
      </x:c>
      <x:c r="L32" s="602" t="n">
        <x:v>0</x:v>
      </x:c>
      <x:c r="M32" s="603" t="n">
        <x:v>-17934</x:v>
      </x:c>
      <x:c r="N32" s="603" t="n">
        <x:v>-16963.535263992202</x:v>
      </x:c>
      <x:c r="O32" s="603" t="n">
        <x:f>M32-N32</x:f>
        <x:v>-970.4647360077979</x:v>
      </x:c>
      <x:c r="P32" s="601" t="str">
        <x:v>IFRS</x:v>
      </x:c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600" t="n">
        <x:v>46289</x:v>
      </x:c>
      <x:c r="B33" s="601" t="n">
        <x:v>39</x:v>
      </x:c>
      <x:c r="C33" s="601" t="str">
        <x:v>09 - September</x:v>
      </x:c>
      <x:c r="D33" s="601" t="str">
        <x:v>T3</x:v>
      </x:c>
      <x:c r="E33" s="601" t="n">
        <x:v>2026</x:v>
      </x:c>
      <x:c r="F33" s="601" t="str">
        <x:v>Filiale Sud</x:v>
      </x:c>
      <x:c r="G33" s="601" t="str">
        <x:v>641000</x:v>
      </x:c>
      <x:c r="H33" s="601" t="str">
        <x:v>Salaires</x:v>
      </x:c>
      <x:c r="I33" s="601" t="str">
        <x:v>Charge</x:v>
      </x:c>
      <x:c r="J33" s="601" t="str">
        <x:v>Réalisé</x:v>
      </x:c>
      <x:c r="K33" s="602" t="n">
        <x:v>1719</x:v>
      </x:c>
      <x:c r="L33" s="602" t="n">
        <x:v>0</x:v>
      </x:c>
      <x:c r="M33" s="603" t="n">
        <x:v>-1719</x:v>
      </x:c>
      <x:c r="N33" s="603" t="n">
        <x:v>-1646.6500653207856</x:v>
      </x:c>
      <x:c r="O33" s="603" t="n">
        <x:f>M33-N33</x:f>
        <x:v>-72.34993467921436</x:v>
      </x:c>
      <x:c r="P33" s="601" t="str">
        <x:v>PCG</x:v>
      </x:c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600" t="n">
        <x:v>46187</x:v>
      </x:c>
      <x:c r="B34" s="601" t="n">
        <x:v>24</x:v>
      </x:c>
      <x:c r="C34" s="601" t="str">
        <x:v>06 - June</x:v>
      </x:c>
      <x:c r="D34" s="601" t="str">
        <x:v>T2</x:v>
      </x:c>
      <x:c r="E34" s="601" t="n">
        <x:v>2026</x:v>
      </x:c>
      <x:c r="F34" s="601" t="str">
        <x:v>Filiale Nord</x:v>
      </x:c>
      <x:c r="G34" s="601" t="str">
        <x:v>641000</x:v>
      </x:c>
      <x:c r="H34" s="601" t="str">
        <x:v>Salaires</x:v>
      </x:c>
      <x:c r="I34" s="601" t="str">
        <x:v>Charge</x:v>
      </x:c>
      <x:c r="J34" s="601" t="str">
        <x:v>Réalisé</x:v>
      </x:c>
      <x:c r="K34" s="602" t="n">
        <x:v>11213</x:v>
      </x:c>
      <x:c r="L34" s="602" t="n">
        <x:v>0</x:v>
      </x:c>
      <x:c r="M34" s="603" t="n">
        <x:v>-11213</x:v>
      </x:c>
      <x:c r="N34" s="603" t="n">
        <x:v>-10270.258953965169</x:v>
      </x:c>
      <x:c r="O34" s="603" t="n">
        <x:f>M34-N34</x:f>
        <x:v>-942.741046034831</x:v>
      </x:c>
      <x:c r="P34" s="601" t="str">
        <x:v>Management</x:v>
      </x:c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600" t="n">
        <x:v>46212</x:v>
      </x:c>
      <x:c r="B35" s="601" t="n">
        <x:v>28</x:v>
      </x:c>
      <x:c r="C35" s="601" t="str">
        <x:v>07 - July</x:v>
      </x:c>
      <x:c r="D35" s="601" t="str">
        <x:v>T3</x:v>
      </x:c>
      <x:c r="E35" s="601" t="n">
        <x:v>2026</x:v>
      </x:c>
      <x:c r="F35" s="601" t="str">
        <x:v>Filiale Sud</x:v>
      </x:c>
      <x:c r="G35" s="601" t="str">
        <x:v>613000</x:v>
      </x:c>
      <x:c r="H35" s="601" t="str">
        <x:v>Loyers</x:v>
      </x:c>
      <x:c r="I35" s="601" t="str">
        <x:v>Charge</x:v>
      </x:c>
      <x:c r="J35" s="601" t="str">
        <x:v>Réalisé</x:v>
      </x:c>
      <x:c r="K35" s="602" t="n">
        <x:v>11401</x:v>
      </x:c>
      <x:c r="L35" s="602" t="n">
        <x:v>0</x:v>
      </x:c>
      <x:c r="M35" s="603" t="n">
        <x:v>-11401</x:v>
      </x:c>
      <x:c r="N35" s="603" t="n">
        <x:v>-11686.280729748509</x:v>
      </x:c>
      <x:c r="O35" s="603" t="n">
        <x:f>M35-N35</x:f>
        <x:v>285.28072974850875</x:v>
      </x:c>
      <x:c r="P35" s="601" t="str">
        <x:v>IFRS</x:v>
      </x:c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600" t="n">
        <x:v>46356</x:v>
      </x:c>
      <x:c r="B36" s="601" t="n">
        <x:v>49</x:v>
      </x:c>
      <x:c r="C36" s="601" t="str">
        <x:v>11 - November</x:v>
      </x:c>
      <x:c r="D36" s="601" t="str">
        <x:v>T4</x:v>
      </x:c>
      <x:c r="E36" s="601" t="n">
        <x:v>2026</x:v>
      </x:c>
      <x:c r="F36" s="601" t="str">
        <x:v>Groupe</x:v>
      </x:c>
      <x:c r="G36" s="601" t="str">
        <x:v>641000</x:v>
      </x:c>
      <x:c r="H36" s="601" t="str">
        <x:v>Salaires</x:v>
      </x:c>
      <x:c r="I36" s="601" t="str">
        <x:v>Charge</x:v>
      </x:c>
      <x:c r="J36" s="601" t="str">
        <x:v>Clôturé</x:v>
      </x:c>
      <x:c r="K36" s="602" t="n">
        <x:v>17399</x:v>
      </x:c>
      <x:c r="L36" s="602" t="n">
        <x:v>0</x:v>
      </x:c>
      <x:c r="M36" s="603" t="n">
        <x:v>-17399</x:v>
      </x:c>
      <x:c r="N36" s="603" t="n">
        <x:v>-16946.529346376952</x:v>
      </x:c>
      <x:c r="O36" s="603" t="n">
        <x:f>M36-N36</x:f>
        <x:v>-452.47065362304784</x:v>
      </x:c>
      <x:c r="P36" s="601" t="str">
        <x:v>IFRS</x:v>
      </x:c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600" t="n">
        <x:v>46128</x:v>
      </x:c>
      <x:c r="B37" s="601" t="n">
        <x:v>16</x:v>
      </x:c>
      <x:c r="C37" s="601" t="str">
        <x:v>04 - April</x:v>
      </x:c>
      <x:c r="D37" s="601" t="str">
        <x:v>T2</x:v>
      </x:c>
      <x:c r="E37" s="601" t="n">
        <x:v>2026</x:v>
      </x:c>
      <x:c r="F37" s="601" t="str">
        <x:v>Filiale Nord</x:v>
      </x:c>
      <x:c r="G37" s="601" t="str">
        <x:v>615000</x:v>
      </x:c>
      <x:c r="H37" s="601" t="str">
        <x:v>Maintenance</x:v>
      </x:c>
      <x:c r="I37" s="601" t="str">
        <x:v>Charge</x:v>
      </x:c>
      <x:c r="J37" s="601" t="str">
        <x:v>Clôturé</x:v>
      </x:c>
      <x:c r="K37" s="602" t="n">
        <x:v>14065</x:v>
      </x:c>
      <x:c r="L37" s="602" t="n">
        <x:v>0</x:v>
      </x:c>
      <x:c r="M37" s="603" t="n">
        <x:v>-14065</x:v>
      </x:c>
      <x:c r="N37" s="603" t="n">
        <x:v>-15028.839814424913</x:v>
      </x:c>
      <x:c r="O37" s="603" t="n">
        <x:f>M37-N37</x:f>
        <x:v>963.8398144249131</x:v>
      </x:c>
      <x:c r="P37" s="601" t="str">
        <x:v>Management</x:v>
      </x:c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600" t="n">
        <x:v>46376</x:v>
      </x:c>
      <x:c r="B38" s="601" t="n">
        <x:v>51</x:v>
      </x:c>
      <x:c r="C38" s="601" t="str">
        <x:v>12 - December</x:v>
      </x:c>
      <x:c r="D38" s="601" t="str">
        <x:v>T4</x:v>
      </x:c>
      <x:c r="E38" s="601" t="n">
        <x:v>2026</x:v>
      </x:c>
      <x:c r="F38" s="601" t="str">
        <x:v>Filiale Sud</x:v>
      </x:c>
      <x:c r="G38" s="601" t="str">
        <x:v>613000</x:v>
      </x:c>
      <x:c r="H38" s="601" t="str">
        <x:v>Loyers</x:v>
      </x:c>
      <x:c r="I38" s="601" t="str">
        <x:v>Charge</x:v>
      </x:c>
      <x:c r="J38" s="601" t="str">
        <x:v>Prévision</x:v>
      </x:c>
      <x:c r="K38" s="602" t="n">
        <x:v>13368</x:v>
      </x:c>
      <x:c r="L38" s="602" t="n">
        <x:v>0</x:v>
      </x:c>
      <x:c r="M38" s="603" t="n">
        <x:v>-13368</x:v>
      </x:c>
      <x:c r="N38" s="603" t="n">
        <x:v>-13830.779816047609</x:v>
      </x:c>
      <x:c r="O38" s="603" t="n">
        <x:f>M38-N38</x:f>
        <x:v>462.7798160476086</x:v>
      </x:c>
      <x:c r="P38" s="601" t="str">
        <x:v>IFRS</x:v>
      </x:c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600" t="n">
        <x:v>46293</x:v>
      </x:c>
      <x:c r="B39" s="601" t="n">
        <x:v>40</x:v>
      </x:c>
      <x:c r="C39" s="601" t="str">
        <x:v>09 - September</x:v>
      </x:c>
      <x:c r="D39" s="601" t="str">
        <x:v>T3</x:v>
      </x:c>
      <x:c r="E39" s="601" t="n">
        <x:v>2026</x:v>
      </x:c>
      <x:c r="F39" s="601" t="str">
        <x:v>Filiale Sud</x:v>
      </x:c>
      <x:c r="G39" s="601" t="str">
        <x:v>706000</x:v>
      </x:c>
      <x:c r="H39" s="601" t="str">
        <x:v>Prestations de services</x:v>
      </x:c>
      <x:c r="I39" s="601" t="str">
        <x:v>Produit</x:v>
      </x:c>
      <x:c r="J39" s="601" t="str">
        <x:v>Réalisé</x:v>
      </x:c>
      <x:c r="K39" s="602" t="n">
        <x:v>0</x:v>
      </x:c>
      <x:c r="L39" s="602" t="n">
        <x:v>16809</x:v>
      </x:c>
      <x:c r="M39" s="603" t="n">
        <x:v>16809</x:v>
      </x:c>
      <x:c r="N39" s="603" t="n">
        <x:v>15677.577103456197</x:v>
      </x:c>
      <x:c r="O39" s="603" t="n">
        <x:f>M39-N39</x:f>
        <x:v>1131.4228965438033</x:v>
      </x:c>
      <x:c r="P39" s="601" t="str">
        <x:v>Management</x:v>
      </x:c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600" t="n">
        <x:v>46161</x:v>
      </x:c>
      <x:c r="B40" s="601" t="n">
        <x:v>21</x:v>
      </x:c>
      <x:c r="C40" s="601" t="str">
        <x:v>05 - May</x:v>
      </x:c>
      <x:c r="D40" s="601" t="str">
        <x:v>T2</x:v>
      </x:c>
      <x:c r="E40" s="601" t="n">
        <x:v>2026</x:v>
      </x:c>
      <x:c r="F40" s="601" t="str">
        <x:v>Filiale Nord</x:v>
      </x:c>
      <x:c r="G40" s="601" t="str">
        <x:v>706000</x:v>
      </x:c>
      <x:c r="H40" s="601" t="str">
        <x:v>Prestations de services</x:v>
      </x:c>
      <x:c r="I40" s="601" t="str">
        <x:v>Produit</x:v>
      </x:c>
      <x:c r="J40" s="601" t="str">
        <x:v>Réalisé</x:v>
      </x:c>
      <x:c r="K40" s="602" t="n">
        <x:v>0</x:v>
      </x:c>
      <x:c r="L40" s="602" t="n">
        <x:v>28465</x:v>
      </x:c>
      <x:c r="M40" s="603" t="n">
        <x:v>28465</x:v>
      </x:c>
      <x:c r="N40" s="603" t="n">
        <x:v>30339.894584816007</x:v>
      </x:c>
      <x:c r="O40" s="603" t="n">
        <x:f>M40-N40</x:f>
        <x:v>-1874.8945848160074</x:v>
      </x:c>
      <x:c r="P40" s="601" t="str">
        <x:v>IFRS</x:v>
      </x:c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600" t="n">
        <x:v>46163</x:v>
      </x:c>
      <x:c r="B41" s="601" t="n">
        <x:v>21</x:v>
      </x:c>
      <x:c r="C41" s="601" t="str">
        <x:v>05 - May</x:v>
      </x:c>
      <x:c r="D41" s="601" t="str">
        <x:v>T2</x:v>
      </x:c>
      <x:c r="E41" s="601" t="n">
        <x:v>2026</x:v>
      </x:c>
      <x:c r="F41" s="601" t="str">
        <x:v>Filiale Sud</x:v>
      </x:c>
      <x:c r="G41" s="601" t="str">
        <x:v>645000</x:v>
      </x:c>
      <x:c r="H41" s="601" t="str">
        <x:v>Charges sociales</x:v>
      </x:c>
      <x:c r="I41" s="601" t="str">
        <x:v>Charge</x:v>
      </x:c>
      <x:c r="J41" s="601" t="str">
        <x:v>Clôturé</x:v>
      </x:c>
      <x:c r="K41" s="602" t="n">
        <x:v>10587</x:v>
      </x:c>
      <x:c r="L41" s="602" t="n">
        <x:v>0</x:v>
      </x:c>
      <x:c r="M41" s="603" t="n">
        <x:v>-10587</x:v>
      </x:c>
      <x:c r="N41" s="603" t="n">
        <x:v>-11635.684946341016</x:v>
      </x:c>
      <x:c r="O41" s="603" t="n">
        <x:f>M41-N41</x:f>
        <x:v>1048.6849463410163</x:v>
      </x:c>
      <x:c r="P41" s="601" t="str">
        <x:v>IFRS</x:v>
      </x:c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600" t="n">
        <x:v>46148</x:v>
      </x:c>
      <x:c r="B42" s="601" t="n">
        <x:v>19</x:v>
      </x:c>
      <x:c r="C42" s="601" t="str">
        <x:v>05 - May</x:v>
      </x:c>
      <x:c r="D42" s="601" t="str">
        <x:v>T2</x:v>
      </x:c>
      <x:c r="E42" s="601" t="n">
        <x:v>2026</x:v>
      </x:c>
      <x:c r="F42" s="601" t="str">
        <x:v>Filiale Nord</x:v>
      </x:c>
      <x:c r="G42" s="601" t="str">
        <x:v>641000</x:v>
      </x:c>
      <x:c r="H42" s="601" t="str">
        <x:v>Salaires</x:v>
      </x:c>
      <x:c r="I42" s="601" t="str">
        <x:v>Charge</x:v>
      </x:c>
      <x:c r="J42" s="601" t="str">
        <x:v>Clôturé</x:v>
      </x:c>
      <x:c r="K42" s="602" t="n">
        <x:v>9626</x:v>
      </x:c>
      <x:c r="L42" s="602" t="n">
        <x:v>0</x:v>
      </x:c>
      <x:c r="M42" s="603" t="n">
        <x:v>-9626</x:v>
      </x:c>
      <x:c r="N42" s="603" t="n">
        <x:v>-10184.621117589455</x:v>
      </x:c>
      <x:c r="O42" s="603" t="n">
        <x:f>M42-N42</x:f>
        <x:v>558.621117589455</x:v>
      </x:c>
      <x:c r="P42" s="601" t="str">
        <x:v>IFRS</x:v>
      </x:c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600" t="n">
        <x:v>46150</x:v>
      </x:c>
      <x:c r="B43" s="601" t="n">
        <x:v>19</x:v>
      </x:c>
      <x:c r="C43" s="601" t="str">
        <x:v>05 - May</x:v>
      </x:c>
      <x:c r="D43" s="601" t="str">
        <x:v>T2</x:v>
      </x:c>
      <x:c r="E43" s="601" t="n">
        <x:v>2026</x:v>
      </x:c>
      <x:c r="F43" s="601" t="str">
        <x:v>Groupe</x:v>
      </x:c>
      <x:c r="G43" s="601" t="str">
        <x:v>641000</x:v>
      </x:c>
      <x:c r="H43" s="601" t="str">
        <x:v>Salaires</x:v>
      </x:c>
      <x:c r="I43" s="601" t="str">
        <x:v>Charge</x:v>
      </x:c>
      <x:c r="J43" s="601" t="str">
        <x:v>Prévision</x:v>
      </x:c>
      <x:c r="K43" s="602" t="n">
        <x:v>13556</x:v>
      </x:c>
      <x:c r="L43" s="602" t="n">
        <x:v>0</x:v>
      </x:c>
      <x:c r="M43" s="603" t="n">
        <x:v>-13556</x:v>
      </x:c>
      <x:c r="N43" s="603" t="n">
        <x:v>-13546.913180822236</x:v>
      </x:c>
      <x:c r="O43" s="603" t="n">
        <x:f>M43-N43</x:f>
        <x:v>-9.086819177764482</x:v>
      </x:c>
      <x:c r="P43" s="601" t="str">
        <x:v>PCG</x:v>
      </x:c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600" t="n">
        <x:v>46221</x:v>
      </x:c>
      <x:c r="B44" s="601" t="n">
        <x:v>29</x:v>
      </x:c>
      <x:c r="C44" s="601" t="str">
        <x:v>07 - July</x:v>
      </x:c>
      <x:c r="D44" s="601" t="str">
        <x:v>T3</x:v>
      </x:c>
      <x:c r="E44" s="601" t="n">
        <x:v>2026</x:v>
      </x:c>
      <x:c r="F44" s="601" t="str">
        <x:v>Groupe</x:v>
      </x:c>
      <x:c r="G44" s="601" t="str">
        <x:v>607000</x:v>
      </x:c>
      <x:c r="H44" s="601" t="str">
        <x:v>Achats de marchandises</x:v>
      </x:c>
      <x:c r="I44" s="601" t="str">
        <x:v>Charge</x:v>
      </x:c>
      <x:c r="J44" s="601" t="str">
        <x:v>Prévision</x:v>
      </x:c>
      <x:c r="K44" s="602" t="n">
        <x:v>15510</x:v>
      </x:c>
      <x:c r="L44" s="602" t="n">
        <x:v>0</x:v>
      </x:c>
      <x:c r="M44" s="603" t="n">
        <x:v>-15510</x:v>
      </x:c>
      <x:c r="N44" s="603" t="n">
        <x:v>-16814.239235192672</x:v>
      </x:c>
      <x:c r="O44" s="603" t="n">
        <x:f>M44-N44</x:f>
        <x:v>1304.239235192672</x:v>
      </x:c>
      <x:c r="P44" s="601" t="str">
        <x:v>PCG</x:v>
      </x:c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600" t="n">
        <x:v>46335</x:v>
      </x:c>
      <x:c r="B45" s="601" t="n">
        <x:v>46</x:v>
      </x:c>
      <x:c r="C45" s="601" t="str">
        <x:v>11 - November</x:v>
      </x:c>
      <x:c r="D45" s="601" t="str">
        <x:v>T4</x:v>
      </x:c>
      <x:c r="E45" s="601" t="n">
        <x:v>2026</x:v>
      </x:c>
      <x:c r="F45" s="601" t="str">
        <x:v>Groupe</x:v>
      </x:c>
      <x:c r="G45" s="601" t="str">
        <x:v>645000</x:v>
      </x:c>
      <x:c r="H45" s="601" t="str">
        <x:v>Charges sociales</x:v>
      </x:c>
      <x:c r="I45" s="601" t="str">
        <x:v>Charge</x:v>
      </x:c>
      <x:c r="J45" s="601" t="str">
        <x:v>Réalisé</x:v>
      </x:c>
      <x:c r="K45" s="602" t="n">
        <x:v>4352</x:v>
      </x:c>
      <x:c r="L45" s="602" t="n">
        <x:v>0</x:v>
      </x:c>
      <x:c r="M45" s="603" t="n">
        <x:v>-4352</x:v>
      </x:c>
      <x:c r="N45" s="603" t="n">
        <x:v>-3999.867308756159</x:v>
      </x:c>
      <x:c r="O45" s="603" t="n">
        <x:f>M45-N45</x:f>
        <x:v>-352.1326912438408</x:v>
      </x:c>
      <x:c r="P45" s="601" t="str">
        <x:v>Management</x:v>
      </x:c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600" t="n">
        <x:v>46167</x:v>
      </x:c>
      <x:c r="B46" s="601" t="n">
        <x:v>22</x:v>
      </x:c>
      <x:c r="C46" s="601" t="str">
        <x:v>05 - May</x:v>
      </x:c>
      <x:c r="D46" s="601" t="str">
        <x:v>T2</x:v>
      </x:c>
      <x:c r="E46" s="601" t="n">
        <x:v>2026</x:v>
      </x:c>
      <x:c r="F46" s="601" t="str">
        <x:v>Filiale Sud</x:v>
      </x:c>
      <x:c r="G46" s="601" t="str">
        <x:v>706000</x:v>
      </x:c>
      <x:c r="H46" s="601" t="str">
        <x:v>Prestations de services</x:v>
      </x:c>
      <x:c r="I46" s="601" t="str">
        <x:v>Produit</x:v>
      </x:c>
      <x:c r="J46" s="601" t="str">
        <x:v>Clôturé</x:v>
      </x:c>
      <x:c r="K46" s="602" t="n">
        <x:v>0</x:v>
      </x:c>
      <x:c r="L46" s="602" t="n">
        <x:v>12139</x:v>
      </x:c>
      <x:c r="M46" s="603" t="n">
        <x:v>12139</x:v>
      </x:c>
      <x:c r="N46" s="603" t="n">
        <x:v>12398.984597972856</x:v>
      </x:c>
      <x:c r="O46" s="603" t="n">
        <x:f>M46-N46</x:f>
        <x:v>-259.98459797285614</x:v>
      </x:c>
      <x:c r="P46" s="601" t="str">
        <x:v>PCG</x:v>
      </x:c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600" t="n">
        <x:v>46186</x:v>
      </x:c>
      <x:c r="B47" s="601" t="n">
        <x:v>24</x:v>
      </x:c>
      <x:c r="C47" s="601" t="str">
        <x:v>06 - June</x:v>
      </x:c>
      <x:c r="D47" s="601" t="str">
        <x:v>T2</x:v>
      </x:c>
      <x:c r="E47" s="601" t="n">
        <x:v>2026</x:v>
      </x:c>
      <x:c r="F47" s="601" t="str">
        <x:v>Groupe</x:v>
      </x:c>
      <x:c r="G47" s="601" t="str">
        <x:v>706000</x:v>
      </x:c>
      <x:c r="H47" s="601" t="str">
        <x:v>Prestations de services</x:v>
      </x:c>
      <x:c r="I47" s="601" t="str">
        <x:v>Produit</x:v>
      </x:c>
      <x:c r="J47" s="601" t="str">
        <x:v>Réalisé</x:v>
      </x:c>
      <x:c r="K47" s="602" t="n">
        <x:v>0</x:v>
      </x:c>
      <x:c r="L47" s="602" t="n">
        <x:v>12499</x:v>
      </x:c>
      <x:c r="M47" s="603" t="n">
        <x:v>12499</x:v>
      </x:c>
      <x:c r="N47" s="603" t="n">
        <x:v>12883.07473050469</x:v>
      </x:c>
      <x:c r="O47" s="603" t="n">
        <x:f>M47-N47</x:f>
        <x:v>-384.0747305046898</x:v>
      </x:c>
      <x:c r="P47" s="601" t="str">
        <x:v>PCG</x:v>
      </x:c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600" t="n">
        <x:v>46141</x:v>
      </x:c>
      <x:c r="B48" s="601" t="n">
        <x:v>18</x:v>
      </x:c>
      <x:c r="C48" s="601" t="str">
        <x:v>04 - April</x:v>
      </x:c>
      <x:c r="D48" s="601" t="str">
        <x:v>T2</x:v>
      </x:c>
      <x:c r="E48" s="601" t="n">
        <x:v>2026</x:v>
      </x:c>
      <x:c r="F48" s="601" t="str">
        <x:v>Filiale Sud</x:v>
      </x:c>
      <x:c r="G48" s="601" t="str">
        <x:v>701000</x:v>
      </x:c>
      <x:c r="H48" s="601" t="str">
        <x:v>Ventes de produits</x:v>
      </x:c>
      <x:c r="I48" s="601" t="str">
        <x:v>Produit</x:v>
      </x:c>
      <x:c r="J48" s="601" t="str">
        <x:v>Prévision</x:v>
      </x:c>
      <x:c r="K48" s="602" t="n">
        <x:v>0</x:v>
      </x:c>
      <x:c r="L48" s="602" t="n">
        <x:v>27652</x:v>
      </x:c>
      <x:c r="M48" s="603" t="n">
        <x:v>27652</x:v>
      </x:c>
      <x:c r="N48" s="603" t="n">
        <x:v>29257.303992010846</x:v>
      </x:c>
      <x:c r="O48" s="603" t="n">
        <x:f>M48-N48</x:f>
        <x:v>-1605.3039920108458</x:v>
      </x:c>
      <x:c r="P48" s="601" t="str">
        <x:v>IFRS</x:v>
      </x:c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600" t="n">
        <x:v>46206</x:v>
      </x:c>
      <x:c r="B49" s="601" t="n">
        <x:v>27</x:v>
      </x:c>
      <x:c r="C49" s="601" t="str">
        <x:v>07 - July</x:v>
      </x:c>
      <x:c r="D49" s="601" t="str">
        <x:v>T3</x:v>
      </x:c>
      <x:c r="E49" s="601" t="n">
        <x:v>2026</x:v>
      </x:c>
      <x:c r="F49" s="601" t="str">
        <x:v>Filiale Nord</x:v>
      </x:c>
      <x:c r="G49" s="601" t="str">
        <x:v>706000</x:v>
      </x:c>
      <x:c r="H49" s="601" t="str">
        <x:v>Prestations de services</x:v>
      </x:c>
      <x:c r="I49" s="601" t="str">
        <x:v>Produit</x:v>
      </x:c>
      <x:c r="J49" s="601" t="str">
        <x:v>Clôturé</x:v>
      </x:c>
      <x:c r="K49" s="602" t="n">
        <x:v>0</x:v>
      </x:c>
      <x:c r="L49" s="602" t="n">
        <x:v>25041</x:v>
      </x:c>
      <x:c r="M49" s="603" t="n">
        <x:v>25041</x:v>
      </x:c>
      <x:c r="N49" s="603" t="n">
        <x:v>27044.876162532757</x:v>
      </x:c>
      <x:c r="O49" s="603" t="n">
        <x:f>M49-N49</x:f>
        <x:v>-2003.876162532757</x:v>
      </x:c>
      <x:c r="P49" s="601" t="str">
        <x:v>Management</x:v>
      </x:c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600" t="n">
        <x:v>46201</x:v>
      </x:c>
      <x:c r="B50" s="601" t="n">
        <x:v>26</x:v>
      </x:c>
      <x:c r="C50" s="601" t="str">
        <x:v>06 - June</x:v>
      </x:c>
      <x:c r="D50" s="601" t="str">
        <x:v>T2</x:v>
      </x:c>
      <x:c r="E50" s="601" t="n">
        <x:v>2026</x:v>
      </x:c>
      <x:c r="F50" s="601" t="str">
        <x:v>Filiale Nord</x:v>
      </x:c>
      <x:c r="G50" s="601" t="str">
        <x:v>607000</x:v>
      </x:c>
      <x:c r="H50" s="601" t="str">
        <x:v>Achats de marchandises</x:v>
      </x:c>
      <x:c r="I50" s="601" t="str">
        <x:v>Charge</x:v>
      </x:c>
      <x:c r="J50" s="601" t="str">
        <x:v>Réalisé</x:v>
      </x:c>
      <x:c r="K50" s="602" t="n">
        <x:v>6647</x:v>
      </x:c>
      <x:c r="L50" s="602" t="n">
        <x:v>0</x:v>
      </x:c>
      <x:c r="M50" s="603" t="n">
        <x:v>-6647</x:v>
      </x:c>
      <x:c r="N50" s="603" t="n">
        <x:v>-6321.183206242945</x:v>
      </x:c>
      <x:c r="O50" s="603" t="n">
        <x:f>M50-N50</x:f>
        <x:v>-325.81679375705517</x:v>
      </x:c>
      <x:c r="P50" s="601" t="str">
        <x:v>PCG</x:v>
      </x:c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600" t="n">
        <x:v>46243</x:v>
      </x:c>
      <x:c r="B51" s="601" t="n">
        <x:v>32</x:v>
      </x:c>
      <x:c r="C51" s="601" t="str">
        <x:v>08 - August</x:v>
      </x:c>
      <x:c r="D51" s="601" t="str">
        <x:v>T3</x:v>
      </x:c>
      <x:c r="E51" s="601" t="n">
        <x:v>2026</x:v>
      </x:c>
      <x:c r="F51" s="601" t="str">
        <x:v>Filiale Sud</x:v>
      </x:c>
      <x:c r="G51" s="601" t="str">
        <x:v>706000</x:v>
      </x:c>
      <x:c r="H51" s="601" t="str">
        <x:v>Prestations de services</x:v>
      </x:c>
      <x:c r="I51" s="601" t="str">
        <x:v>Produit</x:v>
      </x:c>
      <x:c r="J51" s="601" t="str">
        <x:v>Prévision</x:v>
      </x:c>
      <x:c r="K51" s="602" t="n">
        <x:v>0</x:v>
      </x:c>
      <x:c r="L51" s="602" t="n">
        <x:v>11269</x:v>
      </x:c>
      <x:c r="M51" s="603" t="n">
        <x:v>11269</x:v>
      </x:c>
      <x:c r="N51" s="603" t="n">
        <x:v>11346.673862389502</x:v>
      </x:c>
      <x:c r="O51" s="603" t="n">
        <x:f>M51-N51</x:f>
        <x:v>-77.67386238950166</x:v>
      </x:c>
      <x:c r="P51" s="601" t="str">
        <x:v>IFRS</x:v>
      </x:c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600" t="n">
        <x:v>46113</x:v>
      </x:c>
      <x:c r="B52" s="601" t="n">
        <x:v>14</x:v>
      </x:c>
      <x:c r="C52" s="601" t="str">
        <x:v>04 - April</x:v>
      </x:c>
      <x:c r="D52" s="601" t="str">
        <x:v>T2</x:v>
      </x:c>
      <x:c r="E52" s="601" t="n">
        <x:v>2026</x:v>
      </x:c>
      <x:c r="F52" s="601" t="str">
        <x:v>Filiale Nord</x:v>
      </x:c>
      <x:c r="G52" s="601" t="str">
        <x:v>641000</x:v>
      </x:c>
      <x:c r="H52" s="601" t="str">
        <x:v>Salaires</x:v>
      </x:c>
      <x:c r="I52" s="601" t="str">
        <x:v>Charge</x:v>
      </x:c>
      <x:c r="J52" s="601" t="str">
        <x:v>Prévision</x:v>
      </x:c>
      <x:c r="K52" s="602" t="n">
        <x:v>5072</x:v>
      </x:c>
      <x:c r="L52" s="602" t="n">
        <x:v>0</x:v>
      </x:c>
      <x:c r="M52" s="603" t="n">
        <x:v>-5072</x:v>
      </x:c>
      <x:c r="N52" s="603" t="n">
        <x:v>-5523.935456803516</x:v>
      </x:c>
      <x:c r="O52" s="603" t="n">
        <x:f>M52-N52</x:f>
        <x:v>451.935456803516</x:v>
      </x:c>
      <x:c r="P52" s="601" t="str">
        <x:v>Management</x:v>
      </x:c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600" t="n">
        <x:v>46113</x:v>
      </x:c>
      <x:c r="B53" s="601" t="n">
        <x:v>14</x:v>
      </x:c>
      <x:c r="C53" s="601" t="str">
        <x:v>04 - April</x:v>
      </x:c>
      <x:c r="D53" s="601" t="str">
        <x:v>T2</x:v>
      </x:c>
      <x:c r="E53" s="601" t="n">
        <x:v>2026</x:v>
      </x:c>
      <x:c r="F53" s="601" t="str">
        <x:v>Groupe</x:v>
      </x:c>
      <x:c r="G53" s="601" t="str">
        <x:v>613000</x:v>
      </x:c>
      <x:c r="H53" s="601" t="str">
        <x:v>Loyers</x:v>
      </x:c>
      <x:c r="I53" s="601" t="str">
        <x:v>Charge</x:v>
      </x:c>
      <x:c r="J53" s="601" t="str">
        <x:v>Clôturé</x:v>
      </x:c>
      <x:c r="K53" s="602" t="n">
        <x:v>11179</x:v>
      </x:c>
      <x:c r="L53" s="602" t="n">
        <x:v>0</x:v>
      </x:c>
      <x:c r="M53" s="603" t="n">
        <x:v>-11179</x:v>
      </x:c>
      <x:c r="N53" s="603" t="n">
        <x:v>-12032.854267482657</x:v>
      </x:c>
      <x:c r="O53" s="603" t="n">
        <x:f>M53-N53</x:f>
        <x:v>853.8542674826567</x:v>
      </x:c>
      <x:c r="P53" s="601" t="str">
        <x:v>Management</x:v>
      </x:c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600" t="n">
        <x:v>46268</x:v>
      </x:c>
      <x:c r="B54" s="601" t="n">
        <x:v>36</x:v>
      </x:c>
      <x:c r="C54" s="601" t="str">
        <x:v>09 - September</x:v>
      </x:c>
      <x:c r="D54" s="601" t="str">
        <x:v>T3</x:v>
      </x:c>
      <x:c r="E54" s="601" t="n">
        <x:v>2026</x:v>
      </x:c>
      <x:c r="F54" s="601" t="str">
        <x:v>Groupe</x:v>
      </x:c>
      <x:c r="G54" s="601" t="str">
        <x:v>706000</x:v>
      </x:c>
      <x:c r="H54" s="601" t="str">
        <x:v>Prestations de services</x:v>
      </x:c>
      <x:c r="I54" s="601" t="str">
        <x:v>Produit</x:v>
      </x:c>
      <x:c r="J54" s="601" t="str">
        <x:v>Prévision</x:v>
      </x:c>
      <x:c r="K54" s="602" t="n">
        <x:v>0</x:v>
      </x:c>
      <x:c r="L54" s="602" t="n">
        <x:v>12505</x:v>
      </x:c>
      <x:c r="M54" s="603" t="n">
        <x:v>12505</x:v>
      </x:c>
      <x:c r="N54" s="603" t="n">
        <x:v>13583.545452578142</x:v>
      </x:c>
      <x:c r="O54" s="603" t="n">
        <x:f>M54-N54</x:f>
        <x:v>-1078.5454525781424</x:v>
      </x:c>
      <x:c r="P54" s="601" t="str">
        <x:v>PCG</x:v>
      </x:c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600" t="n">
        <x:v>46190</x:v>
      </x:c>
      <x:c r="B55" s="601" t="n">
        <x:v>25</x:v>
      </x:c>
      <x:c r="C55" s="601" t="str">
        <x:v>06 - June</x:v>
      </x:c>
      <x:c r="D55" s="601" t="str">
        <x:v>T2</x:v>
      </x:c>
      <x:c r="E55" s="601" t="n">
        <x:v>2026</x:v>
      </x:c>
      <x:c r="F55" s="601" t="str">
        <x:v>Groupe</x:v>
      </x:c>
      <x:c r="G55" s="601" t="str">
        <x:v>615000</x:v>
      </x:c>
      <x:c r="H55" s="601" t="str">
        <x:v>Maintenance</x:v>
      </x:c>
      <x:c r="I55" s="601" t="str">
        <x:v>Charge</x:v>
      </x:c>
      <x:c r="J55" s="601" t="str">
        <x:v>Réalisé</x:v>
      </x:c>
      <x:c r="K55" s="602" t="n">
        <x:v>7198</x:v>
      </x:c>
      <x:c r="L55" s="602" t="n">
        <x:v>0</x:v>
      </x:c>
      <x:c r="M55" s="603" t="n">
        <x:v>-7198</x:v>
      </x:c>
      <x:c r="N55" s="603" t="n">
        <x:v>-6721.436573025474</x:v>
      </x:c>
      <x:c r="O55" s="603" t="n">
        <x:f>M55-N55</x:f>
        <x:v>-476.563426974526</x:v>
      </x:c>
      <x:c r="P55" s="601" t="str">
        <x:v>PCG</x:v>
      </x:c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600" t="n">
        <x:v>46378</x:v>
      </x:c>
      <x:c r="B56" s="601" t="n">
        <x:v>52</x:v>
      </x:c>
      <x:c r="C56" s="601" t="str">
        <x:v>12 - December</x:v>
      </x:c>
      <x:c r="D56" s="601" t="str">
        <x:v>T4</x:v>
      </x:c>
      <x:c r="E56" s="601" t="n">
        <x:v>2026</x:v>
      </x:c>
      <x:c r="F56" s="601" t="str">
        <x:v>Filiale Nord</x:v>
      </x:c>
      <x:c r="G56" s="601" t="str">
        <x:v>645000</x:v>
      </x:c>
      <x:c r="H56" s="601" t="str">
        <x:v>Charges sociales</x:v>
      </x:c>
      <x:c r="I56" s="601" t="str">
        <x:v>Charge</x:v>
      </x:c>
      <x:c r="J56" s="601" t="str">
        <x:v>Réalisé</x:v>
      </x:c>
      <x:c r="K56" s="602" t="n">
        <x:v>15093</x:v>
      </x:c>
      <x:c r="L56" s="602" t="n">
        <x:v>0</x:v>
      </x:c>
      <x:c r="M56" s="603" t="n">
        <x:v>-15093</x:v>
      </x:c>
      <x:c r="N56" s="603" t="n">
        <x:v>-16041.992654445428</x:v>
      </x:c>
      <x:c r="O56" s="603" t="n">
        <x:f>M56-N56</x:f>
        <x:v>948.9926544454283</x:v>
      </x:c>
      <x:c r="P56" s="601" t="str">
        <x:v>Management</x:v>
      </x:c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600" t="n">
        <x:v>46374</x:v>
      </x:c>
      <x:c r="B57" s="601" t="n">
        <x:v>51</x:v>
      </x:c>
      <x:c r="C57" s="601" t="str">
        <x:v>12 - December</x:v>
      </x:c>
      <x:c r="D57" s="601" t="str">
        <x:v>T4</x:v>
      </x:c>
      <x:c r="E57" s="601" t="n">
        <x:v>2026</x:v>
      </x:c>
      <x:c r="F57" s="601" t="str">
        <x:v>Filiale Sud</x:v>
      </x:c>
      <x:c r="G57" s="601" t="str">
        <x:v>613000</x:v>
      </x:c>
      <x:c r="H57" s="601" t="str">
        <x:v>Loyers</x:v>
      </x:c>
      <x:c r="I57" s="601" t="str">
        <x:v>Charge</x:v>
      </x:c>
      <x:c r="J57" s="601" t="str">
        <x:v>Clôturé</x:v>
      </x:c>
      <x:c r="K57" s="602" t="n">
        <x:v>17544</x:v>
      </x:c>
      <x:c r="L57" s="602" t="n">
        <x:v>0</x:v>
      </x:c>
      <x:c r="M57" s="603" t="n">
        <x:v>-17544</x:v>
      </x:c>
      <x:c r="N57" s="603" t="n">
        <x:v>-18837.187839422673</x:v>
      </x:c>
      <x:c r="O57" s="603" t="n">
        <x:f>M57-N57</x:f>
        <x:v>1293.1878394226733</x:v>
      </x:c>
      <x:c r="P57" s="601" t="str">
        <x:v>Management</x:v>
      </x:c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600" t="n">
        <x:v>46118</x:v>
      </x:c>
      <x:c r="B58" s="601" t="n">
        <x:v>15</x:v>
      </x:c>
      <x:c r="C58" s="601" t="str">
        <x:v>04 - April</x:v>
      </x:c>
      <x:c r="D58" s="601" t="str">
        <x:v>T2</x:v>
      </x:c>
      <x:c r="E58" s="601" t="n">
        <x:v>2026</x:v>
      </x:c>
      <x:c r="F58" s="601" t="str">
        <x:v>Filiale Nord</x:v>
      </x:c>
      <x:c r="G58" s="601" t="str">
        <x:v>645000</x:v>
      </x:c>
      <x:c r="H58" s="601" t="str">
        <x:v>Charges sociales</x:v>
      </x:c>
      <x:c r="I58" s="601" t="str">
        <x:v>Charge</x:v>
      </x:c>
      <x:c r="J58" s="601" t="str">
        <x:v>Réalisé</x:v>
      </x:c>
      <x:c r="K58" s="602" t="n">
        <x:v>17093</x:v>
      </x:c>
      <x:c r="L58" s="602" t="n">
        <x:v>0</x:v>
      </x:c>
      <x:c r="M58" s="603" t="n">
        <x:v>-17093</x:v>
      </x:c>
      <x:c r="N58" s="603" t="n">
        <x:v>-18231.465492069747</x:v>
      </x:c>
      <x:c r="O58" s="603" t="n">
        <x:f>M58-N58</x:f>
        <x:v>1138.4654920697467</x:v>
      </x:c>
      <x:c r="P58" s="601" t="str">
        <x:v>IFRS</x:v>
      </x:c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600" t="n">
        <x:v>46348</x:v>
      </x:c>
      <x:c r="B59" s="601" t="n">
        <x:v>47</x:v>
      </x:c>
      <x:c r="C59" s="601" t="str">
        <x:v>11 - November</x:v>
      </x:c>
      <x:c r="D59" s="601" t="str">
        <x:v>T4</x:v>
      </x:c>
      <x:c r="E59" s="601" t="n">
        <x:v>2026</x:v>
      </x:c>
      <x:c r="F59" s="601" t="str">
        <x:v>Filiale Sud</x:v>
      </x:c>
      <x:c r="G59" s="601" t="str">
        <x:v>645000</x:v>
      </x:c>
      <x:c r="H59" s="601" t="str">
        <x:v>Charges sociales</x:v>
      </x:c>
      <x:c r="I59" s="601" t="str">
        <x:v>Charge</x:v>
      </x:c>
      <x:c r="J59" s="601" t="str">
        <x:v>Réalisé</x:v>
      </x:c>
      <x:c r="K59" s="602" t="n">
        <x:v>8626</x:v>
      </x:c>
      <x:c r="L59" s="602" t="n">
        <x:v>0</x:v>
      </x:c>
      <x:c r="M59" s="603" t="n">
        <x:v>-8626</x:v>
      </x:c>
      <x:c r="N59" s="603" t="n">
        <x:v>-8744.20972459561</x:v>
      </x:c>
      <x:c r="O59" s="603" t="n">
        <x:f>M59-N59</x:f>
        <x:v>118.20972459561017</x:v>
      </x:c>
      <x:c r="P59" s="601" t="str">
        <x:v>PCG</x:v>
      </x:c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600" t="n">
        <x:v>46273</x:v>
      </x:c>
      <x:c r="B60" s="601" t="n">
        <x:v>37</x:v>
      </x:c>
      <x:c r="C60" s="601" t="str">
        <x:v>09 - September</x:v>
      </x:c>
      <x:c r="D60" s="601" t="str">
        <x:v>T3</x:v>
      </x:c>
      <x:c r="E60" s="601" t="n">
        <x:v>2026</x:v>
      </x:c>
      <x:c r="F60" s="601" t="str">
        <x:v>Filiale Sud</x:v>
      </x:c>
      <x:c r="G60" s="601" t="str">
        <x:v>627000</x:v>
      </x:c>
      <x:c r="H60" s="601" t="str">
        <x:v>Frais bancaires</x:v>
      </x:c>
      <x:c r="I60" s="601" t="str">
        <x:v>Charge</x:v>
      </x:c>
      <x:c r="J60" s="601" t="str">
        <x:v>Prévision</x:v>
      </x:c>
      <x:c r="K60" s="602" t="n">
        <x:v>5571</x:v>
      </x:c>
      <x:c r="L60" s="602" t="n">
        <x:v>0</x:v>
      </x:c>
      <x:c r="M60" s="603" t="n">
        <x:v>-5571</x:v>
      </x:c>
      <x:c r="N60" s="603" t="n">
        <x:v>-5338.3538861042125</x:v>
      </x:c>
      <x:c r="O60" s="603" t="n">
        <x:f>M60-N60</x:f>
        <x:v>-232.6461138957875</x:v>
      </x:c>
      <x:c r="P60" s="601" t="str">
        <x:v>PCG</x:v>
      </x:c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600" t="n">
        <x:v>46213</x:v>
      </x:c>
      <x:c r="B61" s="601" t="n">
        <x:v>28</x:v>
      </x:c>
      <x:c r="C61" s="601" t="str">
        <x:v>07 - July</x:v>
      </x:c>
      <x:c r="D61" s="601" t="str">
        <x:v>T3</x:v>
      </x:c>
      <x:c r="E61" s="601" t="n">
        <x:v>2026</x:v>
      </x:c>
      <x:c r="F61" s="601" t="str">
        <x:v>Filiale Sud</x:v>
      </x:c>
      <x:c r="G61" s="601" t="str">
        <x:v>645000</x:v>
      </x:c>
      <x:c r="H61" s="601" t="str">
        <x:v>Charges sociales</x:v>
      </x:c>
      <x:c r="I61" s="601" t="str">
        <x:v>Charge</x:v>
      </x:c>
      <x:c r="J61" s="601" t="str">
        <x:v>Prévision</x:v>
      </x:c>
      <x:c r="K61" s="602" t="n">
        <x:v>12871</x:v>
      </x:c>
      <x:c r="L61" s="602" t="n">
        <x:v>0</x:v>
      </x:c>
      <x:c r="M61" s="603" t="n">
        <x:v>-12871</x:v>
      </x:c>
      <x:c r="N61" s="603" t="n">
        <x:v>-12549.44388740075</x:v>
      </x:c>
      <x:c r="O61" s="603" t="n">
        <x:f>M61-N61</x:f>
        <x:v>-321.5561125992499</x:v>
      </x:c>
      <x:c r="P61" s="601" t="str">
        <x:v>Management</x:v>
      </x:c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600" t="n">
        <x:v>46096</x:v>
      </x:c>
      <x:c r="B62" s="601" t="n">
        <x:v>11</x:v>
      </x:c>
      <x:c r="C62" s="601" t="str">
        <x:v>03 - March</x:v>
      </x:c>
      <x:c r="D62" s="601" t="str">
        <x:v>T1</x:v>
      </x:c>
      <x:c r="E62" s="601" t="n">
        <x:v>2026</x:v>
      </x:c>
      <x:c r="F62" s="601" t="str">
        <x:v>Filiale Sud</x:v>
      </x:c>
      <x:c r="G62" s="601" t="str">
        <x:v>701000</x:v>
      </x:c>
      <x:c r="H62" s="601" t="str">
        <x:v>Ventes de produits</x:v>
      </x:c>
      <x:c r="I62" s="601" t="str">
        <x:v>Produit</x:v>
      </x:c>
      <x:c r="J62" s="601" t="str">
        <x:v>Réalisé</x:v>
      </x:c>
      <x:c r="K62" s="602" t="n">
        <x:v>0</x:v>
      </x:c>
      <x:c r="L62" s="602" t="n">
        <x:v>10611</x:v>
      </x:c>
      <x:c r="M62" s="603" t="n">
        <x:v>10611</x:v>
      </x:c>
      <x:c r="N62" s="603" t="n">
        <x:v>11306.510348238595</x:v>
      </x:c>
      <x:c r="O62" s="603" t="n">
        <x:f>M62-N62</x:f>
        <x:v>-695.5103482385948</x:v>
      </x:c>
      <x:c r="P62" s="601" t="str">
        <x:v>Management</x:v>
      </x:c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600" t="n">
        <x:v>46088</x:v>
      </x:c>
      <x:c r="B63" s="601" t="n">
        <x:v>10</x:v>
      </x:c>
      <x:c r="C63" s="601" t="str">
        <x:v>03 - March</x:v>
      </x:c>
      <x:c r="D63" s="601" t="str">
        <x:v>T1</x:v>
      </x:c>
      <x:c r="E63" s="601" t="n">
        <x:v>2026</x:v>
      </x:c>
      <x:c r="F63" s="601" t="str">
        <x:v>Filiale Nord</x:v>
      </x:c>
      <x:c r="G63" s="601" t="str">
        <x:v>706000</x:v>
      </x:c>
      <x:c r="H63" s="601" t="str">
        <x:v>Prestations de services</x:v>
      </x:c>
      <x:c r="I63" s="601" t="str">
        <x:v>Produit</x:v>
      </x:c>
      <x:c r="J63" s="601" t="str">
        <x:v>Prévision</x:v>
      </x:c>
      <x:c r="K63" s="602" t="n">
        <x:v>0</x:v>
      </x:c>
      <x:c r="L63" s="602" t="n">
        <x:v>20213</x:v>
      </x:c>
      <x:c r="M63" s="603" t="n">
        <x:v>20213</x:v>
      </x:c>
      <x:c r="N63" s="603" t="n">
        <x:v>22230.570651996677</x:v>
      </x:c>
      <x:c r="O63" s="603" t="n">
        <x:f>M63-N63</x:f>
        <x:v>-2017.570651996677</x:v>
      </x:c>
      <x:c r="P63" s="601" t="str">
        <x:v>Management</x:v>
      </x:c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600" t="n">
        <x:v>46358</x:v>
      </x:c>
      <x:c r="B64" s="601" t="n">
        <x:v>49</x:v>
      </x:c>
      <x:c r="C64" s="601" t="str">
        <x:v>12 - December</x:v>
      </x:c>
      <x:c r="D64" s="601" t="str">
        <x:v>T4</x:v>
      </x:c>
      <x:c r="E64" s="601" t="n">
        <x:v>2026</x:v>
      </x:c>
      <x:c r="F64" s="601" t="str">
        <x:v>Filiale Nord</x:v>
      </x:c>
      <x:c r="G64" s="601" t="str">
        <x:v>613000</x:v>
      </x:c>
      <x:c r="H64" s="601" t="str">
        <x:v>Loyers</x:v>
      </x:c>
      <x:c r="I64" s="601" t="str">
        <x:v>Charge</x:v>
      </x:c>
      <x:c r="J64" s="601" t="str">
        <x:v>Clôturé</x:v>
      </x:c>
      <x:c r="K64" s="602" t="n">
        <x:v>4982</x:v>
      </x:c>
      <x:c r="L64" s="602" t="n">
        <x:v>0</x:v>
      </x:c>
      <x:c r="M64" s="603" t="n">
        <x:v>-4982</x:v>
      </x:c>
      <x:c r="N64" s="603" t="n">
        <x:v>-5427.14937865915</x:v>
      </x:c>
      <x:c r="O64" s="603" t="n">
        <x:f>M64-N64</x:f>
        <x:v>445.14937865915</x:v>
      </x:c>
      <x:c r="P64" s="601" t="str">
        <x:v>PCG</x:v>
      </x:c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600" t="n">
        <x:v>46267</x:v>
      </x:c>
      <x:c r="B65" s="601" t="n">
        <x:v>36</x:v>
      </x:c>
      <x:c r="C65" s="601" t="str">
        <x:v>09 - September</x:v>
      </x:c>
      <x:c r="D65" s="601" t="str">
        <x:v>T3</x:v>
      </x:c>
      <x:c r="E65" s="601" t="n">
        <x:v>2026</x:v>
      </x:c>
      <x:c r="F65" s="601" t="str">
        <x:v>Groupe</x:v>
      </x:c>
      <x:c r="G65" s="601" t="str">
        <x:v>641000</x:v>
      </x:c>
      <x:c r="H65" s="601" t="str">
        <x:v>Salaires</x:v>
      </x:c>
      <x:c r="I65" s="601" t="str">
        <x:v>Charge</x:v>
      </x:c>
      <x:c r="J65" s="601" t="str">
        <x:v>Réalisé</x:v>
      </x:c>
      <x:c r="K65" s="602" t="n">
        <x:v>17124</x:v>
      </x:c>
      <x:c r="L65" s="602" t="n">
        <x:v>0</x:v>
      </x:c>
      <x:c r="M65" s="603" t="n">
        <x:v>-17124</x:v>
      </x:c>
      <x:c r="N65" s="603" t="n">
        <x:v>-16662.283382758586</x:v>
      </x:c>
      <x:c r="O65" s="603" t="n">
        <x:f>M65-N65</x:f>
        <x:v>-461.7166172414145</x:v>
      </x:c>
      <x:c r="P65" s="601" t="str">
        <x:v>IFRS</x:v>
      </x:c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600" t="n">
        <x:v>46242</x:v>
      </x:c>
      <x:c r="B66" s="601" t="n">
        <x:v>32</x:v>
      </x:c>
      <x:c r="C66" s="601" t="str">
        <x:v>08 - August</x:v>
      </x:c>
      <x:c r="D66" s="601" t="str">
        <x:v>T3</x:v>
      </x:c>
      <x:c r="E66" s="601" t="n">
        <x:v>2026</x:v>
      </x:c>
      <x:c r="F66" s="601" t="str">
        <x:v>Filiale Nord</x:v>
      </x:c>
      <x:c r="G66" s="601" t="str">
        <x:v>701000</x:v>
      </x:c>
      <x:c r="H66" s="601" t="str">
        <x:v>Ventes de produits</x:v>
      </x:c>
      <x:c r="I66" s="601" t="str">
        <x:v>Produit</x:v>
      </x:c>
      <x:c r="J66" s="601" t="str">
        <x:v>Clôturé</x:v>
      </x:c>
      <x:c r="K66" s="602" t="n">
        <x:v>0</x:v>
      </x:c>
      <x:c r="L66" s="602" t="n">
        <x:v>12610</x:v>
      </x:c>
      <x:c r="M66" s="603" t="n">
        <x:v>12610</x:v>
      </x:c>
      <x:c r="N66" s="603" t="n">
        <x:v>13691.438221368355</x:v>
      </x:c>
      <x:c r="O66" s="603" t="n">
        <x:f>M66-N66</x:f>
        <x:v>-1081.4382213683548</x:v>
      </x:c>
      <x:c r="P66" s="601" t="str">
        <x:v>Management</x:v>
      </x:c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600" t="n">
        <x:v>46183</x:v>
      </x:c>
      <x:c r="B67" s="601" t="n">
        <x:v>24</x:v>
      </x:c>
      <x:c r="C67" s="601" t="str">
        <x:v>06 - June</x:v>
      </x:c>
      <x:c r="D67" s="601" t="str">
        <x:v>T2</x:v>
      </x:c>
      <x:c r="E67" s="601" t="n">
        <x:v>2026</x:v>
      </x:c>
      <x:c r="F67" s="601" t="str">
        <x:v>Groupe</x:v>
      </x:c>
      <x:c r="G67" s="601" t="str">
        <x:v>701000</x:v>
      </x:c>
      <x:c r="H67" s="601" t="str">
        <x:v>Ventes de produits</x:v>
      </x:c>
      <x:c r="I67" s="601" t="str">
        <x:v>Produit</x:v>
      </x:c>
      <x:c r="J67" s="601" t="str">
        <x:v>Réalisé</x:v>
      </x:c>
      <x:c r="K67" s="602" t="n">
        <x:v>0</x:v>
      </x:c>
      <x:c r="L67" s="602" t="n">
        <x:v>15622</x:v>
      </x:c>
      <x:c r="M67" s="603" t="n">
        <x:v>15622</x:v>
      </x:c>
      <x:c r="N67" s="603" t="n">
        <x:v>15653.007677587357</x:v>
      </x:c>
      <x:c r="O67" s="603" t="n">
        <x:f>M67-N67</x:f>
        <x:v>-31.00767758735674</x:v>
      </x:c>
      <x:c r="P67" s="601" t="str">
        <x:v>IFRS</x:v>
      </x:c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600" t="n">
        <x:v>46266</x:v>
      </x:c>
      <x:c r="B68" s="601" t="n">
        <x:v>36</x:v>
      </x:c>
      <x:c r="C68" s="601" t="str">
        <x:v>09 - September</x:v>
      </x:c>
      <x:c r="D68" s="601" t="str">
        <x:v>T3</x:v>
      </x:c>
      <x:c r="E68" s="601" t="n">
        <x:v>2026</x:v>
      </x:c>
      <x:c r="F68" s="601" t="str">
        <x:v>Filiale Sud</x:v>
      </x:c>
      <x:c r="G68" s="601" t="str">
        <x:v>607000</x:v>
      </x:c>
      <x:c r="H68" s="601" t="str">
        <x:v>Achats de marchandises</x:v>
      </x:c>
      <x:c r="I68" s="601" t="str">
        <x:v>Charge</x:v>
      </x:c>
      <x:c r="J68" s="601" t="str">
        <x:v>Réalisé</x:v>
      </x:c>
      <x:c r="K68" s="602" t="n">
        <x:v>11387</x:v>
      </x:c>
      <x:c r="L68" s="602" t="n">
        <x:v>0</x:v>
      </x:c>
      <x:c r="M68" s="603" t="n">
        <x:v>-11387</x:v>
      </x:c>
      <x:c r="N68" s="603" t="n">
        <x:v>-10565.981529833049</x:v>
      </x:c>
      <x:c r="O68" s="603" t="n">
        <x:f>M68-N68</x:f>
        <x:v>-821.0184701669514</x:v>
      </x:c>
      <x:c r="P68" s="601" t="str">
        <x:v>PCG</x:v>
      </x:c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600" t="n">
        <x:v>46248</x:v>
      </x:c>
      <x:c r="B69" s="601" t="n">
        <x:v>33</x:v>
      </x:c>
      <x:c r="C69" s="601" t="str">
        <x:v>08 - August</x:v>
      </x:c>
      <x:c r="D69" s="601" t="str">
        <x:v>T3</x:v>
      </x:c>
      <x:c r="E69" s="601" t="n">
        <x:v>2026</x:v>
      </x:c>
      <x:c r="F69" s="601" t="str">
        <x:v>Filiale Sud</x:v>
      </x:c>
      <x:c r="G69" s="601" t="str">
        <x:v>645000</x:v>
      </x:c>
      <x:c r="H69" s="601" t="str">
        <x:v>Charges sociales</x:v>
      </x:c>
      <x:c r="I69" s="601" t="str">
        <x:v>Charge</x:v>
      </x:c>
      <x:c r="J69" s="601" t="str">
        <x:v>Réalisé</x:v>
      </x:c>
      <x:c r="K69" s="602" t="n">
        <x:v>10045</x:v>
      </x:c>
      <x:c r="L69" s="602" t="n">
        <x:v>0</x:v>
      </x:c>
      <x:c r="M69" s="603" t="n">
        <x:v>-10045</x:v>
      </x:c>
      <x:c r="N69" s="603" t="n">
        <x:v>-9953.185841235823</x:v>
      </x:c>
      <x:c r="O69" s="603" t="n">
        <x:f>M69-N69</x:f>
        <x:v>-91.81415876417668</x:v>
      </x:c>
      <x:c r="P69" s="601" t="str">
        <x:v>IFRS</x:v>
      </x:c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600" t="n">
        <x:v>46229</x:v>
      </x:c>
      <x:c r="B70" s="601" t="n">
        <x:v>30</x:v>
      </x:c>
      <x:c r="C70" s="601" t="str">
        <x:v>07 - July</x:v>
      </x:c>
      <x:c r="D70" s="601" t="str">
        <x:v>T3</x:v>
      </x:c>
      <x:c r="E70" s="601" t="n">
        <x:v>2026</x:v>
      </x:c>
      <x:c r="F70" s="601" t="str">
        <x:v>Filiale Nord</x:v>
      </x:c>
      <x:c r="G70" s="601" t="str">
        <x:v>627000</x:v>
      </x:c>
      <x:c r="H70" s="601" t="str">
        <x:v>Frais bancaires</x:v>
      </x:c>
      <x:c r="I70" s="601" t="str">
        <x:v>Charge</x:v>
      </x:c>
      <x:c r="J70" s="601" t="str">
        <x:v>Clôturé</x:v>
      </x:c>
      <x:c r="K70" s="602" t="n">
        <x:v>4419</x:v>
      </x:c>
      <x:c r="L70" s="602" t="n">
        <x:v>0</x:v>
      </x:c>
      <x:c r="M70" s="603" t="n">
        <x:v>-4419</x:v>
      </x:c>
      <x:c r="N70" s="603" t="n">
        <x:v>-4418.330869356754</x:v>
      </x:c>
      <x:c r="O70" s="603" t="n">
        <x:f>M70-N70</x:f>
        <x:v>-0.6691306432458077</x:v>
      </x:c>
      <x:c r="P70" s="601" t="str">
        <x:v>IFRS</x:v>
      </x:c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600" t="n">
        <x:v>46197</x:v>
      </x:c>
      <x:c r="B71" s="601" t="n">
        <x:v>26</x:v>
      </x:c>
      <x:c r="C71" s="601" t="str">
        <x:v>06 - June</x:v>
      </x:c>
      <x:c r="D71" s="601" t="str">
        <x:v>T2</x:v>
      </x:c>
      <x:c r="E71" s="601" t="n">
        <x:v>2026</x:v>
      </x:c>
      <x:c r="F71" s="601" t="str">
        <x:v>Groupe</x:v>
      </x:c>
      <x:c r="G71" s="601" t="str">
        <x:v>706000</x:v>
      </x:c>
      <x:c r="H71" s="601" t="str">
        <x:v>Prestations de services</x:v>
      </x:c>
      <x:c r="I71" s="601" t="str">
        <x:v>Produit</x:v>
      </x:c>
      <x:c r="J71" s="601" t="str">
        <x:v>Clôturé</x:v>
      </x:c>
      <x:c r="K71" s="602" t="n">
        <x:v>0</x:v>
      </x:c>
      <x:c r="L71" s="602" t="n">
        <x:v>19841</x:v>
      </x:c>
      <x:c r="M71" s="603" t="n">
        <x:v>19841</x:v>
      </x:c>
      <x:c r="N71" s="603" t="n">
        <x:v>20704.806692018745</x:v>
      </x:c>
      <x:c r="O71" s="603" t="n">
        <x:f>M71-N71</x:f>
        <x:v>-863.8066920187448</x:v>
      </x:c>
      <x:c r="P71" s="601" t="str">
        <x:v>IFRS</x:v>
      </x:c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600" t="n">
        <x:v>46208</x:v>
      </x:c>
      <x:c r="B72" s="601" t="n">
        <x:v>27</x:v>
      </x:c>
      <x:c r="C72" s="601" t="str">
        <x:v>07 - July</x:v>
      </x:c>
      <x:c r="D72" s="601" t="str">
        <x:v>T3</x:v>
      </x:c>
      <x:c r="E72" s="601" t="n">
        <x:v>2026</x:v>
      </x:c>
      <x:c r="F72" s="601" t="str">
        <x:v>Filiale Nord</x:v>
      </x:c>
      <x:c r="G72" s="601" t="str">
        <x:v>615000</x:v>
      </x:c>
      <x:c r="H72" s="601" t="str">
        <x:v>Maintenance</x:v>
      </x:c>
      <x:c r="I72" s="601" t="str">
        <x:v>Charge</x:v>
      </x:c>
      <x:c r="J72" s="601" t="str">
        <x:v>Clôturé</x:v>
      </x:c>
      <x:c r="K72" s="602" t="n">
        <x:v>8158</x:v>
      </x:c>
      <x:c r="L72" s="602" t="n">
        <x:v>0</x:v>
      </x:c>
      <x:c r="M72" s="603" t="n">
        <x:v>-8158</x:v>
      </x:c>
      <x:c r="N72" s="603" t="n">
        <x:v>-8234.079172356409</x:v>
      </x:c>
      <x:c r="O72" s="603" t="n">
        <x:f>M72-N72</x:f>
        <x:v>76.07917235640889</x:v>
      </x:c>
      <x:c r="P72" s="601" t="str">
        <x:v>Management</x:v>
      </x:c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600" t="n">
        <x:v>46111</x:v>
      </x:c>
      <x:c r="B73" s="601" t="n">
        <x:v>14</x:v>
      </x:c>
      <x:c r="C73" s="601" t="str">
        <x:v>03 - March</x:v>
      </x:c>
      <x:c r="D73" s="601" t="str">
        <x:v>T1</x:v>
      </x:c>
      <x:c r="E73" s="601" t="n">
        <x:v>2026</x:v>
      </x:c>
      <x:c r="F73" s="601" t="str">
        <x:v>Groupe</x:v>
      </x:c>
      <x:c r="G73" s="601" t="str">
        <x:v>701000</x:v>
      </x:c>
      <x:c r="H73" s="601" t="str">
        <x:v>Ventes de produits</x:v>
      </x:c>
      <x:c r="I73" s="601" t="str">
        <x:v>Produit</x:v>
      </x:c>
      <x:c r="J73" s="601" t="str">
        <x:v>Clôturé</x:v>
      </x:c>
      <x:c r="K73" s="602" t="n">
        <x:v>0</x:v>
      </x:c>
      <x:c r="L73" s="602" t="n">
        <x:v>10899</x:v>
      </x:c>
      <x:c r="M73" s="603" t="n">
        <x:v>10899</x:v>
      </x:c>
      <x:c r="N73" s="603" t="n">
        <x:v>11004.06285692134</x:v>
      </x:c>
      <x:c r="O73" s="603" t="n">
        <x:f>M73-N73</x:f>
        <x:v>-105.06285692134043</x:v>
      </x:c>
      <x:c r="P73" s="601" t="str">
        <x:v>IFRS</x:v>
      </x:c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600" t="n">
        <x:v>46134</x:v>
      </x:c>
      <x:c r="B74" s="601" t="n">
        <x:v>17</x:v>
      </x:c>
      <x:c r="C74" s="601" t="str">
        <x:v>04 - April</x:v>
      </x:c>
      <x:c r="D74" s="601" t="str">
        <x:v>T2</x:v>
      </x:c>
      <x:c r="E74" s="601" t="n">
        <x:v>2026</x:v>
      </x:c>
      <x:c r="F74" s="601" t="str">
        <x:v>Groupe</x:v>
      </x:c>
      <x:c r="G74" s="601" t="str">
        <x:v>615000</x:v>
      </x:c>
      <x:c r="H74" s="601" t="str">
        <x:v>Maintenance</x:v>
      </x:c>
      <x:c r="I74" s="601" t="str">
        <x:v>Charge</x:v>
      </x:c>
      <x:c r="J74" s="601" t="str">
        <x:v>Prévision</x:v>
      </x:c>
      <x:c r="K74" s="602" t="n">
        <x:v>9804</x:v>
      </x:c>
      <x:c r="L74" s="602" t="n">
        <x:v>0</x:v>
      </x:c>
      <x:c r="M74" s="603" t="n">
        <x:v>-9804</x:v>
      </x:c>
      <x:c r="N74" s="603" t="n">
        <x:v>-10681.912205659986</x:v>
      </x:c>
      <x:c r="O74" s="603" t="n">
        <x:f>M74-N74</x:f>
        <x:v>877.9122056599863</x:v>
      </x:c>
      <x:c r="P74" s="601" t="str">
        <x:v>PCG</x:v>
      </x:c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600" t="n">
        <x:v>46030</x:v>
      </x:c>
      <x:c r="B75" s="601" t="n">
        <x:v>2</x:v>
      </x:c>
      <x:c r="C75" s="601" t="str">
        <x:v>01 - January</x:v>
      </x:c>
      <x:c r="D75" s="601" t="str">
        <x:v>T1</x:v>
      </x:c>
      <x:c r="E75" s="601" t="n">
        <x:v>2026</x:v>
      </x:c>
      <x:c r="F75" s="601" t="str">
        <x:v>Groupe</x:v>
      </x:c>
      <x:c r="G75" s="601" t="str">
        <x:v>627000</x:v>
      </x:c>
      <x:c r="H75" s="601" t="str">
        <x:v>Frais bancaires</x:v>
      </x:c>
      <x:c r="I75" s="601" t="str">
        <x:v>Charge</x:v>
      </x:c>
      <x:c r="J75" s="601" t="str">
        <x:v>Prévision</x:v>
      </x:c>
      <x:c r="K75" s="602" t="n">
        <x:v>8441</x:v>
      </x:c>
      <x:c r="L75" s="602" t="n">
        <x:v>0</x:v>
      </x:c>
      <x:c r="M75" s="603" t="n">
        <x:v>-8441</x:v>
      </x:c>
      <x:c r="N75" s="603" t="n">
        <x:v>-8131.062808537461</x:v>
      </x:c>
      <x:c r="O75" s="603" t="n">
        <x:f>M75-N75</x:f>
        <x:v>-309.937191462539</x:v>
      </x:c>
      <x:c r="P75" s="601" t="str">
        <x:v>PCG</x:v>
      </x:c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600" t="n">
        <x:v>46031</x:v>
      </x:c>
      <x:c r="B76" s="601" t="n">
        <x:v>2</x:v>
      </x:c>
      <x:c r="C76" s="601" t="str">
        <x:v>01 - January</x:v>
      </x:c>
      <x:c r="D76" s="601" t="str">
        <x:v>T1</x:v>
      </x:c>
      <x:c r="E76" s="601" t="n">
        <x:v>2026</x:v>
      </x:c>
      <x:c r="F76" s="601" t="str">
        <x:v>Filiale Sud</x:v>
      </x:c>
      <x:c r="G76" s="601" t="str">
        <x:v>607000</x:v>
      </x:c>
      <x:c r="H76" s="601" t="str">
        <x:v>Achats de marchandises</x:v>
      </x:c>
      <x:c r="I76" s="601" t="str">
        <x:v>Charge</x:v>
      </x:c>
      <x:c r="J76" s="601" t="str">
        <x:v>Prévision</x:v>
      </x:c>
      <x:c r="K76" s="602" t="n">
        <x:v>11409</x:v>
      </x:c>
      <x:c r="L76" s="602" t="n">
        <x:v>0</x:v>
      </x:c>
      <x:c r="M76" s="603" t="n">
        <x:v>-11409</x:v>
      </x:c>
      <x:c r="N76" s="603" t="n">
        <x:v>-11729.812490443337</x:v>
      </x:c>
      <x:c r="O76" s="603" t="n">
        <x:f>M76-N76</x:f>
        <x:v>320.8124904433371</x:v>
      </x:c>
      <x:c r="P76" s="601" t="str">
        <x:v>PCG</x:v>
      </x:c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600" t="n">
        <x:v>46132</x:v>
      </x:c>
      <x:c r="B77" s="601" t="n">
        <x:v>17</x:v>
      </x:c>
      <x:c r="C77" s="601" t="str">
        <x:v>04 - April</x:v>
      </x:c>
      <x:c r="D77" s="601" t="str">
        <x:v>T2</x:v>
      </x:c>
      <x:c r="E77" s="601" t="n">
        <x:v>2026</x:v>
      </x:c>
      <x:c r="F77" s="601" t="str">
        <x:v>Filiale Nord</x:v>
      </x:c>
      <x:c r="G77" s="601" t="str">
        <x:v>613000</x:v>
      </x:c>
      <x:c r="H77" s="601" t="str">
        <x:v>Loyers</x:v>
      </x:c>
      <x:c r="I77" s="601" t="str">
        <x:v>Charge</x:v>
      </x:c>
      <x:c r="J77" s="601" t="str">
        <x:v>Prévision</x:v>
      </x:c>
      <x:c r="K77" s="602" t="n">
        <x:v>4562</x:v>
      </x:c>
      <x:c r="L77" s="602" t="n">
        <x:v>0</x:v>
      </x:c>
      <x:c r="M77" s="603" t="n">
        <x:v>-4562</x:v>
      </x:c>
      <x:c r="N77" s="603" t="n">
        <x:v>-4483.991247808714</x:v>
      </x:c>
      <x:c r="O77" s="603" t="n">
        <x:f>M77-N77</x:f>
        <x:v>-78.00875219128557</x:v>
      </x:c>
      <x:c r="P77" s="601" t="str">
        <x:v>Management</x:v>
      </x:c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600" t="n">
        <x:v>46072</x:v>
      </x:c>
      <x:c r="B78" s="601" t="n">
        <x:v>8</x:v>
      </x:c>
      <x:c r="C78" s="601" t="str">
        <x:v>02 - February</x:v>
      </x:c>
      <x:c r="D78" s="601" t="str">
        <x:v>T1</x:v>
      </x:c>
      <x:c r="E78" s="601" t="n">
        <x:v>2026</x:v>
      </x:c>
      <x:c r="F78" s="601" t="str">
        <x:v>Filiale Sud</x:v>
      </x:c>
      <x:c r="G78" s="601" t="str">
        <x:v>641000</x:v>
      </x:c>
      <x:c r="H78" s="601" t="str">
        <x:v>Salaires</x:v>
      </x:c>
      <x:c r="I78" s="601" t="str">
        <x:v>Charge</x:v>
      </x:c>
      <x:c r="J78" s="601" t="str">
        <x:v>Clôturé</x:v>
      </x:c>
      <x:c r="K78" s="602" t="n">
        <x:v>17278</x:v>
      </x:c>
      <x:c r="L78" s="602" t="n">
        <x:v>0</x:v>
      </x:c>
      <x:c r="M78" s="603" t="n">
        <x:v>-17278</x:v>
      </x:c>
      <x:c r="N78" s="603" t="n">
        <x:v>-18715.616909014432</x:v>
      </x:c>
      <x:c r="O78" s="603" t="n">
        <x:f>M78-N78</x:f>
        <x:v>1437.6169090144322</x:v>
      </x:c>
      <x:c r="P78" s="601" t="str">
        <x:v>IFRS</x:v>
      </x:c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600" t="n">
        <x:v>46080</x:v>
      </x:c>
      <x:c r="B79" s="601" t="n">
        <x:v>9</x:v>
      </x:c>
      <x:c r="C79" s="601" t="str">
        <x:v>02 - February</x:v>
      </x:c>
      <x:c r="D79" s="601" t="str">
        <x:v>T1</x:v>
      </x:c>
      <x:c r="E79" s="601" t="n">
        <x:v>2026</x:v>
      </x:c>
      <x:c r="F79" s="601" t="str">
        <x:v>Filiale Nord</x:v>
      </x:c>
      <x:c r="G79" s="601" t="str">
        <x:v>607000</x:v>
      </x:c>
      <x:c r="H79" s="601" t="str">
        <x:v>Achats de marchandises</x:v>
      </x:c>
      <x:c r="I79" s="601" t="str">
        <x:v>Charge</x:v>
      </x:c>
      <x:c r="J79" s="601" t="str">
        <x:v>Clôturé</x:v>
      </x:c>
      <x:c r="K79" s="602" t="n">
        <x:v>3942</x:v>
      </x:c>
      <x:c r="L79" s="602" t="n">
        <x:v>0</x:v>
      </x:c>
      <x:c r="M79" s="603" t="n">
        <x:v>-3942</x:v>
      </x:c>
      <x:c r="N79" s="603" t="n">
        <x:v>-3662.8398023329405</x:v>
      </x:c>
      <x:c r="O79" s="603" t="n">
        <x:f>M79-N79</x:f>
        <x:v>-279.1601976670595</x:v>
      </x:c>
      <x:c r="P79" s="601" t="str">
        <x:v>Management</x:v>
      </x:c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600" t="n">
        <x:v>46384</x:v>
      </x:c>
      <x:c r="B80" s="601" t="n">
        <x:v>53</x:v>
      </x:c>
      <x:c r="C80" s="601" t="str">
        <x:v>12 - December</x:v>
      </x:c>
      <x:c r="D80" s="601" t="str">
        <x:v>T4</x:v>
      </x:c>
      <x:c r="E80" s="601" t="n">
        <x:v>2026</x:v>
      </x:c>
      <x:c r="F80" s="601" t="str">
        <x:v>Filiale Nord</x:v>
      </x:c>
      <x:c r="G80" s="601" t="str">
        <x:v>615000</x:v>
      </x:c>
      <x:c r="H80" s="601" t="str">
        <x:v>Maintenance</x:v>
      </x:c>
      <x:c r="I80" s="601" t="str">
        <x:v>Charge</x:v>
      </x:c>
      <x:c r="J80" s="601" t="str">
        <x:v>Clôturé</x:v>
      </x:c>
      <x:c r="K80" s="602" t="n">
        <x:v>3133</x:v>
      </x:c>
      <x:c r="L80" s="602" t="n">
        <x:v>0</x:v>
      </x:c>
      <x:c r="M80" s="603" t="n">
        <x:v>-3133</x:v>
      </x:c>
      <x:c r="N80" s="603" t="n">
        <x:v>-2978.234044751399</x:v>
      </x:c>
      <x:c r="O80" s="603" t="n">
        <x:f>M80-N80</x:f>
        <x:v>-154.76595524860113</x:v>
      </x:c>
      <x:c r="P80" s="601" t="str">
        <x:v>Management</x:v>
      </x:c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600" t="n">
        <x:v>46124</x:v>
      </x:c>
      <x:c r="B81" s="601" t="n">
        <x:v>15</x:v>
      </x:c>
      <x:c r="C81" s="601" t="str">
        <x:v>04 - April</x:v>
      </x:c>
      <x:c r="D81" s="601" t="str">
        <x:v>T2</x:v>
      </x:c>
      <x:c r="E81" s="601" t="n">
        <x:v>2026</x:v>
      </x:c>
      <x:c r="F81" s="601" t="str">
        <x:v>Groupe</x:v>
      </x:c>
      <x:c r="G81" s="601" t="str">
        <x:v>645000</x:v>
      </x:c>
      <x:c r="H81" s="601" t="str">
        <x:v>Charges sociales</x:v>
      </x:c>
      <x:c r="I81" s="601" t="str">
        <x:v>Charge</x:v>
      </x:c>
      <x:c r="J81" s="601" t="str">
        <x:v>Réalisé</x:v>
      </x:c>
      <x:c r="K81" s="602" t="n">
        <x:v>3605</x:v>
      </x:c>
      <x:c r="L81" s="602" t="n">
        <x:v>0</x:v>
      </x:c>
      <x:c r="M81" s="603" t="n">
        <x:v>-3605</x:v>
      </x:c>
      <x:c r="N81" s="603" t="n">
        <x:v>-3799.4582136946324</x:v>
      </x:c>
      <x:c r="O81" s="603" t="n">
        <x:f>M81-N81</x:f>
        <x:v>194.45821369463238</x:v>
      </x:c>
      <x:c r="P81" s="601" t="str">
        <x:v>Management</x:v>
      </x:c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600" t="n">
        <x:v>46105</x:v>
      </x:c>
      <x:c r="B82" s="601" t="n">
        <x:v>13</x:v>
      </x:c>
      <x:c r="C82" s="601" t="str">
        <x:v>03 - March</x:v>
      </x:c>
      <x:c r="D82" s="601" t="str">
        <x:v>T1</x:v>
      </x:c>
      <x:c r="E82" s="601" t="n">
        <x:v>2026</x:v>
      </x:c>
      <x:c r="F82" s="601" t="str">
        <x:v>Groupe</x:v>
      </x:c>
      <x:c r="G82" s="601" t="str">
        <x:v>701000</x:v>
      </x:c>
      <x:c r="H82" s="601" t="str">
        <x:v>Ventes de produits</x:v>
      </x:c>
      <x:c r="I82" s="601" t="str">
        <x:v>Produit</x:v>
      </x:c>
      <x:c r="J82" s="601" t="str">
        <x:v>Réalisé</x:v>
      </x:c>
      <x:c r="K82" s="602" t="n">
        <x:v>0</x:v>
      </x:c>
      <x:c r="L82" s="602" t="n">
        <x:v>21004</x:v>
      </x:c>
      <x:c r="M82" s="603" t="n">
        <x:v>21004</x:v>
      </x:c>
      <x:c r="N82" s="603" t="n">
        <x:v>22379.311953219032</x:v>
      </x:c>
      <x:c r="O82" s="603" t="n">
        <x:f>M82-N82</x:f>
        <x:v>-1375.3119532190321</x:v>
      </x:c>
      <x:c r="P82" s="601" t="str">
        <x:v>IFRS</x:v>
      </x:c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600" t="n">
        <x:v>46180</x:v>
      </x:c>
      <x:c r="B83" s="601" t="n">
        <x:v>23</x:v>
      </x:c>
      <x:c r="C83" s="601" t="str">
        <x:v>06 - June</x:v>
      </x:c>
      <x:c r="D83" s="601" t="str">
        <x:v>T2</x:v>
      </x:c>
      <x:c r="E83" s="601" t="n">
        <x:v>2026</x:v>
      </x:c>
      <x:c r="F83" s="601" t="str">
        <x:v>Filiale Sud</x:v>
      </x:c>
      <x:c r="G83" s="601" t="str">
        <x:v>645000</x:v>
      </x:c>
      <x:c r="H83" s="601" t="str">
        <x:v>Charges sociales</x:v>
      </x:c>
      <x:c r="I83" s="601" t="str">
        <x:v>Charge</x:v>
      </x:c>
      <x:c r="J83" s="601" t="str">
        <x:v>Prévision</x:v>
      </x:c>
      <x:c r="K83" s="602" t="n">
        <x:v>2206</x:v>
      </x:c>
      <x:c r="L83" s="602" t="n">
        <x:v>0</x:v>
      </x:c>
      <x:c r="M83" s="603" t="n">
        <x:v>-2206</x:v>
      </x:c>
      <x:c r="N83" s="603" t="n">
        <x:v>-2164.5488666550295</x:v>
      </x:c>
      <x:c r="O83" s="603" t="n">
        <x:f>M83-N83</x:f>
        <x:v>-41.45113334497046</x:v>
      </x:c>
      <x:c r="P83" s="601" t="str">
        <x:v>Management</x:v>
      </x:c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600" t="n">
        <x:v>46377</x:v>
      </x:c>
      <x:c r="B84" s="601" t="n">
        <x:v>52</x:v>
      </x:c>
      <x:c r="C84" s="601" t="str">
        <x:v>12 - December</x:v>
      </x:c>
      <x:c r="D84" s="601" t="str">
        <x:v>T4</x:v>
      </x:c>
      <x:c r="E84" s="601" t="n">
        <x:v>2026</x:v>
      </x:c>
      <x:c r="F84" s="601" t="str">
        <x:v>Filiale Sud</x:v>
      </x:c>
      <x:c r="G84" s="601" t="str">
        <x:v>641000</x:v>
      </x:c>
      <x:c r="H84" s="601" t="str">
        <x:v>Salaires</x:v>
      </x:c>
      <x:c r="I84" s="601" t="str">
        <x:v>Charge</x:v>
      </x:c>
      <x:c r="J84" s="601" t="str">
        <x:v>Clôturé</x:v>
      </x:c>
      <x:c r="K84" s="602" t="n">
        <x:v>7692</x:v>
      </x:c>
      <x:c r="L84" s="602" t="n">
        <x:v>0</x:v>
      </x:c>
      <x:c r="M84" s="603" t="n">
        <x:v>-7692</x:v>
      </x:c>
      <x:c r="N84" s="603" t="n">
        <x:v>-7094.958514174851</x:v>
      </x:c>
      <x:c r="O84" s="603" t="n">
        <x:f>M84-N84</x:f>
        <x:v>-597.0414858251488</x:v>
      </x:c>
      <x:c r="P84" s="601" t="str">
        <x:v>IFRS</x:v>
      </x:c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600" t="n">
        <x:v>46102</x:v>
      </x:c>
      <x:c r="B85" s="601" t="n">
        <x:v>12</x:v>
      </x:c>
      <x:c r="C85" s="601" t="str">
        <x:v>03 - March</x:v>
      </x:c>
      <x:c r="D85" s="601" t="str">
        <x:v>T1</x:v>
      </x:c>
      <x:c r="E85" s="601" t="n">
        <x:v>2026</x:v>
      </x:c>
      <x:c r="F85" s="601" t="str">
        <x:v>Filiale Sud</x:v>
      </x:c>
      <x:c r="G85" s="601" t="str">
        <x:v>613000</x:v>
      </x:c>
      <x:c r="H85" s="601" t="str">
        <x:v>Loyers</x:v>
      </x:c>
      <x:c r="I85" s="601" t="str">
        <x:v>Charge</x:v>
      </x:c>
      <x:c r="J85" s="601" t="str">
        <x:v>Prévision</x:v>
      </x:c>
      <x:c r="K85" s="602" t="n">
        <x:v>9327</x:v>
      </x:c>
      <x:c r="L85" s="602" t="n">
        <x:v>0</x:v>
      </x:c>
      <x:c r="M85" s="603" t="n">
        <x:v>-9327</x:v>
      </x:c>
      <x:c r="N85" s="603" t="n">
        <x:v>-9613.383633924495</x:v>
      </x:c>
      <x:c r="O85" s="603" t="n">
        <x:f>M85-N85</x:f>
        <x:v>286.38363392449537</x:v>
      </x:c>
      <x:c r="P85" s="601" t="str">
        <x:v>IFRS</x:v>
      </x:c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600" t="n">
        <x:v>46200</x:v>
      </x:c>
      <x:c r="B86" s="601" t="n">
        <x:v>26</x:v>
      </x:c>
      <x:c r="C86" s="601" t="str">
        <x:v>06 - June</x:v>
      </x:c>
      <x:c r="D86" s="601" t="str">
        <x:v>T2</x:v>
      </x:c>
      <x:c r="E86" s="601" t="n">
        <x:v>2026</x:v>
      </x:c>
      <x:c r="F86" s="601" t="str">
        <x:v>Filiale Sud</x:v>
      </x:c>
      <x:c r="G86" s="601" t="str">
        <x:v>627000</x:v>
      </x:c>
      <x:c r="H86" s="601" t="str">
        <x:v>Frais bancaires</x:v>
      </x:c>
      <x:c r="I86" s="601" t="str">
        <x:v>Charge</x:v>
      </x:c>
      <x:c r="J86" s="601" t="str">
        <x:v>Réalisé</x:v>
      </x:c>
      <x:c r="K86" s="602" t="n">
        <x:v>16675</x:v>
      </x:c>
      <x:c r="L86" s="602" t="n">
        <x:v>0</x:v>
      </x:c>
      <x:c r="M86" s="603" t="n">
        <x:v>-16675</x:v>
      </x:c>
      <x:c r="N86" s="603" t="n">
        <x:v>-17906.58008365675</x:v>
      </x:c>
      <x:c r="O86" s="603" t="n">
        <x:f>M86-N86</x:f>
        <x:v>1231.5800836567505</x:v>
      </x:c>
      <x:c r="P86" s="601" t="str">
        <x:v>Management</x:v>
      </x:c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600" t="n">
        <x:v>46093</x:v>
      </x:c>
      <x:c r="B87" s="601" t="n">
        <x:v>11</x:v>
      </x:c>
      <x:c r="C87" s="601" t="str">
        <x:v>03 - March</x:v>
      </x:c>
      <x:c r="D87" s="601" t="str">
        <x:v>T1</x:v>
      </x:c>
      <x:c r="E87" s="601" t="n">
        <x:v>2026</x:v>
      </x:c>
      <x:c r="F87" s="601" t="str">
        <x:v>Filiale Sud</x:v>
      </x:c>
      <x:c r="G87" s="601" t="str">
        <x:v>607000</x:v>
      </x:c>
      <x:c r="H87" s="601" t="str">
        <x:v>Achats de marchandises</x:v>
      </x:c>
      <x:c r="I87" s="601" t="str">
        <x:v>Charge</x:v>
      </x:c>
      <x:c r="J87" s="601" t="str">
        <x:v>Clôturé</x:v>
      </x:c>
      <x:c r="K87" s="602" t="n">
        <x:v>16864</x:v>
      </x:c>
      <x:c r="L87" s="602" t="n">
        <x:v>0</x:v>
      </x:c>
      <x:c r="M87" s="603" t="n">
        <x:v>-16864</x:v>
      </x:c>
      <x:c r="N87" s="603" t="n">
        <x:v>-15503.981525782157</x:v>
      </x:c>
      <x:c r="O87" s="603" t="n">
        <x:f>M87-N87</x:f>
        <x:v>-1360.0184742178426</x:v>
      </x:c>
      <x:c r="P87" s="601" t="str">
        <x:v>IFRS</x:v>
      </x:c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600" t="n">
        <x:v>46335</x:v>
      </x:c>
      <x:c r="B88" s="601" t="n">
        <x:v>46</x:v>
      </x:c>
      <x:c r="C88" s="601" t="str">
        <x:v>11 - November</x:v>
      </x:c>
      <x:c r="D88" s="601" t="str">
        <x:v>T4</x:v>
      </x:c>
      <x:c r="E88" s="601" t="n">
        <x:v>2026</x:v>
      </x:c>
      <x:c r="F88" s="601" t="str">
        <x:v>Groupe</x:v>
      </x:c>
      <x:c r="G88" s="601" t="str">
        <x:v>641000</x:v>
      </x:c>
      <x:c r="H88" s="601" t="str">
        <x:v>Salaires</x:v>
      </x:c>
      <x:c r="I88" s="601" t="str">
        <x:v>Charge</x:v>
      </x:c>
      <x:c r="J88" s="601" t="str">
        <x:v>Clôturé</x:v>
      </x:c>
      <x:c r="K88" s="602" t="n">
        <x:v>8737</x:v>
      </x:c>
      <x:c r="L88" s="602" t="n">
        <x:v>0</x:v>
      </x:c>
      <x:c r="M88" s="603" t="n">
        <x:v>-8737</x:v>
      </x:c>
      <x:c r="N88" s="603" t="n">
        <x:v>-8607.084791247697</x:v>
      </x:c>
      <x:c r="O88" s="603" t="n">
        <x:f>M88-N88</x:f>
        <x:v>-129.91520875230344</x:v>
      </x:c>
      <x:c r="P88" s="601" t="str">
        <x:v>Management</x:v>
      </x:c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600" t="n">
        <x:v>46125</x:v>
      </x:c>
      <x:c r="B89" s="601" t="n">
        <x:v>16</x:v>
      </x:c>
      <x:c r="C89" s="601" t="str">
        <x:v>04 - April</x:v>
      </x:c>
      <x:c r="D89" s="601" t="str">
        <x:v>T2</x:v>
      </x:c>
      <x:c r="E89" s="601" t="n">
        <x:v>2026</x:v>
      </x:c>
      <x:c r="F89" s="601" t="str">
        <x:v>Filiale Nord</x:v>
      </x:c>
      <x:c r="G89" s="601" t="str">
        <x:v>607000</x:v>
      </x:c>
      <x:c r="H89" s="601" t="str">
        <x:v>Achats de marchandises</x:v>
      </x:c>
      <x:c r="I89" s="601" t="str">
        <x:v>Charge</x:v>
      </x:c>
      <x:c r="J89" s="601" t="str">
        <x:v>Réalisé</x:v>
      </x:c>
      <x:c r="K89" s="602" t="n">
        <x:v>10235</x:v>
      </x:c>
      <x:c r="L89" s="602" t="n">
        <x:v>0</x:v>
      </x:c>
      <x:c r="M89" s="603" t="n">
        <x:v>-10235</x:v>
      </x:c>
      <x:c r="N89" s="603" t="n">
        <x:v>-9359.096024542701</x:v>
      </x:c>
      <x:c r="O89" s="603" t="n">
        <x:f>M89-N89</x:f>
        <x:v>-875.9039754572987</x:v>
      </x:c>
      <x:c r="P89" s="601" t="str">
        <x:v>Management</x:v>
      </x:c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600" t="n">
        <x:v>46095</x:v>
      </x:c>
      <x:c r="B90" s="601" t="n">
        <x:v>11</x:v>
      </x:c>
      <x:c r="C90" s="601" t="str">
        <x:v>03 - March</x:v>
      </x:c>
      <x:c r="D90" s="601" t="str">
        <x:v>T1</x:v>
      </x:c>
      <x:c r="E90" s="601" t="n">
        <x:v>2026</x:v>
      </x:c>
      <x:c r="F90" s="601" t="str">
        <x:v>Filiale Sud</x:v>
      </x:c>
      <x:c r="G90" s="601" t="str">
        <x:v>641000</x:v>
      </x:c>
      <x:c r="H90" s="601" t="str">
        <x:v>Salaires</x:v>
      </x:c>
      <x:c r="I90" s="601" t="str">
        <x:v>Charge</x:v>
      </x:c>
      <x:c r="J90" s="601" t="str">
        <x:v>Réalisé</x:v>
      </x:c>
      <x:c r="K90" s="602" t="n">
        <x:v>14532</x:v>
      </x:c>
      <x:c r="L90" s="602" t="n">
        <x:v>0</x:v>
      </x:c>
      <x:c r="M90" s="603" t="n">
        <x:v>-14532</x:v>
      </x:c>
      <x:c r="N90" s="603" t="n">
        <x:v>-15519.96695958977</x:v>
      </x:c>
      <x:c r="O90" s="603" t="n">
        <x:f>M90-N90</x:f>
        <x:v>987.9669595897703</x:v>
      </x:c>
      <x:c r="P90" s="601" t="str">
        <x:v>IFRS</x:v>
      </x:c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600" t="n">
        <x:v>46205</x:v>
      </x:c>
      <x:c r="B91" s="601" t="n">
        <x:v>27</x:v>
      </x:c>
      <x:c r="C91" s="601" t="str">
        <x:v>07 - July</x:v>
      </x:c>
      <x:c r="D91" s="601" t="str">
        <x:v>T3</x:v>
      </x:c>
      <x:c r="E91" s="601" t="n">
        <x:v>2026</x:v>
      </x:c>
      <x:c r="F91" s="601" t="str">
        <x:v>Filiale Nord</x:v>
      </x:c>
      <x:c r="G91" s="601" t="str">
        <x:v>706000</x:v>
      </x:c>
      <x:c r="H91" s="601" t="str">
        <x:v>Prestations de services</x:v>
      </x:c>
      <x:c r="I91" s="601" t="str">
        <x:v>Produit</x:v>
      </x:c>
      <x:c r="J91" s="601" t="str">
        <x:v>Clôturé</x:v>
      </x:c>
      <x:c r="K91" s="602" t="n">
        <x:v>0</x:v>
      </x:c>
      <x:c r="L91" s="602" t="n">
        <x:v>11870</x:v>
      </x:c>
      <x:c r="M91" s="603" t="n">
        <x:v>11870</x:v>
      </x:c>
      <x:c r="N91" s="603" t="n">
        <x:v>11599.736850421037</x:v>
      </x:c>
      <x:c r="O91" s="603" t="n">
        <x:f>M91-N91</x:f>
        <x:v>270.26314957896284</x:v>
      </x:c>
      <x:c r="P91" s="601" t="str">
        <x:v>IFRS</x:v>
      </x:c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600" t="n">
        <x:v>46233</x:v>
      </x:c>
      <x:c r="B92" s="601" t="n">
        <x:v>31</x:v>
      </x:c>
      <x:c r="C92" s="601" t="str">
        <x:v>07 - July</x:v>
      </x:c>
      <x:c r="D92" s="601" t="str">
        <x:v>T3</x:v>
      </x:c>
      <x:c r="E92" s="601" t="n">
        <x:v>2026</x:v>
      </x:c>
      <x:c r="F92" s="601" t="str">
        <x:v>Filiale Sud</x:v>
      </x:c>
      <x:c r="G92" s="601" t="str">
        <x:v>701000</x:v>
      </x:c>
      <x:c r="H92" s="601" t="str">
        <x:v>Ventes de produits</x:v>
      </x:c>
      <x:c r="I92" s="601" t="str">
        <x:v>Produit</x:v>
      </x:c>
      <x:c r="J92" s="601" t="str">
        <x:v>Clôturé</x:v>
      </x:c>
      <x:c r="K92" s="602" t="n">
        <x:v>0</x:v>
      </x:c>
      <x:c r="L92" s="602" t="n">
        <x:v>23972</x:v>
      </x:c>
      <x:c r="M92" s="603" t="n">
        <x:v>23972</x:v>
      </x:c>
      <x:c r="N92" s="603" t="n">
        <x:v>23195.396734272395</x:v>
      </x:c>
      <x:c r="O92" s="603" t="n">
        <x:f>M92-N92</x:f>
        <x:v>776.6032657276046</x:v>
      </x:c>
      <x:c r="P92" s="601" t="str">
        <x:v>PCG</x:v>
      </x:c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600" t="n">
        <x:v>46031</x:v>
      </x:c>
      <x:c r="B93" s="601" t="n">
        <x:v>2</x:v>
      </x:c>
      <x:c r="C93" s="601" t="str">
        <x:v>01 - January</x:v>
      </x:c>
      <x:c r="D93" s="601" t="str">
        <x:v>T1</x:v>
      </x:c>
      <x:c r="E93" s="601" t="n">
        <x:v>2026</x:v>
      </x:c>
      <x:c r="F93" s="601" t="str">
        <x:v>Groupe</x:v>
      </x:c>
      <x:c r="G93" s="601" t="str">
        <x:v>613000</x:v>
      </x:c>
      <x:c r="H93" s="601" t="str">
        <x:v>Loyers</x:v>
      </x:c>
      <x:c r="I93" s="601" t="str">
        <x:v>Charge</x:v>
      </x:c>
      <x:c r="J93" s="601" t="str">
        <x:v>Clôturé</x:v>
      </x:c>
      <x:c r="K93" s="602" t="n">
        <x:v>13706</x:v>
      </x:c>
      <x:c r="L93" s="602" t="n">
        <x:v>0</x:v>
      </x:c>
      <x:c r="M93" s="603" t="n">
        <x:v>-13706</x:v>
      </x:c>
      <x:c r="N93" s="603" t="n">
        <x:v>-14268.695528167807</x:v>
      </x:c>
      <x:c r="O93" s="603" t="n">
        <x:f>M93-N93</x:f>
        <x:v>562.6955281678074</x:v>
      </x:c>
      <x:c r="P93" s="601" t="str">
        <x:v>PCG</x:v>
      </x:c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600" t="n">
        <x:v>46336</x:v>
      </x:c>
      <x:c r="B94" s="601" t="n">
        <x:v>46</x:v>
      </x:c>
      <x:c r="C94" s="601" t="str">
        <x:v>11 - November</x:v>
      </x:c>
      <x:c r="D94" s="601" t="str">
        <x:v>T4</x:v>
      </x:c>
      <x:c r="E94" s="601" t="n">
        <x:v>2026</x:v>
      </x:c>
      <x:c r="F94" s="601" t="str">
        <x:v>Groupe</x:v>
      </x:c>
      <x:c r="G94" s="601" t="str">
        <x:v>706000</x:v>
      </x:c>
      <x:c r="H94" s="601" t="str">
        <x:v>Prestations de services</x:v>
      </x:c>
      <x:c r="I94" s="601" t="str">
        <x:v>Produit</x:v>
      </x:c>
      <x:c r="J94" s="601" t="str">
        <x:v>Réalisé</x:v>
      </x:c>
      <x:c r="K94" s="602" t="n">
        <x:v>0</x:v>
      </x:c>
      <x:c r="L94" s="602" t="n">
        <x:v>9789</x:v>
      </x:c>
      <x:c r="M94" s="603" t="n">
        <x:v>9789</x:v>
      </x:c>
      <x:c r="N94" s="603" t="n">
        <x:v>10765.571465766881</x:v>
      </x:c>
      <x:c r="O94" s="603" t="n">
        <x:f>M94-N94</x:f>
        <x:v>-976.5714657668814</x:v>
      </x:c>
      <x:c r="P94" s="601" t="str">
        <x:v>PCG</x:v>
      </x:c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600" t="n">
        <x:v>46303</x:v>
      </x:c>
      <x:c r="B95" s="601" t="n">
        <x:v>41</x:v>
      </x:c>
      <x:c r="C95" s="601" t="str">
        <x:v>10 - October</x:v>
      </x:c>
      <x:c r="D95" s="601" t="str">
        <x:v>T4</x:v>
      </x:c>
      <x:c r="E95" s="601" t="n">
        <x:v>2026</x:v>
      </x:c>
      <x:c r="F95" s="601" t="str">
        <x:v>Groupe</x:v>
      </x:c>
      <x:c r="G95" s="601" t="str">
        <x:v>641000</x:v>
      </x:c>
      <x:c r="H95" s="601" t="str">
        <x:v>Salaires</x:v>
      </x:c>
      <x:c r="I95" s="601" t="str">
        <x:v>Charge</x:v>
      </x:c>
      <x:c r="J95" s="601" t="str">
        <x:v>Prévision</x:v>
      </x:c>
      <x:c r="K95" s="602" t="n">
        <x:v>9638</x:v>
      </x:c>
      <x:c r="L95" s="602" t="n">
        <x:v>0</x:v>
      </x:c>
      <x:c r="M95" s="603" t="n">
        <x:v>-9638</x:v>
      </x:c>
      <x:c r="N95" s="603" t="n">
        <x:v>-9891.216848580298</x:v>
      </x:c>
      <x:c r="O95" s="603" t="n">
        <x:f>M95-N95</x:f>
        <x:v>253.21684858029766</x:v>
      </x:c>
      <x:c r="P95" s="601" t="str">
        <x:v>PCG</x:v>
      </x:c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600" t="n">
        <x:v>46194</x:v>
      </x:c>
      <x:c r="B96" s="601" t="n">
        <x:v>25</x:v>
      </x:c>
      <x:c r="C96" s="601" t="str">
        <x:v>06 - June</x:v>
      </x:c>
      <x:c r="D96" s="601" t="str">
        <x:v>T2</x:v>
      </x:c>
      <x:c r="E96" s="601" t="n">
        <x:v>2026</x:v>
      </x:c>
      <x:c r="F96" s="601" t="str">
        <x:v>Filiale Nord</x:v>
      </x:c>
      <x:c r="G96" s="601" t="str">
        <x:v>615000</x:v>
      </x:c>
      <x:c r="H96" s="601" t="str">
        <x:v>Maintenance</x:v>
      </x:c>
      <x:c r="I96" s="601" t="str">
        <x:v>Charge</x:v>
      </x:c>
      <x:c r="J96" s="601" t="str">
        <x:v>Clôturé</x:v>
      </x:c>
      <x:c r="K96" s="602" t="n">
        <x:v>11755</x:v>
      </x:c>
      <x:c r="L96" s="602" t="n">
        <x:v>0</x:v>
      </x:c>
      <x:c r="M96" s="603" t="n">
        <x:v>-11755</x:v>
      </x:c>
      <x:c r="N96" s="603" t="n">
        <x:v>-12753.674525376227</x:v>
      </x:c>
      <x:c r="O96" s="603" t="n">
        <x:f>M96-N96</x:f>
        <x:v>998.6745253762274</x:v>
      </x:c>
      <x:c r="P96" s="601" t="str">
        <x:v>PCG</x:v>
      </x:c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600" t="n">
        <x:v>46274</x:v>
      </x:c>
      <x:c r="B97" s="601" t="n">
        <x:v>37</x:v>
      </x:c>
      <x:c r="C97" s="601" t="str">
        <x:v>09 - September</x:v>
      </x:c>
      <x:c r="D97" s="601" t="str">
        <x:v>T3</x:v>
      </x:c>
      <x:c r="E97" s="601" t="n">
        <x:v>2026</x:v>
      </x:c>
      <x:c r="F97" s="601" t="str">
        <x:v>Filiale Sud</x:v>
      </x:c>
      <x:c r="G97" s="601" t="str">
        <x:v>645000</x:v>
      </x:c>
      <x:c r="H97" s="601" t="str">
        <x:v>Charges sociales</x:v>
      </x:c>
      <x:c r="I97" s="601" t="str">
        <x:v>Charge</x:v>
      </x:c>
      <x:c r="J97" s="601" t="str">
        <x:v>Réalisé</x:v>
      </x:c>
      <x:c r="K97" s="602" t="n">
        <x:v>3436</x:v>
      </x:c>
      <x:c r="L97" s="602" t="n">
        <x:v>0</x:v>
      </x:c>
      <x:c r="M97" s="603" t="n">
        <x:v>-3436</x:v>
      </x:c>
      <x:c r="N97" s="603" t="n">
        <x:v>-3420.5420843427596</x:v>
      </x:c>
      <x:c r="O97" s="603" t="n">
        <x:f>M97-N97</x:f>
        <x:v>-15.457915657240392</x:v>
      </x:c>
      <x:c r="P97" s="601" t="str">
        <x:v>Management</x:v>
      </x:c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600" t="n">
        <x:v>46149</x:v>
      </x:c>
      <x:c r="B98" s="601" t="n">
        <x:v>19</x:v>
      </x:c>
      <x:c r="C98" s="601" t="str">
        <x:v>05 - May</x:v>
      </x:c>
      <x:c r="D98" s="601" t="str">
        <x:v>T2</x:v>
      </x:c>
      <x:c r="E98" s="601" t="n">
        <x:v>2026</x:v>
      </x:c>
      <x:c r="F98" s="601" t="str">
        <x:v>Filiale Sud</x:v>
      </x:c>
      <x:c r="G98" s="601" t="str">
        <x:v>701000</x:v>
      </x:c>
      <x:c r="H98" s="601" t="str">
        <x:v>Ventes de produits</x:v>
      </x:c>
      <x:c r="I98" s="601" t="str">
        <x:v>Produit</x:v>
      </x:c>
      <x:c r="J98" s="601" t="str">
        <x:v>Clôturé</x:v>
      </x:c>
      <x:c r="K98" s="602" t="n">
        <x:v>0</x:v>
      </x:c>
      <x:c r="L98" s="602" t="n">
        <x:v>24840</x:v>
      </x:c>
      <x:c r="M98" s="603" t="n">
        <x:v>24840</x:v>
      </x:c>
      <x:c r="N98" s="603" t="n">
        <x:v>26160.535908259208</x:v>
      </x:c>
      <x:c r="O98" s="603" t="n">
        <x:f>M98-N98</x:f>
        <x:v>-1320.5359082592076</x:v>
      </x:c>
      <x:c r="P98" s="601" t="str">
        <x:v>IFRS</x:v>
      </x:c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600" t="n">
        <x:v>46252</x:v>
      </x:c>
      <x:c r="B99" s="601" t="n">
        <x:v>34</x:v>
      </x:c>
      <x:c r="C99" s="601" t="str">
        <x:v>08 - August</x:v>
      </x:c>
      <x:c r="D99" s="601" t="str">
        <x:v>T3</x:v>
      </x:c>
      <x:c r="E99" s="601" t="n">
        <x:v>2026</x:v>
      </x:c>
      <x:c r="F99" s="601" t="str">
        <x:v>Filiale Sud</x:v>
      </x:c>
      <x:c r="G99" s="601" t="str">
        <x:v>627000</x:v>
      </x:c>
      <x:c r="H99" s="601" t="str">
        <x:v>Frais bancaires</x:v>
      </x:c>
      <x:c r="I99" s="601" t="str">
        <x:v>Charge</x:v>
      </x:c>
      <x:c r="J99" s="601" t="str">
        <x:v>Clôturé</x:v>
      </x:c>
      <x:c r="K99" s="602" t="n">
        <x:v>6736</x:v>
      </x:c>
      <x:c r="L99" s="602" t="n">
        <x:v>0</x:v>
      </x:c>
      <x:c r="M99" s="603" t="n">
        <x:v>-6736</x:v>
      </x:c>
      <x:c r="N99" s="603" t="n">
        <x:v>-7387.168761552154</x:v>
      </x:c>
      <x:c r="O99" s="603" t="n">
        <x:f>M99-N99</x:f>
        <x:v>651.1687615521541</x:v>
      </x:c>
      <x:c r="P99" s="601" t="str">
        <x:v>Management</x:v>
      </x:c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600" t="n">
        <x:v>46284</x:v>
      </x:c>
      <x:c r="B100" s="601" t="n">
        <x:v>38</x:v>
      </x:c>
      <x:c r="C100" s="601" t="str">
        <x:v>09 - September</x:v>
      </x:c>
      <x:c r="D100" s="601" t="str">
        <x:v>T3</x:v>
      </x:c>
      <x:c r="E100" s="601" t="n">
        <x:v>2026</x:v>
      </x:c>
      <x:c r="F100" s="601" t="str">
        <x:v>Filiale Sud</x:v>
      </x:c>
      <x:c r="G100" s="601" t="str">
        <x:v>607000</x:v>
      </x:c>
      <x:c r="H100" s="601" t="str">
        <x:v>Achats de marchandises</x:v>
      </x:c>
      <x:c r="I100" s="601" t="str">
        <x:v>Charge</x:v>
      </x:c>
      <x:c r="J100" s="601" t="str">
        <x:v>Clôturé</x:v>
      </x:c>
      <x:c r="K100" s="602" t="n">
        <x:v>12301</x:v>
      </x:c>
      <x:c r="L100" s="602" t="n">
        <x:v>0</x:v>
      </x:c>
      <x:c r="M100" s="603" t="n">
        <x:v>-12301</x:v>
      </x:c>
      <x:c r="N100" s="603" t="n">
        <x:v>-12882.218969923308</x:v>
      </x:c>
      <x:c r="O100" s="603" t="n">
        <x:f>M100-N100</x:f>
        <x:v>581.2189699233077</x:v>
      </x:c>
      <x:c r="P100" s="601" t="str">
        <x:v>Management</x:v>
      </x:c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600" t="n">
        <x:v>46227</x:v>
      </x:c>
      <x:c r="B101" s="601" t="n">
        <x:v>30</x:v>
      </x:c>
      <x:c r="C101" s="601" t="str">
        <x:v>07 - July</x:v>
      </x:c>
      <x:c r="D101" s="601" t="str">
        <x:v>T3</x:v>
      </x:c>
      <x:c r="E101" s="601" t="n">
        <x:v>2026</x:v>
      </x:c>
      <x:c r="F101" s="601" t="str">
        <x:v>Filiale Sud</x:v>
      </x:c>
      <x:c r="G101" s="601" t="str">
        <x:v>706000</x:v>
      </x:c>
      <x:c r="H101" s="601" t="str">
        <x:v>Prestations de services</x:v>
      </x:c>
      <x:c r="I101" s="601" t="str">
        <x:v>Produit</x:v>
      </x:c>
      <x:c r="J101" s="601" t="str">
        <x:v>Réalisé</x:v>
      </x:c>
      <x:c r="K101" s="602" t="n">
        <x:v>0</x:v>
      </x:c>
      <x:c r="L101" s="602" t="n">
        <x:v>22635</x:v>
      </x:c>
      <x:c r="M101" s="603" t="n">
        <x:v>22635</x:v>
      </x:c>
      <x:c r="N101" s="603" t="n">
        <x:v>22880.903071418936</x:v>
      </x:c>
      <x:c r="O101" s="603" t="n">
        <x:f>M101-N101</x:f>
        <x:v>-245.90307141893572</x:v>
      </x:c>
      <x:c r="P101" s="601" t="str">
        <x:v>PCG</x:v>
      </x:c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600" t="n">
        <x:v>46205</x:v>
      </x:c>
      <x:c r="B102" s="601" t="n">
        <x:v>27</x:v>
      </x:c>
      <x:c r="C102" s="601" t="str">
        <x:v>07 - July</x:v>
      </x:c>
      <x:c r="D102" s="601" t="str">
        <x:v>T3</x:v>
      </x:c>
      <x:c r="E102" s="601" t="n">
        <x:v>2026</x:v>
      </x:c>
      <x:c r="F102" s="601" t="str">
        <x:v>Filiale Nord</x:v>
      </x:c>
      <x:c r="G102" s="601" t="str">
        <x:v>701000</x:v>
      </x:c>
      <x:c r="H102" s="601" t="str">
        <x:v>Ventes de produits</x:v>
      </x:c>
      <x:c r="I102" s="601" t="str">
        <x:v>Produit</x:v>
      </x:c>
      <x:c r="J102" s="601" t="str">
        <x:v>Réalisé</x:v>
      </x:c>
      <x:c r="K102" s="602" t="n">
        <x:v>0</x:v>
      </x:c>
      <x:c r="L102" s="602" t="n">
        <x:v>30233</x:v>
      </x:c>
      <x:c r="M102" s="603" t="n">
        <x:v>30233</x:v>
      </x:c>
      <x:c r="N102" s="603" t="n">
        <x:v>29629.475115274145</x:v>
      </x:c>
      <x:c r="O102" s="603" t="n">
        <x:f>M102-N102</x:f>
        <x:v>603.5248847258554</x:v>
      </x:c>
      <x:c r="P102" s="601" t="str">
        <x:v>PCG</x:v>
      </x:c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600" t="n">
        <x:v>46149</x:v>
      </x:c>
      <x:c r="B103" s="601" t="n">
        <x:v>19</x:v>
      </x:c>
      <x:c r="C103" s="601" t="str">
        <x:v>05 - May</x:v>
      </x:c>
      <x:c r="D103" s="601" t="str">
        <x:v>T2</x:v>
      </x:c>
      <x:c r="E103" s="601" t="n">
        <x:v>2026</x:v>
      </x:c>
      <x:c r="F103" s="601" t="str">
        <x:v>Filiale Sud</x:v>
      </x:c>
      <x:c r="G103" s="601" t="str">
        <x:v>627000</x:v>
      </x:c>
      <x:c r="H103" s="601" t="str">
        <x:v>Frais bancaires</x:v>
      </x:c>
      <x:c r="I103" s="601" t="str">
        <x:v>Charge</x:v>
      </x:c>
      <x:c r="J103" s="601" t="str">
        <x:v>Prévision</x:v>
      </x:c>
      <x:c r="K103" s="602" t="n">
        <x:v>15862</x:v>
      </x:c>
      <x:c r="L103" s="602" t="n">
        <x:v>0</x:v>
      </x:c>
      <x:c r="M103" s="603" t="n">
        <x:v>-15862</x:v>
      </x:c>
      <x:c r="N103" s="603" t="n">
        <x:v>-15180.005953888154</x:v>
      </x:c>
      <x:c r="O103" s="603" t="n">
        <x:f>M103-N103</x:f>
        <x:v>-681.9940461118458</x:v>
      </x:c>
      <x:c r="P103" s="601" t="str">
        <x:v>IFRS</x:v>
      </x:c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600" t="n">
        <x:v>46303</x:v>
      </x:c>
      <x:c r="B104" s="601" t="n">
        <x:v>41</x:v>
      </x:c>
      <x:c r="C104" s="601" t="str">
        <x:v>10 - October</x:v>
      </x:c>
      <x:c r="D104" s="601" t="str">
        <x:v>T4</x:v>
      </x:c>
      <x:c r="E104" s="601" t="n">
        <x:v>2026</x:v>
      </x:c>
      <x:c r="F104" s="601" t="str">
        <x:v>Groupe</x:v>
      </x:c>
      <x:c r="G104" s="601" t="str">
        <x:v>706000</x:v>
      </x:c>
      <x:c r="H104" s="601" t="str">
        <x:v>Prestations de services</x:v>
      </x:c>
      <x:c r="I104" s="601" t="str">
        <x:v>Produit</x:v>
      </x:c>
      <x:c r="J104" s="601" t="str">
        <x:v>Prévision</x:v>
      </x:c>
      <x:c r="K104" s="602" t="n">
        <x:v>0</x:v>
      </x:c>
      <x:c r="L104" s="602" t="n">
        <x:v>28622</x:v>
      </x:c>
      <x:c r="M104" s="603" t="n">
        <x:v>28622</x:v>
      </x:c>
      <x:c r="N104" s="603" t="n">
        <x:v>30623.014964262875</x:v>
      </x:c>
      <x:c r="O104" s="603" t="n">
        <x:f>M104-N104</x:f>
        <x:v>-2001.0149642628749</x:v>
      </x:c>
      <x:c r="P104" s="601" t="str">
        <x:v>PCG</x:v>
      </x:c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600" t="n">
        <x:v>46225</x:v>
      </x:c>
      <x:c r="B105" s="601" t="n">
        <x:v>30</x:v>
      </x:c>
      <x:c r="C105" s="601" t="str">
        <x:v>07 - July</x:v>
      </x:c>
      <x:c r="D105" s="601" t="str">
        <x:v>T3</x:v>
      </x:c>
      <x:c r="E105" s="601" t="n">
        <x:v>2026</x:v>
      </x:c>
      <x:c r="F105" s="601" t="str">
        <x:v>Groupe</x:v>
      </x:c>
      <x:c r="G105" s="601" t="str">
        <x:v>706000</x:v>
      </x:c>
      <x:c r="H105" s="601" t="str">
        <x:v>Prestations de services</x:v>
      </x:c>
      <x:c r="I105" s="601" t="str">
        <x:v>Produit</x:v>
      </x:c>
      <x:c r="J105" s="601" t="str">
        <x:v>Réalisé</x:v>
      </x:c>
      <x:c r="K105" s="602" t="n">
        <x:v>0</x:v>
      </x:c>
      <x:c r="L105" s="602" t="n">
        <x:v>13963</x:v>
      </x:c>
      <x:c r="M105" s="603" t="n">
        <x:v>13963</x:v>
      </x:c>
      <x:c r="N105" s="603" t="n">
        <x:v>13081.298622721693</x:v>
      </x:c>
      <x:c r="O105" s="603" t="n">
        <x:f>M105-N105</x:f>
        <x:v>881.7013772783066</x:v>
      </x:c>
      <x:c r="P105" s="601" t="str">
        <x:v>IFRS</x:v>
      </x:c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600" t="n">
        <x:v>46314</x:v>
      </x:c>
      <x:c r="B106" s="601" t="n">
        <x:v>43</x:v>
      </x:c>
      <x:c r="C106" s="601" t="str">
        <x:v>10 - October</x:v>
      </x:c>
      <x:c r="D106" s="601" t="str">
        <x:v>T4</x:v>
      </x:c>
      <x:c r="E106" s="601" t="n">
        <x:v>2026</x:v>
      </x:c>
      <x:c r="F106" s="601" t="str">
        <x:v>Groupe</x:v>
      </x:c>
      <x:c r="G106" s="601" t="str">
        <x:v>641000</x:v>
      </x:c>
      <x:c r="H106" s="601" t="str">
        <x:v>Salaires</x:v>
      </x:c>
      <x:c r="I106" s="601" t="str">
        <x:v>Charge</x:v>
      </x:c>
      <x:c r="J106" s="601" t="str">
        <x:v>Réalisé</x:v>
      </x:c>
      <x:c r="K106" s="602" t="n">
        <x:v>15852</x:v>
      </x:c>
      <x:c r="L106" s="602" t="n">
        <x:v>0</x:v>
      </x:c>
      <x:c r="M106" s="603" t="n">
        <x:v>-15852</x:v>
      </x:c>
      <x:c r="N106" s="603" t="n">
        <x:v>-15059.027131966013</x:v>
      </x:c>
      <x:c r="O106" s="603" t="n">
        <x:f>M106-N106</x:f>
        <x:v>-792.9728680339867</x:v>
      </x:c>
      <x:c r="P106" s="601" t="str">
        <x:v>PCG</x:v>
      </x:c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600" t="n">
        <x:v>46289</x:v>
      </x:c>
      <x:c r="B107" s="601" t="n">
        <x:v>39</x:v>
      </x:c>
      <x:c r="C107" s="601" t="str">
        <x:v>09 - September</x:v>
      </x:c>
      <x:c r="D107" s="601" t="str">
        <x:v>T3</x:v>
      </x:c>
      <x:c r="E107" s="601" t="n">
        <x:v>2026</x:v>
      </x:c>
      <x:c r="F107" s="601" t="str">
        <x:v>Filiale Nord</x:v>
      </x:c>
      <x:c r="G107" s="601" t="str">
        <x:v>645000</x:v>
      </x:c>
      <x:c r="H107" s="601" t="str">
        <x:v>Charges sociales</x:v>
      </x:c>
      <x:c r="I107" s="601" t="str">
        <x:v>Charge</x:v>
      </x:c>
      <x:c r="J107" s="601" t="str">
        <x:v>Réalisé</x:v>
      </x:c>
      <x:c r="K107" s="602" t="n">
        <x:v>5409</x:v>
      </x:c>
      <x:c r="L107" s="602" t="n">
        <x:v>0</x:v>
      </x:c>
      <x:c r="M107" s="603" t="n">
        <x:v>-5409</x:v>
      </x:c>
      <x:c r="N107" s="603" t="n">
        <x:v>-5438.25915949426</x:v>
      </x:c>
      <x:c r="O107" s="603" t="n">
        <x:f>M107-N107</x:f>
        <x:v>29.25915949425962</x:v>
      </x:c>
      <x:c r="P107" s="601" t="str">
        <x:v>Management</x:v>
      </x:c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600" t="n">
        <x:v>46043</x:v>
      </x:c>
      <x:c r="B108" s="601" t="n">
        <x:v>4</x:v>
      </x:c>
      <x:c r="C108" s="601" t="str">
        <x:v>01 - January</x:v>
      </x:c>
      <x:c r="D108" s="601" t="str">
        <x:v>T1</x:v>
      </x:c>
      <x:c r="E108" s="601" t="n">
        <x:v>2026</x:v>
      </x:c>
      <x:c r="F108" s="601" t="str">
        <x:v>Filiale Sud</x:v>
      </x:c>
      <x:c r="G108" s="601" t="str">
        <x:v>706000</x:v>
      </x:c>
      <x:c r="H108" s="601" t="str">
        <x:v>Prestations de services</x:v>
      </x:c>
      <x:c r="I108" s="601" t="str">
        <x:v>Produit</x:v>
      </x:c>
      <x:c r="J108" s="601" t="str">
        <x:v>Réalisé</x:v>
      </x:c>
      <x:c r="K108" s="602" t="n">
        <x:v>0</x:v>
      </x:c>
      <x:c r="L108" s="602" t="n">
        <x:v>22534</x:v>
      </x:c>
      <x:c r="M108" s="603" t="n">
        <x:v>22534</x:v>
      </x:c>
      <x:c r="N108" s="603" t="n">
        <x:v>23562.52948828896</x:v>
      </x:c>
      <x:c r="O108" s="603" t="n">
        <x:f>M108-N108</x:f>
        <x:v>-1028.5294882889611</x:v>
      </x:c>
      <x:c r="P108" s="601" t="str">
        <x:v>IFRS</x:v>
      </x:c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600" t="n">
        <x:v>46077</x:v>
      </x:c>
      <x:c r="B109" s="601" t="n">
        <x:v>9</x:v>
      </x:c>
      <x:c r="C109" s="601" t="str">
        <x:v>02 - February</x:v>
      </x:c>
      <x:c r="D109" s="601" t="str">
        <x:v>T1</x:v>
      </x:c>
      <x:c r="E109" s="601" t="n">
        <x:v>2026</x:v>
      </x:c>
      <x:c r="F109" s="601" t="str">
        <x:v>Groupe</x:v>
      </x:c>
      <x:c r="G109" s="601" t="str">
        <x:v>641000</x:v>
      </x:c>
      <x:c r="H109" s="601" t="str">
        <x:v>Salaires</x:v>
      </x:c>
      <x:c r="I109" s="601" t="str">
        <x:v>Charge</x:v>
      </x:c>
      <x:c r="J109" s="601" t="str">
        <x:v>Réalisé</x:v>
      </x:c>
      <x:c r="K109" s="602" t="n">
        <x:v>17442</x:v>
      </x:c>
      <x:c r="L109" s="602" t="n">
        <x:v>0</x:v>
      </x:c>
      <x:c r="M109" s="603" t="n">
        <x:v>-17442</x:v>
      </x:c>
      <x:c r="N109" s="603" t="n">
        <x:v>-17178.376784832308</x:v>
      </x:c>
      <x:c r="O109" s="603" t="n">
        <x:f>M109-N109</x:f>
        <x:v>-263.62321516769225</x:v>
      </x:c>
      <x:c r="P109" s="601" t="str">
        <x:v>PCG</x:v>
      </x:c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600" t="n">
        <x:v>46376</x:v>
      </x:c>
      <x:c r="B110" s="601" t="n">
        <x:v>51</x:v>
      </x:c>
      <x:c r="C110" s="601" t="str">
        <x:v>12 - December</x:v>
      </x:c>
      <x:c r="D110" s="601" t="str">
        <x:v>T4</x:v>
      </x:c>
      <x:c r="E110" s="601" t="n">
        <x:v>2026</x:v>
      </x:c>
      <x:c r="F110" s="601" t="str">
        <x:v>Groupe</x:v>
      </x:c>
      <x:c r="G110" s="601" t="str">
        <x:v>701000</x:v>
      </x:c>
      <x:c r="H110" s="601" t="str">
        <x:v>Ventes de produits</x:v>
      </x:c>
      <x:c r="I110" s="601" t="str">
        <x:v>Produit</x:v>
      </x:c>
      <x:c r="J110" s="601" t="str">
        <x:v>Réalisé</x:v>
      </x:c>
      <x:c r="K110" s="602" t="n">
        <x:v>0</x:v>
      </x:c>
      <x:c r="L110" s="602" t="n">
        <x:v>19548</x:v>
      </x:c>
      <x:c r="M110" s="603" t="n">
        <x:v>19548</x:v>
      </x:c>
      <x:c r="N110" s="603" t="n">
        <x:v>18086.266154800334</x:v>
      </x:c>
      <x:c r="O110" s="603" t="n">
        <x:f>M110-N110</x:f>
        <x:v>1461.7338451996657</x:v>
      </x:c>
      <x:c r="P110" s="601" t="str">
        <x:v>IFRS</x:v>
      </x:c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600" t="n">
        <x:v>46366</x:v>
      </x:c>
      <x:c r="B111" s="601" t="n">
        <x:v>50</x:v>
      </x:c>
      <x:c r="C111" s="601" t="str">
        <x:v>12 - December</x:v>
      </x:c>
      <x:c r="D111" s="601" t="str">
        <x:v>T4</x:v>
      </x:c>
      <x:c r="E111" s="601" t="n">
        <x:v>2026</x:v>
      </x:c>
      <x:c r="F111" s="601" t="str">
        <x:v>Filiale Sud</x:v>
      </x:c>
      <x:c r="G111" s="601" t="str">
        <x:v>615000</x:v>
      </x:c>
      <x:c r="H111" s="601" t="str">
        <x:v>Maintenance</x:v>
      </x:c>
      <x:c r="I111" s="601" t="str">
        <x:v>Charge</x:v>
      </x:c>
      <x:c r="J111" s="601" t="str">
        <x:v>Réalisé</x:v>
      </x:c>
      <x:c r="K111" s="602" t="n">
        <x:v>5125</x:v>
      </x:c>
      <x:c r="L111" s="602" t="n">
        <x:v>0</x:v>
      </x:c>
      <x:c r="M111" s="603" t="n">
        <x:v>-5125</x:v>
      </x:c>
      <x:c r="N111" s="603" t="n">
        <x:v>-5417.14222795893</x:v>
      </x:c>
      <x:c r="O111" s="603" t="n">
        <x:f>M111-N111</x:f>
        <x:v>292.14222795892965</x:v>
      </x:c>
      <x:c r="P111" s="601" t="str">
        <x:v>Management</x:v>
      </x:c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600" t="n">
        <x:v>46347</x:v>
      </x:c>
      <x:c r="B112" s="601" t="n">
        <x:v>47</x:v>
      </x:c>
      <x:c r="C112" s="601" t="str">
        <x:v>11 - November</x:v>
      </x:c>
      <x:c r="D112" s="601" t="str">
        <x:v>T4</x:v>
      </x:c>
      <x:c r="E112" s="601" t="n">
        <x:v>2026</x:v>
      </x:c>
      <x:c r="F112" s="601" t="str">
        <x:v>Filiale Nord</x:v>
      </x:c>
      <x:c r="G112" s="601" t="str">
        <x:v>607000</x:v>
      </x:c>
      <x:c r="H112" s="601" t="str">
        <x:v>Achats de marchandises</x:v>
      </x:c>
      <x:c r="I112" s="601" t="str">
        <x:v>Charge</x:v>
      </x:c>
      <x:c r="J112" s="601" t="str">
        <x:v>Prévision</x:v>
      </x:c>
      <x:c r="K112" s="602" t="n">
        <x:v>3931</x:v>
      </x:c>
      <x:c r="L112" s="602" t="n">
        <x:v>0</x:v>
      </x:c>
      <x:c r="M112" s="603" t="n">
        <x:v>-3931</x:v>
      </x:c>
      <x:c r="N112" s="603" t="n">
        <x:v>-4103.035311284901</x:v>
      </x:c>
      <x:c r="O112" s="603" t="n">
        <x:f>M112-N112</x:f>
        <x:v>172.03531128490067</x:v>
      </x:c>
      <x:c r="P112" s="601" t="str">
        <x:v>IFRS</x:v>
      </x:c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600" t="n">
        <x:v>46125</x:v>
      </x:c>
      <x:c r="B113" s="601" t="n">
        <x:v>16</x:v>
      </x:c>
      <x:c r="C113" s="601" t="str">
        <x:v>04 - April</x:v>
      </x:c>
      <x:c r="D113" s="601" t="str">
        <x:v>T2</x:v>
      </x:c>
      <x:c r="E113" s="601" t="n">
        <x:v>2026</x:v>
      </x:c>
      <x:c r="F113" s="601" t="str">
        <x:v>Filiale Nord</x:v>
      </x:c>
      <x:c r="G113" s="601" t="str">
        <x:v>607000</x:v>
      </x:c>
      <x:c r="H113" s="601" t="str">
        <x:v>Achats de marchandises</x:v>
      </x:c>
      <x:c r="I113" s="601" t="str">
        <x:v>Charge</x:v>
      </x:c>
      <x:c r="J113" s="601" t="str">
        <x:v>Prévision</x:v>
      </x:c>
      <x:c r="K113" s="602" t="n">
        <x:v>8442</x:v>
      </x:c>
      <x:c r="L113" s="602" t="n">
        <x:v>0</x:v>
      </x:c>
      <x:c r="M113" s="603" t="n">
        <x:v>-8442</x:v>
      </x:c>
      <x:c r="N113" s="603" t="n">
        <x:v>-9214.685231530382</x:v>
      </x:c>
      <x:c r="O113" s="603" t="n">
        <x:f>M113-N113</x:f>
        <x:v>772.6852315303822</x:v>
      </x:c>
      <x:c r="P113" s="601" t="str">
        <x:v>IFRS</x:v>
      </x:c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600" t="n">
        <x:v>46209</x:v>
      </x:c>
      <x:c r="B114" s="601" t="n">
        <x:v>28</x:v>
      </x:c>
      <x:c r="C114" s="601" t="str">
        <x:v>07 - July</x:v>
      </x:c>
      <x:c r="D114" s="601" t="str">
        <x:v>T3</x:v>
      </x:c>
      <x:c r="E114" s="601" t="n">
        <x:v>2026</x:v>
      </x:c>
      <x:c r="F114" s="601" t="str">
        <x:v>Groupe</x:v>
      </x:c>
      <x:c r="G114" s="601" t="str">
        <x:v>607000</x:v>
      </x:c>
      <x:c r="H114" s="601" t="str">
        <x:v>Achats de marchandises</x:v>
      </x:c>
      <x:c r="I114" s="601" t="str">
        <x:v>Charge</x:v>
      </x:c>
      <x:c r="J114" s="601" t="str">
        <x:v>Réalisé</x:v>
      </x:c>
      <x:c r="K114" s="602" t="n">
        <x:v>11965</x:v>
      </x:c>
      <x:c r="L114" s="602" t="n">
        <x:v>0</x:v>
      </x:c>
      <x:c r="M114" s="603" t="n">
        <x:v>-11965</x:v>
      </x:c>
      <x:c r="N114" s="603" t="n">
        <x:v>-12113.407964571237</x:v>
      </x:c>
      <x:c r="O114" s="603" t="n">
        <x:f>M114-N114</x:f>
        <x:v>148.40796457123724</x:v>
      </x:c>
      <x:c r="P114" s="601" t="str">
        <x:v>Management</x:v>
      </x:c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600" t="n">
        <x:v>46176</x:v>
      </x:c>
      <x:c r="B115" s="601" t="n">
        <x:v>23</x:v>
      </x:c>
      <x:c r="C115" s="601" t="str">
        <x:v>06 - June</x:v>
      </x:c>
      <x:c r="D115" s="601" t="str">
        <x:v>T2</x:v>
      </x:c>
      <x:c r="E115" s="601" t="n">
        <x:v>2026</x:v>
      </x:c>
      <x:c r="F115" s="601" t="str">
        <x:v>Groupe</x:v>
      </x:c>
      <x:c r="G115" s="601" t="str">
        <x:v>641000</x:v>
      </x:c>
      <x:c r="H115" s="601" t="str">
        <x:v>Salaires</x:v>
      </x:c>
      <x:c r="I115" s="601" t="str">
        <x:v>Charge</x:v>
      </x:c>
      <x:c r="J115" s="601" t="str">
        <x:v>Clôturé</x:v>
      </x:c>
      <x:c r="K115" s="602" t="n">
        <x:v>13839</x:v>
      </x:c>
      <x:c r="L115" s="602" t="n">
        <x:v>0</x:v>
      </x:c>
      <x:c r="M115" s="603" t="n">
        <x:v>-13839</x:v>
      </x:c>
      <x:c r="N115" s="603" t="n">
        <x:v>-14991.16054808421</x:v>
      </x:c>
      <x:c r="O115" s="603" t="n">
        <x:f>M115-N115</x:f>
        <x:v>1152.16054808421</x:v>
      </x:c>
      <x:c r="P115" s="601" t="str">
        <x:v>PCG</x:v>
      </x:c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600" t="n">
        <x:v>46101</x:v>
      </x:c>
      <x:c r="B116" s="601" t="n">
        <x:v>12</x:v>
      </x:c>
      <x:c r="C116" s="601" t="str">
        <x:v>03 - March</x:v>
      </x:c>
      <x:c r="D116" s="601" t="str">
        <x:v>T1</x:v>
      </x:c>
      <x:c r="E116" s="601" t="n">
        <x:v>2026</x:v>
      </x:c>
      <x:c r="F116" s="601" t="str">
        <x:v>Groupe</x:v>
      </x:c>
      <x:c r="G116" s="601" t="str">
        <x:v>706000</x:v>
      </x:c>
      <x:c r="H116" s="601" t="str">
        <x:v>Prestations de services</x:v>
      </x:c>
      <x:c r="I116" s="601" t="str">
        <x:v>Produit</x:v>
      </x:c>
      <x:c r="J116" s="601" t="str">
        <x:v>Réalisé</x:v>
      </x:c>
      <x:c r="K116" s="602" t="n">
        <x:v>0</x:v>
      </x:c>
      <x:c r="L116" s="602" t="n">
        <x:v>13225</x:v>
      </x:c>
      <x:c r="M116" s="603" t="n">
        <x:v>13225</x:v>
      </x:c>
      <x:c r="N116" s="603" t="n">
        <x:v>13605.781905823544</x:v>
      </x:c>
      <x:c r="O116" s="603" t="n">
        <x:f>M116-N116</x:f>
        <x:v>-380.78190582354364</x:v>
      </x:c>
      <x:c r="P116" s="601" t="str">
        <x:v>IFRS</x:v>
      </x:c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600" t="n">
        <x:v>46301</x:v>
      </x:c>
      <x:c r="B117" s="601" t="n">
        <x:v>41</x:v>
      </x:c>
      <x:c r="C117" s="601" t="str">
        <x:v>10 - October</x:v>
      </x:c>
      <x:c r="D117" s="601" t="str">
        <x:v>T4</x:v>
      </x:c>
      <x:c r="E117" s="601" t="n">
        <x:v>2026</x:v>
      </x:c>
      <x:c r="F117" s="601" t="str">
        <x:v>Filiale Nord</x:v>
      </x:c>
      <x:c r="G117" s="601" t="str">
        <x:v>706000</x:v>
      </x:c>
      <x:c r="H117" s="601" t="str">
        <x:v>Prestations de services</x:v>
      </x:c>
      <x:c r="I117" s="601" t="str">
        <x:v>Produit</x:v>
      </x:c>
      <x:c r="J117" s="601" t="str">
        <x:v>Prévision</x:v>
      </x:c>
      <x:c r="K117" s="602" t="n">
        <x:v>0</x:v>
      </x:c>
      <x:c r="L117" s="602" t="n">
        <x:v>22426</x:v>
      </x:c>
      <x:c r="M117" s="603" t="n">
        <x:v>22426</x:v>
      </x:c>
      <x:c r="N117" s="603" t="n">
        <x:v>23371.78894383132</x:v>
      </x:c>
      <x:c r="O117" s="603" t="n">
        <x:f>M117-N117</x:f>
        <x:v>-945.7889438313214</x:v>
      </x:c>
      <x:c r="P117" s="601" t="str">
        <x:v>IFRS</x:v>
      </x:c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600" t="n">
        <x:v>46249</x:v>
      </x:c>
      <x:c r="B118" s="601" t="n">
        <x:v>33</x:v>
      </x:c>
      <x:c r="C118" s="601" t="str">
        <x:v>08 - August</x:v>
      </x:c>
      <x:c r="D118" s="601" t="str">
        <x:v>T3</x:v>
      </x:c>
      <x:c r="E118" s="601" t="n">
        <x:v>2026</x:v>
      </x:c>
      <x:c r="F118" s="601" t="str">
        <x:v>Filiale Nord</x:v>
      </x:c>
      <x:c r="G118" s="601" t="str">
        <x:v>615000</x:v>
      </x:c>
      <x:c r="H118" s="601" t="str">
        <x:v>Maintenance</x:v>
      </x:c>
      <x:c r="I118" s="601" t="str">
        <x:v>Charge</x:v>
      </x:c>
      <x:c r="J118" s="601" t="str">
        <x:v>Prévision</x:v>
      </x:c>
      <x:c r="K118" s="602" t="n">
        <x:v>12464</x:v>
      </x:c>
      <x:c r="L118" s="602" t="n">
        <x:v>0</x:v>
      </x:c>
      <x:c r="M118" s="603" t="n">
        <x:v>-12464</x:v>
      </x:c>
      <x:c r="N118" s="603" t="n">
        <x:v>-12424.427898818325</x:v>
      </x:c>
      <x:c r="O118" s="603" t="n">
        <x:f>M118-N118</x:f>
        <x:v>-39.57210118167495</x:v>
      </x:c>
      <x:c r="P118" s="601" t="str">
        <x:v>IFRS</x:v>
      </x:c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600" t="n">
        <x:v>46045</x:v>
      </x:c>
      <x:c r="B119" s="601" t="n">
        <x:v>4</x:v>
      </x:c>
      <x:c r="C119" s="601" t="str">
        <x:v>01 - January</x:v>
      </x:c>
      <x:c r="D119" s="601" t="str">
        <x:v>T1</x:v>
      </x:c>
      <x:c r="E119" s="601" t="n">
        <x:v>2026</x:v>
      </x:c>
      <x:c r="F119" s="601" t="str">
        <x:v>Filiale Sud</x:v>
      </x:c>
      <x:c r="G119" s="601" t="str">
        <x:v>706000</x:v>
      </x:c>
      <x:c r="H119" s="601" t="str">
        <x:v>Prestations de services</x:v>
      </x:c>
      <x:c r="I119" s="601" t="str">
        <x:v>Produit</x:v>
      </x:c>
      <x:c r="J119" s="601" t="str">
        <x:v>Clôturé</x:v>
      </x:c>
      <x:c r="K119" s="602" t="n">
        <x:v>0</x:v>
      </x:c>
      <x:c r="L119" s="602" t="n">
        <x:v>8678</x:v>
      </x:c>
      <x:c r="M119" s="603" t="n">
        <x:v>8678</x:v>
      </x:c>
      <x:c r="N119" s="603" t="n">
        <x:v>8781.656357884312</x:v>
      </x:c>
      <x:c r="O119" s="603" t="n">
        <x:f>M119-N119</x:f>
        <x:v>-103.65635788431246</x:v>
      </x:c>
      <x:c r="P119" s="601" t="str">
        <x:v>IFRS</x:v>
      </x:c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600" t="n">
        <x:v>46355</x:v>
      </x:c>
      <x:c r="B120" s="601" t="n">
        <x:v>48</x:v>
      </x:c>
      <x:c r="C120" s="601" t="str">
        <x:v>11 - November</x:v>
      </x:c>
      <x:c r="D120" s="601" t="str">
        <x:v>T4</x:v>
      </x:c>
      <x:c r="E120" s="601" t="n">
        <x:v>2026</x:v>
      </x:c>
      <x:c r="F120" s="601" t="str">
        <x:v>Filiale Sud</x:v>
      </x:c>
      <x:c r="G120" s="601" t="str">
        <x:v>615000</x:v>
      </x:c>
      <x:c r="H120" s="601" t="str">
        <x:v>Maintenance</x:v>
      </x:c>
      <x:c r="I120" s="601" t="str">
        <x:v>Charge</x:v>
      </x:c>
      <x:c r="J120" s="601" t="str">
        <x:v>Clôturé</x:v>
      </x:c>
      <x:c r="K120" s="602" t="n">
        <x:v>1911</x:v>
      </x:c>
      <x:c r="L120" s="602" t="n">
        <x:v>0</x:v>
      </x:c>
      <x:c r="M120" s="603" t="n">
        <x:v>-1911</x:v>
      </x:c>
      <x:c r="N120" s="603" t="n">
        <x:v>-1997.0030372654805</x:v>
      </x:c>
      <x:c r="O120" s="603" t="n">
        <x:f>M120-N120</x:f>
        <x:v>86.00303726548054</x:v>
      </x:c>
      <x:c r="P120" s="601" t="str">
        <x:v>IFRS</x:v>
      </x:c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600" t="n">
        <x:v>46044</x:v>
      </x:c>
      <x:c r="B121" s="601" t="n">
        <x:v>4</x:v>
      </x:c>
      <x:c r="C121" s="601" t="str">
        <x:v>01 - January</x:v>
      </x:c>
      <x:c r="D121" s="601" t="str">
        <x:v>T1</x:v>
      </x:c>
      <x:c r="E121" s="601" t="n">
        <x:v>2026</x:v>
      </x:c>
      <x:c r="F121" s="601" t="str">
        <x:v>Filiale Sud</x:v>
      </x:c>
      <x:c r="G121" s="601" t="str">
        <x:v>607000</x:v>
      </x:c>
      <x:c r="H121" s="601" t="str">
        <x:v>Achats de marchandises</x:v>
      </x:c>
      <x:c r="I121" s="601" t="str">
        <x:v>Charge</x:v>
      </x:c>
      <x:c r="J121" s="601" t="str">
        <x:v>Prévision</x:v>
      </x:c>
      <x:c r="K121" s="602" t="n">
        <x:v>3630</x:v>
      </x:c>
      <x:c r="L121" s="602" t="n">
        <x:v>0</x:v>
      </x:c>
      <x:c r="M121" s="603" t="n">
        <x:v>-3630</x:v>
      </x:c>
      <x:c r="N121" s="603" t="n">
        <x:v>-3662.9136361714527</x:v>
      </x:c>
      <x:c r="O121" s="603" t="n">
        <x:f>M121-N121</x:f>
        <x:v>32.91363617145271</x:v>
      </x:c>
      <x:c r="P121" s="601" t="str">
        <x:v>Management</x:v>
      </x:c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600" t="n">
        <x:v>46031</x:v>
      </x:c>
      <x:c r="B122" s="601" t="n">
        <x:v>2</x:v>
      </x:c>
      <x:c r="C122" s="601" t="str">
        <x:v>01 - January</x:v>
      </x:c>
      <x:c r="D122" s="601" t="str">
        <x:v>T1</x:v>
      </x:c>
      <x:c r="E122" s="601" t="n">
        <x:v>2026</x:v>
      </x:c>
      <x:c r="F122" s="601" t="str">
        <x:v>Groupe</x:v>
      </x:c>
      <x:c r="G122" s="601" t="str">
        <x:v>706000</x:v>
      </x:c>
      <x:c r="H122" s="601" t="str">
        <x:v>Prestations de services</x:v>
      </x:c>
      <x:c r="I122" s="601" t="str">
        <x:v>Produit</x:v>
      </x:c>
      <x:c r="J122" s="601" t="str">
        <x:v>Réalisé</x:v>
      </x:c>
      <x:c r="K122" s="602" t="n">
        <x:v>0</x:v>
      </x:c>
      <x:c r="L122" s="602" t="n">
        <x:v>18450</x:v>
      </x:c>
      <x:c r="M122" s="603" t="n">
        <x:v>18450</x:v>
      </x:c>
      <x:c r="N122" s="603" t="n">
        <x:v>17111.683577909305</x:v>
      </x:c>
      <x:c r="O122" s="603" t="n">
        <x:f>M122-N122</x:f>
        <x:v>1338.3164220906947</x:v>
      </x:c>
      <x:c r="P122" s="601" t="str">
        <x:v>IFRS</x:v>
      </x:c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600" t="n">
        <x:v>46280</x:v>
      </x:c>
      <x:c r="B123" s="601" t="n">
        <x:v>38</x:v>
      </x:c>
      <x:c r="C123" s="601" t="str">
        <x:v>09 - September</x:v>
      </x:c>
      <x:c r="D123" s="601" t="str">
        <x:v>T3</x:v>
      </x:c>
      <x:c r="E123" s="601" t="n">
        <x:v>2026</x:v>
      </x:c>
      <x:c r="F123" s="601" t="str">
        <x:v>Filiale Sud</x:v>
      </x:c>
      <x:c r="G123" s="601" t="str">
        <x:v>613000</x:v>
      </x:c>
      <x:c r="H123" s="601" t="str">
        <x:v>Loyers</x:v>
      </x:c>
      <x:c r="I123" s="601" t="str">
        <x:v>Charge</x:v>
      </x:c>
      <x:c r="J123" s="601" t="str">
        <x:v>Clôturé</x:v>
      </x:c>
      <x:c r="K123" s="602" t="n">
        <x:v>4203</x:v>
      </x:c>
      <x:c r="L123" s="602" t="n">
        <x:v>0</x:v>
      </x:c>
      <x:c r="M123" s="603" t="n">
        <x:v>-4203</x:v>
      </x:c>
      <x:c r="N123" s="603" t="n">
        <x:v>-3985.469692506556</x:v>
      </x:c>
      <x:c r="O123" s="603" t="n">
        <x:f>M123-N123</x:f>
        <x:v>-217.53030749344407</x:v>
      </x:c>
      <x:c r="P123" s="601" t="str">
        <x:v>PCG</x:v>
      </x:c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600" t="n">
        <x:v>46283</x:v>
      </x:c>
      <x:c r="B124" s="601" t="n">
        <x:v>38</x:v>
      </x:c>
      <x:c r="C124" s="601" t="str">
        <x:v>09 - September</x:v>
      </x:c>
      <x:c r="D124" s="601" t="str">
        <x:v>T3</x:v>
      </x:c>
      <x:c r="E124" s="601" t="n">
        <x:v>2026</x:v>
      </x:c>
      <x:c r="F124" s="601" t="str">
        <x:v>Groupe</x:v>
      </x:c>
      <x:c r="G124" s="601" t="str">
        <x:v>645000</x:v>
      </x:c>
      <x:c r="H124" s="601" t="str">
        <x:v>Charges sociales</x:v>
      </x:c>
      <x:c r="I124" s="601" t="str">
        <x:v>Charge</x:v>
      </x:c>
      <x:c r="J124" s="601" t="str">
        <x:v>Réalisé</x:v>
      </x:c>
      <x:c r="K124" s="602" t="n">
        <x:v>4706</x:v>
      </x:c>
      <x:c r="L124" s="602" t="n">
        <x:v>0</x:v>
      </x:c>
      <x:c r="M124" s="603" t="n">
        <x:v>-4706</x:v>
      </x:c>
      <x:c r="N124" s="603" t="n">
        <x:v>-4826.182446727862</x:v>
      </x:c>
      <x:c r="O124" s="603" t="n">
        <x:f>M124-N124</x:f>
        <x:v>120.18244672786204</x:v>
      </x:c>
      <x:c r="P124" s="601" t="str">
        <x:v>PCG</x:v>
      </x:c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600" t="n">
        <x:v>46121</x:v>
      </x:c>
      <x:c r="B125" s="601" t="n">
        <x:v>15</x:v>
      </x:c>
      <x:c r="C125" s="601" t="str">
        <x:v>04 - April</x:v>
      </x:c>
      <x:c r="D125" s="601" t="str">
        <x:v>T2</x:v>
      </x:c>
      <x:c r="E125" s="601" t="n">
        <x:v>2026</x:v>
      </x:c>
      <x:c r="F125" s="601" t="str">
        <x:v>Groupe</x:v>
      </x:c>
      <x:c r="G125" s="601" t="str">
        <x:v>706000</x:v>
      </x:c>
      <x:c r="H125" s="601" t="str">
        <x:v>Prestations de services</x:v>
      </x:c>
      <x:c r="I125" s="601" t="str">
        <x:v>Produit</x:v>
      </x:c>
      <x:c r="J125" s="601" t="str">
        <x:v>Clôturé</x:v>
      </x:c>
      <x:c r="K125" s="602" t="n">
        <x:v>0</x:v>
      </x:c>
      <x:c r="L125" s="602" t="n">
        <x:v>21364</x:v>
      </x:c>
      <x:c r="M125" s="603" t="n">
        <x:v>21364</x:v>
      </x:c>
      <x:c r="N125" s="603" t="n">
        <x:v>20579.07026994867</x:v>
      </x:c>
      <x:c r="O125" s="603" t="n">
        <x:f>M125-N125</x:f>
        <x:v>784.9297300513317</x:v>
      </x:c>
      <x:c r="P125" s="601" t="str">
        <x:v>IFRS</x:v>
      </x:c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600" t="n">
        <x:v>46138</x:v>
      </x:c>
      <x:c r="B126" s="601" t="n">
        <x:v>17</x:v>
      </x:c>
      <x:c r="C126" s="601" t="str">
        <x:v>04 - April</x:v>
      </x:c>
      <x:c r="D126" s="601" t="str">
        <x:v>T2</x:v>
      </x:c>
      <x:c r="E126" s="601" t="n">
        <x:v>2026</x:v>
      </x:c>
      <x:c r="F126" s="601" t="str">
        <x:v>Groupe</x:v>
      </x:c>
      <x:c r="G126" s="601" t="str">
        <x:v>613000</x:v>
      </x:c>
      <x:c r="H126" s="601" t="str">
        <x:v>Loyers</x:v>
      </x:c>
      <x:c r="I126" s="601" t="str">
        <x:v>Charge</x:v>
      </x:c>
      <x:c r="J126" s="601" t="str">
        <x:v>Clôturé</x:v>
      </x:c>
      <x:c r="K126" s="602" t="n">
        <x:v>13160</x:v>
      </x:c>
      <x:c r="L126" s="602" t="n">
        <x:v>0</x:v>
      </x:c>
      <x:c r="M126" s="603" t="n">
        <x:v>-13160</x:v>
      </x:c>
      <x:c r="N126" s="603" t="n">
        <x:v>-13192.395020438651</x:v>
      </x:c>
      <x:c r="O126" s="603" t="n">
        <x:f>M126-N126</x:f>
        <x:v>32.395020438651045</x:v>
      </x:c>
      <x:c r="P126" s="601" t="str">
        <x:v>PCG</x:v>
      </x:c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600" t="n">
        <x:v>46340</x:v>
      </x:c>
      <x:c r="B127" s="601" t="n">
        <x:v>46</x:v>
      </x:c>
      <x:c r="C127" s="601" t="str">
        <x:v>11 - November</x:v>
      </x:c>
      <x:c r="D127" s="601" t="str">
        <x:v>T4</x:v>
      </x:c>
      <x:c r="E127" s="601" t="n">
        <x:v>2026</x:v>
      </x:c>
      <x:c r="F127" s="601" t="str">
        <x:v>Filiale Nord</x:v>
      </x:c>
      <x:c r="G127" s="601" t="str">
        <x:v>645000</x:v>
      </x:c>
      <x:c r="H127" s="601" t="str">
        <x:v>Charges sociales</x:v>
      </x:c>
      <x:c r="I127" s="601" t="str">
        <x:v>Charge</x:v>
      </x:c>
      <x:c r="J127" s="601" t="str">
        <x:v>Réalisé</x:v>
      </x:c>
      <x:c r="K127" s="602" t="n">
        <x:v>6735</x:v>
      </x:c>
      <x:c r="L127" s="602" t="n">
        <x:v>0</x:v>
      </x:c>
      <x:c r="M127" s="603" t="n">
        <x:v>-6735</x:v>
      </x:c>
      <x:c r="N127" s="603" t="n">
        <x:v>-6089.313860060851</x:v>
      </x:c>
      <x:c r="O127" s="603" t="n">
        <x:f>M127-N127</x:f>
        <x:v>-645.6861399391491</x:v>
      </x:c>
      <x:c r="P127" s="601" t="str">
        <x:v>Management</x:v>
      </x:c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600" t="n">
        <x:v>46031</x:v>
      </x:c>
      <x:c r="B128" s="601" t="n">
        <x:v>2</x:v>
      </x:c>
      <x:c r="C128" s="601" t="str">
        <x:v>01 - January</x:v>
      </x:c>
      <x:c r="D128" s="601" t="str">
        <x:v>T1</x:v>
      </x:c>
      <x:c r="E128" s="601" t="n">
        <x:v>2026</x:v>
      </x:c>
      <x:c r="F128" s="601" t="str">
        <x:v>Filiale Sud</x:v>
      </x:c>
      <x:c r="G128" s="601" t="str">
        <x:v>701000</x:v>
      </x:c>
      <x:c r="H128" s="601" t="str">
        <x:v>Ventes de produits</x:v>
      </x:c>
      <x:c r="I128" s="601" t="str">
        <x:v>Produit</x:v>
      </x:c>
      <x:c r="J128" s="601" t="str">
        <x:v>Réalisé</x:v>
      </x:c>
      <x:c r="K128" s="602" t="n">
        <x:v>0</x:v>
      </x:c>
      <x:c r="L128" s="602" t="n">
        <x:v>28428</x:v>
      </x:c>
      <x:c r="M128" s="603" t="n">
        <x:v>28428</x:v>
      </x:c>
      <x:c r="N128" s="603" t="n">
        <x:v>29056.26857940627</x:v>
      </x:c>
      <x:c r="O128" s="603" t="n">
        <x:f>M128-N128</x:f>
        <x:v>-628.2685794062709</x:v>
      </x:c>
      <x:c r="P128" s="601" t="str">
        <x:v>Management</x:v>
      </x:c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600" t="n">
        <x:v>46095</x:v>
      </x:c>
      <x:c r="B129" s="601" t="n">
        <x:v>11</x:v>
      </x:c>
      <x:c r="C129" s="601" t="str">
        <x:v>03 - March</x:v>
      </x:c>
      <x:c r="D129" s="601" t="str">
        <x:v>T1</x:v>
      </x:c>
      <x:c r="E129" s="601" t="n">
        <x:v>2026</x:v>
      </x:c>
      <x:c r="F129" s="601" t="str">
        <x:v>Filiale Nord</x:v>
      </x:c>
      <x:c r="G129" s="601" t="str">
        <x:v>641000</x:v>
      </x:c>
      <x:c r="H129" s="601" t="str">
        <x:v>Salaires</x:v>
      </x:c>
      <x:c r="I129" s="601" t="str">
        <x:v>Charge</x:v>
      </x:c>
      <x:c r="J129" s="601" t="str">
        <x:v>Prévision</x:v>
      </x:c>
      <x:c r="K129" s="602" t="n">
        <x:v>2388</x:v>
      </x:c>
      <x:c r="L129" s="602" t="n">
        <x:v>0</x:v>
      </x:c>
      <x:c r="M129" s="603" t="n">
        <x:v>-2388</x:v>
      </x:c>
      <x:c r="N129" s="603" t="n">
        <x:v>-2215.952436333491</x:v>
      </x:c>
      <x:c r="O129" s="603" t="n">
        <x:f>M129-N129</x:f>
        <x:v>-172.04756366650918</x:v>
      </x:c>
      <x:c r="P129" s="601" t="str">
        <x:v>Management</x:v>
      </x:c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600" t="n">
        <x:v>46288</x:v>
      </x:c>
      <x:c r="B130" s="601" t="n">
        <x:v>39</x:v>
      </x:c>
      <x:c r="C130" s="601" t="str">
        <x:v>09 - September</x:v>
      </x:c>
      <x:c r="D130" s="601" t="str">
        <x:v>T3</x:v>
      </x:c>
      <x:c r="E130" s="601" t="n">
        <x:v>2026</x:v>
      </x:c>
      <x:c r="F130" s="601" t="str">
        <x:v>Filiale Sud</x:v>
      </x:c>
      <x:c r="G130" s="601" t="str">
        <x:v>607000</x:v>
      </x:c>
      <x:c r="H130" s="601" t="str">
        <x:v>Achats de marchandises</x:v>
      </x:c>
      <x:c r="I130" s="601" t="str">
        <x:v>Charge</x:v>
      </x:c>
      <x:c r="J130" s="601" t="str">
        <x:v>Clôturé</x:v>
      </x:c>
      <x:c r="K130" s="602" t="n">
        <x:v>13074</x:v>
      </x:c>
      <x:c r="L130" s="602" t="n">
        <x:v>0</x:v>
      </x:c>
      <x:c r="M130" s="603" t="n">
        <x:v>-13074</x:v>
      </x:c>
      <x:c r="N130" s="603" t="n">
        <x:v>-12481.262544677733</x:v>
      </x:c>
      <x:c r="O130" s="603" t="n">
        <x:f>M130-N130</x:f>
        <x:v>-592.7374553222671</x:v>
      </x:c>
      <x:c r="P130" s="601" t="str">
        <x:v>Management</x:v>
      </x:c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600" t="n">
        <x:v>46156</x:v>
      </x:c>
      <x:c r="B131" s="601" t="n">
        <x:v>20</x:v>
      </x:c>
      <x:c r="C131" s="601" t="str">
        <x:v>05 - May</x:v>
      </x:c>
      <x:c r="D131" s="601" t="str">
        <x:v>T2</x:v>
      </x:c>
      <x:c r="E131" s="601" t="n">
        <x:v>2026</x:v>
      </x:c>
      <x:c r="F131" s="601" t="str">
        <x:v>Filiale Nord</x:v>
      </x:c>
      <x:c r="G131" s="601" t="str">
        <x:v>645000</x:v>
      </x:c>
      <x:c r="H131" s="601" t="str">
        <x:v>Charges sociales</x:v>
      </x:c>
      <x:c r="I131" s="601" t="str">
        <x:v>Charge</x:v>
      </x:c>
      <x:c r="J131" s="601" t="str">
        <x:v>Réalisé</x:v>
      </x:c>
      <x:c r="K131" s="602" t="n">
        <x:v>5942</x:v>
      </x:c>
      <x:c r="L131" s="602" t="n">
        <x:v>0</x:v>
      </x:c>
      <x:c r="M131" s="603" t="n">
        <x:v>-5942</x:v>
      </x:c>
      <x:c r="N131" s="603" t="n">
        <x:v>-5780.101501418833</x:v>
      </x:c>
      <x:c r="O131" s="603" t="n">
        <x:f>M131-N131</x:f>
        <x:v>-161.89849858116668</x:v>
      </x:c>
      <x:c r="P131" s="601" t="str">
        <x:v>Management</x:v>
      </x:c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600" t="n">
        <x:v>46378</x:v>
      </x:c>
      <x:c r="B132" s="601" t="n">
        <x:v>52</x:v>
      </x:c>
      <x:c r="C132" s="601" t="str">
        <x:v>12 - December</x:v>
      </x:c>
      <x:c r="D132" s="601" t="str">
        <x:v>T4</x:v>
      </x:c>
      <x:c r="E132" s="601" t="n">
        <x:v>2026</x:v>
      </x:c>
      <x:c r="F132" s="601" t="str">
        <x:v>Groupe</x:v>
      </x:c>
      <x:c r="G132" s="601" t="str">
        <x:v>613000</x:v>
      </x:c>
      <x:c r="H132" s="601" t="str">
        <x:v>Loyers</x:v>
      </x:c>
      <x:c r="I132" s="601" t="str">
        <x:v>Charge</x:v>
      </x:c>
      <x:c r="J132" s="601" t="str">
        <x:v>Clôturé</x:v>
      </x:c>
      <x:c r="K132" s="602" t="n">
        <x:v>4302</x:v>
      </x:c>
      <x:c r="L132" s="602" t="n">
        <x:v>0</x:v>
      </x:c>
      <x:c r="M132" s="603" t="n">
        <x:v>-4302</x:v>
      </x:c>
      <x:c r="N132" s="603" t="n">
        <x:v>-4329.069399010285</x:v>
      </x:c>
      <x:c r="O132" s="603" t="n">
        <x:f>M132-N132</x:f>
        <x:v>27.06939901028545</x:v>
      </x:c>
      <x:c r="P132" s="601" t="str">
        <x:v>Management</x:v>
      </x:c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600" t="n">
        <x:v>46023</x:v>
      </x:c>
      <x:c r="B133" s="601" t="n">
        <x:v>1</x:v>
      </x:c>
      <x:c r="C133" s="601" t="str">
        <x:v>01 - January</x:v>
      </x:c>
      <x:c r="D133" s="601" t="str">
        <x:v>T1</x:v>
      </x:c>
      <x:c r="E133" s="601" t="n">
        <x:v>2026</x:v>
      </x:c>
      <x:c r="F133" s="601" t="str">
        <x:v>Filiale Nord</x:v>
      </x:c>
      <x:c r="G133" s="601" t="str">
        <x:v>613000</x:v>
      </x:c>
      <x:c r="H133" s="601" t="str">
        <x:v>Loyers</x:v>
      </x:c>
      <x:c r="I133" s="601" t="str">
        <x:v>Charge</x:v>
      </x:c>
      <x:c r="J133" s="601" t="str">
        <x:v>Prévision</x:v>
      </x:c>
      <x:c r="K133" s="602" t="n">
        <x:v>5338</x:v>
      </x:c>
      <x:c r="L133" s="602" t="n">
        <x:v>0</x:v>
      </x:c>
      <x:c r="M133" s="603" t="n">
        <x:v>-5338</x:v>
      </x:c>
      <x:c r="N133" s="603" t="n">
        <x:v>-5096.101066829012</x:v>
      </x:c>
      <x:c r="O133" s="603" t="n">
        <x:f>M133-N133</x:f>
        <x:v>-241.89893317098813</x:v>
      </x:c>
      <x:c r="P133" s="601" t="str">
        <x:v>Management</x:v>
      </x:c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600" t="n">
        <x:v>46262</x:v>
      </x:c>
      <x:c r="B134" s="601" t="n">
        <x:v>35</x:v>
      </x:c>
      <x:c r="C134" s="601" t="str">
        <x:v>08 - August</x:v>
      </x:c>
      <x:c r="D134" s="601" t="str">
        <x:v>T3</x:v>
      </x:c>
      <x:c r="E134" s="601" t="n">
        <x:v>2026</x:v>
      </x:c>
      <x:c r="F134" s="601" t="str">
        <x:v>Filiale Sud</x:v>
      </x:c>
      <x:c r="G134" s="601" t="str">
        <x:v>615000</x:v>
      </x:c>
      <x:c r="H134" s="601" t="str">
        <x:v>Maintenance</x:v>
      </x:c>
      <x:c r="I134" s="601" t="str">
        <x:v>Charge</x:v>
      </x:c>
      <x:c r="J134" s="601" t="str">
        <x:v>Clôturé</x:v>
      </x:c>
      <x:c r="K134" s="602" t="n">
        <x:v>8073</x:v>
      </x:c>
      <x:c r="L134" s="602" t="n">
        <x:v>0</x:v>
      </x:c>
      <x:c r="M134" s="603" t="n">
        <x:v>-8073</x:v>
      </x:c>
      <x:c r="N134" s="603" t="n">
        <x:v>-8637.602878230335</x:v>
      </x:c>
      <x:c r="O134" s="603" t="n">
        <x:f>M134-N134</x:f>
        <x:v>564.6028782303347</x:v>
      </x:c>
      <x:c r="P134" s="601" t="str">
        <x:v>PCG</x:v>
      </x:c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600" t="n">
        <x:v>46088</x:v>
      </x:c>
      <x:c r="B135" s="601" t="n">
        <x:v>10</x:v>
      </x:c>
      <x:c r="C135" s="601" t="str">
        <x:v>03 - March</x:v>
      </x:c>
      <x:c r="D135" s="601" t="str">
        <x:v>T1</x:v>
      </x:c>
      <x:c r="E135" s="601" t="n">
        <x:v>2026</x:v>
      </x:c>
      <x:c r="F135" s="601" t="str">
        <x:v>Filiale Sud</x:v>
      </x:c>
      <x:c r="G135" s="601" t="str">
        <x:v>701000</x:v>
      </x:c>
      <x:c r="H135" s="601" t="str">
        <x:v>Ventes de produits</x:v>
      </x:c>
      <x:c r="I135" s="601" t="str">
        <x:v>Produit</x:v>
      </x:c>
      <x:c r="J135" s="601" t="str">
        <x:v>Clôturé</x:v>
      </x:c>
      <x:c r="K135" s="602" t="n">
        <x:v>0</x:v>
      </x:c>
      <x:c r="L135" s="602" t="n">
        <x:v>18982</x:v>
      </x:c>
      <x:c r="M135" s="603" t="n">
        <x:v>18982</x:v>
      </x:c>
      <x:c r="N135" s="603" t="n">
        <x:v>20262.928721078588</x:v>
      </x:c>
      <x:c r="O135" s="603" t="n">
        <x:f>M135-N135</x:f>
        <x:v>-1280.9287210785878</x:v>
      </x:c>
      <x:c r="P135" s="601" t="str">
        <x:v>Management</x:v>
      </x:c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600" t="n">
        <x:v>46135</x:v>
      </x:c>
      <x:c r="B136" s="601" t="n">
        <x:v>17</x:v>
      </x:c>
      <x:c r="C136" s="601" t="str">
        <x:v>04 - April</x:v>
      </x:c>
      <x:c r="D136" s="601" t="str">
        <x:v>T2</x:v>
      </x:c>
      <x:c r="E136" s="601" t="n">
        <x:v>2026</x:v>
      </x:c>
      <x:c r="F136" s="601" t="str">
        <x:v>Filiale Nord</x:v>
      </x:c>
      <x:c r="G136" s="601" t="str">
        <x:v>641000</x:v>
      </x:c>
      <x:c r="H136" s="601" t="str">
        <x:v>Salaires</x:v>
      </x:c>
      <x:c r="I136" s="601" t="str">
        <x:v>Charge</x:v>
      </x:c>
      <x:c r="J136" s="601" t="str">
        <x:v>Réalisé</x:v>
      </x:c>
      <x:c r="K136" s="602" t="n">
        <x:v>17540</x:v>
      </x:c>
      <x:c r="L136" s="602" t="n">
        <x:v>0</x:v>
      </x:c>
      <x:c r="M136" s="603" t="n">
        <x:v>-17540</x:v>
      </x:c>
      <x:c r="N136" s="603" t="n">
        <x:v>-17375.955980664337</x:v>
      </x:c>
      <x:c r="O136" s="603" t="n">
        <x:f>M136-N136</x:f>
        <x:v>-164.0440193356626</x:v>
      </x:c>
      <x:c r="P136" s="601" t="str">
        <x:v>IFRS</x:v>
      </x:c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600" t="n">
        <x:v>46288</x:v>
      </x:c>
      <x:c r="B137" s="601" t="n">
        <x:v>39</x:v>
      </x:c>
      <x:c r="C137" s="601" t="str">
        <x:v>09 - September</x:v>
      </x:c>
      <x:c r="D137" s="601" t="str">
        <x:v>T3</x:v>
      </x:c>
      <x:c r="E137" s="601" t="n">
        <x:v>2026</x:v>
      </x:c>
      <x:c r="F137" s="601" t="str">
        <x:v>Filiale Sud</x:v>
      </x:c>
      <x:c r="G137" s="601" t="str">
        <x:v>615000</x:v>
      </x:c>
      <x:c r="H137" s="601" t="str">
        <x:v>Maintenance</x:v>
      </x:c>
      <x:c r="I137" s="601" t="str">
        <x:v>Charge</x:v>
      </x:c>
      <x:c r="J137" s="601" t="str">
        <x:v>Prévision</x:v>
      </x:c>
      <x:c r="K137" s="602" t="n">
        <x:v>17590</x:v>
      </x:c>
      <x:c r="L137" s="602" t="n">
        <x:v>0</x:v>
      </x:c>
      <x:c r="M137" s="603" t="n">
        <x:v>-17590</x:v>
      </x:c>
      <x:c r="N137" s="603" t="n">
        <x:v>-18786.16335917888</x:v>
      </x:c>
      <x:c r="O137" s="603" t="n">
        <x:f>M137-N137</x:f>
        <x:v>1196.1633591788814</x:v>
      </x:c>
      <x:c r="P137" s="601" t="str">
        <x:v>IFRS</x:v>
      </x:c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600" t="n">
        <x:v>46294</x:v>
      </x:c>
      <x:c r="B138" s="601" t="n">
        <x:v>40</x:v>
      </x:c>
      <x:c r="C138" s="601" t="str">
        <x:v>09 - September</x:v>
      </x:c>
      <x:c r="D138" s="601" t="str">
        <x:v>T3</x:v>
      </x:c>
      <x:c r="E138" s="601" t="n">
        <x:v>2026</x:v>
      </x:c>
      <x:c r="F138" s="601" t="str">
        <x:v>Filiale Nord</x:v>
      </x:c>
      <x:c r="G138" s="601" t="str">
        <x:v>615000</x:v>
      </x:c>
      <x:c r="H138" s="601" t="str">
        <x:v>Maintenance</x:v>
      </x:c>
      <x:c r="I138" s="601" t="str">
        <x:v>Charge</x:v>
      </x:c>
      <x:c r="J138" s="601" t="str">
        <x:v>Clôturé</x:v>
      </x:c>
      <x:c r="K138" s="602" t="n">
        <x:v>17821</x:v>
      </x:c>
      <x:c r="L138" s="602" t="n">
        <x:v>0</x:v>
      </x:c>
      <x:c r="M138" s="603" t="n">
        <x:v>-17821</x:v>
      </x:c>
      <x:c r="N138" s="603" t="n">
        <x:v>-17984.69008653756</x:v>
      </x:c>
      <x:c r="O138" s="603" t="n">
        <x:f>M138-N138</x:f>
        <x:v>163.690086537561</x:v>
      </x:c>
      <x:c r="P138" s="601" t="str">
        <x:v>Management</x:v>
      </x:c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600" t="n">
        <x:v>46054</x:v>
      </x:c>
      <x:c r="B139" s="601" t="n">
        <x:v>5</x:v>
      </x:c>
      <x:c r="C139" s="601" t="str">
        <x:v>02 - February</x:v>
      </x:c>
      <x:c r="D139" s="601" t="str">
        <x:v>T1</x:v>
      </x:c>
      <x:c r="E139" s="601" t="n">
        <x:v>2026</x:v>
      </x:c>
      <x:c r="F139" s="601" t="str">
        <x:v>Filiale Sud</x:v>
      </x:c>
      <x:c r="G139" s="601" t="str">
        <x:v>641000</x:v>
      </x:c>
      <x:c r="H139" s="601" t="str">
        <x:v>Salaires</x:v>
      </x:c>
      <x:c r="I139" s="601" t="str">
        <x:v>Charge</x:v>
      </x:c>
      <x:c r="J139" s="601" t="str">
        <x:v>Réalisé</x:v>
      </x:c>
      <x:c r="K139" s="602" t="n">
        <x:v>9165</x:v>
      </x:c>
      <x:c r="L139" s="602" t="n">
        <x:v>0</x:v>
      </x:c>
      <x:c r="M139" s="603" t="n">
        <x:v>-9165</x:v>
      </x:c>
      <x:c r="N139" s="603" t="n">
        <x:v>-9278.354616403067</x:v>
      </x:c>
      <x:c r="O139" s="603" t="n">
        <x:f>M139-N139</x:f>
        <x:v>113.35461640306676</x:v>
      </x:c>
      <x:c r="P139" s="601" t="str">
        <x:v>IFRS</x:v>
      </x:c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600" t="n">
        <x:v>46185</x:v>
      </x:c>
      <x:c r="B140" s="601" t="n">
        <x:v>24</x:v>
      </x:c>
      <x:c r="C140" s="601" t="str">
        <x:v>06 - June</x:v>
      </x:c>
      <x:c r="D140" s="601" t="str">
        <x:v>T2</x:v>
      </x:c>
      <x:c r="E140" s="601" t="n">
        <x:v>2026</x:v>
      </x:c>
      <x:c r="F140" s="601" t="str">
        <x:v>Groupe</x:v>
      </x:c>
      <x:c r="G140" s="601" t="str">
        <x:v>645000</x:v>
      </x:c>
      <x:c r="H140" s="601" t="str">
        <x:v>Charges sociales</x:v>
      </x:c>
      <x:c r="I140" s="601" t="str">
        <x:v>Charge</x:v>
      </x:c>
      <x:c r="J140" s="601" t="str">
        <x:v>Prévision</x:v>
      </x:c>
      <x:c r="K140" s="602" t="n">
        <x:v>12542</x:v>
      </x:c>
      <x:c r="L140" s="602" t="n">
        <x:v>0</x:v>
      </x:c>
      <x:c r="M140" s="603" t="n">
        <x:v>-12542</x:v>
      </x:c>
      <x:c r="N140" s="603" t="n">
        <x:v>-13296.132286364755</x:v>
      </x:c>
      <x:c r="O140" s="603" t="n">
        <x:f>M140-N140</x:f>
        <x:v>754.1322863647547</x:v>
      </x:c>
      <x:c r="P140" s="601" t="str">
        <x:v>IFRS</x:v>
      </x:c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600" t="n">
        <x:v>46143</x:v>
      </x:c>
      <x:c r="B141" s="601" t="n">
        <x:v>18</x:v>
      </x:c>
      <x:c r="C141" s="601" t="str">
        <x:v>05 - May</x:v>
      </x:c>
      <x:c r="D141" s="601" t="str">
        <x:v>T2</x:v>
      </x:c>
      <x:c r="E141" s="601" t="n">
        <x:v>2026</x:v>
      </x:c>
      <x:c r="F141" s="601" t="str">
        <x:v>Filiale Nord</x:v>
      </x:c>
      <x:c r="G141" s="601" t="str">
        <x:v>615000</x:v>
      </x:c>
      <x:c r="H141" s="601" t="str">
        <x:v>Maintenance</x:v>
      </x:c>
      <x:c r="I141" s="601" t="str">
        <x:v>Charge</x:v>
      </x:c>
      <x:c r="J141" s="601" t="str">
        <x:v>Réalisé</x:v>
      </x:c>
      <x:c r="K141" s="602" t="n">
        <x:v>10062</x:v>
      </x:c>
      <x:c r="L141" s="602" t="n">
        <x:v>0</x:v>
      </x:c>
      <x:c r="M141" s="603" t="n">
        <x:v>-10062</x:v>
      </x:c>
      <x:c r="N141" s="603" t="n">
        <x:v>-10756.061497985978</x:v>
      </x:c>
      <x:c r="O141" s="603" t="n">
        <x:f>M141-N141</x:f>
        <x:v>694.0614979859783</x:v>
      </x:c>
      <x:c r="P141" s="601" t="str">
        <x:v>PCG</x:v>
      </x:c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600" t="n">
        <x:v>46271</x:v>
      </x:c>
      <x:c r="B142" s="601" t="n">
        <x:v>36</x:v>
      </x:c>
      <x:c r="C142" s="601" t="str">
        <x:v>09 - September</x:v>
      </x:c>
      <x:c r="D142" s="601" t="str">
        <x:v>T3</x:v>
      </x:c>
      <x:c r="E142" s="601" t="n">
        <x:v>2026</x:v>
      </x:c>
      <x:c r="F142" s="601" t="str">
        <x:v>Filiale Sud</x:v>
      </x:c>
      <x:c r="G142" s="601" t="str">
        <x:v>641000</x:v>
      </x:c>
      <x:c r="H142" s="601" t="str">
        <x:v>Salaires</x:v>
      </x:c>
      <x:c r="I142" s="601" t="str">
        <x:v>Charge</x:v>
      </x:c>
      <x:c r="J142" s="601" t="str">
        <x:v>Prévision</x:v>
      </x:c>
      <x:c r="K142" s="602" t="n">
        <x:v>7174</x:v>
      </x:c>
      <x:c r="L142" s="602" t="n">
        <x:v>0</x:v>
      </x:c>
      <x:c r="M142" s="603" t="n">
        <x:v>-7174</x:v>
      </x:c>
      <x:c r="N142" s="603" t="n">
        <x:v>-6971.208849090055</x:v>
      </x:c>
      <x:c r="O142" s="603" t="n">
        <x:f>M142-N142</x:f>
        <x:v>-202.79115090994492</x:v>
      </x:c>
      <x:c r="P142" s="601" t="str">
        <x:v>Management</x:v>
      </x:c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600" t="n">
        <x:v>46105</x:v>
      </x:c>
      <x:c r="B143" s="601" t="n">
        <x:v>13</x:v>
      </x:c>
      <x:c r="C143" s="601" t="str">
        <x:v>03 - March</x:v>
      </x:c>
      <x:c r="D143" s="601" t="str">
        <x:v>T1</x:v>
      </x:c>
      <x:c r="E143" s="601" t="n">
        <x:v>2026</x:v>
      </x:c>
      <x:c r="F143" s="601" t="str">
        <x:v>Groupe</x:v>
      </x:c>
      <x:c r="G143" s="601" t="str">
        <x:v>641000</x:v>
      </x:c>
      <x:c r="H143" s="601" t="str">
        <x:v>Salaires</x:v>
      </x:c>
      <x:c r="I143" s="601" t="str">
        <x:v>Charge</x:v>
      </x:c>
      <x:c r="J143" s="601" t="str">
        <x:v>Clôturé</x:v>
      </x:c>
      <x:c r="K143" s="602" t="n">
        <x:v>3490</x:v>
      </x:c>
      <x:c r="L143" s="602" t="n">
        <x:v>0</x:v>
      </x:c>
      <x:c r="M143" s="603" t="n">
        <x:v>-3490</x:v>
      </x:c>
      <x:c r="N143" s="603" t="n">
        <x:v>-3805.1879824669</x:v>
      </x:c>
      <x:c r="O143" s="603" t="n">
        <x:f>M143-N143</x:f>
        <x:v>315.18798246689994</x:v>
      </x:c>
      <x:c r="P143" s="601" t="str">
        <x:v>IFRS</x:v>
      </x:c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600" t="n">
        <x:v>46315</x:v>
      </x:c>
      <x:c r="B144" s="601" t="n">
        <x:v>43</x:v>
      </x:c>
      <x:c r="C144" s="601" t="str">
        <x:v>10 - October</x:v>
      </x:c>
      <x:c r="D144" s="601" t="str">
        <x:v>T4</x:v>
      </x:c>
      <x:c r="E144" s="601" t="n">
        <x:v>2026</x:v>
      </x:c>
      <x:c r="F144" s="601" t="str">
        <x:v>Filiale Sud</x:v>
      </x:c>
      <x:c r="G144" s="601" t="str">
        <x:v>641000</x:v>
      </x:c>
      <x:c r="H144" s="601" t="str">
        <x:v>Salaires</x:v>
      </x:c>
      <x:c r="I144" s="601" t="str">
        <x:v>Charge</x:v>
      </x:c>
      <x:c r="J144" s="601" t="str">
        <x:v>Réalisé</x:v>
      </x:c>
      <x:c r="K144" s="602" t="n">
        <x:v>4764</x:v>
      </x:c>
      <x:c r="L144" s="602" t="n">
        <x:v>0</x:v>
      </x:c>
      <x:c r="M144" s="603" t="n">
        <x:v>-4764</x:v>
      </x:c>
      <x:c r="N144" s="603" t="n">
        <x:v>-4407.4475699587865</x:v>
      </x:c>
      <x:c r="O144" s="603" t="n">
        <x:f>M144-N144</x:f>
        <x:v>-356.5524300412135</x:v>
      </x:c>
      <x:c r="P144" s="601" t="str">
        <x:v>IFRS</x:v>
      </x:c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600" t="n">
        <x:v>46040</x:v>
      </x:c>
      <x:c r="B145" s="601" t="n">
        <x:v>3</x:v>
      </x:c>
      <x:c r="C145" s="601" t="str">
        <x:v>01 - January</x:v>
      </x:c>
      <x:c r="D145" s="601" t="str">
        <x:v>T1</x:v>
      </x:c>
      <x:c r="E145" s="601" t="n">
        <x:v>2026</x:v>
      </x:c>
      <x:c r="F145" s="601" t="str">
        <x:v>Groupe</x:v>
      </x:c>
      <x:c r="G145" s="601" t="str">
        <x:v>627000</x:v>
      </x:c>
      <x:c r="H145" s="601" t="str">
        <x:v>Frais bancaires</x:v>
      </x:c>
      <x:c r="I145" s="601" t="str">
        <x:v>Charge</x:v>
      </x:c>
      <x:c r="J145" s="601" t="str">
        <x:v>Prévision</x:v>
      </x:c>
      <x:c r="K145" s="602" t="n">
        <x:v>4091</x:v>
      </x:c>
      <x:c r="L145" s="602" t="n">
        <x:v>0</x:v>
      </x:c>
      <x:c r="M145" s="603" t="n">
        <x:v>-4091</x:v>
      </x:c>
      <x:c r="N145" s="603" t="n">
        <x:v>-3980.537349758493</x:v>
      </x:c>
      <x:c r="O145" s="603" t="n">
        <x:f>M145-N145</x:f>
        <x:v>-110.46265024150716</x:v>
      </x:c>
      <x:c r="P145" s="601" t="str">
        <x:v>Management</x:v>
      </x:c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600" t="n">
        <x:v>46285</x:v>
      </x:c>
      <x:c r="B146" s="601" t="n">
        <x:v>38</x:v>
      </x:c>
      <x:c r="C146" s="601" t="str">
        <x:v>09 - September</x:v>
      </x:c>
      <x:c r="D146" s="601" t="str">
        <x:v>T3</x:v>
      </x:c>
      <x:c r="E146" s="601" t="n">
        <x:v>2026</x:v>
      </x:c>
      <x:c r="F146" s="601" t="str">
        <x:v>Filiale Sud</x:v>
      </x:c>
      <x:c r="G146" s="601" t="str">
        <x:v>645000</x:v>
      </x:c>
      <x:c r="H146" s="601" t="str">
        <x:v>Charges sociales</x:v>
      </x:c>
      <x:c r="I146" s="601" t="str">
        <x:v>Charge</x:v>
      </x:c>
      <x:c r="J146" s="601" t="str">
        <x:v>Clôturé</x:v>
      </x:c>
      <x:c r="K146" s="602" t="n">
        <x:v>5249</x:v>
      </x:c>
      <x:c r="L146" s="602" t="n">
        <x:v>0</x:v>
      </x:c>
      <x:c r="M146" s="603" t="n">
        <x:v>-5249</x:v>
      </x:c>
      <x:c r="N146" s="603" t="n">
        <x:v>-5503.2285751273275</x:v>
      </x:c>
      <x:c r="O146" s="603" t="n">
        <x:f>M146-N146</x:f>
        <x:v>254.22857512732753</x:v>
      </x:c>
      <x:c r="P146" s="601" t="str">
        <x:v>PCG</x:v>
      </x:c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600" t="n">
        <x:v>46359</x:v>
      </x:c>
      <x:c r="B147" s="601" t="n">
        <x:v>49</x:v>
      </x:c>
      <x:c r="C147" s="601" t="str">
        <x:v>12 - December</x:v>
      </x:c>
      <x:c r="D147" s="601" t="str">
        <x:v>T4</x:v>
      </x:c>
      <x:c r="E147" s="601" t="n">
        <x:v>2026</x:v>
      </x:c>
      <x:c r="F147" s="601" t="str">
        <x:v>Filiale Sud</x:v>
      </x:c>
      <x:c r="G147" s="601" t="str">
        <x:v>701000</x:v>
      </x:c>
      <x:c r="H147" s="601" t="str">
        <x:v>Ventes de produits</x:v>
      </x:c>
      <x:c r="I147" s="601" t="str">
        <x:v>Produit</x:v>
      </x:c>
      <x:c r="J147" s="601" t="str">
        <x:v>Réalisé</x:v>
      </x:c>
      <x:c r="K147" s="602" t="n">
        <x:v>0</x:v>
      </x:c>
      <x:c r="L147" s="602" t="n">
        <x:v>29010</x:v>
      </x:c>
      <x:c r="M147" s="603" t="n">
        <x:v>29010</x:v>
      </x:c>
      <x:c r="N147" s="603" t="n">
        <x:v>26756.972438624336</x:v>
      </x:c>
      <x:c r="O147" s="603" t="n">
        <x:f>M147-N147</x:f>
        <x:v>2253.027561375664</x:v>
      </x:c>
      <x:c r="P147" s="601" t="str">
        <x:v>IFRS</x:v>
      </x:c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600" t="n">
        <x:v>46163</x:v>
      </x:c>
      <x:c r="B148" s="601" t="n">
        <x:v>21</x:v>
      </x:c>
      <x:c r="C148" s="601" t="str">
        <x:v>05 - May</x:v>
      </x:c>
      <x:c r="D148" s="601" t="str">
        <x:v>T2</x:v>
      </x:c>
      <x:c r="E148" s="601" t="n">
        <x:v>2026</x:v>
      </x:c>
      <x:c r="F148" s="601" t="str">
        <x:v>Groupe</x:v>
      </x:c>
      <x:c r="G148" s="601" t="str">
        <x:v>701000</x:v>
      </x:c>
      <x:c r="H148" s="601" t="str">
        <x:v>Ventes de produits</x:v>
      </x:c>
      <x:c r="I148" s="601" t="str">
        <x:v>Produit</x:v>
      </x:c>
      <x:c r="J148" s="601" t="str">
        <x:v>Prévision</x:v>
      </x:c>
      <x:c r="K148" s="602" t="n">
        <x:v>0</x:v>
      </x:c>
      <x:c r="L148" s="602" t="n">
        <x:v>29043</x:v>
      </x:c>
      <x:c r="M148" s="603" t="n">
        <x:v>29043</x:v>
      </x:c>
      <x:c r="N148" s="603" t="n">
        <x:v>29828.344007093154</x:v>
      </x:c>
      <x:c r="O148" s="603" t="n">
        <x:f>M148-N148</x:f>
        <x:v>-785.3440070931538</x:v>
      </x:c>
      <x:c r="P148" s="601" t="str">
        <x:v>IFRS</x:v>
      </x:c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600" t="n">
        <x:v>46027</x:v>
      </x:c>
      <x:c r="B149" s="601" t="n">
        <x:v>2</x:v>
      </x:c>
      <x:c r="C149" s="601" t="str">
        <x:v>01 - January</x:v>
      </x:c>
      <x:c r="D149" s="601" t="str">
        <x:v>T1</x:v>
      </x:c>
      <x:c r="E149" s="601" t="n">
        <x:v>2026</x:v>
      </x:c>
      <x:c r="F149" s="601" t="str">
        <x:v>Groupe</x:v>
      </x:c>
      <x:c r="G149" s="601" t="str">
        <x:v>627000</x:v>
      </x:c>
      <x:c r="H149" s="601" t="str">
        <x:v>Frais bancaires</x:v>
      </x:c>
      <x:c r="I149" s="601" t="str">
        <x:v>Charge</x:v>
      </x:c>
      <x:c r="J149" s="601" t="str">
        <x:v>Réalisé</x:v>
      </x:c>
      <x:c r="K149" s="602" t="n">
        <x:v>16838</x:v>
      </x:c>
      <x:c r="L149" s="602" t="n">
        <x:v>0</x:v>
      </x:c>
      <x:c r="M149" s="603" t="n">
        <x:v>-16838</x:v>
      </x:c>
      <x:c r="N149" s="603" t="n">
        <x:v>-18485.564827766386</x:v>
      </x:c>
      <x:c r="O149" s="603" t="n">
        <x:f>M149-N149</x:f>
        <x:v>1647.5648277663859</x:v>
      </x:c>
      <x:c r="P149" s="601" t="str">
        <x:v>PCG</x:v>
      </x:c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600" t="n">
        <x:v>46363</x:v>
      </x:c>
      <x:c r="B150" s="601" t="n">
        <x:v>50</x:v>
      </x:c>
      <x:c r="C150" s="601" t="str">
        <x:v>12 - December</x:v>
      </x:c>
      <x:c r="D150" s="601" t="str">
        <x:v>T4</x:v>
      </x:c>
      <x:c r="E150" s="601" t="n">
        <x:v>2026</x:v>
      </x:c>
      <x:c r="F150" s="601" t="str">
        <x:v>Groupe</x:v>
      </x:c>
      <x:c r="G150" s="601" t="str">
        <x:v>613000</x:v>
      </x:c>
      <x:c r="H150" s="601" t="str">
        <x:v>Loyers</x:v>
      </x:c>
      <x:c r="I150" s="601" t="str">
        <x:v>Charge</x:v>
      </x:c>
      <x:c r="J150" s="601" t="str">
        <x:v>Clôturé</x:v>
      </x:c>
      <x:c r="K150" s="602" t="n">
        <x:v>16850</x:v>
      </x:c>
      <x:c r="L150" s="602" t="n">
        <x:v>0</x:v>
      </x:c>
      <x:c r="M150" s="603" t="n">
        <x:v>-16850</x:v>
      </x:c>
      <x:c r="N150" s="603" t="n">
        <x:v>-16293.895901837814</x:v>
      </x:c>
      <x:c r="O150" s="603" t="n">
        <x:f>M150-N150</x:f>
        <x:v>-556.1040981621863</x:v>
      </x:c>
      <x:c r="P150" s="601" t="str">
        <x:v>IFRS</x:v>
      </x:c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600" t="n">
        <x:v>46091</x:v>
      </x:c>
      <x:c r="B151" s="601" t="n">
        <x:v>11</x:v>
      </x:c>
      <x:c r="C151" s="601" t="str">
        <x:v>03 - March</x:v>
      </x:c>
      <x:c r="D151" s="601" t="str">
        <x:v>T1</x:v>
      </x:c>
      <x:c r="E151" s="601" t="n">
        <x:v>2026</x:v>
      </x:c>
      <x:c r="F151" s="601" t="str">
        <x:v>Filiale Nord</x:v>
      </x:c>
      <x:c r="G151" s="601" t="str">
        <x:v>615000</x:v>
      </x:c>
      <x:c r="H151" s="601" t="str">
        <x:v>Maintenance</x:v>
      </x:c>
      <x:c r="I151" s="601" t="str">
        <x:v>Charge</x:v>
      </x:c>
      <x:c r="J151" s="601" t="str">
        <x:v>Réalisé</x:v>
      </x:c>
      <x:c r="K151" s="602" t="n">
        <x:v>3773</x:v>
      </x:c>
      <x:c r="L151" s="602" t="n">
        <x:v>0</x:v>
      </x:c>
      <x:c r="M151" s="603" t="n">
        <x:v>-3773</x:v>
      </x:c>
      <x:c r="N151" s="603" t="n">
        <x:v>-3452.41057924488</x:v>
      </x:c>
      <x:c r="O151" s="603" t="n">
        <x:f>M151-N151</x:f>
        <x:v>-320.58942075512005</x:v>
      </x:c>
      <x:c r="P151" s="601" t="str">
        <x:v>PCG</x:v>
      </x:c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600" t="n">
        <x:v>46293</x:v>
      </x:c>
      <x:c r="B152" s="601" t="n">
        <x:v>40</x:v>
      </x:c>
      <x:c r="C152" s="601" t="str">
        <x:v>09 - September</x:v>
      </x:c>
      <x:c r="D152" s="601" t="str">
        <x:v>T3</x:v>
      </x:c>
      <x:c r="E152" s="601" t="n">
        <x:v>2026</x:v>
      </x:c>
      <x:c r="F152" s="601" t="str">
        <x:v>Filiale Nord</x:v>
      </x:c>
      <x:c r="G152" s="601" t="str">
        <x:v>701000</x:v>
      </x:c>
      <x:c r="H152" s="601" t="str">
        <x:v>Ventes de produits</x:v>
      </x:c>
      <x:c r="I152" s="601" t="str">
        <x:v>Produit</x:v>
      </x:c>
      <x:c r="J152" s="601" t="str">
        <x:v>Réalisé</x:v>
      </x:c>
      <x:c r="K152" s="602" t="n">
        <x:v>0</x:v>
      </x:c>
      <x:c r="L152" s="602" t="n">
        <x:v>22643</x:v>
      </x:c>
      <x:c r="M152" s="603" t="n">
        <x:v>22643</x:v>
      </x:c>
      <x:c r="N152" s="603" t="n">
        <x:v>21706.11030267814</x:v>
      </x:c>
      <x:c r="O152" s="603" t="n">
        <x:f>M152-N152</x:f>
        <x:v>936.8896973218616</x:v>
      </x:c>
      <x:c r="P152" s="601" t="str">
        <x:v>IFRS</x:v>
      </x:c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600" t="n">
        <x:v>46164</x:v>
      </x:c>
      <x:c r="B153" s="601" t="n">
        <x:v>21</x:v>
      </x:c>
      <x:c r="C153" s="601" t="str">
        <x:v>05 - May</x:v>
      </x:c>
      <x:c r="D153" s="601" t="str">
        <x:v>T2</x:v>
      </x:c>
      <x:c r="E153" s="601" t="n">
        <x:v>2026</x:v>
      </x:c>
      <x:c r="F153" s="601" t="str">
        <x:v>Filiale Nord</x:v>
      </x:c>
      <x:c r="G153" s="601" t="str">
        <x:v>701000</x:v>
      </x:c>
      <x:c r="H153" s="601" t="str">
        <x:v>Ventes de produits</x:v>
      </x:c>
      <x:c r="I153" s="601" t="str">
        <x:v>Produit</x:v>
      </x:c>
      <x:c r="J153" s="601" t="str">
        <x:v>Prévision</x:v>
      </x:c>
      <x:c r="K153" s="602" t="n">
        <x:v>0</x:v>
      </x:c>
      <x:c r="L153" s="602" t="n">
        <x:v>8061</x:v>
      </x:c>
      <x:c r="M153" s="603" t="n">
        <x:v>8061</x:v>
      </x:c>
      <x:c r="N153" s="603" t="n">
        <x:v>7268.487290266258</x:v>
      </x:c>
      <x:c r="O153" s="603" t="n">
        <x:f>M153-N153</x:f>
        <x:v>792.5127097337418</x:v>
      </x:c>
      <x:c r="P153" s="601" t="str">
        <x:v>Management</x:v>
      </x:c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600" t="n">
        <x:v>46121</x:v>
      </x:c>
      <x:c r="B154" s="601" t="n">
        <x:v>15</x:v>
      </x:c>
      <x:c r="C154" s="601" t="str">
        <x:v>04 - April</x:v>
      </x:c>
      <x:c r="D154" s="601" t="str">
        <x:v>T2</x:v>
      </x:c>
      <x:c r="E154" s="601" t="n">
        <x:v>2026</x:v>
      </x:c>
      <x:c r="F154" s="601" t="str">
        <x:v>Groupe</x:v>
      </x:c>
      <x:c r="G154" s="601" t="str">
        <x:v>706000</x:v>
      </x:c>
      <x:c r="H154" s="601" t="str">
        <x:v>Prestations de services</x:v>
      </x:c>
      <x:c r="I154" s="601" t="str">
        <x:v>Produit</x:v>
      </x:c>
      <x:c r="J154" s="601" t="str">
        <x:v>Clôturé</x:v>
      </x:c>
      <x:c r="K154" s="602" t="n">
        <x:v>0</x:v>
      </x:c>
      <x:c r="L154" s="602" t="n">
        <x:v>10596</x:v>
      </x:c>
      <x:c r="M154" s="603" t="n">
        <x:v>10596</x:v>
      </x:c>
      <x:c r="N154" s="603" t="n">
        <x:v>10544.111525140246</x:v>
      </x:c>
      <x:c r="O154" s="603" t="n">
        <x:f>M154-N154</x:f>
        <x:v>51.88847485975384</x:v>
      </x:c>
      <x:c r="P154" s="601" t="str">
        <x:v>Management</x:v>
      </x:c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600" t="n">
        <x:v>46091</x:v>
      </x:c>
      <x:c r="B155" s="601" t="n">
        <x:v>11</x:v>
      </x:c>
      <x:c r="C155" s="601" t="str">
        <x:v>03 - March</x:v>
      </x:c>
      <x:c r="D155" s="601" t="str">
        <x:v>T1</x:v>
      </x:c>
      <x:c r="E155" s="601" t="n">
        <x:v>2026</x:v>
      </x:c>
      <x:c r="F155" s="601" t="str">
        <x:v>Groupe</x:v>
      </x:c>
      <x:c r="G155" s="601" t="str">
        <x:v>627000</x:v>
      </x:c>
      <x:c r="H155" s="601" t="str">
        <x:v>Frais bancaires</x:v>
      </x:c>
      <x:c r="I155" s="601" t="str">
        <x:v>Charge</x:v>
      </x:c>
      <x:c r="J155" s="601" t="str">
        <x:v>Clôturé</x:v>
      </x:c>
      <x:c r="K155" s="602" t="n">
        <x:v>17679</x:v>
      </x:c>
      <x:c r="L155" s="602" t="n">
        <x:v>0</x:v>
      </x:c>
      <x:c r="M155" s="603" t="n">
        <x:v>-17679</x:v>
      </x:c>
      <x:c r="N155" s="603" t="n">
        <x:v>-18960.49649977185</x:v>
      </x:c>
      <x:c r="O155" s="603" t="n">
        <x:f>M155-N155</x:f>
        <x:v>1281.496499771849</x:v>
      </x:c>
      <x:c r="P155" s="601" t="str">
        <x:v>PCG</x:v>
      </x:c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600" t="n">
        <x:v>46038</x:v>
      </x:c>
      <x:c r="B156" s="601" t="n">
        <x:v>3</x:v>
      </x:c>
      <x:c r="C156" s="601" t="str">
        <x:v>01 - January</x:v>
      </x:c>
      <x:c r="D156" s="601" t="str">
        <x:v>T1</x:v>
      </x:c>
      <x:c r="E156" s="601" t="n">
        <x:v>2026</x:v>
      </x:c>
      <x:c r="F156" s="601" t="str">
        <x:v>Filiale Sud</x:v>
      </x:c>
      <x:c r="G156" s="601" t="str">
        <x:v>645000</x:v>
      </x:c>
      <x:c r="H156" s="601" t="str">
        <x:v>Charges sociales</x:v>
      </x:c>
      <x:c r="I156" s="601" t="str">
        <x:v>Charge</x:v>
      </x:c>
      <x:c r="J156" s="601" t="str">
        <x:v>Réalisé</x:v>
      </x:c>
      <x:c r="K156" s="602" t="n">
        <x:v>10913</x:v>
      </x:c>
      <x:c r="L156" s="602" t="n">
        <x:v>0</x:v>
      </x:c>
      <x:c r="M156" s="603" t="n">
        <x:v>-10913</x:v>
      </x:c>
      <x:c r="N156" s="603" t="n">
        <x:v>-9931.3310235203</x:v>
      </x:c>
      <x:c r="O156" s="603" t="n">
        <x:f>M156-N156</x:f>
        <x:v>-981.6689764796993</x:v>
      </x:c>
      <x:c r="P156" s="601" t="str">
        <x:v>PCG</x:v>
      </x:c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600" t="n">
        <x:v>46161</x:v>
      </x:c>
      <x:c r="B157" s="601" t="n">
        <x:v>21</x:v>
      </x:c>
      <x:c r="C157" s="601" t="str">
        <x:v>05 - May</x:v>
      </x:c>
      <x:c r="D157" s="601" t="str">
        <x:v>T2</x:v>
      </x:c>
      <x:c r="E157" s="601" t="n">
        <x:v>2026</x:v>
      </x:c>
      <x:c r="F157" s="601" t="str">
        <x:v>Filiale Nord</x:v>
      </x:c>
      <x:c r="G157" s="601" t="str">
        <x:v>645000</x:v>
      </x:c>
      <x:c r="H157" s="601" t="str">
        <x:v>Charges sociales</x:v>
      </x:c>
      <x:c r="I157" s="601" t="str">
        <x:v>Charge</x:v>
      </x:c>
      <x:c r="J157" s="601" t="str">
        <x:v>Prévision</x:v>
      </x:c>
      <x:c r="K157" s="602" t="n">
        <x:v>16704</x:v>
      </x:c>
      <x:c r="L157" s="602" t="n">
        <x:v>0</x:v>
      </x:c>
      <x:c r="M157" s="603" t="n">
        <x:v>-16704</x:v>
      </x:c>
      <x:c r="N157" s="603" t="n">
        <x:v>-16825.259309097968</x:v>
      </x:c>
      <x:c r="O157" s="603" t="n">
        <x:f>M157-N157</x:f>
        <x:v>121.25930909796807</x:v>
      </x:c>
      <x:c r="P157" s="601" t="str">
        <x:v>PCG</x:v>
      </x:c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600" t="n">
        <x:v>46059</x:v>
      </x:c>
      <x:c r="B158" s="601" t="n">
        <x:v>6</x:v>
      </x:c>
      <x:c r="C158" s="601" t="str">
        <x:v>02 - February</x:v>
      </x:c>
      <x:c r="D158" s="601" t="str">
        <x:v>T1</x:v>
      </x:c>
      <x:c r="E158" s="601" t="n">
        <x:v>2026</x:v>
      </x:c>
      <x:c r="F158" s="601" t="str">
        <x:v>Groupe</x:v>
      </x:c>
      <x:c r="G158" s="601" t="str">
        <x:v>627000</x:v>
      </x:c>
      <x:c r="H158" s="601" t="str">
        <x:v>Frais bancaires</x:v>
      </x:c>
      <x:c r="I158" s="601" t="str">
        <x:v>Charge</x:v>
      </x:c>
      <x:c r="J158" s="601" t="str">
        <x:v>Prévision</x:v>
      </x:c>
      <x:c r="K158" s="602" t="n">
        <x:v>11658</x:v>
      </x:c>
      <x:c r="L158" s="602" t="n">
        <x:v>0</x:v>
      </x:c>
      <x:c r="M158" s="603" t="n">
        <x:v>-11658</x:v>
      </x:c>
      <x:c r="N158" s="603" t="n">
        <x:v>-10605.240491501518</x:v>
      </x:c>
      <x:c r="O158" s="603" t="n">
        <x:f>M158-N158</x:f>
        <x:v>-1052.7595084984823</x:v>
      </x:c>
      <x:c r="P158" s="601" t="str">
        <x:v>IFRS</x:v>
      </x:c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600" t="n">
        <x:v>46305</x:v>
      </x:c>
      <x:c r="B159" s="601" t="n">
        <x:v>41</x:v>
      </x:c>
      <x:c r="C159" s="601" t="str">
        <x:v>10 - October</x:v>
      </x:c>
      <x:c r="D159" s="601" t="str">
        <x:v>T4</x:v>
      </x:c>
      <x:c r="E159" s="601" t="n">
        <x:v>2026</x:v>
      </x:c>
      <x:c r="F159" s="601" t="str">
        <x:v>Filiale Nord</x:v>
      </x:c>
      <x:c r="G159" s="601" t="str">
        <x:v>615000</x:v>
      </x:c>
      <x:c r="H159" s="601" t="str">
        <x:v>Maintenance</x:v>
      </x:c>
      <x:c r="I159" s="601" t="str">
        <x:v>Charge</x:v>
      </x:c>
      <x:c r="J159" s="601" t="str">
        <x:v>Réalisé</x:v>
      </x:c>
      <x:c r="K159" s="602" t="n">
        <x:v>5245</x:v>
      </x:c>
      <x:c r="L159" s="602" t="n">
        <x:v>0</x:v>
      </x:c>
      <x:c r="M159" s="603" t="n">
        <x:v>-5245</x:v>
      </x:c>
      <x:c r="N159" s="603" t="n">
        <x:v>-4865.162977453049</x:v>
      </x:c>
      <x:c r="O159" s="603" t="n">
        <x:f>M159-N159</x:f>
        <x:v>-379.8370225469507</x:v>
      </x:c>
      <x:c r="P159" s="601" t="str">
        <x:v>IFRS</x:v>
      </x:c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600" t="n">
        <x:v>46373</x:v>
      </x:c>
      <x:c r="B160" s="601" t="n">
        <x:v>51</x:v>
      </x:c>
      <x:c r="C160" s="601" t="str">
        <x:v>12 - December</x:v>
      </x:c>
      <x:c r="D160" s="601" t="str">
        <x:v>T4</x:v>
      </x:c>
      <x:c r="E160" s="601" t="n">
        <x:v>2026</x:v>
      </x:c>
      <x:c r="F160" s="601" t="str">
        <x:v>Filiale Sud</x:v>
      </x:c>
      <x:c r="G160" s="601" t="str">
        <x:v>613000</x:v>
      </x:c>
      <x:c r="H160" s="601" t="str">
        <x:v>Loyers</x:v>
      </x:c>
      <x:c r="I160" s="601" t="str">
        <x:v>Charge</x:v>
      </x:c>
      <x:c r="J160" s="601" t="str">
        <x:v>Clôturé</x:v>
      </x:c>
      <x:c r="K160" s="602" t="n">
        <x:v>17519</x:v>
      </x:c>
      <x:c r="L160" s="602" t="n">
        <x:v>0</x:v>
      </x:c>
      <x:c r="M160" s="603" t="n">
        <x:v>-17519</x:v>
      </x:c>
      <x:c r="N160" s="603" t="n">
        <x:v>-17086.542455565796</x:v>
      </x:c>
      <x:c r="O160" s="603" t="n">
        <x:f>M160-N160</x:f>
        <x:v>-432.45754443420446</x:v>
      </x:c>
      <x:c r="P160" s="601" t="str">
        <x:v>IFRS</x:v>
      </x:c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600" t="n">
        <x:v>46284</x:v>
      </x:c>
      <x:c r="B161" s="601" t="n">
        <x:v>38</x:v>
      </x:c>
      <x:c r="C161" s="601" t="str">
        <x:v>09 - September</x:v>
      </x:c>
      <x:c r="D161" s="601" t="str">
        <x:v>T3</x:v>
      </x:c>
      <x:c r="E161" s="601" t="n">
        <x:v>2026</x:v>
      </x:c>
      <x:c r="F161" s="601" t="str">
        <x:v>Groupe</x:v>
      </x:c>
      <x:c r="G161" s="601" t="str">
        <x:v>615000</x:v>
      </x:c>
      <x:c r="H161" s="601" t="str">
        <x:v>Maintenance</x:v>
      </x:c>
      <x:c r="I161" s="601" t="str">
        <x:v>Charge</x:v>
      </x:c>
      <x:c r="J161" s="601" t="str">
        <x:v>Réalisé</x:v>
      </x:c>
      <x:c r="K161" s="602" t="n">
        <x:v>12680</x:v>
      </x:c>
      <x:c r="L161" s="602" t="n">
        <x:v>0</x:v>
      </x:c>
      <x:c r="M161" s="603" t="n">
        <x:v>-12680</x:v>
      </x:c>
      <x:c r="N161" s="603" t="n">
        <x:v>-12375.60148669564</x:v>
      </x:c>
      <x:c r="O161" s="603" t="n">
        <x:f>M161-N161</x:f>
        <x:v>-304.3985133043607</x:v>
      </x:c>
      <x:c r="P161" s="601" t="str">
        <x:v>IFRS</x:v>
      </x:c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600" t="n">
        <x:v>46169</x:v>
      </x:c>
      <x:c r="B162" s="601" t="n">
        <x:v>22</x:v>
      </x:c>
      <x:c r="C162" s="601" t="str">
        <x:v>05 - May</x:v>
      </x:c>
      <x:c r="D162" s="601" t="str">
        <x:v>T2</x:v>
      </x:c>
      <x:c r="E162" s="601" t="n">
        <x:v>2026</x:v>
      </x:c>
      <x:c r="F162" s="601" t="str">
        <x:v>Filiale Nord</x:v>
      </x:c>
      <x:c r="G162" s="601" t="str">
        <x:v>627000</x:v>
      </x:c>
      <x:c r="H162" s="601" t="str">
        <x:v>Frais bancaires</x:v>
      </x:c>
      <x:c r="I162" s="601" t="str">
        <x:v>Charge</x:v>
      </x:c>
      <x:c r="J162" s="601" t="str">
        <x:v>Prévision</x:v>
      </x:c>
      <x:c r="K162" s="602" t="n">
        <x:v>1508</x:v>
      </x:c>
      <x:c r="L162" s="602" t="n">
        <x:v>0</x:v>
      </x:c>
      <x:c r="M162" s="603" t="n">
        <x:v>-1508</x:v>
      </x:c>
      <x:c r="N162" s="603" t="n">
        <x:v>-1580.6179799631516</x:v>
      </x:c>
      <x:c r="O162" s="603" t="n">
        <x:f>M162-N162</x:f>
        <x:v>72.61797996315158</x:v>
      </x:c>
      <x:c r="P162" s="601" t="str">
        <x:v>IFRS</x:v>
      </x:c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600" t="n">
        <x:v>46061</x:v>
      </x:c>
      <x:c r="B163" s="601" t="n">
        <x:v>6</x:v>
      </x:c>
      <x:c r="C163" s="601" t="str">
        <x:v>02 - February</x:v>
      </x:c>
      <x:c r="D163" s="601" t="str">
        <x:v>T1</x:v>
      </x:c>
      <x:c r="E163" s="601" t="n">
        <x:v>2026</x:v>
      </x:c>
      <x:c r="F163" s="601" t="str">
        <x:v>Filiale Sud</x:v>
      </x:c>
      <x:c r="G163" s="601" t="str">
        <x:v>701000</x:v>
      </x:c>
      <x:c r="H163" s="601" t="str">
        <x:v>Ventes de produits</x:v>
      </x:c>
      <x:c r="I163" s="601" t="str">
        <x:v>Produit</x:v>
      </x:c>
      <x:c r="J163" s="601" t="str">
        <x:v>Prévision</x:v>
      </x:c>
      <x:c r="K163" s="602" t="n">
        <x:v>0</x:v>
      </x:c>
      <x:c r="L163" s="602" t="n">
        <x:v>12517</x:v>
      </x:c>
      <x:c r="M163" s="603" t="n">
        <x:v>12517</x:v>
      </x:c>
      <x:c r="N163" s="603" t="n">
        <x:v>11347.051715870686</x:v>
      </x:c>
      <x:c r="O163" s="603" t="n">
        <x:f>M163-N163</x:f>
        <x:v>1169.9482841293138</x:v>
      </x:c>
      <x:c r="P163" s="601" t="str">
        <x:v>PCG</x:v>
      </x:c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600" t="n">
        <x:v>46334</x:v>
      </x:c>
      <x:c r="B164" s="601" t="n">
        <x:v>45</x:v>
      </x:c>
      <x:c r="C164" s="601" t="str">
        <x:v>11 - November</x:v>
      </x:c>
      <x:c r="D164" s="601" t="str">
        <x:v>T4</x:v>
      </x:c>
      <x:c r="E164" s="601" t="n">
        <x:v>2026</x:v>
      </x:c>
      <x:c r="F164" s="601" t="str">
        <x:v>Groupe</x:v>
      </x:c>
      <x:c r="G164" s="601" t="str">
        <x:v>627000</x:v>
      </x:c>
      <x:c r="H164" s="601" t="str">
        <x:v>Frais bancaires</x:v>
      </x:c>
      <x:c r="I164" s="601" t="str">
        <x:v>Charge</x:v>
      </x:c>
      <x:c r="J164" s="601" t="str">
        <x:v>Prévision</x:v>
      </x:c>
      <x:c r="K164" s="602" t="n">
        <x:v>16140</x:v>
      </x:c>
      <x:c r="L164" s="602" t="n">
        <x:v>0</x:v>
      </x:c>
      <x:c r="M164" s="603" t="n">
        <x:v>-16140</x:v>
      </x:c>
      <x:c r="N164" s="603" t="n">
        <x:v>-15475.173084255173</x:v>
      </x:c>
      <x:c r="O164" s="603" t="n">
        <x:f>M164-N164</x:f>
        <x:v>-664.8269157448267</x:v>
      </x:c>
      <x:c r="P164" s="601" t="str">
        <x:v>IFRS</x:v>
      </x:c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600" t="n">
        <x:v>46310</x:v>
      </x:c>
      <x:c r="B165" s="601" t="n">
        <x:v>42</x:v>
      </x:c>
      <x:c r="C165" s="601" t="str">
        <x:v>10 - October</x:v>
      </x:c>
      <x:c r="D165" s="601" t="str">
        <x:v>T4</x:v>
      </x:c>
      <x:c r="E165" s="601" t="n">
        <x:v>2026</x:v>
      </x:c>
      <x:c r="F165" s="601" t="str">
        <x:v>Filiale Nord</x:v>
      </x:c>
      <x:c r="G165" s="601" t="str">
        <x:v>645000</x:v>
      </x:c>
      <x:c r="H165" s="601" t="str">
        <x:v>Charges sociales</x:v>
      </x:c>
      <x:c r="I165" s="601" t="str">
        <x:v>Charge</x:v>
      </x:c>
      <x:c r="J165" s="601" t="str">
        <x:v>Clôturé</x:v>
      </x:c>
      <x:c r="K165" s="602" t="n">
        <x:v>17454</x:v>
      </x:c>
      <x:c r="L165" s="602" t="n">
        <x:v>0</x:v>
      </x:c>
      <x:c r="M165" s="603" t="n">
        <x:v>-17454</x:v>
      </x:c>
      <x:c r="N165" s="603" t="n">
        <x:v>-16252.416439632425</x:v>
      </x:c>
      <x:c r="O165" s="603" t="n">
        <x:f>M165-N165</x:f>
        <x:v>-1201.583560367575</x:v>
      </x:c>
      <x:c r="P165" s="601" t="str">
        <x:v>IFRS</x:v>
      </x:c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600" t="n">
        <x:v>46202</x:v>
      </x:c>
      <x:c r="B166" s="601" t="n">
        <x:v>27</x:v>
      </x:c>
      <x:c r="C166" s="601" t="str">
        <x:v>06 - June</x:v>
      </x:c>
      <x:c r="D166" s="601" t="str">
        <x:v>T2</x:v>
      </x:c>
      <x:c r="E166" s="601" t="n">
        <x:v>2026</x:v>
      </x:c>
      <x:c r="F166" s="601" t="str">
        <x:v>Filiale Nord</x:v>
      </x:c>
      <x:c r="G166" s="601" t="str">
        <x:v>645000</x:v>
      </x:c>
      <x:c r="H166" s="601" t="str">
        <x:v>Charges sociales</x:v>
      </x:c>
      <x:c r="I166" s="601" t="str">
        <x:v>Charge</x:v>
      </x:c>
      <x:c r="J166" s="601" t="str">
        <x:v>Réalisé</x:v>
      </x:c>
      <x:c r="K166" s="602" t="n">
        <x:v>7452</x:v>
      </x:c>
      <x:c r="L166" s="602" t="n">
        <x:v>0</x:v>
      </x:c>
      <x:c r="M166" s="603" t="n">
        <x:v>-7452</x:v>
      </x:c>
      <x:c r="N166" s="603" t="n">
        <x:v>-8154.193452464903</x:v>
      </x:c>
      <x:c r="O166" s="603" t="n">
        <x:f>M166-N166</x:f>
        <x:v>702.1934524649032</x:v>
      </x:c>
      <x:c r="P166" s="601" t="str">
        <x:v>PCG</x:v>
      </x:c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600" t="n">
        <x:v>46379</x:v>
      </x:c>
      <x:c r="B167" s="601" t="n">
        <x:v>52</x:v>
      </x:c>
      <x:c r="C167" s="601" t="str">
        <x:v>12 - December</x:v>
      </x:c>
      <x:c r="D167" s="601" t="str">
        <x:v>T4</x:v>
      </x:c>
      <x:c r="E167" s="601" t="n">
        <x:v>2026</x:v>
      </x:c>
      <x:c r="F167" s="601" t="str">
        <x:v>Groupe</x:v>
      </x:c>
      <x:c r="G167" s="601" t="str">
        <x:v>701000</x:v>
      </x:c>
      <x:c r="H167" s="601" t="str">
        <x:v>Ventes de produits</x:v>
      </x:c>
      <x:c r="I167" s="601" t="str">
        <x:v>Produit</x:v>
      </x:c>
      <x:c r="J167" s="601" t="str">
        <x:v>Clôturé</x:v>
      </x:c>
      <x:c r="K167" s="602" t="n">
        <x:v>0</x:v>
      </x:c>
      <x:c r="L167" s="602" t="n">
        <x:v>31702</x:v>
      </x:c>
      <x:c r="M167" s="603" t="n">
        <x:v>31702</x:v>
      </x:c>
      <x:c r="N167" s="603" t="n">
        <x:v>34615.03759295373</x:v>
      </x:c>
      <x:c r="O167" s="603" t="n">
        <x:f>M167-N167</x:f>
        <x:v>-2913.037592953733</x:v>
      </x:c>
      <x:c r="P167" s="601" t="str">
        <x:v>IFRS</x:v>
      </x:c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600" t="n">
        <x:v>46304</x:v>
      </x:c>
      <x:c r="B168" s="601" t="n">
        <x:v>41</x:v>
      </x:c>
      <x:c r="C168" s="601" t="str">
        <x:v>10 - October</x:v>
      </x:c>
      <x:c r="D168" s="601" t="str">
        <x:v>T4</x:v>
      </x:c>
      <x:c r="E168" s="601" t="n">
        <x:v>2026</x:v>
      </x:c>
      <x:c r="F168" s="601" t="str">
        <x:v>Groupe</x:v>
      </x:c>
      <x:c r="G168" s="601" t="str">
        <x:v>607000</x:v>
      </x:c>
      <x:c r="H168" s="601" t="str">
        <x:v>Achats de marchandises</x:v>
      </x:c>
      <x:c r="I168" s="601" t="str">
        <x:v>Charge</x:v>
      </x:c>
      <x:c r="J168" s="601" t="str">
        <x:v>Clôturé</x:v>
      </x:c>
      <x:c r="K168" s="602" t="n">
        <x:v>6053</x:v>
      </x:c>
      <x:c r="L168" s="602" t="n">
        <x:v>0</x:v>
      </x:c>
      <x:c r="M168" s="603" t="n">
        <x:v>-6053</x:v>
      </x:c>
      <x:c r="N168" s="603" t="n">
        <x:v>-6504.023050356728</x:v>
      </x:c>
      <x:c r="O168" s="603" t="n">
        <x:f>M168-N168</x:f>
        <x:v>451.02305035672816</x:v>
      </x:c>
      <x:c r="P168" s="601" t="str">
        <x:v>PCG</x:v>
      </x:c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600" t="n">
        <x:v>46113</x:v>
      </x:c>
      <x:c r="B169" s="601" t="n">
        <x:v>14</x:v>
      </x:c>
      <x:c r="C169" s="601" t="str">
        <x:v>04 - April</x:v>
      </x:c>
      <x:c r="D169" s="601" t="str">
        <x:v>T2</x:v>
      </x:c>
      <x:c r="E169" s="601" t="n">
        <x:v>2026</x:v>
      </x:c>
      <x:c r="F169" s="601" t="str">
        <x:v>Filiale Nord</x:v>
      </x:c>
      <x:c r="G169" s="601" t="str">
        <x:v>627000</x:v>
      </x:c>
      <x:c r="H169" s="601" t="str">
        <x:v>Frais bancaires</x:v>
      </x:c>
      <x:c r="I169" s="601" t="str">
        <x:v>Charge</x:v>
      </x:c>
      <x:c r="J169" s="601" t="str">
        <x:v>Prévision</x:v>
      </x:c>
      <x:c r="K169" s="602" t="n">
        <x:v>16197</x:v>
      </x:c>
      <x:c r="L169" s="602" t="n">
        <x:v>0</x:v>
      </x:c>
      <x:c r="M169" s="603" t="n">
        <x:v>-16197</x:v>
      </x:c>
      <x:c r="N169" s="603" t="n">
        <x:v>-17434.991862066116</x:v>
      </x:c>
      <x:c r="O169" s="603" t="n">
        <x:f>M169-N169</x:f>
        <x:v>1237.9918620661156</x:v>
      </x:c>
      <x:c r="P169" s="601" t="str">
        <x:v>Management</x:v>
      </x:c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600" t="n">
        <x:v>46149</x:v>
      </x:c>
      <x:c r="B170" s="601" t="n">
        <x:v>19</x:v>
      </x:c>
      <x:c r="C170" s="601" t="str">
        <x:v>05 - May</x:v>
      </x:c>
      <x:c r="D170" s="601" t="str">
        <x:v>T2</x:v>
      </x:c>
      <x:c r="E170" s="601" t="n">
        <x:v>2026</x:v>
      </x:c>
      <x:c r="F170" s="601" t="str">
        <x:v>Filiale Sud</x:v>
      </x:c>
      <x:c r="G170" s="601" t="str">
        <x:v>615000</x:v>
      </x:c>
      <x:c r="H170" s="601" t="str">
        <x:v>Maintenance</x:v>
      </x:c>
      <x:c r="I170" s="601" t="str">
        <x:v>Charge</x:v>
      </x:c>
      <x:c r="J170" s="601" t="str">
        <x:v>Réalisé</x:v>
      </x:c>
      <x:c r="K170" s="602" t="n">
        <x:v>11537</x:v>
      </x:c>
      <x:c r="L170" s="602" t="n">
        <x:v>0</x:v>
      </x:c>
      <x:c r="M170" s="603" t="n">
        <x:v>-11537</x:v>
      </x:c>
      <x:c r="N170" s="603" t="n">
        <x:v>-11326.580616513094</x:v>
      </x:c>
      <x:c r="O170" s="603" t="n">
        <x:f>M170-N170</x:f>
        <x:v>-210.41938348690564</x:v>
      </x:c>
      <x:c r="P170" s="601" t="str">
        <x:v>Management</x:v>
      </x:c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600" t="n">
        <x:v>46037</x:v>
      </x:c>
      <x:c r="B171" s="601" t="n">
        <x:v>3</x:v>
      </x:c>
      <x:c r="C171" s="601" t="str">
        <x:v>01 - January</x:v>
      </x:c>
      <x:c r="D171" s="601" t="str">
        <x:v>T1</x:v>
      </x:c>
      <x:c r="E171" s="601" t="n">
        <x:v>2026</x:v>
      </x:c>
      <x:c r="F171" s="601" t="str">
        <x:v>Groupe</x:v>
      </x:c>
      <x:c r="G171" s="601" t="str">
        <x:v>701000</x:v>
      </x:c>
      <x:c r="H171" s="601" t="str">
        <x:v>Ventes de produits</x:v>
      </x:c>
      <x:c r="I171" s="601" t="str">
        <x:v>Produit</x:v>
      </x:c>
      <x:c r="J171" s="601" t="str">
        <x:v>Prévision</x:v>
      </x:c>
      <x:c r="K171" s="602" t="n">
        <x:v>0</x:v>
      </x:c>
      <x:c r="L171" s="602" t="n">
        <x:v>30698</x:v>
      </x:c>
      <x:c r="M171" s="603" t="n">
        <x:v>30698</x:v>
      </x:c>
      <x:c r="N171" s="603" t="n">
        <x:v>30420.30172684682</x:v>
      </x:c>
      <x:c r="O171" s="603" t="n">
        <x:f>M171-N171</x:f>
        <x:v>277.6982731531789</x:v>
      </x:c>
      <x:c r="P171" s="601" t="str">
        <x:v>IFRS</x:v>
      </x:c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600" t="n">
        <x:v>46254</x:v>
      </x:c>
      <x:c r="B172" s="601" t="n">
        <x:v>34</x:v>
      </x:c>
      <x:c r="C172" s="601" t="str">
        <x:v>08 - August</x:v>
      </x:c>
      <x:c r="D172" s="601" t="str">
        <x:v>T3</x:v>
      </x:c>
      <x:c r="E172" s="601" t="n">
        <x:v>2026</x:v>
      </x:c>
      <x:c r="F172" s="601" t="str">
        <x:v>Groupe</x:v>
      </x:c>
      <x:c r="G172" s="601" t="str">
        <x:v>615000</x:v>
      </x:c>
      <x:c r="H172" s="601" t="str">
        <x:v>Maintenance</x:v>
      </x:c>
      <x:c r="I172" s="601" t="str">
        <x:v>Charge</x:v>
      </x:c>
      <x:c r="J172" s="601" t="str">
        <x:v>Prévision</x:v>
      </x:c>
      <x:c r="K172" s="602" t="n">
        <x:v>10535</x:v>
      </x:c>
      <x:c r="L172" s="602" t="n">
        <x:v>0</x:v>
      </x:c>
      <x:c r="M172" s="603" t="n">
        <x:v>-10535</x:v>
      </x:c>
      <x:c r="N172" s="603" t="n">
        <x:v>-9680.376067425304</x:v>
      </x:c>
      <x:c r="O172" s="603" t="n">
        <x:f>M172-N172</x:f>
        <x:v>-854.6239325746956</x:v>
      </x:c>
      <x:c r="P172" s="601" t="str">
        <x:v>IFRS</x:v>
      </x:c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600" t="n">
        <x:v>46349</x:v>
      </x:c>
      <x:c r="B173" s="601" t="n">
        <x:v>48</x:v>
      </x:c>
      <x:c r="C173" s="601" t="str">
        <x:v>11 - November</x:v>
      </x:c>
      <x:c r="D173" s="601" t="str">
        <x:v>T4</x:v>
      </x:c>
      <x:c r="E173" s="601" t="n">
        <x:v>2026</x:v>
      </x:c>
      <x:c r="F173" s="601" t="str">
        <x:v>Groupe</x:v>
      </x:c>
      <x:c r="G173" s="601" t="str">
        <x:v>615000</x:v>
      </x:c>
      <x:c r="H173" s="601" t="str">
        <x:v>Maintenance</x:v>
      </x:c>
      <x:c r="I173" s="601" t="str">
        <x:v>Charge</x:v>
      </x:c>
      <x:c r="J173" s="601" t="str">
        <x:v>Réalisé</x:v>
      </x:c>
      <x:c r="K173" s="602" t="n">
        <x:v>12186</x:v>
      </x:c>
      <x:c r="L173" s="602" t="n">
        <x:v>0</x:v>
      </x:c>
      <x:c r="M173" s="603" t="n">
        <x:v>-12186</x:v>
      </x:c>
      <x:c r="N173" s="603" t="n">
        <x:v>-11119.677450334286</x:v>
      </x:c>
      <x:c r="O173" s="603" t="n">
        <x:f>M173-N173</x:f>
        <x:v>-1066.3225496657142</x:v>
      </x:c>
      <x:c r="P173" s="601" t="str">
        <x:v>PCG</x:v>
      </x:c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600" t="n">
        <x:v>46279</x:v>
      </x:c>
      <x:c r="B174" s="601" t="n">
        <x:v>38</x:v>
      </x:c>
      <x:c r="C174" s="601" t="str">
        <x:v>09 - September</x:v>
      </x:c>
      <x:c r="D174" s="601" t="str">
        <x:v>T3</x:v>
      </x:c>
      <x:c r="E174" s="601" t="n">
        <x:v>2026</x:v>
      </x:c>
      <x:c r="F174" s="601" t="str">
        <x:v>Groupe</x:v>
      </x:c>
      <x:c r="G174" s="601" t="str">
        <x:v>607000</x:v>
      </x:c>
      <x:c r="H174" s="601" t="str">
        <x:v>Achats de marchandises</x:v>
      </x:c>
      <x:c r="I174" s="601" t="str">
        <x:v>Charge</x:v>
      </x:c>
      <x:c r="J174" s="601" t="str">
        <x:v>Prévision</x:v>
      </x:c>
      <x:c r="K174" s="602" t="n">
        <x:v>17041</x:v>
      </x:c>
      <x:c r="L174" s="602" t="n">
        <x:v>0</x:v>
      </x:c>
      <x:c r="M174" s="603" t="n">
        <x:v>-17041</x:v>
      </x:c>
      <x:c r="N174" s="603" t="n">
        <x:v>-17504.201616038266</x:v>
      </x:c>
      <x:c r="O174" s="603" t="n">
        <x:f>M174-N174</x:f>
        <x:v>463.20161603826637</x:v>
      </x:c>
      <x:c r="P174" s="601" t="str">
        <x:v>Management</x:v>
      </x:c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600" t="n">
        <x:v>46361</x:v>
      </x:c>
      <x:c r="B175" s="601" t="n">
        <x:v>49</x:v>
      </x:c>
      <x:c r="C175" s="601" t="str">
        <x:v>12 - December</x:v>
      </x:c>
      <x:c r="D175" s="601" t="str">
        <x:v>T4</x:v>
      </x:c>
      <x:c r="E175" s="601" t="n">
        <x:v>2026</x:v>
      </x:c>
      <x:c r="F175" s="601" t="str">
        <x:v>Filiale Nord</x:v>
      </x:c>
      <x:c r="G175" s="601" t="str">
        <x:v>607000</x:v>
      </x:c>
      <x:c r="H175" s="601" t="str">
        <x:v>Achats de marchandises</x:v>
      </x:c>
      <x:c r="I175" s="601" t="str">
        <x:v>Charge</x:v>
      </x:c>
      <x:c r="J175" s="601" t="str">
        <x:v>Clôturé</x:v>
      </x:c>
      <x:c r="K175" s="602" t="n">
        <x:v>10087</x:v>
      </x:c>
      <x:c r="L175" s="602" t="n">
        <x:v>0</x:v>
      </x:c>
      <x:c r="M175" s="603" t="n">
        <x:v>-10087</x:v>
      </x:c>
      <x:c r="N175" s="603" t="n">
        <x:v>-10026.361697030454</x:v>
      </x:c>
      <x:c r="O175" s="603" t="n">
        <x:f>M175-N175</x:f>
        <x:v>-60.6383029695462</x:v>
      </x:c>
      <x:c r="P175" s="601" t="str">
        <x:v>IFRS</x:v>
      </x:c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600" t="n">
        <x:v>46160</x:v>
      </x:c>
      <x:c r="B176" s="601" t="n">
        <x:v>21</x:v>
      </x:c>
      <x:c r="C176" s="601" t="str">
        <x:v>05 - May</x:v>
      </x:c>
      <x:c r="D176" s="601" t="str">
        <x:v>T2</x:v>
      </x:c>
      <x:c r="E176" s="601" t="n">
        <x:v>2026</x:v>
      </x:c>
      <x:c r="F176" s="601" t="str">
        <x:v>Filiale Nord</x:v>
      </x:c>
      <x:c r="G176" s="601" t="str">
        <x:v>613000</x:v>
      </x:c>
      <x:c r="H176" s="601" t="str">
        <x:v>Loyers</x:v>
      </x:c>
      <x:c r="I176" s="601" t="str">
        <x:v>Charge</x:v>
      </x:c>
      <x:c r="J176" s="601" t="str">
        <x:v>Prévision</x:v>
      </x:c>
      <x:c r="K176" s="602" t="n">
        <x:v>11027</x:v>
      </x:c>
      <x:c r="L176" s="602" t="n">
        <x:v>0</x:v>
      </x:c>
      <x:c r="M176" s="603" t="n">
        <x:v>-11027</x:v>
      </x:c>
      <x:c r="N176" s="603" t="n">
        <x:v>-10681.879291718056</x:v>
      </x:c>
      <x:c r="O176" s="603" t="n">
        <x:f>M176-N176</x:f>
        <x:v>-345.12070828194373</x:v>
      </x:c>
      <x:c r="P176" s="601" t="str">
        <x:v>Management</x:v>
      </x:c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600" t="n">
        <x:v>46106</x:v>
      </x:c>
      <x:c r="B177" s="601" t="n">
        <x:v>13</x:v>
      </x:c>
      <x:c r="C177" s="601" t="str">
        <x:v>03 - March</x:v>
      </x:c>
      <x:c r="D177" s="601" t="str">
        <x:v>T1</x:v>
      </x:c>
      <x:c r="E177" s="601" t="n">
        <x:v>2026</x:v>
      </x:c>
      <x:c r="F177" s="601" t="str">
        <x:v>Filiale Nord</x:v>
      </x:c>
      <x:c r="G177" s="601" t="str">
        <x:v>645000</x:v>
      </x:c>
      <x:c r="H177" s="601" t="str">
        <x:v>Charges sociales</x:v>
      </x:c>
      <x:c r="I177" s="601" t="str">
        <x:v>Charge</x:v>
      </x:c>
      <x:c r="J177" s="601" t="str">
        <x:v>Réalisé</x:v>
      </x:c>
      <x:c r="K177" s="602" t="n">
        <x:v>7630</x:v>
      </x:c>
      <x:c r="L177" s="602" t="n">
        <x:v>0</x:v>
      </x:c>
      <x:c r="M177" s="603" t="n">
        <x:v>-7630</x:v>
      </x:c>
      <x:c r="N177" s="603" t="n">
        <x:v>-7004.353834409718</x:v>
      </x:c>
      <x:c r="O177" s="603" t="n">
        <x:f>M177-N177</x:f>
        <x:v>-625.6461655902822</x:v>
      </x:c>
      <x:c r="P177" s="601" t="str">
        <x:v>PCG</x:v>
      </x:c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600" t="n">
        <x:v>46107</x:v>
      </x:c>
      <x:c r="B178" s="601" t="n">
        <x:v>13</x:v>
      </x:c>
      <x:c r="C178" s="601" t="str">
        <x:v>03 - March</x:v>
      </x:c>
      <x:c r="D178" s="601" t="str">
        <x:v>T1</x:v>
      </x:c>
      <x:c r="E178" s="601" t="n">
        <x:v>2026</x:v>
      </x:c>
      <x:c r="F178" s="601" t="str">
        <x:v>Filiale Nord</x:v>
      </x:c>
      <x:c r="G178" s="601" t="str">
        <x:v>645000</x:v>
      </x:c>
      <x:c r="H178" s="601" t="str">
        <x:v>Charges sociales</x:v>
      </x:c>
      <x:c r="I178" s="601" t="str">
        <x:v>Charge</x:v>
      </x:c>
      <x:c r="J178" s="601" t="str">
        <x:v>Réalisé</x:v>
      </x:c>
      <x:c r="K178" s="602" t="n">
        <x:v>5957</x:v>
      </x:c>
      <x:c r="L178" s="602" t="n">
        <x:v>0</x:v>
      </x:c>
      <x:c r="M178" s="603" t="n">
        <x:v>-5957</x:v>
      </x:c>
      <x:c r="N178" s="603" t="n">
        <x:v>-6101.346834578641</x:v>
      </x:c>
      <x:c r="O178" s="603" t="n">
        <x:f>M178-N178</x:f>
        <x:v>144.3468345786414</x:v>
      </x:c>
      <x:c r="P178" s="601" t="str">
        <x:v>IFRS</x:v>
      </x:c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600" t="n">
        <x:v>46099</x:v>
      </x:c>
      <x:c r="B179" s="601" t="n">
        <x:v>12</x:v>
      </x:c>
      <x:c r="C179" s="601" t="str">
        <x:v>03 - March</x:v>
      </x:c>
      <x:c r="D179" s="601" t="str">
        <x:v>T1</x:v>
      </x:c>
      <x:c r="E179" s="601" t="n">
        <x:v>2026</x:v>
      </x:c>
      <x:c r="F179" s="601" t="str">
        <x:v>Filiale Sud</x:v>
      </x:c>
      <x:c r="G179" s="601" t="str">
        <x:v>641000</x:v>
      </x:c>
      <x:c r="H179" s="601" t="str">
        <x:v>Salaires</x:v>
      </x:c>
      <x:c r="I179" s="601" t="str">
        <x:v>Charge</x:v>
      </x:c>
      <x:c r="J179" s="601" t="str">
        <x:v>Prévision</x:v>
      </x:c>
      <x:c r="K179" s="602" t="n">
        <x:v>15011</x:v>
      </x:c>
      <x:c r="L179" s="602" t="n">
        <x:v>0</x:v>
      </x:c>
      <x:c r="M179" s="603" t="n">
        <x:v>-15011</x:v>
      </x:c>
      <x:c r="N179" s="603" t="n">
        <x:v>-14454.61790559816</x:v>
      </x:c>
      <x:c r="O179" s="603" t="n">
        <x:f>M179-N179</x:f>
        <x:v>-556.3820944018407</x:v>
      </x:c>
      <x:c r="P179" s="601" t="str">
        <x:v>Management</x:v>
      </x:c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600" t="n">
        <x:v>46166</x:v>
      </x:c>
      <x:c r="B180" s="601" t="n">
        <x:v>21</x:v>
      </x:c>
      <x:c r="C180" s="601" t="str">
        <x:v>05 - May</x:v>
      </x:c>
      <x:c r="D180" s="601" t="str">
        <x:v>T2</x:v>
      </x:c>
      <x:c r="E180" s="601" t="n">
        <x:v>2026</x:v>
      </x:c>
      <x:c r="F180" s="601" t="str">
        <x:v>Filiale Sud</x:v>
      </x:c>
      <x:c r="G180" s="601" t="str">
        <x:v>641000</x:v>
      </x:c>
      <x:c r="H180" s="601" t="str">
        <x:v>Salaires</x:v>
      </x:c>
      <x:c r="I180" s="601" t="str">
        <x:v>Charge</x:v>
      </x:c>
      <x:c r="J180" s="601" t="str">
        <x:v>Prévision</x:v>
      </x:c>
      <x:c r="K180" s="602" t="n">
        <x:v>15306</x:v>
      </x:c>
      <x:c r="L180" s="602" t="n">
        <x:v>0</x:v>
      </x:c>
      <x:c r="M180" s="603" t="n">
        <x:v>-15306</x:v>
      </x:c>
      <x:c r="N180" s="603" t="n">
        <x:v>-16641.868929978667</x:v>
      </x:c>
      <x:c r="O180" s="603" t="n">
        <x:f>M180-N180</x:f>
        <x:v>1335.8689299786674</x:v>
      </x:c>
      <x:c r="P180" s="601" t="str">
        <x:v>IFRS</x:v>
      </x:c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600" t="n">
        <x:v>46063</x:v>
      </x:c>
      <x:c r="B181" s="601" t="n">
        <x:v>7</x:v>
      </x:c>
      <x:c r="C181" s="601" t="str">
        <x:v>02 - February</x:v>
      </x:c>
      <x:c r="D181" s="601" t="str">
        <x:v>T1</x:v>
      </x:c>
      <x:c r="E181" s="601" t="n">
        <x:v>2026</x:v>
      </x:c>
      <x:c r="F181" s="601" t="str">
        <x:v>Filiale Sud</x:v>
      </x:c>
      <x:c r="G181" s="601" t="str">
        <x:v>641000</x:v>
      </x:c>
      <x:c r="H181" s="601" t="str">
        <x:v>Salaires</x:v>
      </x:c>
      <x:c r="I181" s="601" t="str">
        <x:v>Charge</x:v>
      </x:c>
      <x:c r="J181" s="601" t="str">
        <x:v>Prévision</x:v>
      </x:c>
      <x:c r="K181" s="602" t="n">
        <x:v>4414</x:v>
      </x:c>
      <x:c r="L181" s="602" t="n">
        <x:v>0</x:v>
      </x:c>
      <x:c r="M181" s="603" t="n">
        <x:v>-4414</x:v>
      </x:c>
      <x:c r="N181" s="603" t="n">
        <x:v>-3984.2451073123684</x:v>
      </x:c>
      <x:c r="O181" s="603" t="n">
        <x:f>M181-N181</x:f>
        <x:v>-429.7548926876316</x:v>
      </x:c>
      <x:c r="P181" s="601" t="str">
        <x:v>IFRS</x:v>
      </x:c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600" t="n">
        <x:v>46307</x:v>
      </x:c>
      <x:c r="B182" s="601" t="n">
        <x:v>42</x:v>
      </x:c>
      <x:c r="C182" s="601" t="str">
        <x:v>10 - October</x:v>
      </x:c>
      <x:c r="D182" s="601" t="str">
        <x:v>T4</x:v>
      </x:c>
      <x:c r="E182" s="601" t="n">
        <x:v>2026</x:v>
      </x:c>
      <x:c r="F182" s="601" t="str">
        <x:v>Filiale Sud</x:v>
      </x:c>
      <x:c r="G182" s="601" t="str">
        <x:v>641000</x:v>
      </x:c>
      <x:c r="H182" s="601" t="str">
        <x:v>Salaires</x:v>
      </x:c>
      <x:c r="I182" s="601" t="str">
        <x:v>Charge</x:v>
      </x:c>
      <x:c r="J182" s="601" t="str">
        <x:v>Prévision</x:v>
      </x:c>
      <x:c r="K182" s="602" t="n">
        <x:v>2647</x:v>
      </x:c>
      <x:c r="L182" s="602" t="n">
        <x:v>0</x:v>
      </x:c>
      <x:c r="M182" s="603" t="n">
        <x:v>-2647</x:v>
      </x:c>
      <x:c r="N182" s="603" t="n">
        <x:v>-2884.87097781128</x:v>
      </x:c>
      <x:c r="O182" s="603" t="n">
        <x:f>M182-N182</x:f>
        <x:v>237.87097781128023</x:v>
      </x:c>
      <x:c r="P182" s="601" t="str">
        <x:v>IFRS</x:v>
      </x:c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600" t="n">
        <x:v>46374</x:v>
      </x:c>
      <x:c r="B183" s="601" t="n">
        <x:v>51</x:v>
      </x:c>
      <x:c r="C183" s="601" t="str">
        <x:v>12 - December</x:v>
      </x:c>
      <x:c r="D183" s="601" t="str">
        <x:v>T4</x:v>
      </x:c>
      <x:c r="E183" s="601" t="n">
        <x:v>2026</x:v>
      </x:c>
      <x:c r="F183" s="601" t="str">
        <x:v>Filiale Nord</x:v>
      </x:c>
      <x:c r="G183" s="601" t="str">
        <x:v>645000</x:v>
      </x:c>
      <x:c r="H183" s="601" t="str">
        <x:v>Charges sociales</x:v>
      </x:c>
      <x:c r="I183" s="601" t="str">
        <x:v>Charge</x:v>
      </x:c>
      <x:c r="J183" s="601" t="str">
        <x:v>Réalisé</x:v>
      </x:c>
      <x:c r="K183" s="602" t="n">
        <x:v>14834</x:v>
      </x:c>
      <x:c r="L183" s="602" t="n">
        <x:v>0</x:v>
      </x:c>
      <x:c r="M183" s="603" t="n">
        <x:v>-14834</x:v>
      </x:c>
      <x:c r="N183" s="603" t="n">
        <x:v>-13961.488740555416</x:v>
      </x:c>
      <x:c r="O183" s="603" t="n">
        <x:f>M183-N183</x:f>
        <x:v>-872.5112594445836</x:v>
      </x:c>
      <x:c r="P183" s="601" t="str">
        <x:v>IFRS</x:v>
      </x:c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600" t="n">
        <x:v>46237</x:v>
      </x:c>
      <x:c r="B184" s="601" t="n">
        <x:v>32</x:v>
      </x:c>
      <x:c r="C184" s="601" t="str">
        <x:v>08 - August</x:v>
      </x:c>
      <x:c r="D184" s="601" t="str">
        <x:v>T3</x:v>
      </x:c>
      <x:c r="E184" s="601" t="n">
        <x:v>2026</x:v>
      </x:c>
      <x:c r="F184" s="601" t="str">
        <x:v>Filiale Sud</x:v>
      </x:c>
      <x:c r="G184" s="601" t="str">
        <x:v>645000</x:v>
      </x:c>
      <x:c r="H184" s="601" t="str">
        <x:v>Charges sociales</x:v>
      </x:c>
      <x:c r="I184" s="601" t="str">
        <x:v>Charge</x:v>
      </x:c>
      <x:c r="J184" s="601" t="str">
        <x:v>Réalisé</x:v>
      </x:c>
      <x:c r="K184" s="602" t="n">
        <x:v>2163</x:v>
      </x:c>
      <x:c r="L184" s="602" t="n">
        <x:v>0</x:v>
      </x:c>
      <x:c r="M184" s="603" t="n">
        <x:v>-2163</x:v>
      </x:c>
      <x:c r="N184" s="603" t="n">
        <x:v>-2123.2314654375955</x:v>
      </x:c>
      <x:c r="O184" s="603" t="n">
        <x:f>M184-N184</x:f>
        <x:v>-39.76853456240451</x:v>
      </x:c>
      <x:c r="P184" s="601" t="str">
        <x:v>IFRS</x:v>
      </x:c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600" t="n">
        <x:v>46157</x:v>
      </x:c>
      <x:c r="B185" s="601" t="n">
        <x:v>20</x:v>
      </x:c>
      <x:c r="C185" s="601" t="str">
        <x:v>05 - May</x:v>
      </x:c>
      <x:c r="D185" s="601" t="str">
        <x:v>T2</x:v>
      </x:c>
      <x:c r="E185" s="601" t="n">
        <x:v>2026</x:v>
      </x:c>
      <x:c r="F185" s="601" t="str">
        <x:v>Groupe</x:v>
      </x:c>
      <x:c r="G185" s="601" t="str">
        <x:v>627000</x:v>
      </x:c>
      <x:c r="H185" s="601" t="str">
        <x:v>Frais bancaires</x:v>
      </x:c>
      <x:c r="I185" s="601" t="str">
        <x:v>Charge</x:v>
      </x:c>
      <x:c r="J185" s="601" t="str">
        <x:v>Réalisé</x:v>
      </x:c>
      <x:c r="K185" s="602" t="n">
        <x:v>5518</x:v>
      </x:c>
      <x:c r="L185" s="602" t="n">
        <x:v>0</x:v>
      </x:c>
      <x:c r="M185" s="603" t="n">
        <x:v>-5518</x:v>
      </x:c>
      <x:c r="N185" s="603" t="n">
        <x:v>-5012.417396262839</x:v>
      </x:c>
      <x:c r="O185" s="603" t="n">
        <x:f>M185-N185</x:f>
        <x:v>-505.58260373716075</x:v>
      </x:c>
      <x:c r="P185" s="601" t="str">
        <x:v>Management</x:v>
      </x:c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600" t="n">
        <x:v>46118</x:v>
      </x:c>
      <x:c r="B186" s="601" t="n">
        <x:v>15</x:v>
      </x:c>
      <x:c r="C186" s="601" t="str">
        <x:v>04 - April</x:v>
      </x:c>
      <x:c r="D186" s="601" t="str">
        <x:v>T2</x:v>
      </x:c>
      <x:c r="E186" s="601" t="n">
        <x:v>2026</x:v>
      </x:c>
      <x:c r="F186" s="601" t="str">
        <x:v>Filiale Nord</x:v>
      </x:c>
      <x:c r="G186" s="601" t="str">
        <x:v>641000</x:v>
      </x:c>
      <x:c r="H186" s="601" t="str">
        <x:v>Salaires</x:v>
      </x:c>
      <x:c r="I186" s="601" t="str">
        <x:v>Charge</x:v>
      </x:c>
      <x:c r="J186" s="601" t="str">
        <x:v>Prévision</x:v>
      </x:c>
      <x:c r="K186" s="602" t="n">
        <x:v>12391</x:v>
      </x:c>
      <x:c r="L186" s="602" t="n">
        <x:v>0</x:v>
      </x:c>
      <x:c r="M186" s="603" t="n">
        <x:v>-12391</x:v>
      </x:c>
      <x:c r="N186" s="603" t="n">
        <x:v>-13218.434685493552</x:v>
      </x:c>
      <x:c r="O186" s="603" t="n">
        <x:f>M186-N186</x:f>
        <x:v>827.434685493552</x:v>
      </x:c>
      <x:c r="P186" s="601" t="str">
        <x:v>PCG</x:v>
      </x:c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600" t="n">
        <x:v>46210</x:v>
      </x:c>
      <x:c r="B187" s="601" t="n">
        <x:v>28</x:v>
      </x:c>
      <x:c r="C187" s="601" t="str">
        <x:v>07 - July</x:v>
      </x:c>
      <x:c r="D187" s="601" t="str">
        <x:v>T3</x:v>
      </x:c>
      <x:c r="E187" s="601" t="n">
        <x:v>2026</x:v>
      </x:c>
      <x:c r="F187" s="601" t="str">
        <x:v>Filiale Nord</x:v>
      </x:c>
      <x:c r="G187" s="601" t="str">
        <x:v>607000</x:v>
      </x:c>
      <x:c r="H187" s="601" t="str">
        <x:v>Achats de marchandises</x:v>
      </x:c>
      <x:c r="I187" s="601" t="str">
        <x:v>Charge</x:v>
      </x:c>
      <x:c r="J187" s="601" t="str">
        <x:v>Réalisé</x:v>
      </x:c>
      <x:c r="K187" s="602" t="n">
        <x:v>4216</x:v>
      </x:c>
      <x:c r="L187" s="602" t="n">
        <x:v>0</x:v>
      </x:c>
      <x:c r="M187" s="603" t="n">
        <x:v>-4216</x:v>
      </x:c>
      <x:c r="N187" s="603" t="n">
        <x:v>-3809.328087350069</x:v>
      </x:c>
      <x:c r="O187" s="603" t="n">
        <x:f>M187-N187</x:f>
        <x:v>-406.6719126499311</x:v>
      </x:c>
      <x:c r="P187" s="601" t="str">
        <x:v>IFRS</x:v>
      </x:c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600" t="n">
        <x:v>46061</x:v>
      </x:c>
      <x:c r="B188" s="601" t="n">
        <x:v>6</x:v>
      </x:c>
      <x:c r="C188" s="601" t="str">
        <x:v>02 - February</x:v>
      </x:c>
      <x:c r="D188" s="601" t="str">
        <x:v>T1</x:v>
      </x:c>
      <x:c r="E188" s="601" t="n">
        <x:v>2026</x:v>
      </x:c>
      <x:c r="F188" s="601" t="str">
        <x:v>Filiale Sud</x:v>
      </x:c>
      <x:c r="G188" s="601" t="str">
        <x:v>701000</x:v>
      </x:c>
      <x:c r="H188" s="601" t="str">
        <x:v>Ventes de produits</x:v>
      </x:c>
      <x:c r="I188" s="601" t="str">
        <x:v>Produit</x:v>
      </x:c>
      <x:c r="J188" s="601" t="str">
        <x:v>Prévision</x:v>
      </x:c>
      <x:c r="K188" s="602" t="n">
        <x:v>0</x:v>
      </x:c>
      <x:c r="L188" s="602" t="n">
        <x:v>19481</x:v>
      </x:c>
      <x:c r="M188" s="603" t="n">
        <x:v>19481</x:v>
      </x:c>
      <x:c r="N188" s="603" t="n">
        <x:v>21181.31327836583</x:v>
      </x:c>
      <x:c r="O188" s="603" t="n">
        <x:f>M188-N188</x:f>
        <x:v>-1700.3132783658293</x:v>
      </x:c>
      <x:c r="P188" s="601" t="str">
        <x:v>IFRS</x:v>
      </x:c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600" t="n">
        <x:v>46118</x:v>
      </x:c>
      <x:c r="B189" s="601" t="n">
        <x:v>15</x:v>
      </x:c>
      <x:c r="C189" s="601" t="str">
        <x:v>04 - April</x:v>
      </x:c>
      <x:c r="D189" s="601" t="str">
        <x:v>T2</x:v>
      </x:c>
      <x:c r="E189" s="601" t="n">
        <x:v>2026</x:v>
      </x:c>
      <x:c r="F189" s="601" t="str">
        <x:v>Filiale Sud</x:v>
      </x:c>
      <x:c r="G189" s="601" t="str">
        <x:v>607000</x:v>
      </x:c>
      <x:c r="H189" s="601" t="str">
        <x:v>Achats de marchandises</x:v>
      </x:c>
      <x:c r="I189" s="601" t="str">
        <x:v>Charge</x:v>
      </x:c>
      <x:c r="J189" s="601" t="str">
        <x:v>Clôturé</x:v>
      </x:c>
      <x:c r="K189" s="602" t="n">
        <x:v>13984</x:v>
      </x:c>
      <x:c r="L189" s="602" t="n">
        <x:v>0</x:v>
      </x:c>
      <x:c r="M189" s="603" t="n">
        <x:v>-13984</x:v>
      </x:c>
      <x:c r="N189" s="603" t="n">
        <x:v>-14351.2801127602</x:v>
      </x:c>
      <x:c r="O189" s="603" t="n">
        <x:f>M189-N189</x:f>
        <x:v>367.2801127601997</x:v>
      </x:c>
      <x:c r="P189" s="601" t="str">
        <x:v>Management</x:v>
      </x:c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600" t="n">
        <x:v>46203</x:v>
      </x:c>
      <x:c r="B190" s="601" t="n">
        <x:v>27</x:v>
      </x:c>
      <x:c r="C190" s="601" t="str">
        <x:v>06 - June</x:v>
      </x:c>
      <x:c r="D190" s="601" t="str">
        <x:v>T2</x:v>
      </x:c>
      <x:c r="E190" s="601" t="n">
        <x:v>2026</x:v>
      </x:c>
      <x:c r="F190" s="601" t="str">
        <x:v>Groupe</x:v>
      </x:c>
      <x:c r="G190" s="601" t="str">
        <x:v>613000</x:v>
      </x:c>
      <x:c r="H190" s="601" t="str">
        <x:v>Loyers</x:v>
      </x:c>
      <x:c r="I190" s="601" t="str">
        <x:v>Charge</x:v>
      </x:c>
      <x:c r="J190" s="601" t="str">
        <x:v>Clôturé</x:v>
      </x:c>
      <x:c r="K190" s="602" t="n">
        <x:v>13530</x:v>
      </x:c>
      <x:c r="L190" s="602" t="n">
        <x:v>0</x:v>
      </x:c>
      <x:c r="M190" s="603" t="n">
        <x:v>-13530</x:v>
      </x:c>
      <x:c r="N190" s="603" t="n">
        <x:v>-12292.349906570013</x:v>
      </x:c>
      <x:c r="O190" s="603" t="n">
        <x:f>M190-N190</x:f>
        <x:v>-1237.6500934299875</x:v>
      </x:c>
      <x:c r="P190" s="601" t="str">
        <x:v>IFRS</x:v>
      </x:c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600" t="n">
        <x:v>46057</x:v>
      </x:c>
      <x:c r="B191" s="601" t="n">
        <x:v>6</x:v>
      </x:c>
      <x:c r="C191" s="601" t="str">
        <x:v>02 - February</x:v>
      </x:c>
      <x:c r="D191" s="601" t="str">
        <x:v>T1</x:v>
      </x:c>
      <x:c r="E191" s="601" t="n">
        <x:v>2026</x:v>
      </x:c>
      <x:c r="F191" s="601" t="str">
        <x:v>Groupe</x:v>
      </x:c>
      <x:c r="G191" s="601" t="str">
        <x:v>627000</x:v>
      </x:c>
      <x:c r="H191" s="601" t="str">
        <x:v>Frais bancaires</x:v>
      </x:c>
      <x:c r="I191" s="601" t="str">
        <x:v>Charge</x:v>
      </x:c>
      <x:c r="J191" s="601" t="str">
        <x:v>Prévision</x:v>
      </x:c>
      <x:c r="K191" s="602" t="n">
        <x:v>17627</x:v>
      </x:c>
      <x:c r="L191" s="602" t="n">
        <x:v>0</x:v>
      </x:c>
      <x:c r="M191" s="603" t="n">
        <x:v>-17627</x:v>
      </x:c>
      <x:c r="N191" s="603" t="n">
        <x:v>-17029.260479232536</x:v>
      </x:c>
      <x:c r="O191" s="603" t="n">
        <x:f>M191-N191</x:f>
        <x:v>-597.7395207674635</x:v>
      </x:c>
      <x:c r="P191" s="601" t="str">
        <x:v>Management</x:v>
      </x:c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600" t="n">
        <x:v>46096</x:v>
      </x:c>
      <x:c r="B192" s="601" t="n">
        <x:v>11</x:v>
      </x:c>
      <x:c r="C192" s="601" t="str">
        <x:v>03 - March</x:v>
      </x:c>
      <x:c r="D192" s="601" t="str">
        <x:v>T1</x:v>
      </x:c>
      <x:c r="E192" s="601" t="n">
        <x:v>2026</x:v>
      </x:c>
      <x:c r="F192" s="601" t="str">
        <x:v>Filiale Sud</x:v>
      </x:c>
      <x:c r="G192" s="601" t="str">
        <x:v>615000</x:v>
      </x:c>
      <x:c r="H192" s="601" t="str">
        <x:v>Maintenance</x:v>
      </x:c>
      <x:c r="I192" s="601" t="str">
        <x:v>Charge</x:v>
      </x:c>
      <x:c r="J192" s="601" t="str">
        <x:v>Clôturé</x:v>
      </x:c>
      <x:c r="K192" s="602" t="n">
        <x:v>17726</x:v>
      </x:c>
      <x:c r="L192" s="602" t="n">
        <x:v>0</x:v>
      </x:c>
      <x:c r="M192" s="603" t="n">
        <x:v>-17726</x:v>
      </x:c>
      <x:c r="N192" s="603" t="n">
        <x:v>-16743.76731786874</x:v>
      </x:c>
      <x:c r="O192" s="603" t="n">
        <x:f>M192-N192</x:f>
        <x:v>-982.2326821312599</x:v>
      </x:c>
      <x:c r="P192" s="601" t="str">
        <x:v>Management</x:v>
      </x:c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600" t="n">
        <x:v>46228</x:v>
      </x:c>
      <x:c r="B193" s="601" t="n">
        <x:v>30</x:v>
      </x:c>
      <x:c r="C193" s="601" t="str">
        <x:v>07 - July</x:v>
      </x:c>
      <x:c r="D193" s="601" t="str">
        <x:v>T3</x:v>
      </x:c>
      <x:c r="E193" s="601" t="n">
        <x:v>2026</x:v>
      </x:c>
      <x:c r="F193" s="601" t="str">
        <x:v>Groupe</x:v>
      </x:c>
      <x:c r="G193" s="601" t="str">
        <x:v>613000</x:v>
      </x:c>
      <x:c r="H193" s="601" t="str">
        <x:v>Loyers</x:v>
      </x:c>
      <x:c r="I193" s="601" t="str">
        <x:v>Charge</x:v>
      </x:c>
      <x:c r="J193" s="601" t="str">
        <x:v>Clôturé</x:v>
      </x:c>
      <x:c r="K193" s="602" t="n">
        <x:v>13237</x:v>
      </x:c>
      <x:c r="L193" s="602" t="n">
        <x:v>0</x:v>
      </x:c>
      <x:c r="M193" s="603" t="n">
        <x:v>-13237</x:v>
      </x:c>
      <x:c r="N193" s="603" t="n">
        <x:v>-12316.038274264336</x:v>
      </x:c>
      <x:c r="O193" s="603" t="n">
        <x:f>M193-N193</x:f>
        <x:v>-920.961725735664</x:v>
      </x:c>
      <x:c r="P193" s="601" t="str">
        <x:v>Management</x:v>
      </x:c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600" t="n">
        <x:v>46310</x:v>
      </x:c>
      <x:c r="B194" s="601" t="n">
        <x:v>42</x:v>
      </x:c>
      <x:c r="C194" s="601" t="str">
        <x:v>10 - October</x:v>
      </x:c>
      <x:c r="D194" s="601" t="str">
        <x:v>T4</x:v>
      </x:c>
      <x:c r="E194" s="601" t="n">
        <x:v>2026</x:v>
      </x:c>
      <x:c r="F194" s="601" t="str">
        <x:v>Groupe</x:v>
      </x:c>
      <x:c r="G194" s="601" t="str">
        <x:v>615000</x:v>
      </x:c>
      <x:c r="H194" s="601" t="str">
        <x:v>Maintenance</x:v>
      </x:c>
      <x:c r="I194" s="601" t="str">
        <x:v>Charge</x:v>
      </x:c>
      <x:c r="J194" s="601" t="str">
        <x:v>Clôturé</x:v>
      </x:c>
      <x:c r="K194" s="602" t="n">
        <x:v>4901</x:v>
      </x:c>
      <x:c r="L194" s="602" t="n">
        <x:v>0</x:v>
      </x:c>
      <x:c r="M194" s="603" t="n">
        <x:v>-4901</x:v>
      </x:c>
      <x:c r="N194" s="603" t="n">
        <x:v>-4621.120995735679</x:v>
      </x:c>
      <x:c r="O194" s="603" t="n">
        <x:f>M194-N194</x:f>
        <x:v>-279.87900426432134</x:v>
      </x:c>
      <x:c r="P194" s="601" t="str">
        <x:v>PCG</x:v>
      </x:c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600" t="n">
        <x:v>46093</x:v>
      </x:c>
      <x:c r="B195" s="601" t="n">
        <x:v>11</x:v>
      </x:c>
      <x:c r="C195" s="601" t="str">
        <x:v>03 - March</x:v>
      </x:c>
      <x:c r="D195" s="601" t="str">
        <x:v>T1</x:v>
      </x:c>
      <x:c r="E195" s="601" t="n">
        <x:v>2026</x:v>
      </x:c>
      <x:c r="F195" s="601" t="str">
        <x:v>Filiale Nord</x:v>
      </x:c>
      <x:c r="G195" s="601" t="str">
        <x:v>607000</x:v>
      </x:c>
      <x:c r="H195" s="601" t="str">
        <x:v>Achats de marchandises</x:v>
      </x:c>
      <x:c r="I195" s="601" t="str">
        <x:v>Charge</x:v>
      </x:c>
      <x:c r="J195" s="601" t="str">
        <x:v>Réalisé</x:v>
      </x:c>
      <x:c r="K195" s="602" t="n">
        <x:v>11200</x:v>
      </x:c>
      <x:c r="L195" s="602" t="n">
        <x:v>0</x:v>
      </x:c>
      <x:c r="M195" s="603" t="n">
        <x:v>-11200</x:v>
      </x:c>
      <x:c r="N195" s="603" t="n">
        <x:v>-10350.188553380805</x:v>
      </x:c>
      <x:c r="O195" s="603" t="n">
        <x:f>M195-N195</x:f>
        <x:v>-849.8114466191946</x:v>
      </x:c>
      <x:c r="P195" s="601" t="str">
        <x:v>PCG</x:v>
      </x:c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600" t="n">
        <x:v>46382</x:v>
      </x:c>
      <x:c r="B196" s="601" t="n">
        <x:v>52</x:v>
      </x:c>
      <x:c r="C196" s="601" t="str">
        <x:v>12 - December</x:v>
      </x:c>
      <x:c r="D196" s="601" t="str">
        <x:v>T4</x:v>
      </x:c>
      <x:c r="E196" s="601" t="n">
        <x:v>2026</x:v>
      </x:c>
      <x:c r="F196" s="601" t="str">
        <x:v>Filiale Sud</x:v>
      </x:c>
      <x:c r="G196" s="601" t="str">
        <x:v>701000</x:v>
      </x:c>
      <x:c r="H196" s="601" t="str">
        <x:v>Ventes de produits</x:v>
      </x:c>
      <x:c r="I196" s="601" t="str">
        <x:v>Produit</x:v>
      </x:c>
      <x:c r="J196" s="601" t="str">
        <x:v>Réalisé</x:v>
      </x:c>
      <x:c r="K196" s="602" t="n">
        <x:v>0</x:v>
      </x:c>
      <x:c r="L196" s="602" t="n">
        <x:v>24174</x:v>
      </x:c>
      <x:c r="M196" s="603" t="n">
        <x:v>24174</x:v>
      </x:c>
      <x:c r="N196" s="603" t="n">
        <x:v>26152.991024025352</x:v>
      </x:c>
      <x:c r="O196" s="603" t="n">
        <x:f>M196-N196</x:f>
        <x:v>-1978.991024025352</x:v>
      </x:c>
      <x:c r="P196" s="601" t="str">
        <x:v>Management</x:v>
      </x:c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600" t="n">
        <x:v>46029</x:v>
      </x:c>
      <x:c r="B197" s="601" t="n">
        <x:v>2</x:v>
      </x:c>
      <x:c r="C197" s="601" t="str">
        <x:v>01 - January</x:v>
      </x:c>
      <x:c r="D197" s="601" t="str">
        <x:v>T1</x:v>
      </x:c>
      <x:c r="E197" s="601" t="n">
        <x:v>2026</x:v>
      </x:c>
      <x:c r="F197" s="601" t="str">
        <x:v>Filiale Sud</x:v>
      </x:c>
      <x:c r="G197" s="601" t="str">
        <x:v>706000</x:v>
      </x:c>
      <x:c r="H197" s="601" t="str">
        <x:v>Prestations de services</x:v>
      </x:c>
      <x:c r="I197" s="601" t="str">
        <x:v>Produit</x:v>
      </x:c>
      <x:c r="J197" s="601" t="str">
        <x:v>Réalisé</x:v>
      </x:c>
      <x:c r="K197" s="602" t="n">
        <x:v>0</x:v>
      </x:c>
      <x:c r="L197" s="602" t="n">
        <x:v>22893</x:v>
      </x:c>
      <x:c r="M197" s="603" t="n">
        <x:v>22893</x:v>
      </x:c>
      <x:c r="N197" s="603" t="n">
        <x:v>23384.362921325956</x:v>
      </x:c>
      <x:c r="O197" s="603" t="n">
        <x:f>M197-N197</x:f>
        <x:v>-491.36292132595554</x:v>
      </x:c>
      <x:c r="P197" s="601" t="str">
        <x:v>IFRS</x:v>
      </x:c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600" t="n">
        <x:v>46160</x:v>
      </x:c>
      <x:c r="B198" s="601" t="n">
        <x:v>21</x:v>
      </x:c>
      <x:c r="C198" s="601" t="str">
        <x:v>05 - May</x:v>
      </x:c>
      <x:c r="D198" s="601" t="str">
        <x:v>T2</x:v>
      </x:c>
      <x:c r="E198" s="601" t="n">
        <x:v>2026</x:v>
      </x:c>
      <x:c r="F198" s="601" t="str">
        <x:v>Filiale Nord</x:v>
      </x:c>
      <x:c r="G198" s="601" t="str">
        <x:v>615000</x:v>
      </x:c>
      <x:c r="H198" s="601" t="str">
        <x:v>Maintenance</x:v>
      </x:c>
      <x:c r="I198" s="601" t="str">
        <x:v>Charge</x:v>
      </x:c>
      <x:c r="J198" s="601" t="str">
        <x:v>Clôturé</x:v>
      </x:c>
      <x:c r="K198" s="602" t="n">
        <x:v>11801</x:v>
      </x:c>
      <x:c r="L198" s="602" t="n">
        <x:v>0</x:v>
      </x:c>
      <x:c r="M198" s="603" t="n">
        <x:v>-11801</x:v>
      </x:c>
      <x:c r="N198" s="603" t="n">
        <x:v>-11433.023205761132</x:v>
      </x:c>
      <x:c r="O198" s="603" t="n">
        <x:f>M198-N198</x:f>
        <x:v>-367.976794238868</x:v>
      </x:c>
      <x:c r="P198" s="601" t="str">
        <x:v>IFRS</x:v>
      </x:c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600" t="n">
        <x:v>46102</x:v>
      </x:c>
      <x:c r="B199" s="601" t="n">
        <x:v>12</x:v>
      </x:c>
      <x:c r="C199" s="601" t="str">
        <x:v>03 - March</x:v>
      </x:c>
      <x:c r="D199" s="601" t="str">
        <x:v>T1</x:v>
      </x:c>
      <x:c r="E199" s="601" t="n">
        <x:v>2026</x:v>
      </x:c>
      <x:c r="F199" s="601" t="str">
        <x:v>Filiale Nord</x:v>
      </x:c>
      <x:c r="G199" s="601" t="str">
        <x:v>615000</x:v>
      </x:c>
      <x:c r="H199" s="601" t="str">
        <x:v>Maintenance</x:v>
      </x:c>
      <x:c r="I199" s="601" t="str">
        <x:v>Charge</x:v>
      </x:c>
      <x:c r="J199" s="601" t="str">
        <x:v>Prévision</x:v>
      </x:c>
      <x:c r="K199" s="602" t="n">
        <x:v>14928</x:v>
      </x:c>
      <x:c r="L199" s="602" t="n">
        <x:v>0</x:v>
      </x:c>
      <x:c r="M199" s="603" t="n">
        <x:v>-14928</x:v>
      </x:c>
      <x:c r="N199" s="603" t="n">
        <x:v>-15038.879616667225</x:v>
      </x:c>
      <x:c r="O199" s="603" t="n">
        <x:f>M199-N199</x:f>
        <x:v>110.87961666722549</x:v>
      </x:c>
      <x:c r="P199" s="601" t="str">
        <x:v>PCG</x:v>
      </x:c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600" t="n">
        <x:v>46247</x:v>
      </x:c>
      <x:c r="B200" s="601" t="n">
        <x:v>33</x:v>
      </x:c>
      <x:c r="C200" s="601" t="str">
        <x:v>08 - August</x:v>
      </x:c>
      <x:c r="D200" s="601" t="str">
        <x:v>T3</x:v>
      </x:c>
      <x:c r="E200" s="601" t="n">
        <x:v>2026</x:v>
      </x:c>
      <x:c r="F200" s="601" t="str">
        <x:v>Filiale Nord</x:v>
      </x:c>
      <x:c r="G200" s="601" t="str">
        <x:v>641000</x:v>
      </x:c>
      <x:c r="H200" s="601" t="str">
        <x:v>Salaires</x:v>
      </x:c>
      <x:c r="I200" s="601" t="str">
        <x:v>Charge</x:v>
      </x:c>
      <x:c r="J200" s="601" t="str">
        <x:v>Clôturé</x:v>
      </x:c>
      <x:c r="K200" s="602" t="n">
        <x:v>14600</x:v>
      </x:c>
      <x:c r="L200" s="602" t="n">
        <x:v>0</x:v>
      </x:c>
      <x:c r="M200" s="603" t="n">
        <x:v>-14600</x:v>
      </x:c>
      <x:c r="N200" s="603" t="n">
        <x:v>-14667.770151095354</x:v>
      </x:c>
      <x:c r="O200" s="603" t="n">
        <x:f>M200-N200</x:f>
        <x:v>67.77015109535387</x:v>
      </x:c>
      <x:c r="P200" s="601" t="str">
        <x:v>PCG</x:v>
      </x:c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  <x:row r="201">
      <x:c r="A201" s="36" t="n">
        <x:v>46047</x:v>
      </x:c>
      <x:c r="B201" s="16" t="n">
        <x:v>4</x:v>
      </x:c>
      <x:c r="C201" s="16" t="str">
        <x:v>01 - January</x:v>
      </x:c>
      <x:c r="D201" s="16" t="str">
        <x:v>T1</x:v>
      </x:c>
      <x:c r="E201" s="16" t="n">
        <x:v>2026</x:v>
      </x:c>
      <x:c r="F201" s="16" t="str">
        <x:v>Groupe</x:v>
      </x:c>
      <x:c r="G201" s="16" t="str">
        <x:v>607000</x:v>
      </x:c>
      <x:c r="H201" s="16" t="str">
        <x:v>Achats de marchandises</x:v>
      </x:c>
      <x:c r="I201" s="16" t="str">
        <x:v>Charge</x:v>
      </x:c>
      <x:c r="J201" s="16" t="str">
        <x:v>Clôturé</x:v>
      </x:c>
      <x:c r="K201" s="18" t="n">
        <x:v>4770</x:v>
      </x:c>
      <x:c r="L201" s="18" t="n">
        <x:v>0</x:v>
      </x:c>
      <x:c r="M201" s="38" t="n">
        <x:v>-4770</x:v>
      </x:c>
      <x:c r="N201" s="38" t="n">
        <x:v>-4569.080879878605</x:v>
      </x:c>
      <x:c r="O201" s="38" t="n">
        <x:f>M201-N201</x:f>
        <x:v>-200.91912012139528</x:v>
      </x:c>
      <x:c r="P201" s="16" t="str">
        <x:v>IFRS</x:v>
      </x:c>
    </x:row>
    <x:row r="202">
      <x:c r="A202" s="36" t="n">
        <x:v>46057</x:v>
      </x:c>
      <x:c r="B202" s="16" t="n">
        <x:v>6</x:v>
      </x:c>
      <x:c r="C202" s="16" t="str">
        <x:v>02 - February</x:v>
      </x:c>
      <x:c r="D202" s="16" t="str">
        <x:v>T1</x:v>
      </x:c>
      <x:c r="E202" s="16" t="n">
        <x:v>2026</x:v>
      </x:c>
      <x:c r="F202" s="16" t="str">
        <x:v>Filiale Sud</x:v>
      </x:c>
      <x:c r="G202" s="16" t="str">
        <x:v>607000</x:v>
      </x:c>
      <x:c r="H202" s="16" t="str">
        <x:v>Achats de marchandises</x:v>
      </x:c>
      <x:c r="I202" s="16" t="str">
        <x:v>Charge</x:v>
      </x:c>
      <x:c r="J202" s="16" t="str">
        <x:v>Prévision</x:v>
      </x:c>
      <x:c r="K202" s="18" t="n">
        <x:v>16662</x:v>
      </x:c>
      <x:c r="L202" s="18" t="n">
        <x:v>0</x:v>
      </x:c>
      <x:c r="M202" s="38" t="n">
        <x:v>-16662</x:v>
      </x:c>
      <x:c r="N202" s="38" t="n">
        <x:v>-15671.968474361704</x:v>
      </x:c>
      <x:c r="O202" s="38" t="n">
        <x:f>M202-N202</x:f>
        <x:v>-990.0315256382964</x:v>
      </x:c>
      <x:c r="P202" s="16" t="str">
        <x:v>Management</x:v>
      </x:c>
    </x:row>
    <x:row r="203">
      <x:c r="A203" s="36" t="n">
        <x:v>46295</x:v>
      </x:c>
      <x:c r="B203" s="16" t="n">
        <x:v>40</x:v>
      </x:c>
      <x:c r="C203" s="16" t="str">
        <x:v>09 - September</x:v>
      </x:c>
      <x:c r="D203" s="16" t="str">
        <x:v>T3</x:v>
      </x:c>
      <x:c r="E203" s="16" t="n">
        <x:v>2026</x:v>
      </x:c>
      <x:c r="F203" s="16" t="str">
        <x:v>Groupe</x:v>
      </x:c>
      <x:c r="G203" s="16" t="str">
        <x:v>641000</x:v>
      </x:c>
      <x:c r="H203" s="16" t="str">
        <x:v>Salaires</x:v>
      </x:c>
      <x:c r="I203" s="16" t="str">
        <x:v>Charge</x:v>
      </x:c>
      <x:c r="J203" s="16" t="str">
        <x:v>Clôturé</x:v>
      </x:c>
      <x:c r="K203" s="18" t="n">
        <x:v>8672</x:v>
      </x:c>
      <x:c r="L203" s="18" t="n">
        <x:v>0</x:v>
      </x:c>
      <x:c r="M203" s="38" t="n">
        <x:v>-8672</x:v>
      </x:c>
      <x:c r="N203" s="38" t="n">
        <x:v>-8860.645769357332</x:v>
      </x:c>
      <x:c r="O203" s="38" t="n">
        <x:f>M203-N203</x:f>
        <x:v>188.64576935733203</x:v>
      </x:c>
      <x:c r="P203" s="16" t="str">
        <x:v>IFRS</x:v>
      </x:c>
    </x:row>
    <x:row r="204">
      <x:c r="A204" s="36" t="n">
        <x:v>46204</x:v>
      </x:c>
      <x:c r="B204" s="16" t="n">
        <x:v>27</x:v>
      </x:c>
      <x:c r="C204" s="16" t="str">
        <x:v>07 - July</x:v>
      </x:c>
      <x:c r="D204" s="16" t="str">
        <x:v>T3</x:v>
      </x:c>
      <x:c r="E204" s="16" t="n">
        <x:v>2026</x:v>
      </x:c>
      <x:c r="F204" s="16" t="str">
        <x:v>Groupe</x:v>
      </x:c>
      <x:c r="G204" s="16" t="str">
        <x:v>607000</x:v>
      </x:c>
      <x:c r="H204" s="16" t="str">
        <x:v>Achats de marchandises</x:v>
      </x:c>
      <x:c r="I204" s="16" t="str">
        <x:v>Charge</x:v>
      </x:c>
      <x:c r="J204" s="16" t="str">
        <x:v>Prévision</x:v>
      </x:c>
      <x:c r="K204" s="18" t="n">
        <x:v>13852</x:v>
      </x:c>
      <x:c r="L204" s="18" t="n">
        <x:v>0</x:v>
      </x:c>
      <x:c r="M204" s="38" t="n">
        <x:v>-13852</x:v>
      </x:c>
      <x:c r="N204" s="38" t="n">
        <x:v>-12647.633487270841</x:v>
      </x:c>
      <x:c r="O204" s="38" t="n">
        <x:f>M204-N204</x:f>
        <x:v>-1204.3665127291588</x:v>
      </x:c>
      <x:c r="P204" s="16" t="str">
        <x:v>Management</x:v>
      </x:c>
    </x:row>
    <x:row r="205">
      <x:c r="A205" s="36" t="n">
        <x:v>46202</x:v>
      </x:c>
      <x:c r="B205" s="16" t="n">
        <x:v>27</x:v>
      </x:c>
      <x:c r="C205" s="16" t="str">
        <x:v>06 - June</x:v>
      </x:c>
      <x:c r="D205" s="16" t="str">
        <x:v>T2</x:v>
      </x:c>
      <x:c r="E205" s="16" t="n">
        <x:v>2026</x:v>
      </x:c>
      <x:c r="F205" s="16" t="str">
        <x:v>Groupe</x:v>
      </x:c>
      <x:c r="G205" s="16" t="str">
        <x:v>615000</x:v>
      </x:c>
      <x:c r="H205" s="16" t="str">
        <x:v>Maintenance</x:v>
      </x:c>
      <x:c r="I205" s="16" t="str">
        <x:v>Charge</x:v>
      </x:c>
      <x:c r="J205" s="16" t="str">
        <x:v>Réalisé</x:v>
      </x:c>
      <x:c r="K205" s="18" t="n">
        <x:v>8620</x:v>
      </x:c>
      <x:c r="L205" s="18" t="n">
        <x:v>0</x:v>
      </x:c>
      <x:c r="M205" s="38" t="n">
        <x:v>-8620</x:v>
      </x:c>
      <x:c r="N205" s="38" t="n">
        <x:v>-7851.17756820838</x:v>
      </x:c>
      <x:c r="O205" s="38" t="n">
        <x:f>M205-N205</x:f>
        <x:v>-768.8224317916201</x:v>
      </x:c>
      <x:c r="P205" s="16" t="str">
        <x:v>PCG</x:v>
      </x:c>
    </x:row>
    <x:row r="206">
      <x:c r="A206" s="36" t="n">
        <x:v>46135</x:v>
      </x:c>
      <x:c r="B206" s="16" t="n">
        <x:v>17</x:v>
      </x:c>
      <x:c r="C206" s="16" t="str">
        <x:v>04 - April</x:v>
      </x:c>
      <x:c r="D206" s="16" t="str">
        <x:v>T2</x:v>
      </x:c>
      <x:c r="E206" s="16" t="n">
        <x:v>2026</x:v>
      </x:c>
      <x:c r="F206" s="16" t="str">
        <x:v>Filiale Sud</x:v>
      </x:c>
      <x:c r="G206" s="16" t="str">
        <x:v>645000</x:v>
      </x:c>
      <x:c r="H206" s="16" t="str">
        <x:v>Charges sociales</x:v>
      </x:c>
      <x:c r="I206" s="16" t="str">
        <x:v>Charge</x:v>
      </x:c>
      <x:c r="J206" s="16" t="str">
        <x:v>Clôturé</x:v>
      </x:c>
      <x:c r="K206" s="18" t="n">
        <x:v>5964</x:v>
      </x:c>
      <x:c r="L206" s="18" t="n">
        <x:v>0</x:v>
      </x:c>
      <x:c r="M206" s="38" t="n">
        <x:v>-5964</x:v>
      </x:c>
      <x:c r="N206" s="38" t="n">
        <x:v>-5781.71477515443</x:v>
      </x:c>
      <x:c r="O206" s="38" t="n">
        <x:f>M206-N206</x:f>
        <x:v>-182.28522484557016</x:v>
      </x:c>
      <x:c r="P206" s="16" t="str">
        <x:v>PCG</x:v>
      </x:c>
    </x:row>
    <x:row r="207">
      <x:c r="A207" s="36" t="n">
        <x:v>46215</x:v>
      </x:c>
      <x:c r="B207" s="16" t="n">
        <x:v>28</x:v>
      </x:c>
      <x:c r="C207" s="16" t="str">
        <x:v>07 - July</x:v>
      </x:c>
      <x:c r="D207" s="16" t="str">
        <x:v>T3</x:v>
      </x:c>
      <x:c r="E207" s="16" t="n">
        <x:v>2026</x:v>
      </x:c>
      <x:c r="F207" s="16" t="str">
        <x:v>Filiale Nord</x:v>
      </x:c>
      <x:c r="G207" s="16" t="str">
        <x:v>706000</x:v>
      </x:c>
      <x:c r="H207" s="16" t="str">
        <x:v>Prestations de services</x:v>
      </x:c>
      <x:c r="I207" s="16" t="str">
        <x:v>Produit</x:v>
      </x:c>
      <x:c r="J207" s="16" t="str">
        <x:v>Clôturé</x:v>
      </x:c>
      <x:c r="K207" s="18" t="n">
        <x:v>0</x:v>
      </x:c>
      <x:c r="L207" s="18" t="n">
        <x:v>11458</x:v>
      </x:c>
      <x:c r="M207" s="38" t="n">
        <x:v>11458</x:v>
      </x:c>
      <x:c r="N207" s="38" t="n">
        <x:v>11769.453158217812</x:v>
      </x:c>
      <x:c r="O207" s="38" t="n">
        <x:f>M207-N207</x:f>
        <x:v>-311.4531582178115</x:v>
      </x:c>
      <x:c r="P207" s="16" t="str">
        <x:v>IFRS</x:v>
      </x:c>
    </x:row>
    <x:row r="208">
      <x:c r="A208" s="36" t="n">
        <x:v>46298</x:v>
      </x:c>
      <x:c r="B208" s="16" t="n">
        <x:v>40</x:v>
      </x:c>
      <x:c r="C208" s="16" t="str">
        <x:v>10 - October</x:v>
      </x:c>
      <x:c r="D208" s="16" t="str">
        <x:v>T4</x:v>
      </x:c>
      <x:c r="E208" s="16" t="n">
        <x:v>2026</x:v>
      </x:c>
      <x:c r="F208" s="16" t="str">
        <x:v>Filiale Sud</x:v>
      </x:c>
      <x:c r="G208" s="16" t="str">
        <x:v>615000</x:v>
      </x:c>
      <x:c r="H208" s="16" t="str">
        <x:v>Maintenance</x:v>
      </x:c>
      <x:c r="I208" s="16" t="str">
        <x:v>Charge</x:v>
      </x:c>
      <x:c r="J208" s="16" t="str">
        <x:v>Clôturé</x:v>
      </x:c>
      <x:c r="K208" s="18" t="n">
        <x:v>17812</x:v>
      </x:c>
      <x:c r="L208" s="18" t="n">
        <x:v>0</x:v>
      </x:c>
      <x:c r="M208" s="38" t="n">
        <x:v>-17812</x:v>
      </x:c>
      <x:c r="N208" s="38" t="n">
        <x:v>-19195.188587284414</x:v>
      </x:c>
      <x:c r="O208" s="38" t="n">
        <x:f>M208-N208</x:f>
        <x:v>1383.188587284414</x:v>
      </x:c>
      <x:c r="P208" s="16" t="str">
        <x:v>Management</x:v>
      </x:c>
    </x:row>
    <x:row r="209">
      <x:c r="A209" s="36" t="n">
        <x:v>46384</x:v>
      </x:c>
      <x:c r="B209" s="16" t="n">
        <x:v>53</x:v>
      </x:c>
      <x:c r="C209" s="16" t="str">
        <x:v>12 - December</x:v>
      </x:c>
      <x:c r="D209" s="16" t="str">
        <x:v>T4</x:v>
      </x:c>
      <x:c r="E209" s="16" t="n">
        <x:v>2026</x:v>
      </x:c>
      <x:c r="F209" s="16" t="str">
        <x:v>Filiale Sud</x:v>
      </x:c>
      <x:c r="G209" s="16" t="str">
        <x:v>641000</x:v>
      </x:c>
      <x:c r="H209" s="16" t="str">
        <x:v>Salaires</x:v>
      </x:c>
      <x:c r="I209" s="16" t="str">
        <x:v>Charge</x:v>
      </x:c>
      <x:c r="J209" s="16" t="str">
        <x:v>Réalisé</x:v>
      </x:c>
      <x:c r="K209" s="18" t="n">
        <x:v>6460</x:v>
      </x:c>
      <x:c r="L209" s="18" t="n">
        <x:v>0</x:v>
      </x:c>
      <x:c r="M209" s="38" t="n">
        <x:v>-6460</x:v>
      </x:c>
      <x:c r="N209" s="38" t="n">
        <x:v>-6502.6076947474885</x:v>
      </x:c>
      <x:c r="O209" s="38" t="n">
        <x:f>M209-N209</x:f>
        <x:v>42.607694747488495</x:v>
      </x:c>
      <x:c r="P209" s="16" t="str">
        <x:v>PCG</x:v>
      </x:c>
    </x:row>
    <x:row r="210">
      <x:c r="A210" s="36" t="n">
        <x:v>46025</x:v>
      </x:c>
      <x:c r="B210" s="16" t="n">
        <x:v>1</x:v>
      </x:c>
      <x:c r="C210" s="16" t="str">
        <x:v>01 - January</x:v>
      </x:c>
      <x:c r="D210" s="16" t="str">
        <x:v>T1</x:v>
      </x:c>
      <x:c r="E210" s="16" t="n">
        <x:v>2026</x:v>
      </x:c>
      <x:c r="F210" s="16" t="str">
        <x:v>Filiale Nord</x:v>
      </x:c>
      <x:c r="G210" s="16" t="str">
        <x:v>645000</x:v>
      </x:c>
      <x:c r="H210" s="16" t="str">
        <x:v>Charges sociales</x:v>
      </x:c>
      <x:c r="I210" s="16" t="str">
        <x:v>Charge</x:v>
      </x:c>
      <x:c r="J210" s="16" t="str">
        <x:v>Réalisé</x:v>
      </x:c>
      <x:c r="K210" s="18" t="n">
        <x:v>2110</x:v>
      </x:c>
      <x:c r="L210" s="18" t="n">
        <x:v>0</x:v>
      </x:c>
      <x:c r="M210" s="38" t="n">
        <x:v>-2110</x:v>
      </x:c>
      <x:c r="N210" s="38" t="n">
        <x:v>-2269.337017607526</x:v>
      </x:c>
      <x:c r="O210" s="38" t="n">
        <x:f>M210-N210</x:f>
        <x:v>159.33701760752592</x:v>
      </x:c>
      <x:c r="P210" s="16" t="str">
        <x:v>IFRS</x:v>
      </x:c>
    </x:row>
    <x:row r="211">
      <x:c r="A211" s="36" t="n">
        <x:v>46217</x:v>
      </x:c>
      <x:c r="B211" s="16" t="n">
        <x:v>29</x:v>
      </x:c>
      <x:c r="C211" s="16" t="str">
        <x:v>07 - July</x:v>
      </x:c>
      <x:c r="D211" s="16" t="str">
        <x:v>T3</x:v>
      </x:c>
      <x:c r="E211" s="16" t="n">
        <x:v>2026</x:v>
      </x:c>
      <x:c r="F211" s="16" t="str">
        <x:v>Groupe</x:v>
      </x:c>
      <x:c r="G211" s="16" t="str">
        <x:v>645000</x:v>
      </x:c>
      <x:c r="H211" s="16" t="str">
        <x:v>Charges sociales</x:v>
      </x:c>
      <x:c r="I211" s="16" t="str">
        <x:v>Charge</x:v>
      </x:c>
      <x:c r="J211" s="16" t="str">
        <x:v>Clôturé</x:v>
      </x:c>
      <x:c r="K211" s="18" t="n">
        <x:v>16008</x:v>
      </x:c>
      <x:c r="L211" s="18" t="n">
        <x:v>0</x:v>
      </x:c>
      <x:c r="M211" s="38" t="n">
        <x:v>-16008</x:v>
      </x:c>
      <x:c r="N211" s="38" t="n">
        <x:v>-17233.31185050751</x:v>
      </x:c>
      <x:c r="O211" s="38" t="n">
        <x:f>M211-N211</x:f>
        <x:v>1225.3118505075108</x:v>
      </x:c>
      <x:c r="P211" s="16" t="str">
        <x:v>PCG</x:v>
      </x:c>
    </x:row>
    <x:row r="212">
      <x:c r="A212" s="36" t="n">
        <x:v>46315</x:v>
      </x:c>
      <x:c r="B212" s="16" t="n">
        <x:v>43</x:v>
      </x:c>
      <x:c r="C212" s="16" t="str">
        <x:v>10 - October</x:v>
      </x:c>
      <x:c r="D212" s="16" t="str">
        <x:v>T4</x:v>
      </x:c>
      <x:c r="E212" s="16" t="n">
        <x:v>2026</x:v>
      </x:c>
      <x:c r="F212" s="16" t="str">
        <x:v>Filiale Nord</x:v>
      </x:c>
      <x:c r="G212" s="16" t="str">
        <x:v>701000</x:v>
      </x:c>
      <x:c r="H212" s="16" t="str">
        <x:v>Ventes de produits</x:v>
      </x:c>
      <x:c r="I212" s="16" t="str">
        <x:v>Produit</x:v>
      </x:c>
      <x:c r="J212" s="16" t="str">
        <x:v>Prévision</x:v>
      </x:c>
      <x:c r="K212" s="18" t="n">
        <x:v>0</x:v>
      </x:c>
      <x:c r="L212" s="18" t="n">
        <x:v>16455</x:v>
      </x:c>
      <x:c r="M212" s="38" t="n">
        <x:v>16455</x:v>
      </x:c>
      <x:c r="N212" s="38" t="n">
        <x:v>15320.520801805225</x:v>
      </x:c>
      <x:c r="O212" s="38" t="n">
        <x:f>M212-N212</x:f>
        <x:v>1134.4791981947747</x:v>
      </x:c>
      <x:c r="P212" s="16" t="str">
        <x:v>Management</x:v>
      </x:c>
    </x:row>
    <x:row r="213">
      <x:c r="A213" s="36" t="n">
        <x:v>46179</x:v>
      </x:c>
      <x:c r="B213" s="16" t="n">
        <x:v>23</x:v>
      </x:c>
      <x:c r="C213" s="16" t="str">
        <x:v>06 - June</x:v>
      </x:c>
      <x:c r="D213" s="16" t="str">
        <x:v>T2</x:v>
      </x:c>
      <x:c r="E213" s="16" t="n">
        <x:v>2026</x:v>
      </x:c>
      <x:c r="F213" s="16" t="str">
        <x:v>Groupe</x:v>
      </x:c>
      <x:c r="G213" s="16" t="str">
        <x:v>706000</x:v>
      </x:c>
      <x:c r="H213" s="16" t="str">
        <x:v>Prestations de services</x:v>
      </x:c>
      <x:c r="I213" s="16" t="str">
        <x:v>Produit</x:v>
      </x:c>
      <x:c r="J213" s="16" t="str">
        <x:v>Réalisé</x:v>
      </x:c>
      <x:c r="K213" s="18" t="n">
        <x:v>0</x:v>
      </x:c>
      <x:c r="L213" s="18" t="n">
        <x:v>26345</x:v>
      </x:c>
      <x:c r="M213" s="38" t="n">
        <x:v>26345</x:v>
      </x:c>
      <x:c r="N213" s="38" t="n">
        <x:v>27936.580250108356</x:v>
      </x:c>
      <x:c r="O213" s="38" t="n">
        <x:f>M213-N213</x:f>
        <x:v>-1591.5802501083563</x:v>
      </x:c>
      <x:c r="P213" s="16" t="str">
        <x:v>IFRS</x:v>
      </x:c>
    </x:row>
    <x:row r="214">
      <x:c r="A214" s="36" t="n">
        <x:v>46269</x:v>
      </x:c>
      <x:c r="B214" s="16" t="n">
        <x:v>36</x:v>
      </x:c>
      <x:c r="C214" s="16" t="str">
        <x:v>09 - September</x:v>
      </x:c>
      <x:c r="D214" s="16" t="str">
        <x:v>T3</x:v>
      </x:c>
      <x:c r="E214" s="16" t="n">
        <x:v>2026</x:v>
      </x:c>
      <x:c r="F214" s="16" t="str">
        <x:v>Filiale Sud</x:v>
      </x:c>
      <x:c r="G214" s="16" t="str">
        <x:v>615000</x:v>
      </x:c>
      <x:c r="H214" s="16" t="str">
        <x:v>Maintenance</x:v>
      </x:c>
      <x:c r="I214" s="16" t="str">
        <x:v>Charge</x:v>
      </x:c>
      <x:c r="J214" s="16" t="str">
        <x:v>Réalisé</x:v>
      </x:c>
      <x:c r="K214" s="18" t="n">
        <x:v>6797</x:v>
      </x:c>
      <x:c r="L214" s="18" t="n">
        <x:v>0</x:v>
      </x:c>
      <x:c r="M214" s="38" t="n">
        <x:v>-6797</x:v>
      </x:c>
      <x:c r="N214" s="38" t="n">
        <x:v>-6731.662350485583</x:v>
      </x:c>
      <x:c r="O214" s="38" t="n">
        <x:f>M214-N214</x:f>
        <x:v>-65.33764951441663</x:v>
      </x:c>
      <x:c r="P214" s="16" t="str">
        <x:v>PCG</x:v>
      </x:c>
    </x:row>
    <x:row r="215">
      <x:c r="A215" s="36" t="n">
        <x:v>46292</x:v>
      </x:c>
      <x:c r="B215" s="16" t="n">
        <x:v>39</x:v>
      </x:c>
      <x:c r="C215" s="16" t="str">
        <x:v>09 - September</x:v>
      </x:c>
      <x:c r="D215" s="16" t="str">
        <x:v>T3</x:v>
      </x:c>
      <x:c r="E215" s="16" t="n">
        <x:v>2026</x:v>
      </x:c>
      <x:c r="F215" s="16" t="str">
        <x:v>Filiale Sud</x:v>
      </x:c>
      <x:c r="G215" s="16" t="str">
        <x:v>615000</x:v>
      </x:c>
      <x:c r="H215" s="16" t="str">
        <x:v>Maintenance</x:v>
      </x:c>
      <x:c r="I215" s="16" t="str">
        <x:v>Charge</x:v>
      </x:c>
      <x:c r="J215" s="16" t="str">
        <x:v>Réalisé</x:v>
      </x:c>
      <x:c r="K215" s="18" t="n">
        <x:v>16999</x:v>
      </x:c>
      <x:c r="L215" s="18" t="n">
        <x:v>0</x:v>
      </x:c>
      <x:c r="M215" s="38" t="n">
        <x:v>-16999</x:v>
      </x:c>
      <x:c r="N215" s="38" t="n">
        <x:v>-16540.17214250432</x:v>
      </x:c>
      <x:c r="O215" s="38" t="n">
        <x:f>M215-N215</x:f>
        <x:v>-458.8278574956785</x:v>
      </x:c>
      <x:c r="P215" s="16" t="str">
        <x:v>Management</x:v>
      </x:c>
    </x:row>
    <x:row r="216">
      <x:c r="A216" s="36" t="n">
        <x:v>46362</x:v>
      </x:c>
      <x:c r="B216" s="16" t="n">
        <x:v>49</x:v>
      </x:c>
      <x:c r="C216" s="16" t="str">
        <x:v>12 - December</x:v>
      </x:c>
      <x:c r="D216" s="16" t="str">
        <x:v>T4</x:v>
      </x:c>
      <x:c r="E216" s="16" t="n">
        <x:v>2026</x:v>
      </x:c>
      <x:c r="F216" s="16" t="str">
        <x:v>Groupe</x:v>
      </x:c>
      <x:c r="G216" s="16" t="str">
        <x:v>607000</x:v>
      </x:c>
      <x:c r="H216" s="16" t="str">
        <x:v>Achats de marchandises</x:v>
      </x:c>
      <x:c r="I216" s="16" t="str">
        <x:v>Charge</x:v>
      </x:c>
      <x:c r="J216" s="16" t="str">
        <x:v>Réalisé</x:v>
      </x:c>
      <x:c r="K216" s="18" t="n">
        <x:v>9976</x:v>
      </x:c>
      <x:c r="L216" s="18" t="n">
        <x:v>0</x:v>
      </x:c>
      <x:c r="M216" s="38" t="n">
        <x:v>-9976</x:v>
      </x:c>
      <x:c r="N216" s="38" t="n">
        <x:v>-10739.32423101879</x:v>
      </x:c>
      <x:c r="O216" s="38" t="n">
        <x:f>M216-N216</x:f>
        <x:v>763.3242310187907</x:v>
      </x:c>
      <x:c r="P216" s="16" t="str">
        <x:v>Management</x:v>
      </x:c>
    </x:row>
    <x:row r="217">
      <x:c r="A217" s="36" t="n">
        <x:v>46171</x:v>
      </x:c>
      <x:c r="B217" s="16" t="n">
        <x:v>22</x:v>
      </x:c>
      <x:c r="C217" s="16" t="str">
        <x:v>05 - May</x:v>
      </x:c>
      <x:c r="D217" s="16" t="str">
        <x:v>T2</x:v>
      </x:c>
      <x:c r="E217" s="16" t="n">
        <x:v>2026</x:v>
      </x:c>
      <x:c r="F217" s="16" t="str">
        <x:v>Filiale Sud</x:v>
      </x:c>
      <x:c r="G217" s="16" t="str">
        <x:v>607000</x:v>
      </x:c>
      <x:c r="H217" s="16" t="str">
        <x:v>Achats de marchandises</x:v>
      </x:c>
      <x:c r="I217" s="16" t="str">
        <x:v>Charge</x:v>
      </x:c>
      <x:c r="J217" s="16" t="str">
        <x:v>Clôturé</x:v>
      </x:c>
      <x:c r="K217" s="18" t="n">
        <x:v>11075</x:v>
      </x:c>
      <x:c r="L217" s="18" t="n">
        <x:v>0</x:v>
      </x:c>
      <x:c r="M217" s="38" t="n">
        <x:v>-11075</x:v>
      </x:c>
      <x:c r="N217" s="38" t="n">
        <x:v>-11759.696215638305</x:v>
      </x:c>
      <x:c r="O217" s="38" t="n">
        <x:f>M217-N217</x:f>
        <x:v>684.6962156383051</x:v>
      </x:c>
      <x:c r="P217" s="16" t="str">
        <x:v>Management</x:v>
      </x:c>
    </x:row>
    <x:row r="218">
      <x:c r="A218" s="36" t="n">
        <x:v>46072</x:v>
      </x:c>
      <x:c r="B218" s="16" t="n">
        <x:v>8</x:v>
      </x:c>
      <x:c r="C218" s="16" t="str">
        <x:v>02 - February</x:v>
      </x:c>
      <x:c r="D218" s="16" t="str">
        <x:v>T1</x:v>
      </x:c>
      <x:c r="E218" s="16" t="n">
        <x:v>2026</x:v>
      </x:c>
      <x:c r="F218" s="16" t="str">
        <x:v>Groupe</x:v>
      </x:c>
      <x:c r="G218" s="16" t="str">
        <x:v>641000</x:v>
      </x:c>
      <x:c r="H218" s="16" t="str">
        <x:v>Salaires</x:v>
      </x:c>
      <x:c r="I218" s="16" t="str">
        <x:v>Charge</x:v>
      </x:c>
      <x:c r="J218" s="16" t="str">
        <x:v>Clôturé</x:v>
      </x:c>
      <x:c r="K218" s="18" t="n">
        <x:v>7577</x:v>
      </x:c>
      <x:c r="L218" s="18" t="n">
        <x:v>0</x:v>
      </x:c>
      <x:c r="M218" s="38" t="n">
        <x:v>-7577</x:v>
      </x:c>
      <x:c r="N218" s="38" t="n">
        <x:v>-7288.8179710720615</x:v>
      </x:c>
      <x:c r="O218" s="38" t="n">
        <x:f>M218-N218</x:f>
        <x:v>-288.1820289279385</x:v>
      </x:c>
      <x:c r="P218" s="16" t="str">
        <x:v>Management</x:v>
      </x:c>
    </x:row>
    <x:row r="219">
      <x:c r="A219" s="36" t="n">
        <x:v>46155</x:v>
      </x:c>
      <x:c r="B219" s="16" t="n">
        <x:v>20</x:v>
      </x:c>
      <x:c r="C219" s="16" t="str">
        <x:v>05 - May</x:v>
      </x:c>
      <x:c r="D219" s="16" t="str">
        <x:v>T2</x:v>
      </x:c>
      <x:c r="E219" s="16" t="n">
        <x:v>2026</x:v>
      </x:c>
      <x:c r="F219" s="16" t="str">
        <x:v>Filiale Sud</x:v>
      </x:c>
      <x:c r="G219" s="16" t="str">
        <x:v>706000</x:v>
      </x:c>
      <x:c r="H219" s="16" t="str">
        <x:v>Prestations de services</x:v>
      </x:c>
      <x:c r="I219" s="16" t="str">
        <x:v>Produit</x:v>
      </x:c>
      <x:c r="J219" s="16" t="str">
        <x:v>Clôturé</x:v>
      </x:c>
      <x:c r="K219" s="18" t="n">
        <x:v>0</x:v>
      </x:c>
      <x:c r="L219" s="18" t="n">
        <x:v>10604</x:v>
      </x:c>
      <x:c r="M219" s="38" t="n">
        <x:v>10604</x:v>
      </x:c>
      <x:c r="N219" s="38" t="n">
        <x:v>10969.216319603955</x:v>
      </x:c>
      <x:c r="O219" s="38" t="n">
        <x:f>M219-N219</x:f>
        <x:v>-365.2163196039546</x:v>
      </x:c>
      <x:c r="P219" s="16" t="str">
        <x:v>IFRS</x:v>
      </x:c>
    </x:row>
    <x:row r="220">
      <x:c r="A220" s="36" t="n">
        <x:v>46229</x:v>
      </x:c>
      <x:c r="B220" s="16" t="n">
        <x:v>30</x:v>
      </x:c>
      <x:c r="C220" s="16" t="str">
        <x:v>07 - July</x:v>
      </x:c>
      <x:c r="D220" s="16" t="str">
        <x:v>T3</x:v>
      </x:c>
      <x:c r="E220" s="16" t="n">
        <x:v>2026</x:v>
      </x:c>
      <x:c r="F220" s="16" t="str">
        <x:v>Groupe</x:v>
      </x:c>
      <x:c r="G220" s="16" t="str">
        <x:v>607000</x:v>
      </x:c>
      <x:c r="H220" s="16" t="str">
        <x:v>Achats de marchandises</x:v>
      </x:c>
      <x:c r="I220" s="16" t="str">
        <x:v>Charge</x:v>
      </x:c>
      <x:c r="J220" s="16" t="str">
        <x:v>Prévision</x:v>
      </x:c>
      <x:c r="K220" s="18" t="n">
        <x:v>14348</x:v>
      </x:c>
      <x:c r="L220" s="18" t="n">
        <x:v>0</x:v>
      </x:c>
      <x:c r="M220" s="38" t="n">
        <x:v>-14348</x:v>
      </x:c>
      <x:c r="N220" s="38" t="n">
        <x:v>-15697.906376309695</x:v>
      </x:c>
      <x:c r="O220" s="38" t="n">
        <x:f>M220-N220</x:f>
        <x:v>1349.9063763096947</x:v>
      </x:c>
      <x:c r="P220" s="16" t="str">
        <x:v>Management</x:v>
      </x:c>
    </x:row>
    <x:row r="221">
      <x:c r="A221" s="36" t="n">
        <x:v>46143</x:v>
      </x:c>
      <x:c r="B221" s="16" t="n">
        <x:v>18</x:v>
      </x:c>
      <x:c r="C221" s="16" t="str">
        <x:v>05 - May</x:v>
      </x:c>
      <x:c r="D221" s="16" t="str">
        <x:v>T2</x:v>
      </x:c>
      <x:c r="E221" s="16" t="n">
        <x:v>2026</x:v>
      </x:c>
      <x:c r="F221" s="16" t="str">
        <x:v>Groupe</x:v>
      </x:c>
      <x:c r="G221" s="16" t="str">
        <x:v>641000</x:v>
      </x:c>
      <x:c r="H221" s="16" t="str">
        <x:v>Salaires</x:v>
      </x:c>
      <x:c r="I221" s="16" t="str">
        <x:v>Charge</x:v>
      </x:c>
      <x:c r="J221" s="16" t="str">
        <x:v>Réalisé</x:v>
      </x:c>
      <x:c r="K221" s="18" t="n">
        <x:v>15104</x:v>
      </x:c>
      <x:c r="L221" s="18" t="n">
        <x:v>0</x:v>
      </x:c>
      <x:c r="M221" s="38" t="n">
        <x:v>-15104</x:v>
      </x:c>
      <x:c r="N221" s="38" t="n">
        <x:v>-14071.348982983718</x:v>
      </x:c>
      <x:c r="O221" s="38" t="n">
        <x:f>M221-N221</x:f>
        <x:v>-1032.651017016282</x:v>
      </x:c>
      <x:c r="P221" s="16" t="str">
        <x:v>PCG</x:v>
      </x:c>
    </x:row>
    <x:row r="222">
      <x:c r="A222" s="36" t="n">
        <x:v>46163</x:v>
      </x:c>
      <x:c r="B222" s="16" t="n">
        <x:v>21</x:v>
      </x:c>
      <x:c r="C222" s="16" t="str">
        <x:v>05 - May</x:v>
      </x:c>
      <x:c r="D222" s="16" t="str">
        <x:v>T2</x:v>
      </x:c>
      <x:c r="E222" s="16" t="n">
        <x:v>2026</x:v>
      </x:c>
      <x:c r="F222" s="16" t="str">
        <x:v>Groupe</x:v>
      </x:c>
      <x:c r="G222" s="16" t="str">
        <x:v>613000</x:v>
      </x:c>
      <x:c r="H222" s="16" t="str">
        <x:v>Loyers</x:v>
      </x:c>
      <x:c r="I222" s="16" t="str">
        <x:v>Charge</x:v>
      </x:c>
      <x:c r="J222" s="16" t="str">
        <x:v>Prévision</x:v>
      </x:c>
      <x:c r="K222" s="18" t="n">
        <x:v>10698</x:v>
      </x:c>
      <x:c r="L222" s="18" t="n">
        <x:v>0</x:v>
      </x:c>
      <x:c r="M222" s="38" t="n">
        <x:v>-10698</x:v>
      </x:c>
      <x:c r="N222" s="38" t="n">
        <x:v>-11351.762338110128</x:v>
      </x:c>
      <x:c r="O222" s="38" t="n">
        <x:f>M222-N222</x:f>
        <x:v>653.7623381101275</x:v>
      </x:c>
      <x:c r="P222" s="16" t="str">
        <x:v>IFRS</x:v>
      </x:c>
    </x:row>
    <x:row r="223">
      <x:c r="A223" s="36" t="n">
        <x:v>46263</x:v>
      </x:c>
      <x:c r="B223" s="16" t="n">
        <x:v>35</x:v>
      </x:c>
      <x:c r="C223" s="16" t="str">
        <x:v>08 - August</x:v>
      </x:c>
      <x:c r="D223" s="16" t="str">
        <x:v>T3</x:v>
      </x:c>
      <x:c r="E223" s="16" t="n">
        <x:v>2026</x:v>
      </x:c>
      <x:c r="F223" s="16" t="str">
        <x:v>Filiale Nord</x:v>
      </x:c>
      <x:c r="G223" s="16" t="str">
        <x:v>645000</x:v>
      </x:c>
      <x:c r="H223" s="16" t="str">
        <x:v>Charges sociales</x:v>
      </x:c>
      <x:c r="I223" s="16" t="str">
        <x:v>Charge</x:v>
      </x:c>
      <x:c r="J223" s="16" t="str">
        <x:v>Prévision</x:v>
      </x:c>
      <x:c r="K223" s="18" t="n">
        <x:v>13498</x:v>
      </x:c>
      <x:c r="L223" s="18" t="n">
        <x:v>0</x:v>
      </x:c>
      <x:c r="M223" s="38" t="n">
        <x:v>-13498</x:v>
      </x:c>
      <x:c r="N223" s="38" t="n">
        <x:v>-12644.156393433404</x:v>
      </x:c>
      <x:c r="O223" s="38" t="n">
        <x:f>M223-N223</x:f>
        <x:v>-853.8436065665956</x:v>
      </x:c>
      <x:c r="P223" s="16" t="str">
        <x:v>Management</x:v>
      </x:c>
    </x:row>
    <x:row r="224">
      <x:c r="A224" s="36" t="n">
        <x:v>46175</x:v>
      </x:c>
      <x:c r="B224" s="16" t="n">
        <x:v>23</x:v>
      </x:c>
      <x:c r="C224" s="16" t="str">
        <x:v>06 - June</x:v>
      </x:c>
      <x:c r="D224" s="16" t="str">
        <x:v>T2</x:v>
      </x:c>
      <x:c r="E224" s="16" t="n">
        <x:v>2026</x:v>
      </x:c>
      <x:c r="F224" s="16" t="str">
        <x:v>Groupe</x:v>
      </x:c>
      <x:c r="G224" s="16" t="str">
        <x:v>645000</x:v>
      </x:c>
      <x:c r="H224" s="16" t="str">
        <x:v>Charges sociales</x:v>
      </x:c>
      <x:c r="I224" s="16" t="str">
        <x:v>Charge</x:v>
      </x:c>
      <x:c r="J224" s="16" t="str">
        <x:v>Clôturé</x:v>
      </x:c>
      <x:c r="K224" s="18" t="n">
        <x:v>9070</x:v>
      </x:c>
      <x:c r="L224" s="18" t="n">
        <x:v>0</x:v>
      </x:c>
      <x:c r="M224" s="38" t="n">
        <x:v>-9070</x:v>
      </x:c>
      <x:c r="N224" s="38" t="n">
        <x:v>-9750.196145689464</x:v>
      </x:c>
      <x:c r="O224" s="38" t="n">
        <x:f>M224-N224</x:f>
        <x:v>680.1961456894642</x:v>
      </x:c>
      <x:c r="P224" s="16" t="str">
        <x:v>PCG</x:v>
      </x:c>
    </x:row>
    <x:row r="225">
      <x:c r="A225" s="36" t="n">
        <x:v>46132</x:v>
      </x:c>
      <x:c r="B225" s="16" t="n">
        <x:v>17</x:v>
      </x:c>
      <x:c r="C225" s="16" t="str">
        <x:v>04 - April</x:v>
      </x:c>
      <x:c r="D225" s="16" t="str">
        <x:v>T2</x:v>
      </x:c>
      <x:c r="E225" s="16" t="n">
        <x:v>2026</x:v>
      </x:c>
      <x:c r="F225" s="16" t="str">
        <x:v>Filiale Sud</x:v>
      </x:c>
      <x:c r="G225" s="16" t="str">
        <x:v>645000</x:v>
      </x:c>
      <x:c r="H225" s="16" t="str">
        <x:v>Charges sociales</x:v>
      </x:c>
      <x:c r="I225" s="16" t="str">
        <x:v>Charge</x:v>
      </x:c>
      <x:c r="J225" s="16" t="str">
        <x:v>Clôturé</x:v>
      </x:c>
      <x:c r="K225" s="18" t="n">
        <x:v>6543</x:v>
      </x:c>
      <x:c r="L225" s="18" t="n">
        <x:v>0</x:v>
      </x:c>
      <x:c r="M225" s="38" t="n">
        <x:v>-6543</x:v>
      </x:c>
      <x:c r="N225" s="38" t="n">
        <x:v>-6967.337490861111</x:v>
      </x:c>
      <x:c r="O225" s="38" t="n">
        <x:f>M225-N225</x:f>
        <x:v>424.3374908611113</x:v>
      </x:c>
      <x:c r="P225" s="16" t="str">
        <x:v>PCG</x:v>
      </x:c>
    </x:row>
    <x:row r="226">
      <x:c r="A226" s="36" t="n">
        <x:v>46279</x:v>
      </x:c>
      <x:c r="B226" s="16" t="n">
        <x:v>38</x:v>
      </x:c>
      <x:c r="C226" s="16" t="str">
        <x:v>09 - September</x:v>
      </x:c>
      <x:c r="D226" s="16" t="str">
        <x:v>T3</x:v>
      </x:c>
      <x:c r="E226" s="16" t="n">
        <x:v>2026</x:v>
      </x:c>
      <x:c r="F226" s="16" t="str">
        <x:v>Filiale Sud</x:v>
      </x:c>
      <x:c r="G226" s="16" t="str">
        <x:v>706000</x:v>
      </x:c>
      <x:c r="H226" s="16" t="str">
        <x:v>Prestations de services</x:v>
      </x:c>
      <x:c r="I226" s="16" t="str">
        <x:v>Produit</x:v>
      </x:c>
      <x:c r="J226" s="16" t="str">
        <x:v>Prévision</x:v>
      </x:c>
      <x:c r="K226" s="18" t="n">
        <x:v>0</x:v>
      </x:c>
      <x:c r="L226" s="18" t="n">
        <x:v>30542</x:v>
      </x:c>
      <x:c r="M226" s="38" t="n">
        <x:v>30542</x:v>
      </x:c>
      <x:c r="N226" s="38" t="n">
        <x:v>29864.838226544158</x:v>
      </x:c>
      <x:c r="O226" s="38" t="n">
        <x:f>M226-N226</x:f>
        <x:v>677.1617734558422</x:v>
      </x:c>
      <x:c r="P226" s="16" t="str">
        <x:v>Management</x:v>
      </x:c>
    </x:row>
    <x:row r="227">
      <x:c r="A227" s="36" t="n">
        <x:v>46145</x:v>
      </x:c>
      <x:c r="B227" s="16" t="n">
        <x:v>18</x:v>
      </x:c>
      <x:c r="C227" s="16" t="str">
        <x:v>05 - May</x:v>
      </x:c>
      <x:c r="D227" s="16" t="str">
        <x:v>T2</x:v>
      </x:c>
      <x:c r="E227" s="16" t="n">
        <x:v>2026</x:v>
      </x:c>
      <x:c r="F227" s="16" t="str">
        <x:v>Groupe</x:v>
      </x:c>
      <x:c r="G227" s="16" t="str">
        <x:v>613000</x:v>
      </x:c>
      <x:c r="H227" s="16" t="str">
        <x:v>Loyers</x:v>
      </x:c>
      <x:c r="I227" s="16" t="str">
        <x:v>Charge</x:v>
      </x:c>
      <x:c r="J227" s="16" t="str">
        <x:v>Prévision</x:v>
      </x:c>
      <x:c r="K227" s="18" t="n">
        <x:v>16609</x:v>
      </x:c>
      <x:c r="L227" s="18" t="n">
        <x:v>0</x:v>
      </x:c>
      <x:c r="M227" s="38" t="n">
        <x:v>-16609</x:v>
      </x:c>
      <x:c r="N227" s="38" t="n">
        <x:v>-16087.429461666929</x:v>
      </x:c>
      <x:c r="O227" s="38" t="n">
        <x:f>M227-N227</x:f>
        <x:v>-521.5705383330715</x:v>
      </x:c>
      <x:c r="P227" s="16" t="str">
        <x:v>Management</x:v>
      </x:c>
    </x:row>
    <x:row r="228">
      <x:c r="A228" s="36" t="n">
        <x:v>46032</x:v>
      </x:c>
      <x:c r="B228" s="16" t="n">
        <x:v>2</x:v>
      </x:c>
      <x:c r="C228" s="16" t="str">
        <x:v>01 - January</x:v>
      </x:c>
      <x:c r="D228" s="16" t="str">
        <x:v>T1</x:v>
      </x:c>
      <x:c r="E228" s="16" t="n">
        <x:v>2026</x:v>
      </x:c>
      <x:c r="F228" s="16" t="str">
        <x:v>Filiale Nord</x:v>
      </x:c>
      <x:c r="G228" s="16" t="str">
        <x:v>706000</x:v>
      </x:c>
      <x:c r="H228" s="16" t="str">
        <x:v>Prestations de services</x:v>
      </x:c>
      <x:c r="I228" s="16" t="str">
        <x:v>Produit</x:v>
      </x:c>
      <x:c r="J228" s="16" t="str">
        <x:v>Prévision</x:v>
      </x:c>
      <x:c r="K228" s="18" t="n">
        <x:v>0</x:v>
      </x:c>
      <x:c r="L228" s="18" t="n">
        <x:v>28006</x:v>
      </x:c>
      <x:c r="M228" s="38" t="n">
        <x:v>28006</x:v>
      </x:c>
      <x:c r="N228" s="38" t="n">
        <x:v>27477.22027675808</x:v>
      </x:c>
      <x:c r="O228" s="38" t="n">
        <x:f>M228-N228</x:f>
        <x:v>528.7797232419216</x:v>
      </x:c>
      <x:c r="P228" s="16" t="str">
        <x:v>IFRS</x:v>
      </x:c>
    </x:row>
    <x:row r="229">
      <x:c r="A229" s="36" t="n">
        <x:v>46375</x:v>
      </x:c>
      <x:c r="B229" s="16" t="n">
        <x:v>51</x:v>
      </x:c>
      <x:c r="C229" s="16" t="str">
        <x:v>12 - December</x:v>
      </x:c>
      <x:c r="D229" s="16" t="str">
        <x:v>T4</x:v>
      </x:c>
      <x:c r="E229" s="16" t="n">
        <x:v>2026</x:v>
      </x:c>
      <x:c r="F229" s="16" t="str">
        <x:v>Groupe</x:v>
      </x:c>
      <x:c r="G229" s="16" t="str">
        <x:v>615000</x:v>
      </x:c>
      <x:c r="H229" s="16" t="str">
        <x:v>Maintenance</x:v>
      </x:c>
      <x:c r="I229" s="16" t="str">
        <x:v>Charge</x:v>
      </x:c>
      <x:c r="J229" s="16" t="str">
        <x:v>Clôturé</x:v>
      </x:c>
      <x:c r="K229" s="18" t="n">
        <x:v>2312</x:v>
      </x:c>
      <x:c r="L229" s="18" t="n">
        <x:v>0</x:v>
      </x:c>
      <x:c r="M229" s="38" t="n">
        <x:v>-2312</x:v>
      </x:c>
      <x:c r="N229" s="38" t="n">
        <x:v>-2483.668318906882</x:v>
      </x:c>
      <x:c r="O229" s="38" t="n">
        <x:f>M229-N229</x:f>
        <x:v>171.66831890688218</x:v>
      </x:c>
      <x:c r="P229" s="16" t="str">
        <x:v>IFRS</x:v>
      </x:c>
    </x:row>
    <x:row r="230">
      <x:c r="A230" s="36" t="n">
        <x:v>46308</x:v>
      </x:c>
      <x:c r="B230" s="16" t="n">
        <x:v>42</x:v>
      </x:c>
      <x:c r="C230" s="16" t="str">
        <x:v>10 - October</x:v>
      </x:c>
      <x:c r="D230" s="16" t="str">
        <x:v>T4</x:v>
      </x:c>
      <x:c r="E230" s="16" t="n">
        <x:v>2026</x:v>
      </x:c>
      <x:c r="F230" s="16" t="str">
        <x:v>Filiale Nord</x:v>
      </x:c>
      <x:c r="G230" s="16" t="str">
        <x:v>645000</x:v>
      </x:c>
      <x:c r="H230" s="16" t="str">
        <x:v>Charges sociales</x:v>
      </x:c>
      <x:c r="I230" s="16" t="str">
        <x:v>Charge</x:v>
      </x:c>
      <x:c r="J230" s="16" t="str">
        <x:v>Prévision</x:v>
      </x:c>
      <x:c r="K230" s="18" t="n">
        <x:v>16851</x:v>
      </x:c>
      <x:c r="L230" s="18" t="n">
        <x:v>0</x:v>
      </x:c>
      <x:c r="M230" s="38" t="n">
        <x:v>-16851</x:v>
      </x:c>
      <x:c r="N230" s="38" t="n">
        <x:v>-16984.01016598944</x:v>
      </x:c>
      <x:c r="O230" s="38" t="n">
        <x:f>M230-N230</x:f>
        <x:v>133.01016598943897</x:v>
      </x:c>
      <x:c r="P230" s="16" t="str">
        <x:v>Management</x:v>
      </x:c>
    </x:row>
    <x:row r="231">
      <x:c r="A231" s="36" t="n">
        <x:v>46164</x:v>
      </x:c>
      <x:c r="B231" s="16" t="n">
        <x:v>21</x:v>
      </x:c>
      <x:c r="C231" s="16" t="str">
        <x:v>05 - May</x:v>
      </x:c>
      <x:c r="D231" s="16" t="str">
        <x:v>T2</x:v>
      </x:c>
      <x:c r="E231" s="16" t="n">
        <x:v>2026</x:v>
      </x:c>
      <x:c r="F231" s="16" t="str">
        <x:v>Filiale Sud</x:v>
      </x:c>
      <x:c r="G231" s="16" t="str">
        <x:v>706000</x:v>
      </x:c>
      <x:c r="H231" s="16" t="str">
        <x:v>Prestations de services</x:v>
      </x:c>
      <x:c r="I231" s="16" t="str">
        <x:v>Produit</x:v>
      </x:c>
      <x:c r="J231" s="16" t="str">
        <x:v>Prévision</x:v>
      </x:c>
      <x:c r="K231" s="18" t="n">
        <x:v>0</x:v>
      </x:c>
      <x:c r="L231" s="18" t="n">
        <x:v>11556</x:v>
      </x:c>
      <x:c r="M231" s="38" t="n">
        <x:v>11556</x:v>
      </x:c>
      <x:c r="N231" s="38" t="n">
        <x:v>12165.279165710008</x:v>
      </x:c>
      <x:c r="O231" s="38" t="n">
        <x:f>M231-N231</x:f>
        <x:v>-609.2791657100079</x:v>
      </x:c>
      <x:c r="P231" s="16" t="str">
        <x:v>IFRS</x:v>
      </x:c>
    </x:row>
    <x:row r="232">
      <x:c r="A232" s="36" t="n">
        <x:v>46324</x:v>
      </x:c>
      <x:c r="B232" s="16" t="n">
        <x:v>44</x:v>
      </x:c>
      <x:c r="C232" s="16" t="str">
        <x:v>10 - October</x:v>
      </x:c>
      <x:c r="D232" s="16" t="str">
        <x:v>T4</x:v>
      </x:c>
      <x:c r="E232" s="16" t="n">
        <x:v>2026</x:v>
      </x:c>
      <x:c r="F232" s="16" t="str">
        <x:v>Groupe</x:v>
      </x:c>
      <x:c r="G232" s="16" t="str">
        <x:v>706000</x:v>
      </x:c>
      <x:c r="H232" s="16" t="str">
        <x:v>Prestations de services</x:v>
      </x:c>
      <x:c r="I232" s="16" t="str">
        <x:v>Produit</x:v>
      </x:c>
      <x:c r="J232" s="16" t="str">
        <x:v>Clôturé</x:v>
      </x:c>
      <x:c r="K232" s="18" t="n">
        <x:v>0</x:v>
      </x:c>
      <x:c r="L232" s="18" t="n">
        <x:v>16397</x:v>
      </x:c>
      <x:c r="M232" s="38" t="n">
        <x:v>16397</x:v>
      </x:c>
      <x:c r="N232" s="38" t="n">
        <x:v>15386.608079811067</x:v>
      </x:c>
      <x:c r="O232" s="38" t="n">
        <x:f>M232-N232</x:f>
        <x:v>1010.391920188933</x:v>
      </x:c>
      <x:c r="P232" s="16" t="str">
        <x:v>Management</x:v>
      </x:c>
    </x:row>
    <x:row r="233">
      <x:c r="A233" s="36" t="n">
        <x:v>46242</x:v>
      </x:c>
      <x:c r="B233" s="16" t="n">
        <x:v>32</x:v>
      </x:c>
      <x:c r="C233" s="16" t="str">
        <x:v>08 - August</x:v>
      </x:c>
      <x:c r="D233" s="16" t="str">
        <x:v>T3</x:v>
      </x:c>
      <x:c r="E233" s="16" t="n">
        <x:v>2026</x:v>
      </x:c>
      <x:c r="F233" s="16" t="str">
        <x:v>Filiale Nord</x:v>
      </x:c>
      <x:c r="G233" s="16" t="str">
        <x:v>615000</x:v>
      </x:c>
      <x:c r="H233" s="16" t="str">
        <x:v>Maintenance</x:v>
      </x:c>
      <x:c r="I233" s="16" t="str">
        <x:v>Charge</x:v>
      </x:c>
      <x:c r="J233" s="16" t="str">
        <x:v>Prévision</x:v>
      </x:c>
      <x:c r="K233" s="18" t="n">
        <x:v>6246</x:v>
      </x:c>
      <x:c r="L233" s="18" t="n">
        <x:v>0</x:v>
      </x:c>
      <x:c r="M233" s="38" t="n">
        <x:v>-6246</x:v>
      </x:c>
      <x:c r="N233" s="38" t="n">
        <x:v>-5758.637479574215</x:v>
      </x:c>
      <x:c r="O233" s="38" t="n">
        <x:f>M233-N233</x:f>
        <x:v>-487.3625204257851</x:v>
      </x:c>
      <x:c r="P233" s="16" t="str">
        <x:v>PCG</x:v>
      </x:c>
    </x:row>
    <x:row r="234">
      <x:c r="A234" s="36" t="n">
        <x:v>46374</x:v>
      </x:c>
      <x:c r="B234" s="16" t="n">
        <x:v>51</x:v>
      </x:c>
      <x:c r="C234" s="16" t="str">
        <x:v>12 - December</x:v>
      </x:c>
      <x:c r="D234" s="16" t="str">
        <x:v>T4</x:v>
      </x:c>
      <x:c r="E234" s="16" t="n">
        <x:v>2026</x:v>
      </x:c>
      <x:c r="F234" s="16" t="str">
        <x:v>Filiale Sud</x:v>
      </x:c>
      <x:c r="G234" s="16" t="str">
        <x:v>607000</x:v>
      </x:c>
      <x:c r="H234" s="16" t="str">
        <x:v>Achats de marchandises</x:v>
      </x:c>
      <x:c r="I234" s="16" t="str">
        <x:v>Charge</x:v>
      </x:c>
      <x:c r="J234" s="16" t="str">
        <x:v>Prévision</x:v>
      </x:c>
      <x:c r="K234" s="18" t="n">
        <x:v>9026</x:v>
      </x:c>
      <x:c r="L234" s="18" t="n">
        <x:v>0</x:v>
      </x:c>
      <x:c r="M234" s="38" t="n">
        <x:v>-9026</x:v>
      </x:c>
      <x:c r="N234" s="38" t="n">
        <x:v>-9830.749815880894</x:v>
      </x:c>
      <x:c r="O234" s="38" t="n">
        <x:f>M234-N234</x:f>
        <x:v>804.749815880894</x:v>
      </x:c>
      <x:c r="P234" s="16" t="str">
        <x:v>Management</x:v>
      </x:c>
    </x:row>
    <x:row r="235">
      <x:c r="A235" s="36" t="n">
        <x:v>46300</x:v>
      </x:c>
      <x:c r="B235" s="16" t="n">
        <x:v>41</x:v>
      </x:c>
      <x:c r="C235" s="16" t="str">
        <x:v>10 - October</x:v>
      </x:c>
      <x:c r="D235" s="16" t="str">
        <x:v>T4</x:v>
      </x:c>
      <x:c r="E235" s="16" t="n">
        <x:v>2026</x:v>
      </x:c>
      <x:c r="F235" s="16" t="str">
        <x:v>Filiale Nord</x:v>
      </x:c>
      <x:c r="G235" s="16" t="str">
        <x:v>645000</x:v>
      </x:c>
      <x:c r="H235" s="16" t="str">
        <x:v>Charges sociales</x:v>
      </x:c>
      <x:c r="I235" s="16" t="str">
        <x:v>Charge</x:v>
      </x:c>
      <x:c r="J235" s="16" t="str">
        <x:v>Clôturé</x:v>
      </x:c>
      <x:c r="K235" s="18" t="n">
        <x:v>3441</x:v>
      </x:c>
      <x:c r="L235" s="18" t="n">
        <x:v>0</x:v>
      </x:c>
      <x:c r="M235" s="38" t="n">
        <x:v>-3441</x:v>
      </x:c>
      <x:c r="N235" s="38" t="n">
        <x:v>-3509.5446051153663</x:v>
      </x:c>
      <x:c r="O235" s="38" t="n">
        <x:f>M235-N235</x:f>
        <x:v>68.54460511536627</x:v>
      </x:c>
      <x:c r="P235" s="16" t="str">
        <x:v>PCG</x:v>
      </x:c>
    </x:row>
    <x:row r="236">
      <x:c r="A236" s="36" t="n">
        <x:v>46229</x:v>
      </x:c>
      <x:c r="B236" s="16" t="n">
        <x:v>30</x:v>
      </x:c>
      <x:c r="C236" s="16" t="str">
        <x:v>07 - July</x:v>
      </x:c>
      <x:c r="D236" s="16" t="str">
        <x:v>T3</x:v>
      </x:c>
      <x:c r="E236" s="16" t="n">
        <x:v>2026</x:v>
      </x:c>
      <x:c r="F236" s="16" t="str">
        <x:v>Filiale Sud</x:v>
      </x:c>
      <x:c r="G236" s="16" t="str">
        <x:v>613000</x:v>
      </x:c>
      <x:c r="H236" s="16" t="str">
        <x:v>Loyers</x:v>
      </x:c>
      <x:c r="I236" s="16" t="str">
        <x:v>Charge</x:v>
      </x:c>
      <x:c r="J236" s="16" t="str">
        <x:v>Réalisé</x:v>
      </x:c>
      <x:c r="K236" s="18" t="n">
        <x:v>12376</x:v>
      </x:c>
      <x:c r="L236" s="18" t="n">
        <x:v>0</x:v>
      </x:c>
      <x:c r="M236" s="38" t="n">
        <x:v>-12376</x:v>
      </x:c>
      <x:c r="N236" s="38" t="n">
        <x:v>-12946.937163428664</x:v>
      </x:c>
      <x:c r="O236" s="38" t="n">
        <x:f>M236-N236</x:f>
        <x:v>570.9371634286636</x:v>
      </x:c>
      <x:c r="P236" s="16" t="str">
        <x:v>IFRS</x:v>
      </x:c>
    </x:row>
    <x:row r="237">
      <x:c r="A237" s="36" t="n">
        <x:v>46198</x:v>
      </x:c>
      <x:c r="B237" s="16" t="n">
        <x:v>26</x:v>
      </x:c>
      <x:c r="C237" s="16" t="str">
        <x:v>06 - June</x:v>
      </x:c>
      <x:c r="D237" s="16" t="str">
        <x:v>T2</x:v>
      </x:c>
      <x:c r="E237" s="16" t="n">
        <x:v>2026</x:v>
      </x:c>
      <x:c r="F237" s="16" t="str">
        <x:v>Filiale Sud</x:v>
      </x:c>
      <x:c r="G237" s="16" t="str">
        <x:v>645000</x:v>
      </x:c>
      <x:c r="H237" s="16" t="str">
        <x:v>Charges sociales</x:v>
      </x:c>
      <x:c r="I237" s="16" t="str">
        <x:v>Charge</x:v>
      </x:c>
      <x:c r="J237" s="16" t="str">
        <x:v>Prévision</x:v>
      </x:c>
      <x:c r="K237" s="18" t="n">
        <x:v>5175</x:v>
      </x:c>
      <x:c r="L237" s="18" t="n">
        <x:v>0</x:v>
      </x:c>
      <x:c r="M237" s="38" t="n">
        <x:v>-5175</x:v>
      </x:c>
      <x:c r="N237" s="38" t="n">
        <x:v>-5678.779062716653</x:v>
      </x:c>
      <x:c r="O237" s="38" t="n">
        <x:f>M237-N237</x:f>
        <x:v>503.77906271665324</x:v>
      </x:c>
      <x:c r="P237" s="16" t="str">
        <x:v>PCG</x:v>
      </x:c>
    </x:row>
    <x:row r="238">
      <x:c r="A238" s="36" t="n">
        <x:v>46361</x:v>
      </x:c>
      <x:c r="B238" s="16" t="n">
        <x:v>49</x:v>
      </x:c>
      <x:c r="C238" s="16" t="str">
        <x:v>12 - December</x:v>
      </x:c>
      <x:c r="D238" s="16" t="str">
        <x:v>T4</x:v>
      </x:c>
      <x:c r="E238" s="16" t="n">
        <x:v>2026</x:v>
      </x:c>
      <x:c r="F238" s="16" t="str">
        <x:v>Groupe</x:v>
      </x:c>
      <x:c r="G238" s="16" t="str">
        <x:v>607000</x:v>
      </x:c>
      <x:c r="H238" s="16" t="str">
        <x:v>Achats de marchandises</x:v>
      </x:c>
      <x:c r="I238" s="16" t="str">
        <x:v>Charge</x:v>
      </x:c>
      <x:c r="J238" s="16" t="str">
        <x:v>Clôturé</x:v>
      </x:c>
      <x:c r="K238" s="18" t="n">
        <x:v>7100</x:v>
      </x:c>
      <x:c r="L238" s="18" t="n">
        <x:v>0</x:v>
      </x:c>
      <x:c r="M238" s="38" t="n">
        <x:v>-7100</x:v>
      </x:c>
      <x:c r="N238" s="38" t="n">
        <x:v>-6433.51340560211</x:v>
      </x:c>
      <x:c r="O238" s="38" t="n">
        <x:f>M238-N238</x:f>
        <x:v>-666.4865943978903</x:v>
      </x:c>
      <x:c r="P238" s="16" t="str">
        <x:v>Management</x:v>
      </x:c>
    </x:row>
    <x:row r="239">
      <x:c r="A239" s="36" t="n">
        <x:v>46033</x:v>
      </x:c>
      <x:c r="B239" s="16" t="n">
        <x:v>2</x:v>
      </x:c>
      <x:c r="C239" s="16" t="str">
        <x:v>01 - January</x:v>
      </x:c>
      <x:c r="D239" s="16" t="str">
        <x:v>T1</x:v>
      </x:c>
      <x:c r="E239" s="16" t="n">
        <x:v>2026</x:v>
      </x:c>
      <x:c r="F239" s="16" t="str">
        <x:v>Filiale Sud</x:v>
      </x:c>
      <x:c r="G239" s="16" t="str">
        <x:v>607000</x:v>
      </x:c>
      <x:c r="H239" s="16" t="str">
        <x:v>Achats de marchandises</x:v>
      </x:c>
      <x:c r="I239" s="16" t="str">
        <x:v>Charge</x:v>
      </x:c>
      <x:c r="J239" s="16" t="str">
        <x:v>Prévision</x:v>
      </x:c>
      <x:c r="K239" s="18" t="n">
        <x:v>9414</x:v>
      </x:c>
      <x:c r="L239" s="18" t="n">
        <x:v>0</x:v>
      </x:c>
      <x:c r="M239" s="38" t="n">
        <x:v>-9414</x:v>
      </x:c>
      <x:c r="N239" s="38" t="n">
        <x:v>-10071.062851940424</x:v>
      </x:c>
      <x:c r="O239" s="38" t="n">
        <x:f>M239-N239</x:f>
        <x:v>657.0628519404236</x:v>
      </x:c>
      <x:c r="P239" s="16" t="str">
        <x:v>PCG</x:v>
      </x:c>
    </x:row>
    <x:row r="240">
      <x:c r="A240" s="36" t="n">
        <x:v>46226</x:v>
      </x:c>
      <x:c r="B240" s="16" t="n">
        <x:v>30</x:v>
      </x:c>
      <x:c r="C240" s="16" t="str">
        <x:v>07 - July</x:v>
      </x:c>
      <x:c r="D240" s="16" t="str">
        <x:v>T3</x:v>
      </x:c>
      <x:c r="E240" s="16" t="n">
        <x:v>2026</x:v>
      </x:c>
      <x:c r="F240" s="16" t="str">
        <x:v>Filiale Nord</x:v>
      </x:c>
      <x:c r="G240" s="16" t="str">
        <x:v>706000</x:v>
      </x:c>
      <x:c r="H240" s="16" t="str">
        <x:v>Prestations de services</x:v>
      </x:c>
      <x:c r="I240" s="16" t="str">
        <x:v>Produit</x:v>
      </x:c>
      <x:c r="J240" s="16" t="str">
        <x:v>Réalisé</x:v>
      </x:c>
      <x:c r="K240" s="18" t="n">
        <x:v>0</x:v>
      </x:c>
      <x:c r="L240" s="18" t="n">
        <x:v>24889</x:v>
      </x:c>
      <x:c r="M240" s="38" t="n">
        <x:v>24889</x:v>
      </x:c>
      <x:c r="N240" s="38" t="n">
        <x:v>25671.2725773397</x:v>
      </x:c>
      <x:c r="O240" s="38" t="n">
        <x:f>M240-N240</x:f>
        <x:v>-782.2725773396996</x:v>
      </x:c>
      <x:c r="P240" s="16" t="str">
        <x:v>Management</x:v>
      </x:c>
    </x:row>
    <x:row r="241">
      <x:c r="A241" s="36" t="n">
        <x:v>46053</x:v>
      </x:c>
      <x:c r="B241" s="16" t="n">
        <x:v>5</x:v>
      </x:c>
      <x:c r="C241" s="16" t="str">
        <x:v>01 - January</x:v>
      </x:c>
      <x:c r="D241" s="16" t="str">
        <x:v>T1</x:v>
      </x:c>
      <x:c r="E241" s="16" t="n">
        <x:v>2026</x:v>
      </x:c>
      <x:c r="F241" s="16" t="str">
        <x:v>Filiale Nord</x:v>
      </x:c>
      <x:c r="G241" s="16" t="str">
        <x:v>706000</x:v>
      </x:c>
      <x:c r="H241" s="16" t="str">
        <x:v>Prestations de services</x:v>
      </x:c>
      <x:c r="I241" s="16" t="str">
        <x:v>Produit</x:v>
      </x:c>
      <x:c r="J241" s="16" t="str">
        <x:v>Clôturé</x:v>
      </x:c>
      <x:c r="K241" s="18" t="n">
        <x:v>0</x:v>
      </x:c>
      <x:c r="L241" s="18" t="n">
        <x:v>25832</x:v>
      </x:c>
      <x:c r="M241" s="38" t="n">
        <x:v>25832</x:v>
      </x:c>
      <x:c r="N241" s="38" t="n">
        <x:v>27842.645788935082</x:v>
      </x:c>
      <x:c r="O241" s="38" t="n">
        <x:f>M241-N241</x:f>
        <x:v>-2010.6457889350822</x:v>
      </x:c>
      <x:c r="P241" s="16" t="str">
        <x:v>IFRS</x:v>
      </x:c>
    </x:row>
    <x:row r="242">
      <x:c r="A242" s="36" t="n">
        <x:v>46075</x:v>
      </x:c>
      <x:c r="B242" s="16" t="n">
        <x:v>8</x:v>
      </x:c>
      <x:c r="C242" s="16" t="str">
        <x:v>02 - February</x:v>
      </x:c>
      <x:c r="D242" s="16" t="str">
        <x:v>T1</x:v>
      </x:c>
      <x:c r="E242" s="16" t="n">
        <x:v>2026</x:v>
      </x:c>
      <x:c r="F242" s="16" t="str">
        <x:v>Filiale Nord</x:v>
      </x:c>
      <x:c r="G242" s="16" t="str">
        <x:v>645000</x:v>
      </x:c>
      <x:c r="H242" s="16" t="str">
        <x:v>Charges sociales</x:v>
      </x:c>
      <x:c r="I242" s="16" t="str">
        <x:v>Charge</x:v>
      </x:c>
      <x:c r="J242" s="16" t="str">
        <x:v>Clôturé</x:v>
      </x:c>
      <x:c r="K242" s="18" t="n">
        <x:v>15430</x:v>
      </x:c>
      <x:c r="L242" s="18" t="n">
        <x:v>0</x:v>
      </x:c>
      <x:c r="M242" s="38" t="n">
        <x:v>-15430</x:v>
      </x:c>
      <x:c r="N242" s="38" t="n">
        <x:v>-16726.854802659836</x:v>
      </x:c>
      <x:c r="O242" s="38" t="n">
        <x:f>M242-N242</x:f>
        <x:v>1296.8548026598364</x:v>
      </x:c>
      <x:c r="P242" s="16" t="str">
        <x:v>IFRS</x:v>
      </x:c>
    </x:row>
    <x:row r="243">
      <x:c r="A243" s="36" t="n">
        <x:v>46181</x:v>
      </x:c>
      <x:c r="B243" s="16" t="n">
        <x:v>24</x:v>
      </x:c>
      <x:c r="C243" s="16" t="str">
        <x:v>06 - June</x:v>
      </x:c>
      <x:c r="D243" s="16" t="str">
        <x:v>T2</x:v>
      </x:c>
      <x:c r="E243" s="16" t="n">
        <x:v>2026</x:v>
      </x:c>
      <x:c r="F243" s="16" t="str">
        <x:v>Filiale Sud</x:v>
      </x:c>
      <x:c r="G243" s="16" t="str">
        <x:v>627000</x:v>
      </x:c>
      <x:c r="H243" s="16" t="str">
        <x:v>Frais bancaires</x:v>
      </x:c>
      <x:c r="I243" s="16" t="str">
        <x:v>Charge</x:v>
      </x:c>
      <x:c r="J243" s="16" t="str">
        <x:v>Réalisé</x:v>
      </x:c>
      <x:c r="K243" s="18" t="n">
        <x:v>3457</x:v>
      </x:c>
      <x:c r="L243" s="18" t="n">
        <x:v>0</x:v>
      </x:c>
      <x:c r="M243" s="38" t="n">
        <x:v>-3457</x:v>
      </x:c>
      <x:c r="N243" s="38" t="n">
        <x:v>-3509.020889708381</x:v>
      </x:c>
      <x:c r="O243" s="38" t="n">
        <x:f>M243-N243</x:f>
        <x:v>52.02088970838122</x:v>
      </x:c>
      <x:c r="P243" s="16" t="str">
        <x:v>Management</x:v>
      </x:c>
    </x:row>
  </x:sheetData>
  <x:mergeCells>
    <x:mergeCell ref="A1:P1"/>
  </x:mergeCells>
  <x:conditionalFormatting sqref="O4:O243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dataValidations count="3">
    <x:dataValidation type="list" sqref="F4:F500">
      <x:formula1>"Groupe,Filiale Nord,Filiale Sud"</x:formula1>
    </x:dataValidation>
    <x:dataValidation type="list" sqref="J4:J500">
      <x:formula1>"Prévision,Réalisé,Clôturé"</x:formula1>
    </x:dataValidation>
    <x:dataValidation type="list" sqref="P4:P500">
      <x:formula1>"PCG,IFRS,Management"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ec7b5b1bb52c4512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42" t="str">
        <x:v>REPORTING COMPTABLE MENSUEL</x:v>
      </x:c>
      <x:c r="B1" s="42"/>
      <x:c r="C1" s="42"/>
      <x:c r="D1" s="42"/>
      <x:c r="E1" s="42"/>
      <x:c r="F1" s="42"/>
      <x:c r="G1" s="42"/>
      <x:c r="H1" s="42"/>
      <x:c r="I1" s="42"/>
      <x:c r="J1" s="42"/>
      <x:c r="K1" s="42"/>
      <x:c r="L1" s="42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608" t="str">
        <x:v>Suivi mensuel de la performance, des écarts et de la trésorerie</x:v>
      </x:c>
      <x:c r="B2" s="608"/>
      <x:c r="C2" s="608"/>
      <x:c r="D2" s="608"/>
      <x:c r="E2" s="608"/>
      <x:c r="F2" s="608"/>
      <x:c r="G2" s="608"/>
      <x:c r="H2" s="608"/>
      <x:c r="I2" s="608"/>
      <x:c r="J2" s="608"/>
      <x:c r="K2" s="608"/>
      <x:c r="L2" s="608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113" t="str">
        <x:v>Chiffre d'affaires</x:v>
      </x:c>
      <x:c r="B4" s="114"/>
      <x:c r="C4" s="147" t="str">
        <x:v>Charges</x:v>
      </x:c>
      <x:c r="D4" s="148"/>
      <x:c r="E4" s="153" t="str">
        <x:v>Résultat net</x:v>
      </x:c>
      <x:c r="F4" s="154"/>
      <x:c r="G4" s="159" t="str">
        <x:v>Marge nette</x:v>
      </x:c>
      <x:c r="H4" s="160"/>
      <x:c r="I4" s="165" t="str">
        <x:v>Trésorerie estimée</x:v>
      </x:c>
      <x:c r="J4" s="166"/>
      <x:c r="K4" s="171" t="str">
        <x:v>Écart budget</x:v>
      </x:c>
      <x:c r="L4" s="172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176" t="n">
        <x:f>SUMIFS('Données'!$M$4:$M$243,'Données'!$I$4:$I$243,"Produit",'Données'!$J$4:$J$243,"&lt;&gt;Prévision")</x:f>
        <x:v>912308</x:v>
      </x:c>
      <x:c r="B5" s="177"/>
      <x:c r="C5" s="176" t="n">
        <x:f>-SUMIFS('Données'!$M$4:$M$243,'Données'!$I$4:$I$243,"Charge",'Données'!$J$4:$J$243,"&lt;&gt;Prévision")</x:f>
        <x:v>1210649</x:v>
      </x:c>
      <x:c r="D5" s="177"/>
      <x:c r="E5" s="176" t="n">
        <x:f>A5-C5</x:f>
        <x:v>-298341</x:v>
      </x:c>
      <x:c r="F5" s="177"/>
      <x:c r="G5" s="184" t="n">
        <x:f>IFERROR(E5/A5,0)</x:f>
        <x:v>-0.3270178492351267</x:v>
      </x:c>
      <x:c r="H5" s="185"/>
      <x:c r="I5" s="176" t="n">
        <x:f>E5+'Paramètres'!$B$8</x:f>
        <x:v>-248341</x:v>
      </x:c>
      <x:c r="J5" s="177"/>
      <x:c r="K5" s="176" t="n">
        <x:f>SUM('Données'!$O$4:$O$243)</x:f>
        <x:v>-2226.292562321263</x:v>
      </x:c>
      <x:c r="L5" s="177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178"/>
      <x:c r="B6" s="179"/>
      <x:c r="C6" s="178"/>
      <x:c r="D6" s="179"/>
      <x:c r="E6" s="178"/>
      <x:c r="F6" s="179"/>
      <x:c r="G6" s="186"/>
      <x:c r="H6" s="187"/>
      <x:c r="I6" s="178"/>
      <x:c r="J6" s="179"/>
      <x:c r="K6" s="178"/>
      <x:c r="L6" s="179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590"/>
      <x:c r="B7" s="590"/>
      <x:c r="C7" s="590"/>
      <x:c r="D7" s="590"/>
      <x:c r="E7" s="590"/>
      <x:c r="F7" s="590"/>
      <x:c r="G7" s="590"/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284" t="str">
        <x:v>Période</x:v>
      </x:c>
      <x:c r="B8" s="284" t="str">
        <x:v>CA</x:v>
      </x:c>
      <x:c r="C8" s="284" t="str">
        <x:v>Charges</x:v>
      </x:c>
      <x:c r="D8" s="284" t="str">
        <x:v>Résultat</x:v>
      </x:c>
      <x:c r="E8" s="284" t="str">
        <x:v>Budget</x:v>
      </x:c>
      <x:c r="F8" s="284" t="str">
        <x:v>Écart</x:v>
      </x:c>
      <x:c r="G8" s="284" t="str">
        <x:v>Marge nette</x:v>
      </x:c>
      <x:c r="H8" s="590"/>
      <x:c r="I8" s="592" t="str">
        <x:v>Analyse et actions</x:v>
      </x:c>
      <x:c r="J8" s="592"/>
      <x:c r="K8" s="592"/>
      <x:c r="L8" s="592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590" t="str">
        <x:v>01</x:v>
      </x:c>
      <x:c r="B9" s="593" t="n">
        <x:f>SUMIFS('Données'!$M$4:$M$243,'Données'!$I$4:$I$243,"Produit",'Données'!$C$4:$C$243,"01 - January",'Données'!$J$4:$J$243,"&lt;&gt;Prévision")</x:f>
        <x:v>156284</x:v>
      </x:c>
      <x:c r="C9" s="593" t="n">
        <x:f>-SUMIFS('Données'!$M$4:$M$243,'Données'!$I$4:$I$243,"Charge",'Données'!$C$4:$C$243,"01 - January",'Données'!$J$4:$J$243,"&lt;&gt;Prévision")</x:f>
        <x:v>48337</x:v>
      </x:c>
      <x:c r="D9" s="593" t="n">
        <x:f>B9-C9</x:f>
        <x:v>107947</x:v>
      </x:c>
      <x:c r="E9" s="593" t="n">
        <x:f>SUMIFS('Données'!$N$4:$N$243,'Données'!$C$4:$C$243,"01 - January")</x:f>
        <x:v>170178.86820309726</x:v>
      </x:c>
      <x:c r="F9" s="593" t="n">
        <x:f>D9-E9</x:f>
        <x:v>-62231.868203097256</x:v>
      </x:c>
      <x:c r="G9" s="594" t="n">
        <x:f>IFERROR(D9/B9,0)</x:f>
        <x:v>0.6907105013948964</x:v>
      </x:c>
      <x:c r="H9" s="590"/>
      <x:c r="I9" s="609" t="str">
        <x:v>Indicateur</x:v>
      </x:c>
      <x:c r="J9" s="609" t="str">
        <x:v>Constat</x:v>
      </x:c>
      <x:c r="K9" s="609" t="str">
        <x:v>Action</x:v>
      </x:c>
      <x:c r="L9" s="609" t="str">
        <x:v>Responsable</x:v>
      </x:c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590" t="str">
        <x:v>02</x:v>
      </x:c>
      <x:c r="B10" s="593" t="n">
        <x:f>SUMIFS('Données'!$M$4:$M$243,'Données'!$I$4:$I$243,"Produit",'Données'!$C$4:$C$243,"02 - February",'Données'!$J$4:$J$243,"&lt;&gt;Prévision")</x:f>
        <x:v>0</x:v>
      </x:c>
      <x:c r="C10" s="593" t="n">
        <x:f>-SUMIFS('Données'!$M$4:$M$243,'Données'!$I$4:$I$243,"Charge",'Données'!$C$4:$C$243,"02 - February",'Données'!$J$4:$J$243,"&lt;&gt;Prévision")</x:f>
        <x:v>114970</x:v>
      </x:c>
      <x:c r="D10" s="593" t="n">
        <x:f>B10-C10</x:f>
        <x:v>-114970</x:v>
      </x:c>
      <x:c r="E10" s="593" t="n">
        <x:f>SUMIFS('Données'!$N$4:$N$243,'Données'!$C$4:$C$243,"02 - February")</x:f>
        <x:v>-132069.2461002683</x:v>
      </x:c>
      <x:c r="F10" s="593" t="n">
        <x:f>D10-E10</x:f>
        <x:v>17099.246100268298</x:v>
      </x:c>
      <x:c r="G10" s="594" t="n">
        <x:f>IFERROR(D10/B10,0)</x:f>
        <x:v>0</x:v>
      </x:c>
      <x:c r="H10" s="590"/>
      <x:c r="I10" s="590" t="str">
        <x:v>CA</x:v>
      </x:c>
      <x:c r="J10" s="601" t="str">
        <x:v>À commenter</x:v>
      </x:c>
      <x:c r="K10" s="601" t="str">
        <x:v>Plan commercial</x:v>
      </x:c>
      <x:c r="L10" s="601" t="str">
        <x:v>Direction</x:v>
      </x:c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590" t="str">
        <x:v>03</x:v>
      </x:c>
      <x:c r="B11" s="593" t="n">
        <x:f>SUMIFS('Données'!$M$4:$M$243,'Données'!$I$4:$I$243,"Produit",'Données'!$C$4:$C$243,"03 - March",'Données'!$J$4:$J$243,"&lt;&gt;Prévision")</x:f>
        <x:v>108580</x:v>
      </x:c>
      <x:c r="C11" s="593" t="n">
        <x:f>-SUMIFS('Données'!$M$4:$M$243,'Données'!$I$4:$I$243,"Charge",'Données'!$C$4:$C$243,"03 - March",'Données'!$J$4:$J$243,"&lt;&gt;Prévision")</x:f>
        <x:v>122573</x:v>
      </x:c>
      <x:c r="D11" s="593" t="n">
        <x:f>B11-C11</x:f>
        <x:v>-13993</x:v>
      </x:c>
      <x:c r="E11" s="593" t="n">
        <x:f>SUMIFS('Données'!$N$4:$N$243,'Données'!$C$4:$C$243,"03 - March")</x:f>
        <x:v>-41571.327354672234</x:v>
      </x:c>
      <x:c r="F11" s="593" t="n">
        <x:f>D11-E11</x:f>
        <x:v>27578.327354672234</x:v>
      </x:c>
      <x:c r="G11" s="594" t="n">
        <x:f>IFERROR(D11/B11,0)</x:f>
        <x:v>-0.12887272057469149</x:v>
      </x:c>
      <x:c r="H11" s="590"/>
      <x:c r="I11" s="590" t="str">
        <x:v>Marge</x:v>
      </x:c>
      <x:c r="J11" s="601" t="str">
        <x:v>À commenter</x:v>
      </x:c>
      <x:c r="K11" s="601" t="str">
        <x:v>Revue prix/achats</x:v>
      </x:c>
      <x:c r="L11" s="601" t="str">
        <x:v>DAF</x:v>
      </x:c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 t="str">
        <x:v>04</x:v>
      </x:c>
      <x:c r="B12" s="593" t="n">
        <x:f>SUMIFS('Données'!$M$4:$M$243,'Données'!$I$4:$I$243,"Produit",'Données'!$C$4:$C$243,"04 - April",'Données'!$J$4:$J$243,"&lt;&gt;Prévision")</x:f>
        <x:v>31960</x:v>
      </x:c>
      <x:c r="C12" s="593" t="n">
        <x:f>-SUMIFS('Données'!$M$4:$M$243,'Données'!$I$4:$I$243,"Charge",'Données'!$C$4:$C$243,"04 - April",'Données'!$J$4:$J$243,"&lt;&gt;Prévision")</x:f>
        <x:v>113368</x:v>
      </x:c>
      <x:c r="D12" s="593" t="n">
        <x:f>B12-C12</x:f>
        <x:v>-81408</x:v>
      </x:c>
      <x:c r="E12" s="593" t="n">
        <x:f>SUMIFS('Données'!$N$4:$N$243,'Données'!$C$4:$C$243,"04 - April")</x:f>
        <x:v>-121590.75904972896</x:v>
      </x:c>
      <x:c r="F12" s="593" t="n">
        <x:f>D12-E12</x:f>
        <x:v>40182.759049728964</x:v>
      </x:c>
      <x:c r="G12" s="594" t="n">
        <x:f>IFERROR(D12/B12,0)</x:f>
        <x:v>-2.5471839799749687</x:v>
      </x:c>
      <x:c r="H12" s="590"/>
      <x:c r="I12" s="590" t="str">
        <x:v>Trésorerie</x:v>
      </x:c>
      <x:c r="J12" s="601" t="str">
        <x:v>À commenter</x:v>
      </x:c>
      <x:c r="K12" s="601" t="str">
        <x:v>Plan de cash</x:v>
      </x:c>
      <x:c r="L12" s="601" t="str">
        <x:v>Trésorier</x:v>
      </x:c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 t="str">
        <x:v>05</x:v>
      </x:c>
      <x:c r="B13" s="593" t="n">
        <x:f>SUMIFS('Données'!$M$4:$M$243,'Données'!$I$4:$I$243,"Produit",'Données'!$C$4:$C$243,"05 - May",'Données'!$J$4:$J$243,"&lt;&gt;Prévision")</x:f>
        <x:v>76048</x:v>
      </x:c>
      <x:c r="C13" s="593" t="n">
        <x:f>-SUMIFS('Données'!$M$4:$M$243,'Données'!$I$4:$I$243,"Charge",'Données'!$C$4:$C$243,"05 - May",'Données'!$J$4:$J$243,"&lt;&gt;Prévision")</x:f>
        <x:v>91252</x:v>
      </x:c>
      <x:c r="D13" s="593" t="n">
        <x:f>B13-C13</x:f>
        <x:v>-15204</x:v>
      </x:c>
      <x:c r="E13" s="593" t="n">
        <x:f>SUMIFS('Données'!$N$4:$N$243,'Données'!$C$4:$C$243,"05 - May")</x:f>
        <x:v>-64724.53005201821</x:v>
      </x:c>
      <x:c r="F13" s="593" t="n">
        <x:f>D13-E13</x:f>
        <x:v>49520.53005201821</x:v>
      </x:c>
      <x:c r="G13" s="594" t="n">
        <x:f>IFERROR(D13/B13,0)</x:f>
        <x:v>-0.19992636229749633</x:v>
      </x:c>
      <x:c r="H13" s="590"/>
      <x:c r="I13" s="590" t="str">
        <x:v>BFR</x:v>
      </x:c>
      <x:c r="J13" s="601" t="str">
        <x:v>À commenter</x:v>
      </x:c>
      <x:c r="K13" s="601" t="str">
        <x:v>Relances / stocks</x:v>
      </x:c>
      <x:c r="L13" s="601" t="str">
        <x:v>Contrôle de gestion</x:v>
      </x:c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 t="str">
        <x:v>06</x:v>
      </x:c>
      <x:c r="B14" s="593" t="n">
        <x:f>SUMIFS('Données'!$M$4:$M$243,'Données'!$I$4:$I$243,"Produit",'Données'!$C$4:$C$243,"06 - June",'Données'!$J$4:$J$243,"&lt;&gt;Prévision")</x:f>
        <x:v>91996</x:v>
      </x:c>
      <x:c r="C14" s="593" t="n">
        <x:f>-SUMIFS('Données'!$M$4:$M$243,'Données'!$I$4:$I$243,"Charge",'Données'!$C$4:$C$243,"06 - June",'Données'!$J$4:$J$243,"&lt;&gt;Prévision")</x:f>
        <x:v>109456</x:v>
      </x:c>
      <x:c r="D14" s="593" t="n">
        <x:f>B14-C14</x:f>
        <x:v>-17460</x:v>
      </x:c>
      <x:c r="E14" s="593" t="n">
        <x:f>SUMIFS('Données'!$N$4:$N$243,'Données'!$C$4:$C$243,"06 - June")</x:f>
        <x:v>-37348.8391056233</x:v>
      </x:c>
      <x:c r="F14" s="593" t="n">
        <x:f>D14-E14</x:f>
        <x:v>19888.8391056233</x:v>
      </x:c>
      <x:c r="G14" s="594" t="n">
        <x:f>IFERROR(D14/B14,0)</x:f>
        <x:v>-0.18979086047219446</x:v>
      </x:c>
      <x:c r="H14" s="590"/>
      <x:c r="I14" s="590" t="str">
        <x:v>Budget</x:v>
      </x:c>
      <x:c r="J14" s="601" t="str">
        <x:v>À commenter</x:v>
      </x:c>
      <x:c r="K14" s="601" t="str">
        <x:v>Révision forecast</x:v>
      </x:c>
      <x:c r="L14" s="601" t="str">
        <x:v>Direction</x:v>
      </x:c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 t="str">
        <x:v>07</x:v>
      </x:c>
      <x:c r="B15" s="593" t="n">
        <x:f>SUMIFS('Données'!$M$4:$M$243,'Données'!$I$4:$I$243,"Produit",'Données'!$C$4:$C$243,"07 - July",'Données'!$J$4:$J$243,"&lt;&gt;Prévision")</x:f>
        <x:v>209156</x:v>
      </x:c>
      <x:c r="C15" s="593" t="n">
        <x:f>-SUMIFS('Données'!$M$4:$M$243,'Données'!$I$4:$I$243,"Charge",'Données'!$C$4:$C$243,"07 - July",'Données'!$J$4:$J$243,"&lt;&gt;Prévision")</x:f>
        <x:v>81780</x:v>
      </x:c>
      <x:c r="D15" s="593" t="n">
        <x:f>B15-C15</x:f>
        <x:v>127376</x:v>
      </x:c>
      <x:c r="E15" s="593" t="n">
        <x:f>SUMIFS('Données'!$N$4:$N$243,'Données'!$C$4:$C$243,"07 - July")</x:f>
        <x:v>94911.25935026063</x:v>
      </x:c>
      <x:c r="F15" s="593" t="n">
        <x:f>D15-E15</x:f>
        <x:v>32464.740649739368</x:v>
      </x:c>
      <x:c r="G15" s="594" t="n">
        <x:f>IFERROR(D15/B15,0)</x:f>
        <x:v>0.6089999808755188</x:v>
      </x:c>
      <x:c r="H15" s="590"/>
      <x:c r="I15" s="590" t="str">
        <x:v>Risques</x:v>
      </x:c>
      <x:c r="J15" s="601" t="str">
        <x:v>À commenter</x:v>
      </x:c>
      <x:c r="K15" s="601" t="str">
        <x:v>Plan de maîtrise</x:v>
      </x:c>
      <x:c r="L15" s="601" t="str">
        <x:v>Responsable</x:v>
      </x:c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 t="str">
        <x:v>08</x:v>
      </x:c>
      <x:c r="B16" s="593" t="n">
        <x:f>SUMIFS('Données'!$M$4:$M$243,'Données'!$I$4:$I$243,"Produit",'Données'!$C$4:$C$243,"08 - August",'Données'!$J$4:$J$243,"&lt;&gt;Prévision")</x:f>
        <x:v>12610</x:v>
      </x:c>
      <x:c r="C16" s="593" t="n">
        <x:f>-SUMIFS('Données'!$M$4:$M$243,'Données'!$I$4:$I$243,"Charge",'Données'!$C$4:$C$243,"08 - August",'Données'!$J$4:$J$243,"&lt;&gt;Prévision")</x:f>
        <x:v>60692</x:v>
      </x:c>
      <x:c r="D16" s="593" t="n">
        <x:f>B16-C16</x:f>
        <x:v>-48082</x:v>
      </x:c>
      <x:c r="E16" s="593" t="n">
        <x:f>SUMIFS('Données'!$N$4:$N$243,'Données'!$C$4:$C$243,"08 - August")</x:f>
        <x:v>-78687.16450667832</x:v>
      </x:c>
      <x:c r="F16" s="593" t="n">
        <x:f>D16-E16</x:f>
        <x:v>30605.164506678324</x:v>
      </x:c>
      <x:c r="G16" s="594" t="n">
        <x:f>IFERROR(D16/B16,0)</x:f>
        <x:v>-3.8130055511498813</x:v>
      </x:c>
      <x:c r="H16" s="590"/>
      <x:c r="I16" s="590" t="str">
        <x:v>Clôture</x:v>
      </x:c>
      <x:c r="J16" s="601" t="str">
        <x:v>À commenter</x:v>
      </x:c>
      <x:c r="K16" s="601" t="str">
        <x:v>Correction écritures</x:v>
      </x:c>
      <x:c r="L16" s="601" t="str">
        <x:v>Comptabilité</x:v>
      </x:c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 t="str">
        <x:v>09</x:v>
      </x:c>
      <x:c r="B17" s="593" t="n">
        <x:f>SUMIFS('Données'!$M$4:$M$243,'Données'!$I$4:$I$243,"Produit",'Données'!$C$4:$C$243,"09 - September",'Données'!$J$4:$J$243,"&lt;&gt;Prévision")</x:f>
        <x:v>95054</x:v>
      </x:c>
      <x:c r="C17" s="593" t="n">
        <x:f>-SUMIFS('Données'!$M$4:$M$243,'Données'!$I$4:$I$243,"Charge",'Données'!$C$4:$C$243,"09 - September",'Données'!$J$4:$J$243,"&lt;&gt;Prévision")</x:f>
        <x:v>147933</x:v>
      </x:c>
      <x:c r="D17" s="593" t="n">
        <x:f>B17-C17</x:f>
        <x:v>-52879</x:v>
      </x:c>
      <x:c r="E17" s="593" t="n">
        <x:f>SUMIFS('Données'!$N$4:$N$243,'Données'!$C$4:$C$243,"09 - September")</x:f>
        <x:v>-61745.949878166735</x:v>
      </x:c>
      <x:c r="F17" s="593" t="n">
        <x:f>D17-E17</x:f>
        <x:v>8866.949878166735</x:v>
      </x:c>
      <x:c r="G17" s="594" t="n">
        <x:f>IFERROR(D17/B17,0)</x:f>
        <x:v>-0.556304837250405</x:v>
      </x:c>
      <x:c r="H17" s="590"/>
      <x:c r="I17" s="590" t="str">
        <x:v>Décision</x:v>
      </x:c>
      <x:c r="J17" s="601" t="str">
        <x:v>À commenter</x:v>
      </x:c>
      <x:c r="K17" s="601" t="str">
        <x:v>Arbitrage</x:v>
      </x:c>
      <x:c r="L17" s="601" t="str">
        <x:v>Comité</x:v>
      </x:c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 t="str">
        <x:v>10</x:v>
      </x:c>
      <x:c r="B18" s="593" t="n">
        <x:f>SUMIFS('Données'!$M$4:$M$243,'Données'!$I$4:$I$243,"Produit",'Données'!$C$4:$C$243,"10 - October",'Données'!$J$4:$J$243,"&lt;&gt;Prévision")</x:f>
        <x:v>16397</x:v>
      </x:c>
      <x:c r="C18" s="593" t="n">
        <x:f>-SUMIFS('Données'!$M$4:$M$243,'Données'!$I$4:$I$243,"Charge",'Données'!$C$4:$C$243,"10 - October",'Données'!$J$4:$J$243,"&lt;&gt;Prévision")</x:f>
        <x:v>88710</x:v>
      </x:c>
      <x:c r="D18" s="593" t="n">
        <x:f>B18-C18</x:f>
        <x:v>-72313</x:v>
      </x:c>
      <x:c r="E18" s="593" t="n">
        <x:f>SUMIFS('Données'!$N$4:$N$243,'Données'!$C$4:$C$243,"10 - October")</x:f>
        <x:v>-33596.54893870241</x:v>
      </x:c>
      <x:c r="F18" s="593" t="n">
        <x:f>D18-E18</x:f>
        <x:v>-38716.45106129759</x:v>
      </x:c>
      <x:c r="G18" s="594" t="n">
        <x:f>IFERROR(D18/B18,0)</x:f>
        <x:v>-4.410136000487894</x:v>
      </x:c>
      <x:c r="H18" s="590"/>
      <x:c r="I18" s="590" t="str">
        <x:v>Échéance</x:v>
      </x:c>
      <x:c r="J18" s="601" t="str">
        <x:v>À définir</x:v>
      </x:c>
      <x:c r="K18" s="601" t="str">
        <x:v>Suivi</x:v>
      </x:c>
      <x:c r="L18" s="601" t="str">
        <x:v>PMO</x:v>
      </x:c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 t="str">
        <x:v>11</x:v>
      </x:c>
      <x:c r="B19" s="593" t="n">
        <x:f>SUMIFS('Données'!$M$4:$M$243,'Données'!$I$4:$I$243,"Produit",'Données'!$C$4:$C$243,"11 - November",'Données'!$J$4:$J$243,"&lt;&gt;Prévision")</x:f>
        <x:v>9789</x:v>
      </x:c>
      <x:c r="C19" s="593" t="n">
        <x:f>-SUMIFS('Données'!$M$4:$M$243,'Données'!$I$4:$I$243,"Charge",'Données'!$C$4:$C$243,"11 - November",'Données'!$J$4:$J$243,"&lt;&gt;Prévision")</x:f>
        <x:v>88569</x:v>
      </x:c>
      <x:c r="D19" s="593" t="n">
        <x:f>B19-C19</x:f>
        <x:v>-78780</x:v>
      </x:c>
      <x:c r="E19" s="593" t="n">
        <x:f>SUMIFS('Données'!$N$4:$N$243,'Données'!$C$4:$C$243,"11 - November")</x:f>
        <x:v>-71829.18146969228</x:v>
      </x:c>
      <x:c r="F19" s="593" t="n">
        <x:f>D19-E19</x:f>
        <x:v>-6950.818530307719</x:v>
      </x:c>
      <x:c r="G19" s="594" t="n">
        <x:f>IFERROR(D19/B19,0)</x:f>
        <x:v>-8.047808764940239</x:v>
      </x:c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 t="str">
        <x:v>12</x:v>
      </x:c>
      <x:c r="B20" s="593" t="n">
        <x:f>SUMIFS('Données'!$M$4:$M$243,'Données'!$I$4:$I$243,"Produit",'Données'!$C$4:$C$243,"12 - December",'Données'!$J$4:$J$243,"&lt;&gt;Prévision")</x:f>
        <x:v>104434</x:v>
      </x:c>
      <x:c r="C20" s="593" t="n">
        <x:f>-SUMIFS('Données'!$M$4:$M$243,'Données'!$I$4:$I$243,"Charge",'Données'!$C$4:$C$243,"12 - December",'Données'!$J$4:$J$243,"&lt;&gt;Prévision")</x:f>
        <x:v>143009</x:v>
      </x:c>
      <x:c r="D20" s="593" t="n">
        <x:f>B20-C20</x:f>
        <x:v>-38575</x:v>
      </x:c>
      <x:c r="E20" s="593" t="n">
        <x:f>SUMIFS('Données'!$N$4:$N$243,'Données'!$C$4:$C$243,"12 - December")</x:f>
        <x:v>-47095.28853548585</x:v>
      </x:c>
      <x:c r="F20" s="593" t="n">
        <x:f>D20-E20</x:f>
        <x:v>8520.288535485852</x:v>
      </x:c>
      <x:c r="G20" s="594" t="n">
        <x:f>IFERROR(D20/B20,0)</x:f>
        <x:v>-0.36937204358733744</x:v>
      </x:c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L1"/>
    <x:mergeCell ref="A2:L2"/>
    <x:mergeCell ref="A4:B6"/>
    <x:mergeCell ref="C4:D6"/>
    <x:mergeCell ref="E4:F6"/>
    <x:mergeCell ref="G4:H6"/>
    <x:mergeCell ref="I4:J6"/>
    <x:mergeCell ref="K4:L6"/>
    <x:mergeCell ref="A4:B4"/>
    <x:mergeCell ref="A5:B6"/>
    <x:mergeCell ref="C4:D4"/>
    <x:mergeCell ref="C5:D6"/>
    <x:mergeCell ref="E4:F4"/>
    <x:mergeCell ref="E5:F6"/>
    <x:mergeCell ref="G4:H4"/>
    <x:mergeCell ref="G5:H6"/>
    <x:mergeCell ref="I4:J4"/>
    <x:mergeCell ref="I5:J6"/>
    <x:mergeCell ref="K4:L4"/>
    <x:mergeCell ref="K5:L6"/>
    <x:mergeCell ref="I8:L8"/>
  </x:mergeCells>
  <x:conditionalFormatting sqref="F9:F20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G9:G20">
    <x:cfRule type="dataBar" priority="2">
      <x:dataBar>
        <x:cfvo type="min"/>
        <x:cfvo type="max"/>
        <x:color rgb="FF20639B"/>
      </x:dataBar>
      <x:extLst>
        <x:ext xmlns:x14="http://schemas.microsoft.com/office/spreadsheetml/2009/9/main" uri="{B025F937-C7B1-47D3-B67F-A62EFF666E3E}">
          <x14:id>{F189A9FE-A16F-3EBD-7BEA-3A1D248BBB23}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7f84a0220d68427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F189A9FE-A16F-3EBD-7BEA-3A1D248BBB23}">
            <x14:dataBar gradient="1">
              <x14:cfvo type="min"/>
              <x14:cfvo type="max"/>
              <x14:fillColor rgb="FF20639B"/>
            </x14:dataBar>
          </x14:cfRule>
          <xm:sqref>G9:G20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203" t="str">
        <x:v>REPORTING COMPTABLE HEBDOMADAIRE</x:v>
      </x:c>
      <x:c r="B1" s="203"/>
      <x:c r="C1" s="203"/>
      <x:c r="D1" s="203"/>
      <x:c r="E1" s="203"/>
      <x:c r="F1" s="203"/>
      <x:c r="G1" s="203"/>
      <x:c r="H1" s="203"/>
      <x:c r="I1" s="203"/>
      <x:c r="J1" s="203"/>
      <x:c r="K1" s="203"/>
      <x:c r="L1" s="203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608" t="str">
        <x:v>Lecture rapide des flux et alertes de court terme</x:v>
      </x:c>
      <x:c r="B2" s="608"/>
      <x:c r="C2" s="608"/>
      <x:c r="D2" s="608"/>
      <x:c r="E2" s="608"/>
      <x:c r="F2" s="608"/>
      <x:c r="G2" s="608"/>
      <x:c r="H2" s="608"/>
      <x:c r="I2" s="608"/>
      <x:c r="J2" s="608"/>
      <x:c r="K2" s="608"/>
      <x:c r="L2" s="608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113" t="str">
        <x:v>Chiffre d'affaires</x:v>
      </x:c>
      <x:c r="B4" s="114"/>
      <x:c r="C4" s="147" t="str">
        <x:v>Charges</x:v>
      </x:c>
      <x:c r="D4" s="148"/>
      <x:c r="E4" s="153" t="str">
        <x:v>Résultat net</x:v>
      </x:c>
      <x:c r="F4" s="154"/>
      <x:c r="G4" s="159" t="str">
        <x:v>Marge nette</x:v>
      </x:c>
      <x:c r="H4" s="160"/>
      <x:c r="I4" s="165" t="str">
        <x:v>Trésorerie estimée</x:v>
      </x:c>
      <x:c r="J4" s="166"/>
      <x:c r="K4" s="171" t="str">
        <x:v>Écart budget</x:v>
      </x:c>
      <x:c r="L4" s="172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176" t="n">
        <x:f>SUMIFS('Données'!$M$4:$M$243,'Données'!$I$4:$I$243,"Produit",'Données'!$J$4:$J$243,"&lt;&gt;Prévision")</x:f>
        <x:v>912308</x:v>
      </x:c>
      <x:c r="B5" s="177"/>
      <x:c r="C5" s="176" t="n">
        <x:f>-SUMIFS('Données'!$M$4:$M$243,'Données'!$I$4:$I$243,"Charge",'Données'!$J$4:$J$243,"&lt;&gt;Prévision")</x:f>
        <x:v>1210649</x:v>
      </x:c>
      <x:c r="D5" s="177"/>
      <x:c r="E5" s="176" t="n">
        <x:f>A5-C5</x:f>
        <x:v>-298341</x:v>
      </x:c>
      <x:c r="F5" s="177"/>
      <x:c r="G5" s="184" t="n">
        <x:f>IFERROR(E5/A5,0)</x:f>
        <x:v>-0.3270178492351267</x:v>
      </x:c>
      <x:c r="H5" s="185"/>
      <x:c r="I5" s="176" t="n">
        <x:f>E5+'Paramètres'!$B$8</x:f>
        <x:v>-248341</x:v>
      </x:c>
      <x:c r="J5" s="177"/>
      <x:c r="K5" s="176" t="n">
        <x:f>SUM('Données'!$O$4:$O$243)</x:f>
        <x:v>-2226.292562321263</x:v>
      </x:c>
      <x:c r="L5" s="177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178"/>
      <x:c r="B6" s="179"/>
      <x:c r="C6" s="178"/>
      <x:c r="D6" s="179"/>
      <x:c r="E6" s="178"/>
      <x:c r="F6" s="179"/>
      <x:c r="G6" s="186"/>
      <x:c r="H6" s="187"/>
      <x:c r="I6" s="178"/>
      <x:c r="J6" s="179"/>
      <x:c r="K6" s="178"/>
      <x:c r="L6" s="179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590"/>
      <x:c r="B7" s="590"/>
      <x:c r="C7" s="590"/>
      <x:c r="D7" s="590"/>
      <x:c r="E7" s="590"/>
      <x:c r="F7" s="590"/>
      <x:c r="G7" s="590"/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12" t="str">
        <x:v>Période</x:v>
      </x:c>
      <x:c r="B8" s="612" t="str">
        <x:v>CA</x:v>
      </x:c>
      <x:c r="C8" s="612" t="str">
        <x:v>Charges</x:v>
      </x:c>
      <x:c r="D8" s="612" t="str">
        <x:v>Résultat</x:v>
      </x:c>
      <x:c r="E8" s="612" t="str">
        <x:v>Budget</x:v>
      </x:c>
      <x:c r="F8" s="612" t="str">
        <x:v>Écart</x:v>
      </x:c>
      <x:c r="G8" s="612" t="str">
        <x:v>Marge nette</x:v>
      </x:c>
      <x:c r="H8" s="590"/>
      <x:c r="I8" s="592" t="str">
        <x:v>Analyse et actions</x:v>
      </x:c>
      <x:c r="J8" s="592"/>
      <x:c r="K8" s="592"/>
      <x:c r="L8" s="592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590" t="str">
        <x:v>S01</x:v>
      </x:c>
      <x:c r="B9" s="593" t="n">
        <x:f>SUMIFS('Données'!$M$4:$M$243,'Données'!$I$4:$I$243,"Produit",'Données'!$B$4:$B$243,"1",'Données'!$J$4:$J$243,"&lt;&gt;Prévision")</x:f>
        <x:v>29469</x:v>
      </x:c>
      <x:c r="C9" s="593" t="n">
        <x:f>-SUMIFS('Données'!$M$4:$M$243,'Données'!$I$4:$I$243,"Charge",'Données'!$B$4:$B$243,"1",'Données'!$J$4:$J$243,"&lt;&gt;Prévision")</x:f>
        <x:v>2110</x:v>
      </x:c>
      <x:c r="D9" s="593" t="n">
        <x:f>B9-C9</x:f>
        <x:v>27359</x:v>
      </x:c>
      <x:c r="E9" s="593" t="n">
        <x:f>SUMIFS('Données'!$N$4:$N$243,'Données'!$B$4:$B$243,"1")</x:f>
        <x:v>21302.58343251182</x:v>
      </x:c>
      <x:c r="F9" s="593" t="n">
        <x:f>D9-E9</x:f>
        <x:v>6056.416567488181</x:v>
      </x:c>
      <x:c r="G9" s="594" t="n">
        <x:f>IFERROR(D9/B9,0)</x:f>
        <x:v>0.9283993348942957</x:v>
      </x:c>
      <x:c r="H9" s="590"/>
      <x:c r="I9" s="609" t="str">
        <x:v>Indicateur</x:v>
      </x:c>
      <x:c r="J9" s="609" t="str">
        <x:v>Constat</x:v>
      </x:c>
      <x:c r="K9" s="609" t="str">
        <x:v>Action</x:v>
      </x:c>
      <x:c r="L9" s="609" t="str">
        <x:v>Responsable</x:v>
      </x:c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590" t="str">
        <x:v>S02</x:v>
      </x:c>
      <x:c r="B10" s="593" t="n">
        <x:f>SUMIFS('Données'!$M$4:$M$243,'Données'!$I$4:$I$243,"Produit",'Données'!$B$4:$B$243,"2",'Données'!$J$4:$J$243,"&lt;&gt;Prévision")</x:f>
        <x:v>69771</x:v>
      </x:c>
      <x:c r="C10" s="593" t="n">
        <x:f>-SUMIFS('Données'!$M$4:$M$243,'Données'!$I$4:$I$243,"Charge",'Données'!$B$4:$B$243,"2",'Données'!$J$4:$J$243,"&lt;&gt;Prévision")</x:f>
        <x:v>30544</x:v>
      </x:c>
      <x:c r="D10" s="593" t="n">
        <x:f>B10-C10</x:f>
        <x:v>39227</x:v>
      </x:c>
      <x:c r="E10" s="593" t="n">
        <x:f>SUMIFS('Données'!$N$4:$N$243,'Données'!$B$4:$B$243,"2")</x:f>
        <x:v>34343.33684854419</x:v>
      </x:c>
      <x:c r="F10" s="593" t="n">
        <x:f>D10-E10</x:f>
        <x:v>4883.66315145581</x:v>
      </x:c>
      <x:c r="G10" s="594" t="n">
        <x:f>IFERROR(D10/B10,0)</x:f>
        <x:v>0.5622249931920139</x:v>
      </x:c>
      <x:c r="H10" s="590"/>
      <x:c r="I10" s="590" t="str">
        <x:v>CA</x:v>
      </x:c>
      <x:c r="J10" s="601" t="str">
        <x:v>À commenter</x:v>
      </x:c>
      <x:c r="K10" s="601" t="str">
        <x:v>Plan commercial</x:v>
      </x:c>
      <x:c r="L10" s="601" t="str">
        <x:v>Direction</x:v>
      </x:c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590" t="str">
        <x:v>S03</x:v>
      </x:c>
      <x:c r="B11" s="593" t="n">
        <x:f>SUMIFS('Données'!$M$4:$M$243,'Données'!$I$4:$I$243,"Produit",'Données'!$B$4:$B$243,"3",'Données'!$J$4:$J$243,"&lt;&gt;Prévision")</x:f>
        <x:v>0</x:v>
      </x:c>
      <x:c r="C11" s="593" t="n">
        <x:f>-SUMIFS('Données'!$M$4:$M$243,'Données'!$I$4:$I$243,"Charge",'Données'!$B$4:$B$243,"3",'Données'!$J$4:$J$243,"&lt;&gt;Prévision")</x:f>
        <x:v>10913</x:v>
      </x:c>
      <x:c r="D11" s="593" t="n">
        <x:f>B11-C11</x:f>
        <x:v>-10913</x:v>
      </x:c>
      <x:c r="E11" s="593" t="n">
        <x:f>SUMIFS('Données'!$N$4:$N$243,'Données'!$B$4:$B$243,"3")</x:f>
        <x:v>41715.23551147568</x:v>
      </x:c>
      <x:c r="F11" s="593" t="n">
        <x:f>D11-E11</x:f>
        <x:v>-52628.23551147568</x:v>
      </x:c>
      <x:c r="G11" s="594" t="n">
        <x:f>IFERROR(D11/B11,0)</x:f>
        <x:v>0</x:v>
      </x:c>
      <x:c r="H11" s="590"/>
      <x:c r="I11" s="590" t="str">
        <x:v>Marge</x:v>
      </x:c>
      <x:c r="J11" s="601" t="str">
        <x:v>À commenter</x:v>
      </x:c>
      <x:c r="K11" s="601" t="str">
        <x:v>Revue prix/achats</x:v>
      </x:c>
      <x:c r="L11" s="601" t="str">
        <x:v>DAF</x:v>
      </x:c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 t="str">
        <x:v>S04</x:v>
      </x:c>
      <x:c r="B12" s="593" t="n">
        <x:f>SUMIFS('Données'!$M$4:$M$243,'Données'!$I$4:$I$243,"Produit",'Données'!$B$4:$B$243,"4",'Données'!$J$4:$J$243,"&lt;&gt;Prévision")</x:f>
        <x:v>31212</x:v>
      </x:c>
      <x:c r="C12" s="593" t="n">
        <x:f>-SUMIFS('Données'!$M$4:$M$243,'Données'!$I$4:$I$243,"Charge",'Données'!$B$4:$B$243,"4",'Données'!$J$4:$J$243,"&lt;&gt;Prévision")</x:f>
        <x:v>4770</x:v>
      </x:c>
      <x:c r="D12" s="593" t="n">
        <x:f>B12-C12</x:f>
        <x:v>26442</x:v>
      </x:c>
      <x:c r="E12" s="593" t="n">
        <x:f>SUMIFS('Données'!$N$4:$N$243,'Données'!$B$4:$B$243,"4")</x:f>
        <x:v>24112.191330123216</x:v>
      </x:c>
      <x:c r="F12" s="593" t="n">
        <x:f>D12-E12</x:f>
        <x:v>2329.808669876784</x:v>
      </x:c>
      <x:c r="G12" s="594" t="n">
        <x:f>IFERROR(D12/B12,0)</x:f>
        <x:v>0.8471741637831603</x:v>
      </x:c>
      <x:c r="H12" s="590"/>
      <x:c r="I12" s="590" t="str">
        <x:v>Trésorerie</x:v>
      </x:c>
      <x:c r="J12" s="601" t="str">
        <x:v>À commenter</x:v>
      </x:c>
      <x:c r="K12" s="601" t="str">
        <x:v>Plan de cash</x:v>
      </x:c>
      <x:c r="L12" s="601" t="str">
        <x:v>Trésorier</x:v>
      </x:c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 t="str">
        <x:v>S05</x:v>
      </x:c>
      <x:c r="B13" s="593" t="n">
        <x:f>SUMIFS('Données'!$M$4:$M$243,'Données'!$I$4:$I$243,"Produit",'Données'!$B$4:$B$243,"5",'Données'!$J$4:$J$243,"&lt;&gt;Prévision")</x:f>
        <x:v>25832</x:v>
      </x:c>
      <x:c r="C13" s="593" t="n">
        <x:f>-SUMIFS('Données'!$M$4:$M$243,'Données'!$I$4:$I$243,"Charge",'Données'!$B$4:$B$243,"5",'Données'!$J$4:$J$243,"&lt;&gt;Prévision")</x:f>
        <x:v>9165</x:v>
      </x:c>
      <x:c r="D13" s="593" t="n">
        <x:f>B13-C13</x:f>
        <x:v>16667</x:v>
      </x:c>
      <x:c r="E13" s="593" t="n">
        <x:f>SUMIFS('Données'!$N$4:$N$243,'Données'!$B$4:$B$243,"5")</x:f>
        <x:v>39427.16646403927</x:v>
      </x:c>
      <x:c r="F13" s="593" t="n">
        <x:f>D13-E13</x:f>
        <x:v>-22760.16646403927</x:v>
      </x:c>
      <x:c r="G13" s="594" t="n">
        <x:f>IFERROR(D13/B13,0)</x:f>
        <x:v>0.6452074945803654</x:v>
      </x:c>
      <x:c r="H13" s="590"/>
      <x:c r="I13" s="590" t="str">
        <x:v>BFR</x:v>
      </x:c>
      <x:c r="J13" s="601" t="str">
        <x:v>À commenter</x:v>
      </x:c>
      <x:c r="K13" s="601" t="str">
        <x:v>Relances / stocks</x:v>
      </x:c>
      <x:c r="L13" s="601" t="str">
        <x:v>Contrôle de gestion</x:v>
      </x:c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 t="str">
        <x:v>S06</x:v>
      </x:c>
      <x:c r="B14" s="593" t="n">
        <x:f>SUMIFS('Données'!$M$4:$M$243,'Données'!$I$4:$I$243,"Produit",'Données'!$B$4:$B$243,"6",'Données'!$J$4:$J$243,"&lt;&gt;Prévision")</x:f>
        <x:v>0</x:v>
      </x:c>
      <x:c r="C14" s="593" t="n">
        <x:f>-SUMIFS('Données'!$M$4:$M$243,'Données'!$I$4:$I$243,"Charge",'Données'!$B$4:$B$243,"6",'Données'!$J$4:$J$243,"&lt;&gt;Prévision")</x:f>
        <x:v>0</x:v>
      </x:c>
      <x:c r="D14" s="593" t="n">
        <x:f>B14-C14</x:f>
        <x:v>0</x:v>
      </x:c>
      <x:c r="E14" s="593" t="n">
        <x:f>SUMIFS('Données'!$N$4:$N$243,'Données'!$B$4:$B$243,"6")</x:f>
        <x:v>-10778.104450859242</x:v>
      </x:c>
      <x:c r="F14" s="593" t="n">
        <x:f>D14-E14</x:f>
        <x:v>10778.104450859242</x:v>
      </x:c>
      <x:c r="G14" s="594" t="n">
        <x:f>IFERROR(D14/B14,0)</x:f>
        <x:v>0</x:v>
      </x:c>
      <x:c r="H14" s="590"/>
      <x:c r="I14" s="590" t="str">
        <x:v>Budget</x:v>
      </x:c>
      <x:c r="J14" s="601" t="str">
        <x:v>À commenter</x:v>
      </x:c>
      <x:c r="K14" s="601" t="str">
        <x:v>Révision forecast</x:v>
      </x:c>
      <x:c r="L14" s="601" t="str">
        <x:v>Direction</x:v>
      </x:c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 t="str">
        <x:v>S07</x:v>
      </x:c>
      <x:c r="B15" s="593" t="n">
        <x:f>SUMIFS('Données'!$M$4:$M$243,'Données'!$I$4:$I$243,"Produit",'Données'!$B$4:$B$243,"7",'Données'!$J$4:$J$243,"&lt;&gt;Prévision")</x:f>
        <x:v>0</x:v>
      </x:c>
      <x:c r="C15" s="593" t="n">
        <x:f>-SUMIFS('Données'!$M$4:$M$243,'Données'!$I$4:$I$243,"Charge",'Données'!$B$4:$B$243,"7",'Données'!$J$4:$J$243,"&lt;&gt;Prévision")</x:f>
        <x:v>6157</x:v>
      </x:c>
      <x:c r="D15" s="593" t="n">
        <x:f>B15-C15</x:f>
        <x:v>-6157</x:v>
      </x:c>
      <x:c r="E15" s="593" t="n">
        <x:f>SUMIFS('Données'!$N$4:$N$243,'Données'!$B$4:$B$243,"7")</x:f>
        <x:v>-10272.655831966189</x:v>
      </x:c>
      <x:c r="F15" s="593" t="n">
        <x:f>D15-E15</x:f>
        <x:v>4115.655831966189</x:v>
      </x:c>
      <x:c r="G15" s="594" t="n">
        <x:f>IFERROR(D15/B15,0)</x:f>
        <x:v>0</x:v>
      </x:c>
      <x:c r="H15" s="590"/>
      <x:c r="I15" s="590" t="str">
        <x:v>Risques</x:v>
      </x:c>
      <x:c r="J15" s="601" t="str">
        <x:v>À commenter</x:v>
      </x:c>
      <x:c r="K15" s="601" t="str">
        <x:v>Plan de maîtrise</x:v>
      </x:c>
      <x:c r="L15" s="601" t="str">
        <x:v>Responsable</x:v>
      </x:c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 t="str">
        <x:v>S08</x:v>
      </x:c>
      <x:c r="B16" s="593" t="n">
        <x:f>SUMIFS('Données'!$M$4:$M$243,'Données'!$I$4:$I$243,"Produit",'Données'!$B$4:$B$243,"8",'Données'!$J$4:$J$243,"&lt;&gt;Prévision")</x:f>
        <x:v>0</x:v>
      </x:c>
      <x:c r="C16" s="593" t="n">
        <x:f>-SUMIFS('Données'!$M$4:$M$243,'Données'!$I$4:$I$243,"Charge",'Données'!$B$4:$B$243,"8",'Données'!$J$4:$J$243,"&lt;&gt;Prévision")</x:f>
        <x:v>72621</x:v>
      </x:c>
      <x:c r="D16" s="593" t="n">
        <x:f>B16-C16</x:f>
        <x:v>-72621</x:v>
      </x:c>
      <x:c r="E16" s="593" t="n">
        <x:f>SUMIFS('Données'!$N$4:$N$243,'Données'!$B$4:$B$243,"8")</x:f>
        <x:v>-75008.3603258091</x:v>
      </x:c>
      <x:c r="F16" s="593" t="n">
        <x:f>D16-E16</x:f>
        <x:v>2387.3603258091025</x:v>
      </x:c>
      <x:c r="G16" s="594" t="n">
        <x:f>IFERROR(D16/B16,0)</x:f>
        <x:v>0</x:v>
      </x:c>
      <x:c r="H16" s="590"/>
      <x:c r="I16" s="590" t="str">
        <x:v>Clôture</x:v>
      </x:c>
      <x:c r="J16" s="601" t="str">
        <x:v>À commenter</x:v>
      </x:c>
      <x:c r="K16" s="601" t="str">
        <x:v>Correction écritures</x:v>
      </x:c>
      <x:c r="L16" s="601" t="str">
        <x:v>Comptabilité</x:v>
      </x:c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 t="str">
        <x:v>S09</x:v>
      </x:c>
      <x:c r="B17" s="593" t="n">
        <x:f>SUMIFS('Données'!$M$4:$M$243,'Données'!$I$4:$I$243,"Produit",'Données'!$B$4:$B$243,"9",'Données'!$J$4:$J$243,"&lt;&gt;Prévision")</x:f>
        <x:v>0</x:v>
      </x:c>
      <x:c r="C17" s="593" t="n">
        <x:f>-SUMIFS('Données'!$M$4:$M$243,'Données'!$I$4:$I$243,"Charge",'Données'!$B$4:$B$243,"9",'Données'!$J$4:$J$243,"&lt;&gt;Prévision")</x:f>
        <x:v>27027</x:v>
      </x:c>
      <x:c r="D17" s="593" t="n">
        <x:f>B17-C17</x:f>
        <x:v>-27027</x:v>
      </x:c>
      <x:c r="E17" s="593" t="n">
        <x:f>SUMIFS('Données'!$N$4:$N$243,'Données'!$B$4:$B$243,"9")</x:f>
        <x:v>-26731.770875230693</x:v>
      </x:c>
      <x:c r="F17" s="593" t="n">
        <x:f>D17-E17</x:f>
        <x:v>-295.2291247693065</x:v>
      </x:c>
      <x:c r="G17" s="594" t="n">
        <x:f>IFERROR(D17/B17,0)</x:f>
        <x:v>0</x:v>
      </x:c>
      <x:c r="H17" s="590"/>
      <x:c r="I17" s="590" t="str">
        <x:v>Décision</x:v>
      </x:c>
      <x:c r="J17" s="601" t="str">
        <x:v>À commenter</x:v>
      </x:c>
      <x:c r="K17" s="601" t="str">
        <x:v>Arbitrage</x:v>
      </x:c>
      <x:c r="L17" s="601" t="str">
        <x:v>Comité</x:v>
      </x:c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 t="str">
        <x:v>S10</x:v>
      </x:c>
      <x:c r="B18" s="593" t="n">
        <x:f>SUMIFS('Données'!$M$4:$M$243,'Données'!$I$4:$I$243,"Produit",'Données'!$B$4:$B$243,"10",'Données'!$J$4:$J$243,"&lt;&gt;Prévision")</x:f>
        <x:v>18982</x:v>
      </x:c>
      <x:c r="C18" s="593" t="n">
        <x:f>-SUMIFS('Données'!$M$4:$M$243,'Données'!$I$4:$I$243,"Charge",'Données'!$B$4:$B$243,"10",'Données'!$J$4:$J$243,"&lt;&gt;Prévision")</x:f>
        <x:v>0</x:v>
      </x:c>
      <x:c r="D18" s="593" t="n">
        <x:f>B18-C18</x:f>
        <x:v>18982</x:v>
      </x:c>
      <x:c r="E18" s="593" t="n">
        <x:f>SUMIFS('Données'!$N$4:$N$243,'Données'!$B$4:$B$243,"10")</x:f>
        <x:v>42493.49937307526</x:v>
      </x:c>
      <x:c r="F18" s="593" t="n">
        <x:f>D18-E18</x:f>
        <x:v>-23511.49937307526</x:v>
      </x:c>
      <x:c r="G18" s="594" t="n">
        <x:f>IFERROR(D18/B18,0)</x:f>
        <x:v>1</x:v>
      </x:c>
      <x:c r="H18" s="590"/>
      <x:c r="I18" s="590" t="str">
        <x:v>Échéance</x:v>
      </x:c>
      <x:c r="J18" s="601" t="str">
        <x:v>À définir</x:v>
      </x:c>
      <x:c r="K18" s="601" t="str">
        <x:v>Suivi</x:v>
      </x:c>
      <x:c r="L18" s="601" t="str">
        <x:v>PMO</x:v>
      </x:c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 t="str">
        <x:v>S11</x:v>
      </x:c>
      <x:c r="B19" s="593" t="n">
        <x:f>SUMIFS('Données'!$M$4:$M$243,'Données'!$I$4:$I$243,"Produit",'Données'!$B$4:$B$243,"11",'Données'!$J$4:$J$243,"&lt;&gt;Prévision")</x:f>
        <x:v>10611</x:v>
      </x:c>
      <x:c r="C19" s="593" t="n">
        <x:f>-SUMIFS('Données'!$M$4:$M$243,'Données'!$I$4:$I$243,"Charge",'Données'!$B$4:$B$243,"11",'Données'!$J$4:$J$243,"&lt;&gt;Prévision")</x:f>
        <x:v>96404</x:v>
      </x:c>
      <x:c r="D19" s="593" t="n">
        <x:f>B19-C19</x:f>
        <x:v>-85793</x:v>
      </x:c>
      <x:c r="E19" s="593" t="n">
        <x:f>SUMIFS('Données'!$N$4:$N$243,'Données'!$B$4:$B$243,"11")</x:f>
        <x:v>-86485.3605647541</x:v>
      </x:c>
      <x:c r="F19" s="593" t="n">
        <x:f>D19-E19</x:f>
        <x:v>692.3605647540971</x:v>
      </x:c>
      <x:c r="G19" s="594" t="n">
        <x:f>IFERROR(D19/B19,0)</x:f>
        <x:v>-8.085288851192159</x:v>
      </x:c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 t="str">
        <x:v>S12</x:v>
      </x:c>
      <x:c r="B20" s="593" t="n">
        <x:f>SUMIFS('Données'!$M$4:$M$243,'Données'!$I$4:$I$243,"Produit",'Données'!$B$4:$B$243,"12",'Données'!$J$4:$J$243,"&lt;&gt;Prévision")</x:f>
        <x:v>13225</x:v>
      </x:c>
      <x:c r="C20" s="593" t="n">
        <x:f>-SUMIFS('Données'!$M$4:$M$243,'Données'!$I$4:$I$243,"Charge",'Données'!$B$4:$B$243,"12",'Données'!$J$4:$J$243,"&lt;&gt;Prévision")</x:f>
        <x:v>0</x:v>
      </x:c>
      <x:c r="D20" s="593" t="n">
        <x:f>B20-C20</x:f>
        <x:v>13225</x:v>
      </x:c>
      <x:c r="E20" s="593" t="n">
        <x:f>SUMIFS('Données'!$N$4:$N$243,'Données'!$B$4:$B$243,"12")</x:f>
        <x:v>-25501.099250366336</x:v>
      </x:c>
      <x:c r="F20" s="593" t="n">
        <x:f>D20-E20</x:f>
        <x:v>38726.09925036634</x:v>
      </x:c>
      <x:c r="G20" s="594" t="n">
        <x:f>IFERROR(D20/B20,0)</x:f>
        <x:v>1</x:v>
      </x:c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 t="str">
        <x:v>S13</x:v>
      </x:c>
      <x:c r="B21" s="593" t="n">
        <x:f>SUMIFS('Données'!$M$4:$M$243,'Données'!$I$4:$I$243,"Produit",'Données'!$B$4:$B$243,"13",'Données'!$J$4:$J$243,"&lt;&gt;Prévision")</x:f>
        <x:v>54863</x:v>
      </x:c>
      <x:c r="C21" s="593" t="n">
        <x:f>-SUMIFS('Données'!$M$4:$M$243,'Données'!$I$4:$I$243,"Charge",'Données'!$B$4:$B$243,"13",'Données'!$J$4:$J$243,"&lt;&gt;Prévision")</x:f>
        <x:v>26169</x:v>
      </x:c>
      <x:c r="D21" s="593" t="n">
        <x:f>B21-C21</x:f>
        <x:v>28694</x:v>
      </x:c>
      <x:c r="E21" s="593" t="n">
        <x:f>SUMIFS('Données'!$N$4:$N$243,'Données'!$B$4:$B$243,"13")</x:f>
        <x:v>32358.844029480195</x:v>
      </x:c>
      <x:c r="F21" s="593" t="n">
        <x:f>D21-E21</x:f>
        <x:v>-3664.844029480195</x:v>
      </x:c>
      <x:c r="G21" s="594" t="n">
        <x:f>IFERROR(D21/B21,0)</x:f>
        <x:v>0.5230118659205658</x:v>
      </x:c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L1"/>
    <x:mergeCell ref="A2:L2"/>
    <x:mergeCell ref="A4:B6"/>
    <x:mergeCell ref="C4:D6"/>
    <x:mergeCell ref="E4:F6"/>
    <x:mergeCell ref="G4:H6"/>
    <x:mergeCell ref="I4:J6"/>
    <x:mergeCell ref="K4:L6"/>
    <x:mergeCell ref="A4:B4"/>
    <x:mergeCell ref="A5:B6"/>
    <x:mergeCell ref="C4:D4"/>
    <x:mergeCell ref="C5:D6"/>
    <x:mergeCell ref="E4:F4"/>
    <x:mergeCell ref="E5:F6"/>
    <x:mergeCell ref="G4:H4"/>
    <x:mergeCell ref="G5:H6"/>
    <x:mergeCell ref="I4:J4"/>
    <x:mergeCell ref="I5:J6"/>
    <x:mergeCell ref="K4:L4"/>
    <x:mergeCell ref="K5:L6"/>
    <x:mergeCell ref="I8:L8"/>
  </x:mergeCells>
  <x:conditionalFormatting sqref="F9:F21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G9:G21">
    <x:cfRule type="dataBar" priority="2">
      <x:dataBar>
        <x:cfvo type="min"/>
        <x:cfvo type="max"/>
        <x:color rgb="FF3CAEA3"/>
      </x:dataBar>
      <x:extLst>
        <x:ext xmlns:x14="http://schemas.microsoft.com/office/spreadsheetml/2009/9/main" uri="{B025F937-C7B1-47D3-B67F-A62EFF666E3E}">
          <x14:id>{FE0E68DC-9E84-6471-103E-F908BACCF6B6}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45fc60e0d8c1425e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FE0E68DC-9E84-6471-103E-F908BACCF6B6}">
            <x14:dataBar gradient="1">
              <x14:cfvo type="min"/>
              <x14:cfvo type="max"/>
              <x14:fillColor rgb="FF3CAEA3"/>
            </x14:dataBar>
          </x14:cfRule>
          <xm:sqref>G9:G21</xm:sqref>
        </x14:conditionalFormatting>
      </x14:conditionalFormattings>
    </x:ext>
  </x:extLst>
</x:worksheet>
</file>

<file path=xl/worksheets/sheet5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214" t="str">
        <x:v>REPORTING COMPTABLE TRIMESTRIEL</x:v>
      </x:c>
      <x:c r="B1" s="214"/>
      <x:c r="C1" s="214"/>
      <x:c r="D1" s="214"/>
      <x:c r="E1" s="214"/>
      <x:c r="F1" s="214"/>
      <x:c r="G1" s="214"/>
      <x:c r="H1" s="214"/>
      <x:c r="I1" s="214"/>
      <x:c r="J1" s="214"/>
      <x:c r="K1" s="214"/>
      <x:c r="L1" s="214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608" t="str">
        <x:v>Analyse trimestrielle pour la direction et les partenaires</x:v>
      </x:c>
      <x:c r="B2" s="608"/>
      <x:c r="C2" s="608"/>
      <x:c r="D2" s="608"/>
      <x:c r="E2" s="608"/>
      <x:c r="F2" s="608"/>
      <x:c r="G2" s="608"/>
      <x:c r="H2" s="608"/>
      <x:c r="I2" s="608"/>
      <x:c r="J2" s="608"/>
      <x:c r="K2" s="608"/>
      <x:c r="L2" s="608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113" t="str">
        <x:v>Chiffre d'affaires</x:v>
      </x:c>
      <x:c r="B4" s="114"/>
      <x:c r="C4" s="147" t="str">
        <x:v>Charges</x:v>
      </x:c>
      <x:c r="D4" s="148"/>
      <x:c r="E4" s="153" t="str">
        <x:v>Résultat net</x:v>
      </x:c>
      <x:c r="F4" s="154"/>
      <x:c r="G4" s="159" t="str">
        <x:v>Marge nette</x:v>
      </x:c>
      <x:c r="H4" s="160"/>
      <x:c r="I4" s="165" t="str">
        <x:v>Trésorerie estimée</x:v>
      </x:c>
      <x:c r="J4" s="166"/>
      <x:c r="K4" s="171" t="str">
        <x:v>Écart budget</x:v>
      </x:c>
      <x:c r="L4" s="172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176" t="n">
        <x:f>SUMIFS('Données'!$M$4:$M$243,'Données'!$I$4:$I$243,"Produit",'Données'!$J$4:$J$243,"&lt;&gt;Prévision")</x:f>
        <x:v>912308</x:v>
      </x:c>
      <x:c r="B5" s="177"/>
      <x:c r="C5" s="176" t="n">
        <x:f>-SUMIFS('Données'!$M$4:$M$243,'Données'!$I$4:$I$243,"Charge",'Données'!$J$4:$J$243,"&lt;&gt;Prévision")</x:f>
        <x:v>1210649</x:v>
      </x:c>
      <x:c r="D5" s="177"/>
      <x:c r="E5" s="176" t="n">
        <x:f>A5-C5</x:f>
        <x:v>-298341</x:v>
      </x:c>
      <x:c r="F5" s="177"/>
      <x:c r="G5" s="184" t="n">
        <x:f>IFERROR(E5/A5,0)</x:f>
        <x:v>-0.3270178492351267</x:v>
      </x:c>
      <x:c r="H5" s="185"/>
      <x:c r="I5" s="176" t="n">
        <x:f>E5+'Paramètres'!$B$8</x:f>
        <x:v>-248341</x:v>
      </x:c>
      <x:c r="J5" s="177"/>
      <x:c r="K5" s="176" t="n">
        <x:f>SUM('Données'!$O$4:$O$243)</x:f>
        <x:v>-2226.292562321263</x:v>
      </x:c>
      <x:c r="L5" s="177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178"/>
      <x:c r="B6" s="179"/>
      <x:c r="C6" s="178"/>
      <x:c r="D6" s="179"/>
      <x:c r="E6" s="178"/>
      <x:c r="F6" s="179"/>
      <x:c r="G6" s="186"/>
      <x:c r="H6" s="187"/>
      <x:c r="I6" s="178"/>
      <x:c r="J6" s="179"/>
      <x:c r="K6" s="178"/>
      <x:c r="L6" s="179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590"/>
      <x:c r="B7" s="590"/>
      <x:c r="C7" s="590"/>
      <x:c r="D7" s="590"/>
      <x:c r="E7" s="590"/>
      <x:c r="F7" s="590"/>
      <x:c r="G7" s="590"/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386" t="str">
        <x:v>Période</x:v>
      </x:c>
      <x:c r="B8" s="386" t="str">
        <x:v>CA</x:v>
      </x:c>
      <x:c r="C8" s="386" t="str">
        <x:v>Charges</x:v>
      </x:c>
      <x:c r="D8" s="386" t="str">
        <x:v>Résultat</x:v>
      </x:c>
      <x:c r="E8" s="386" t="str">
        <x:v>Budget</x:v>
      </x:c>
      <x:c r="F8" s="386" t="str">
        <x:v>Écart</x:v>
      </x:c>
      <x:c r="G8" s="386" t="str">
        <x:v>Marge nette</x:v>
      </x:c>
      <x:c r="H8" s="590"/>
      <x:c r="I8" s="592" t="str">
        <x:v>Analyse et actions</x:v>
      </x:c>
      <x:c r="J8" s="592"/>
      <x:c r="K8" s="592"/>
      <x:c r="L8" s="592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590" t="str">
        <x:v>T1</x:v>
      </x:c>
      <x:c r="B9" s="593" t="n">
        <x:f>SUMIFS('Données'!$M$4:$M$243,'Données'!$I$4:$I$243,"Produit",'Données'!$D$4:$D$243,"T1",'Données'!$J$4:$J$243,"&lt;&gt;Prévision")</x:f>
        <x:v>264864</x:v>
      </x:c>
      <x:c r="C9" s="593" t="n">
        <x:f>-SUMIFS('Données'!$M$4:$M$243,'Données'!$I$4:$I$243,"Charge",'Données'!$D$4:$D$243,"T1",'Données'!$J$4:$J$243,"&lt;&gt;Prévision")</x:f>
        <x:v>285880</x:v>
      </x:c>
      <x:c r="D9" s="593" t="n">
        <x:f>B9-C9</x:f>
        <x:v>-21016</x:v>
      </x:c>
      <x:c r="E9" s="593" t="n">
        <x:f>SUMIFS('Données'!$N$4:$N$243,'Données'!$D$4:$D$243,"T1")</x:f>
        <x:v>-3461.70525184329</x:v>
      </x:c>
      <x:c r="F9" s="593" t="n">
        <x:f>D9-E9</x:f>
        <x:v>-17554.29474815671</x:v>
      </x:c>
      <x:c r="G9" s="594" t="n">
        <x:f>IFERROR(D9/B9,0)</x:f>
        <x:v>-0.07934638153920502</x:v>
      </x:c>
      <x:c r="H9" s="590"/>
      <x:c r="I9" s="609" t="str">
        <x:v>Indicateur</x:v>
      </x:c>
      <x:c r="J9" s="609" t="str">
        <x:v>Constat</x:v>
      </x:c>
      <x:c r="K9" s="609" t="str">
        <x:v>Action</x:v>
      </x:c>
      <x:c r="L9" s="609" t="str">
        <x:v>Responsable</x:v>
      </x:c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590" t="str">
        <x:v>T2</x:v>
      </x:c>
      <x:c r="B10" s="593" t="n">
        <x:f>SUMIFS('Données'!$M$4:$M$243,'Données'!$I$4:$I$243,"Produit",'Données'!$D$4:$D$243,"T2",'Données'!$J$4:$J$243,"&lt;&gt;Prévision")</x:f>
        <x:v>200004</x:v>
      </x:c>
      <x:c r="C10" s="593" t="n">
        <x:f>-SUMIFS('Données'!$M$4:$M$243,'Données'!$I$4:$I$243,"Charge",'Données'!$D$4:$D$243,"T2",'Données'!$J$4:$J$243,"&lt;&gt;Prévision")</x:f>
        <x:v>314076</x:v>
      </x:c>
      <x:c r="D10" s="593" t="n">
        <x:f>B10-C10</x:f>
        <x:v>-114072</x:v>
      </x:c>
      <x:c r="E10" s="593" t="n">
        <x:f>SUMIFS('Données'!$N$4:$N$243,'Données'!$D$4:$D$243,"T2")</x:f>
        <x:v>-223664.12820737044</x:v>
      </x:c>
      <x:c r="F10" s="593" t="n">
        <x:f>D10-E10</x:f>
        <x:v>109592.12820737044</x:v>
      </x:c>
      <x:c r="G10" s="594" t="n">
        <x:f>IFERROR(D10/B10,0)</x:f>
        <x:v>-0.5703485930281395</x:v>
      </x:c>
      <x:c r="H10" s="590"/>
      <x:c r="I10" s="590" t="str">
        <x:v>CA</x:v>
      </x:c>
      <x:c r="J10" s="601" t="str">
        <x:v>À commenter</x:v>
      </x:c>
      <x:c r="K10" s="601" t="str">
        <x:v>Plan commercial</x:v>
      </x:c>
      <x:c r="L10" s="601" t="str">
        <x:v>Direction</x:v>
      </x:c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590" t="str">
        <x:v>T3</x:v>
      </x:c>
      <x:c r="B11" s="593" t="n">
        <x:f>SUMIFS('Données'!$M$4:$M$243,'Données'!$I$4:$I$243,"Produit",'Données'!$D$4:$D$243,"T3",'Données'!$J$4:$J$243,"&lt;&gt;Prévision")</x:f>
        <x:v>316820</x:v>
      </x:c>
      <x:c r="C11" s="593" t="n">
        <x:f>-SUMIFS('Données'!$M$4:$M$243,'Données'!$I$4:$I$243,"Charge",'Données'!$D$4:$D$243,"T3",'Données'!$J$4:$J$243,"&lt;&gt;Prévision")</x:f>
        <x:v>290405</x:v>
      </x:c>
      <x:c r="D11" s="593" t="n">
        <x:f>B11-C11</x:f>
        <x:v>26415</x:v>
      </x:c>
      <x:c r="E11" s="593" t="n">
        <x:f>SUMIFS('Données'!$N$4:$N$243,'Données'!$D$4:$D$243,"T3")</x:f>
        <x:v>-45521.855034584456</x:v>
      </x:c>
      <x:c r="F11" s="593" t="n">
        <x:f>D11-E11</x:f>
        <x:v>71936.85503458446</x:v>
      </x:c>
      <x:c r="G11" s="594" t="n">
        <x:f>IFERROR(D11/B11,0)</x:f>
        <x:v>0.08337541821854681</x:v>
      </x:c>
      <x:c r="H11" s="590"/>
      <x:c r="I11" s="590" t="str">
        <x:v>Marge</x:v>
      </x:c>
      <x:c r="J11" s="601" t="str">
        <x:v>À commenter</x:v>
      </x:c>
      <x:c r="K11" s="601" t="str">
        <x:v>Revue prix/achats</x:v>
      </x:c>
      <x:c r="L11" s="601" t="str">
        <x:v>DAF</x:v>
      </x:c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 t="str">
        <x:v>T4</x:v>
      </x:c>
      <x:c r="B12" s="593" t="n">
        <x:f>SUMIFS('Données'!$M$4:$M$243,'Données'!$I$4:$I$243,"Produit",'Données'!$D$4:$D$243,"T4",'Données'!$J$4:$J$243,"&lt;&gt;Prévision")</x:f>
        <x:v>130620</x:v>
      </x:c>
      <x:c r="C12" s="593" t="n">
        <x:f>-SUMIFS('Données'!$M$4:$M$243,'Données'!$I$4:$I$243,"Charge",'Données'!$D$4:$D$243,"T4",'Données'!$J$4:$J$243,"&lt;&gt;Prévision")</x:f>
        <x:v>320288</x:v>
      </x:c>
      <x:c r="D12" s="593" t="n">
        <x:f>B12-C12</x:f>
        <x:v>-189668</x:v>
      </x:c>
      <x:c r="E12" s="593" t="n">
        <x:f>SUMIFS('Données'!$N$4:$N$243,'Données'!$D$4:$D$243,"T4")</x:f>
        <x:v>-152521.0189438806</x:v>
      </x:c>
      <x:c r="F12" s="593" t="n">
        <x:f>D12-E12</x:f>
        <x:v>-37146.9810561194</x:v>
      </x:c>
      <x:c r="G12" s="594" t="n">
        <x:f>IFERROR(D12/B12,0)</x:f>
        <x:v>-1.4520594089725922</x:v>
      </x:c>
      <x:c r="H12" s="590"/>
      <x:c r="I12" s="590" t="str">
        <x:v>Trésorerie</x:v>
      </x:c>
      <x:c r="J12" s="601" t="str">
        <x:v>À commenter</x:v>
      </x:c>
      <x:c r="K12" s="601" t="str">
        <x:v>Plan de cash</x:v>
      </x:c>
      <x:c r="L12" s="601" t="str">
        <x:v>Trésorier</x:v>
      </x:c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 t="str">
        <x:v>BFR</x:v>
      </x:c>
      <x:c r="J13" s="601" t="str">
        <x:v>À commenter</x:v>
      </x:c>
      <x:c r="K13" s="601" t="str">
        <x:v>Relances / stocks</x:v>
      </x:c>
      <x:c r="L13" s="601" t="str">
        <x:v>Contrôle de gestion</x:v>
      </x:c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/>
      <x:c r="B14" s="590"/>
      <x:c r="C14" s="590"/>
      <x:c r="D14" s="590"/>
      <x:c r="E14" s="590"/>
      <x:c r="F14" s="590"/>
      <x:c r="G14" s="590"/>
      <x:c r="H14" s="590"/>
      <x:c r="I14" s="590" t="str">
        <x:v>Budget</x:v>
      </x:c>
      <x:c r="J14" s="601" t="str">
        <x:v>À commenter</x:v>
      </x:c>
      <x:c r="K14" s="601" t="str">
        <x:v>Révision forecast</x:v>
      </x:c>
      <x:c r="L14" s="601" t="str">
        <x:v>Direction</x:v>
      </x:c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 t="str">
        <x:v>Risques</x:v>
      </x:c>
      <x:c r="J15" s="601" t="str">
        <x:v>À commenter</x:v>
      </x:c>
      <x:c r="K15" s="601" t="str">
        <x:v>Plan de maîtrise</x:v>
      </x:c>
      <x:c r="L15" s="601" t="str">
        <x:v>Responsable</x:v>
      </x:c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 t="str">
        <x:v>Clôture</x:v>
      </x:c>
      <x:c r="J16" s="601" t="str">
        <x:v>À commenter</x:v>
      </x:c>
      <x:c r="K16" s="601" t="str">
        <x:v>Correction écritures</x:v>
      </x:c>
      <x:c r="L16" s="601" t="str">
        <x:v>Comptabilité</x:v>
      </x:c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 t="str">
        <x:v>Décision</x:v>
      </x:c>
      <x:c r="J17" s="601" t="str">
        <x:v>À commenter</x:v>
      </x:c>
      <x:c r="K17" s="601" t="str">
        <x:v>Arbitrage</x:v>
      </x:c>
      <x:c r="L17" s="601" t="str">
        <x:v>Comité</x:v>
      </x:c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 t="str">
        <x:v>Échéance</x:v>
      </x:c>
      <x:c r="J18" s="601" t="str">
        <x:v>À définir</x:v>
      </x:c>
      <x:c r="K18" s="601" t="str">
        <x:v>Suivi</x:v>
      </x:c>
      <x:c r="L18" s="601" t="str">
        <x:v>PMO</x:v>
      </x:c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L1"/>
    <x:mergeCell ref="A2:L2"/>
    <x:mergeCell ref="A4:B6"/>
    <x:mergeCell ref="C4:D6"/>
    <x:mergeCell ref="E4:F6"/>
    <x:mergeCell ref="G4:H6"/>
    <x:mergeCell ref="I4:J6"/>
    <x:mergeCell ref="K4:L6"/>
    <x:mergeCell ref="A4:B4"/>
    <x:mergeCell ref="A5:B6"/>
    <x:mergeCell ref="C4:D4"/>
    <x:mergeCell ref="C5:D6"/>
    <x:mergeCell ref="E4:F4"/>
    <x:mergeCell ref="E5:F6"/>
    <x:mergeCell ref="G4:H4"/>
    <x:mergeCell ref="G5:H6"/>
    <x:mergeCell ref="I4:J4"/>
    <x:mergeCell ref="I5:J6"/>
    <x:mergeCell ref="K4:L4"/>
    <x:mergeCell ref="K5:L6"/>
    <x:mergeCell ref="I8:L8"/>
  </x:mergeCells>
  <x:conditionalFormatting sqref="F9:F12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G9:G12">
    <x:cfRule type="dataBar" priority="2">
      <x:dataBar>
        <x:cfvo type="min"/>
        <x:cfvo type="max"/>
        <x:color rgb="FF6F42C1"/>
      </x:dataBar>
      <x:extLst>
        <x:ext xmlns:x14="http://schemas.microsoft.com/office/spreadsheetml/2009/9/main" uri="{B025F937-C7B1-47D3-B67F-A62EFF666E3E}">
          <x14:id>{A1D9F801-3739-75E6-9668-BAA203CF331F}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fcc60ea28ad54b2a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A1D9F801-3739-75E6-9668-BAA203CF331F}">
            <x14:dataBar gradient="1">
              <x14:cfvo type="min"/>
              <x14:cfvo type="max"/>
              <x14:fillColor rgb="FF6F42C1"/>
            </x14:dataBar>
          </x14:cfRule>
          <xm:sqref>G9:G12</xm:sqref>
        </x14:conditionalFormatting>
      </x14:conditionalFormattings>
    </x:ext>
  </x:extLst>
</x:worksheet>
</file>

<file path=xl/worksheets/sheet6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223" t="str">
        <x:v>REPORTING COMPTABLE ANNUEL</x:v>
      </x:c>
      <x:c r="B1" s="223"/>
      <x:c r="C1" s="223"/>
      <x:c r="D1" s="223"/>
      <x:c r="E1" s="223"/>
      <x:c r="F1" s="223"/>
      <x:c r="G1" s="223"/>
      <x:c r="H1" s="223"/>
      <x:c r="I1" s="223"/>
      <x:c r="J1" s="223"/>
      <x:c r="K1" s="223"/>
      <x:c r="L1" s="223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608" t="str">
        <x:v>Synthèse annuelle, clôture et trajectoire pluriannuelle</x:v>
      </x:c>
      <x:c r="B2" s="608"/>
      <x:c r="C2" s="608"/>
      <x:c r="D2" s="608"/>
      <x:c r="E2" s="608"/>
      <x:c r="F2" s="608"/>
      <x:c r="G2" s="608"/>
      <x:c r="H2" s="608"/>
      <x:c r="I2" s="608"/>
      <x:c r="J2" s="608"/>
      <x:c r="K2" s="608"/>
      <x:c r="L2" s="608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113" t="str">
        <x:v>Chiffre d'affaires</x:v>
      </x:c>
      <x:c r="B4" s="114"/>
      <x:c r="C4" s="147" t="str">
        <x:v>Charges</x:v>
      </x:c>
      <x:c r="D4" s="148"/>
      <x:c r="E4" s="153" t="str">
        <x:v>Résultat net</x:v>
      </x:c>
      <x:c r="F4" s="154"/>
      <x:c r="G4" s="159" t="str">
        <x:v>Marge nette</x:v>
      </x:c>
      <x:c r="H4" s="160"/>
      <x:c r="I4" s="165" t="str">
        <x:v>Trésorerie estimée</x:v>
      </x:c>
      <x:c r="J4" s="166"/>
      <x:c r="K4" s="171" t="str">
        <x:v>Écart budget</x:v>
      </x:c>
      <x:c r="L4" s="172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176" t="n">
        <x:f>SUMIFS('Données'!$M$4:$M$243,'Données'!$I$4:$I$243,"Produit",'Données'!$J$4:$J$243,"&lt;&gt;Prévision")</x:f>
        <x:v>912308</x:v>
      </x:c>
      <x:c r="B5" s="177"/>
      <x:c r="C5" s="176" t="n">
        <x:f>-SUMIFS('Données'!$M$4:$M$243,'Données'!$I$4:$I$243,"Charge",'Données'!$J$4:$J$243,"&lt;&gt;Prévision")</x:f>
        <x:v>1210649</x:v>
      </x:c>
      <x:c r="D5" s="177"/>
      <x:c r="E5" s="176" t="n">
        <x:f>A5-C5</x:f>
        <x:v>-298341</x:v>
      </x:c>
      <x:c r="F5" s="177"/>
      <x:c r="G5" s="184" t="n">
        <x:f>IFERROR(E5/A5,0)</x:f>
        <x:v>-0.3270178492351267</x:v>
      </x:c>
      <x:c r="H5" s="185"/>
      <x:c r="I5" s="176" t="n">
        <x:f>E5+'Paramètres'!$B$8</x:f>
        <x:v>-248341</x:v>
      </x:c>
      <x:c r="J5" s="177"/>
      <x:c r="K5" s="176" t="n">
        <x:f>SUM('Données'!$O$4:$O$243)</x:f>
        <x:v>-2226.292562321263</x:v>
      </x:c>
      <x:c r="L5" s="177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178"/>
      <x:c r="B6" s="179"/>
      <x:c r="C6" s="178"/>
      <x:c r="D6" s="179"/>
      <x:c r="E6" s="178"/>
      <x:c r="F6" s="179"/>
      <x:c r="G6" s="186"/>
      <x:c r="H6" s="187"/>
      <x:c r="I6" s="178"/>
      <x:c r="J6" s="179"/>
      <x:c r="K6" s="178"/>
      <x:c r="L6" s="179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590"/>
      <x:c r="B7" s="590"/>
      <x:c r="C7" s="590"/>
      <x:c r="D7" s="590"/>
      <x:c r="E7" s="590"/>
      <x:c r="F7" s="590"/>
      <x:c r="G7" s="590"/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14" t="str">
        <x:v>Période</x:v>
      </x:c>
      <x:c r="B8" s="614" t="str">
        <x:v>CA</x:v>
      </x:c>
      <x:c r="C8" s="614" t="str">
        <x:v>Charges</x:v>
      </x:c>
      <x:c r="D8" s="614" t="str">
        <x:v>Résultat</x:v>
      </x:c>
      <x:c r="E8" s="614" t="str">
        <x:v>Budget</x:v>
      </x:c>
      <x:c r="F8" s="614" t="str">
        <x:v>Écart</x:v>
      </x:c>
      <x:c r="G8" s="614" t="str">
        <x:v>Marge nette</x:v>
      </x:c>
      <x:c r="H8" s="590"/>
      <x:c r="I8" s="592" t="str">
        <x:v>Analyse et actions</x:v>
      </x:c>
      <x:c r="J8" s="592"/>
      <x:c r="K8" s="592"/>
      <x:c r="L8" s="592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590" t="str">
        <x:v>2024</x:v>
      </x:c>
      <x:c r="B9" s="593" t="n">
        <x:f>SUMIFS('Données'!$M$4:$M$243,'Données'!$I$4:$I$243,"Produit",'Données'!$E$4:$E$243,"2024",'Données'!$J$4:$J$243,"&lt;&gt;Prévision")</x:f>
        <x:v>0</x:v>
      </x:c>
      <x:c r="C9" s="593" t="n">
        <x:f>-SUMIFS('Données'!$M$4:$M$243,'Données'!$I$4:$I$243,"Charge",'Données'!$E$4:$E$243,"2024",'Données'!$J$4:$J$243,"&lt;&gt;Prévision")</x:f>
        <x:v>0</x:v>
      </x:c>
      <x:c r="D9" s="593" t="n">
        <x:f>B9-C9</x:f>
        <x:v>0</x:v>
      </x:c>
      <x:c r="E9" s="593" t="n">
        <x:f>SUMIFS('Données'!$N$4:$N$243,'Données'!$E$4:$E$243,"2024")</x:f>
        <x:v>0</x:v>
      </x:c>
      <x:c r="F9" s="593" t="n">
        <x:f>D9-E9</x:f>
        <x:v>0</x:v>
      </x:c>
      <x:c r="G9" s="594" t="n">
        <x:f>IFERROR(D9/B9,0)</x:f>
        <x:v>0</x:v>
      </x:c>
      <x:c r="H9" s="590"/>
      <x:c r="I9" s="609" t="str">
        <x:v>Indicateur</x:v>
      </x:c>
      <x:c r="J9" s="609" t="str">
        <x:v>Constat</x:v>
      </x:c>
      <x:c r="K9" s="609" t="str">
        <x:v>Action</x:v>
      </x:c>
      <x:c r="L9" s="609" t="str">
        <x:v>Responsable</x:v>
      </x:c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590" t="str">
        <x:v>2025</x:v>
      </x:c>
      <x:c r="B10" s="593" t="n">
        <x:f>SUMIFS('Données'!$M$4:$M$243,'Données'!$I$4:$I$243,"Produit",'Données'!$E$4:$E$243,"2025",'Données'!$J$4:$J$243,"&lt;&gt;Prévision")</x:f>
        <x:v>0</x:v>
      </x:c>
      <x:c r="C10" s="593" t="n">
        <x:f>-SUMIFS('Données'!$M$4:$M$243,'Données'!$I$4:$I$243,"Charge",'Données'!$E$4:$E$243,"2025",'Données'!$J$4:$J$243,"&lt;&gt;Prévision")</x:f>
        <x:v>0</x:v>
      </x:c>
      <x:c r="D10" s="593" t="n">
        <x:f>B10-C10</x:f>
        <x:v>0</x:v>
      </x:c>
      <x:c r="E10" s="593" t="n">
        <x:f>SUMIFS('Données'!$N$4:$N$243,'Données'!$E$4:$E$243,"2025")</x:f>
        <x:v>0</x:v>
      </x:c>
      <x:c r="F10" s="593" t="n">
        <x:f>D10-E10</x:f>
        <x:v>0</x:v>
      </x:c>
      <x:c r="G10" s="594" t="n">
        <x:f>IFERROR(D10/B10,0)</x:f>
        <x:v>0</x:v>
      </x:c>
      <x:c r="H10" s="590"/>
      <x:c r="I10" s="590" t="str">
        <x:v>CA</x:v>
      </x:c>
      <x:c r="J10" s="601" t="str">
        <x:v>À commenter</x:v>
      </x:c>
      <x:c r="K10" s="601" t="str">
        <x:v>Plan commercial</x:v>
      </x:c>
      <x:c r="L10" s="601" t="str">
        <x:v>Direction</x:v>
      </x:c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590" t="str">
        <x:v>2026</x:v>
      </x:c>
      <x:c r="B11" s="593" t="n">
        <x:f>SUMIFS('Données'!$M$4:$M$243,'Données'!$I$4:$I$243,"Produit",'Données'!$E$4:$E$243,"2026",'Données'!$J$4:$J$243,"&lt;&gt;Prévision")</x:f>
        <x:v>912308</x:v>
      </x:c>
      <x:c r="C11" s="593" t="n">
        <x:f>-SUMIFS('Données'!$M$4:$M$243,'Données'!$I$4:$I$243,"Charge",'Données'!$E$4:$E$243,"2026",'Données'!$J$4:$J$243,"&lt;&gt;Prévision")</x:f>
        <x:v>1210649</x:v>
      </x:c>
      <x:c r="D11" s="593" t="n">
        <x:f>B11-C11</x:f>
        <x:v>-298341</x:v>
      </x:c>
      <x:c r="E11" s="593" t="n">
        <x:f>SUMIFS('Données'!$N$4:$N$243,'Données'!$E$4:$E$243,"2026")</x:f>
        <x:v>-425168.70743767836</x:v>
      </x:c>
      <x:c r="F11" s="593" t="n">
        <x:f>D11-E11</x:f>
        <x:v>126827.70743767836</x:v>
      </x:c>
      <x:c r="G11" s="594" t="n">
        <x:f>IFERROR(D11/B11,0)</x:f>
        <x:v>-0.3270178492351267</x:v>
      </x:c>
      <x:c r="H11" s="590"/>
      <x:c r="I11" s="590" t="str">
        <x:v>Marge</x:v>
      </x:c>
      <x:c r="J11" s="601" t="str">
        <x:v>À commenter</x:v>
      </x:c>
      <x:c r="K11" s="601" t="str">
        <x:v>Revue prix/achats</x:v>
      </x:c>
      <x:c r="L11" s="601" t="str">
        <x:v>DAF</x:v>
      </x:c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/>
      <x:c r="B12" s="590"/>
      <x:c r="C12" s="590"/>
      <x:c r="D12" s="590"/>
      <x:c r="E12" s="590"/>
      <x:c r="F12" s="590"/>
      <x:c r="G12" s="590"/>
      <x:c r="H12" s="590"/>
      <x:c r="I12" s="590" t="str">
        <x:v>Trésorerie</x:v>
      </x:c>
      <x:c r="J12" s="601" t="str">
        <x:v>À commenter</x:v>
      </x:c>
      <x:c r="K12" s="601" t="str">
        <x:v>Plan de cash</x:v>
      </x:c>
      <x:c r="L12" s="601" t="str">
        <x:v>Trésorier</x:v>
      </x:c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 t="str">
        <x:v>BFR</x:v>
      </x:c>
      <x:c r="J13" s="601" t="str">
        <x:v>À commenter</x:v>
      </x:c>
      <x:c r="K13" s="601" t="str">
        <x:v>Relances / stocks</x:v>
      </x:c>
      <x:c r="L13" s="601" t="str">
        <x:v>Contrôle de gestion</x:v>
      </x:c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/>
      <x:c r="B14" s="590"/>
      <x:c r="C14" s="590"/>
      <x:c r="D14" s="590"/>
      <x:c r="E14" s="590"/>
      <x:c r="F14" s="590"/>
      <x:c r="G14" s="590"/>
      <x:c r="H14" s="590"/>
      <x:c r="I14" s="590" t="str">
        <x:v>Budget</x:v>
      </x:c>
      <x:c r="J14" s="601" t="str">
        <x:v>À commenter</x:v>
      </x:c>
      <x:c r="K14" s="601" t="str">
        <x:v>Révision forecast</x:v>
      </x:c>
      <x:c r="L14" s="601" t="str">
        <x:v>Direction</x:v>
      </x:c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 t="str">
        <x:v>Risques</x:v>
      </x:c>
      <x:c r="J15" s="601" t="str">
        <x:v>À commenter</x:v>
      </x:c>
      <x:c r="K15" s="601" t="str">
        <x:v>Plan de maîtrise</x:v>
      </x:c>
      <x:c r="L15" s="601" t="str">
        <x:v>Responsable</x:v>
      </x:c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 t="str">
        <x:v>Clôture</x:v>
      </x:c>
      <x:c r="J16" s="601" t="str">
        <x:v>À commenter</x:v>
      </x:c>
      <x:c r="K16" s="601" t="str">
        <x:v>Correction écritures</x:v>
      </x:c>
      <x:c r="L16" s="601" t="str">
        <x:v>Comptabilité</x:v>
      </x:c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 t="str">
        <x:v>Décision</x:v>
      </x:c>
      <x:c r="J17" s="601" t="str">
        <x:v>À commenter</x:v>
      </x:c>
      <x:c r="K17" s="601" t="str">
        <x:v>Arbitrage</x:v>
      </x:c>
      <x:c r="L17" s="601" t="str">
        <x:v>Comité</x:v>
      </x:c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 t="str">
        <x:v>Échéance</x:v>
      </x:c>
      <x:c r="J18" s="601" t="str">
        <x:v>À définir</x:v>
      </x:c>
      <x:c r="K18" s="601" t="str">
        <x:v>Suivi</x:v>
      </x:c>
      <x:c r="L18" s="601" t="str">
        <x:v>PMO</x:v>
      </x:c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L1"/>
    <x:mergeCell ref="A2:L2"/>
    <x:mergeCell ref="A4:B6"/>
    <x:mergeCell ref="C4:D6"/>
    <x:mergeCell ref="E4:F6"/>
    <x:mergeCell ref="G4:H6"/>
    <x:mergeCell ref="I4:J6"/>
    <x:mergeCell ref="K4:L6"/>
    <x:mergeCell ref="A4:B4"/>
    <x:mergeCell ref="A5:B6"/>
    <x:mergeCell ref="C4:D4"/>
    <x:mergeCell ref="C5:D6"/>
    <x:mergeCell ref="E4:F4"/>
    <x:mergeCell ref="E5:F6"/>
    <x:mergeCell ref="G4:H4"/>
    <x:mergeCell ref="G5:H6"/>
    <x:mergeCell ref="I4:J4"/>
    <x:mergeCell ref="I5:J6"/>
    <x:mergeCell ref="K4:L4"/>
    <x:mergeCell ref="K5:L6"/>
    <x:mergeCell ref="I8:L8"/>
  </x:mergeCells>
  <x:conditionalFormatting sqref="F9:F11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G9:G11">
    <x:cfRule type="dataBar" priority="2">
      <x:dataBar>
        <x:cfvo type="min"/>
        <x:cfvo type="max"/>
        <x:color rgb="FFD4A017"/>
      </x:dataBar>
      <x:extLst>
        <x:ext xmlns:x14="http://schemas.microsoft.com/office/spreadsheetml/2009/9/main" uri="{B025F937-C7B1-47D3-B67F-A62EFF666E3E}">
          <x14:id>{D4A7598E-46D1-987B-7FAA-089E38776C9C}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ce108259c02d42fa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D4A7598E-46D1-987B-7FAA-089E38776C9C}">
            <x14:dataBar gradient="1">
              <x14:cfvo type="min"/>
              <x14:cfvo type="max"/>
              <x14:fillColor rgb="FFD4A017"/>
            </x14:dataBar>
          </x14:cfRule>
          <xm:sqref>G9:G11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234" t="str">
        <x:v>REPORTING GROUPE</x:v>
      </x:c>
      <x:c r="B1" s="234"/>
      <x:c r="C1" s="234"/>
      <x:c r="D1" s="234"/>
      <x:c r="E1" s="234"/>
      <x:c r="F1" s="234"/>
      <x:c r="G1" s="234"/>
      <x:c r="H1" s="234"/>
      <x:c r="I1" s="234"/>
      <x:c r="J1" s="234"/>
      <x:c r="K1" s="234"/>
      <x:c r="L1" s="234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608" t="str">
        <x:v>Vue consolidée par entité et suivi des contributions</x:v>
      </x:c>
      <x:c r="B2" s="608"/>
      <x:c r="C2" s="608"/>
      <x:c r="D2" s="608"/>
      <x:c r="E2" s="608"/>
      <x:c r="F2" s="608"/>
      <x:c r="G2" s="608"/>
      <x:c r="H2" s="608"/>
      <x:c r="I2" s="608"/>
      <x:c r="J2" s="608"/>
      <x:c r="K2" s="608"/>
      <x:c r="L2" s="608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113" t="str">
        <x:v>Chiffre d'affaires</x:v>
      </x:c>
      <x:c r="B4" s="114"/>
      <x:c r="C4" s="147" t="str">
        <x:v>Charges</x:v>
      </x:c>
      <x:c r="D4" s="148"/>
      <x:c r="E4" s="153" t="str">
        <x:v>Résultat net</x:v>
      </x:c>
      <x:c r="F4" s="154"/>
      <x:c r="G4" s="159" t="str">
        <x:v>Marge nette</x:v>
      </x:c>
      <x:c r="H4" s="160"/>
      <x:c r="I4" s="165" t="str">
        <x:v>Trésorerie estimée</x:v>
      </x:c>
      <x:c r="J4" s="166"/>
      <x:c r="K4" s="171" t="str">
        <x:v>Écart budget</x:v>
      </x:c>
      <x:c r="L4" s="172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176" t="n">
        <x:f>SUMIFS('Données'!$M$4:$M$243,'Données'!$I$4:$I$243,"Produit",'Données'!$J$4:$J$243,"&lt;&gt;Prévision")</x:f>
        <x:v>912308</x:v>
      </x:c>
      <x:c r="B5" s="177"/>
      <x:c r="C5" s="176" t="n">
        <x:f>-SUMIFS('Données'!$M$4:$M$243,'Données'!$I$4:$I$243,"Charge",'Données'!$J$4:$J$243,"&lt;&gt;Prévision")</x:f>
        <x:v>1210649</x:v>
      </x:c>
      <x:c r="D5" s="177"/>
      <x:c r="E5" s="176" t="n">
        <x:f>A5-C5</x:f>
        <x:v>-298341</x:v>
      </x:c>
      <x:c r="F5" s="177"/>
      <x:c r="G5" s="184" t="n">
        <x:f>IFERROR(E5/A5,0)</x:f>
        <x:v>-0.3270178492351267</x:v>
      </x:c>
      <x:c r="H5" s="185"/>
      <x:c r="I5" s="176" t="n">
        <x:f>E5+'Paramètres'!$B$8</x:f>
        <x:v>-248341</x:v>
      </x:c>
      <x:c r="J5" s="177"/>
      <x:c r="K5" s="176" t="n">
        <x:f>SUM('Données'!$O$4:$O$243)</x:f>
        <x:v>-2226.292562321263</x:v>
      </x:c>
      <x:c r="L5" s="177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178"/>
      <x:c r="B6" s="179"/>
      <x:c r="C6" s="178"/>
      <x:c r="D6" s="179"/>
      <x:c r="E6" s="178"/>
      <x:c r="F6" s="179"/>
      <x:c r="G6" s="186"/>
      <x:c r="H6" s="187"/>
      <x:c r="I6" s="178"/>
      <x:c r="J6" s="179"/>
      <x:c r="K6" s="178"/>
      <x:c r="L6" s="179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590"/>
      <x:c r="B7" s="590"/>
      <x:c r="C7" s="590"/>
      <x:c r="D7" s="590"/>
      <x:c r="E7" s="590"/>
      <x:c r="F7" s="590"/>
      <x:c r="G7" s="590"/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592" t="str">
        <x:v>Période</x:v>
      </x:c>
      <x:c r="B8" s="592" t="str">
        <x:v>CA</x:v>
      </x:c>
      <x:c r="C8" s="592" t="str">
        <x:v>Charges</x:v>
      </x:c>
      <x:c r="D8" s="592" t="str">
        <x:v>Résultat</x:v>
      </x:c>
      <x:c r="E8" s="592" t="str">
        <x:v>Budget</x:v>
      </x:c>
      <x:c r="F8" s="592" t="str">
        <x:v>Écart</x:v>
      </x:c>
      <x:c r="G8" s="592" t="str">
        <x:v>Marge nette</x:v>
      </x:c>
      <x:c r="H8" s="590"/>
      <x:c r="I8" s="592" t="str">
        <x:v>Analyse et actions</x:v>
      </x:c>
      <x:c r="J8" s="592"/>
      <x:c r="K8" s="592"/>
      <x:c r="L8" s="592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590" t="str">
        <x:v>Groupe</x:v>
      </x:c>
      <x:c r="B9" s="593" t="n">
        <x:f>SUMIFS('Données'!$M$4:$M$243,'Données'!$I$4:$I$243,"Produit",'Données'!$F$4:$F$243,"Groupe",'Données'!$J$4:$J$243,"&lt;&gt;Prévision")</x:f>
        <x:v>309908</x:v>
      </x:c>
      <x:c r="C9" s="593" t="n">
        <x:f>-SUMIFS('Données'!$M$4:$M$243,'Données'!$I$4:$I$243,"Charge",'Données'!$F$4:$F$243,"Groupe",'Données'!$J$4:$J$243,"&lt;&gt;Prévision")</x:f>
        <x:v>408372</x:v>
      </x:c>
      <x:c r="D9" s="593" t="n">
        <x:f>B9-C9</x:f>
        <x:v>-98464</x:v>
      </x:c>
      <x:c r="E9" s="593" t="n">
        <x:f>SUMIFS('Données'!$N$4:$N$243,'Données'!$F$4:$F$243,"Groupe")</x:f>
        <x:v>-165169.00658425267</x:v>
      </x:c>
      <x:c r="F9" s="593" t="n">
        <x:f>D9-E9</x:f>
        <x:v>66705.00658425267</x:v>
      </x:c>
      <x:c r="G9" s="594" t="n">
        <x:f>IFERROR(D9/B9,0)</x:f>
        <x:v>-0.31772009757734554</x:v>
      </x:c>
      <x:c r="H9" s="590"/>
      <x:c r="I9" s="609" t="str">
        <x:v>Indicateur</x:v>
      </x:c>
      <x:c r="J9" s="609" t="str">
        <x:v>Constat</x:v>
      </x:c>
      <x:c r="K9" s="609" t="str">
        <x:v>Action</x:v>
      </x:c>
      <x:c r="L9" s="609" t="str">
        <x:v>Responsable</x:v>
      </x:c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590" t="str">
        <x:v>Filiale Nord</x:v>
      </x:c>
      <x:c r="B10" s="593" t="n">
        <x:f>SUMIFS('Données'!$M$4:$M$243,'Données'!$I$4:$I$243,"Produit",'Données'!$F$4:$F$243,"Filiale Nord",'Données'!$J$4:$J$243,"&lt;&gt;Prévision")</x:f>
        <x:v>228758</x:v>
      </x:c>
      <x:c r="C10" s="593" t="n">
        <x:f>-SUMIFS('Données'!$M$4:$M$243,'Données'!$I$4:$I$243,"Charge",'Données'!$F$4:$F$243,"Filiale Nord",'Données'!$J$4:$J$243,"&lt;&gt;Prévision")</x:f>
        <x:v>369138</x:v>
      </x:c>
      <x:c r="D10" s="593" t="n">
        <x:f>B10-C10</x:f>
        <x:v>-140380</x:v>
      </x:c>
      <x:c r="E10" s="593" t="n">
        <x:f>SUMIFS('Données'!$N$4:$N$243,'Données'!$F$4:$F$243,"Filiale Nord")</x:f>
        <x:v>-162382.27479895746</x:v>
      </x:c>
      <x:c r="F10" s="593" t="n">
        <x:f>D10-E10</x:f>
        <x:v>22002.274798957456</x:v>
      </x:c>
      <x:c r="G10" s="594" t="n">
        <x:f>IFERROR(D10/B10,0)</x:f>
        <x:v>-0.6136615987200448</x:v>
      </x:c>
      <x:c r="H10" s="590"/>
      <x:c r="I10" s="590" t="str">
        <x:v>CA</x:v>
      </x:c>
      <x:c r="J10" s="601" t="str">
        <x:v>À commenter</x:v>
      </x:c>
      <x:c r="K10" s="601" t="str">
        <x:v>Plan commercial</x:v>
      </x:c>
      <x:c r="L10" s="601" t="str">
        <x:v>Direction</x:v>
      </x:c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590" t="str">
        <x:v>Filiale Sud</x:v>
      </x:c>
      <x:c r="B11" s="593" t="n">
        <x:f>SUMIFS('Données'!$M$4:$M$243,'Données'!$I$4:$I$243,"Produit",'Données'!$F$4:$F$243,"Filiale Sud",'Données'!$J$4:$J$243,"&lt;&gt;Prévision")</x:f>
        <x:v>373642</x:v>
      </x:c>
      <x:c r="C11" s="593" t="n">
        <x:f>-SUMIFS('Données'!$M$4:$M$243,'Données'!$I$4:$I$243,"Charge",'Données'!$F$4:$F$243,"Filiale Sud",'Données'!$J$4:$J$243,"&lt;&gt;Prévision")</x:f>
        <x:v>433139</x:v>
      </x:c>
      <x:c r="D11" s="593" t="n">
        <x:f>B11-C11</x:f>
        <x:v>-59497</x:v>
      </x:c>
      <x:c r="E11" s="593" t="n">
        <x:f>SUMIFS('Données'!$N$4:$N$243,'Données'!$F$4:$F$243,"Filiale Sud")</x:f>
        <x:v>-97617.42605446865</x:v>
      </x:c>
      <x:c r="F11" s="593" t="n">
        <x:f>D11-E11</x:f>
        <x:v>38120.426054468655</x:v>
      </x:c>
      <x:c r="G11" s="594" t="n">
        <x:f>IFERROR(D11/B11,0)</x:f>
        <x:v>-0.15923531080553044</x:v>
      </x:c>
      <x:c r="H11" s="590"/>
      <x:c r="I11" s="590" t="str">
        <x:v>Marge</x:v>
      </x:c>
      <x:c r="J11" s="601" t="str">
        <x:v>À commenter</x:v>
      </x:c>
      <x:c r="K11" s="601" t="str">
        <x:v>Revue prix/achats</x:v>
      </x:c>
      <x:c r="L11" s="601" t="str">
        <x:v>DAF</x:v>
      </x:c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/>
      <x:c r="B12" s="590"/>
      <x:c r="C12" s="590"/>
      <x:c r="D12" s="590"/>
      <x:c r="E12" s="590"/>
      <x:c r="F12" s="590"/>
      <x:c r="G12" s="590"/>
      <x:c r="H12" s="590"/>
      <x:c r="I12" s="590" t="str">
        <x:v>Trésorerie</x:v>
      </x:c>
      <x:c r="J12" s="601" t="str">
        <x:v>À commenter</x:v>
      </x:c>
      <x:c r="K12" s="601" t="str">
        <x:v>Plan de cash</x:v>
      </x:c>
      <x:c r="L12" s="601" t="str">
        <x:v>Trésorier</x:v>
      </x:c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 t="str">
        <x:v>BFR</x:v>
      </x:c>
      <x:c r="J13" s="601" t="str">
        <x:v>À commenter</x:v>
      </x:c>
      <x:c r="K13" s="601" t="str">
        <x:v>Relances / stocks</x:v>
      </x:c>
      <x:c r="L13" s="601" t="str">
        <x:v>Contrôle de gestion</x:v>
      </x:c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/>
      <x:c r="B14" s="590"/>
      <x:c r="C14" s="590"/>
      <x:c r="D14" s="590"/>
      <x:c r="E14" s="590"/>
      <x:c r="F14" s="590"/>
      <x:c r="G14" s="590"/>
      <x:c r="H14" s="590"/>
      <x:c r="I14" s="590" t="str">
        <x:v>Budget</x:v>
      </x:c>
      <x:c r="J14" s="601" t="str">
        <x:v>À commenter</x:v>
      </x:c>
      <x:c r="K14" s="601" t="str">
        <x:v>Révision forecast</x:v>
      </x:c>
      <x:c r="L14" s="601" t="str">
        <x:v>Direction</x:v>
      </x:c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 t="str">
        <x:v>Risques</x:v>
      </x:c>
      <x:c r="J15" s="601" t="str">
        <x:v>À commenter</x:v>
      </x:c>
      <x:c r="K15" s="601" t="str">
        <x:v>Plan de maîtrise</x:v>
      </x:c>
      <x:c r="L15" s="601" t="str">
        <x:v>Responsable</x:v>
      </x:c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 t="str">
        <x:v>Clôture</x:v>
      </x:c>
      <x:c r="J16" s="601" t="str">
        <x:v>À commenter</x:v>
      </x:c>
      <x:c r="K16" s="601" t="str">
        <x:v>Correction écritures</x:v>
      </x:c>
      <x:c r="L16" s="601" t="str">
        <x:v>Comptabilité</x:v>
      </x:c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 t="str">
        <x:v>Décision</x:v>
      </x:c>
      <x:c r="J17" s="601" t="str">
        <x:v>À commenter</x:v>
      </x:c>
      <x:c r="K17" s="601" t="str">
        <x:v>Arbitrage</x:v>
      </x:c>
      <x:c r="L17" s="601" t="str">
        <x:v>Comité</x:v>
      </x:c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 t="str">
        <x:v>Échéance</x:v>
      </x:c>
      <x:c r="J18" s="601" t="str">
        <x:v>À définir</x:v>
      </x:c>
      <x:c r="K18" s="601" t="str">
        <x:v>Suivi</x:v>
      </x:c>
      <x:c r="L18" s="601" t="str">
        <x:v>PMO</x:v>
      </x:c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L1"/>
    <x:mergeCell ref="A2:L2"/>
    <x:mergeCell ref="A4:B6"/>
    <x:mergeCell ref="C4:D6"/>
    <x:mergeCell ref="E4:F6"/>
    <x:mergeCell ref="G4:H6"/>
    <x:mergeCell ref="I4:J6"/>
    <x:mergeCell ref="K4:L6"/>
    <x:mergeCell ref="A4:B4"/>
    <x:mergeCell ref="A5:B6"/>
    <x:mergeCell ref="C4:D4"/>
    <x:mergeCell ref="C5:D6"/>
    <x:mergeCell ref="E4:F4"/>
    <x:mergeCell ref="E5:F6"/>
    <x:mergeCell ref="G4:H4"/>
    <x:mergeCell ref="G5:H6"/>
    <x:mergeCell ref="I4:J4"/>
    <x:mergeCell ref="I5:J6"/>
    <x:mergeCell ref="K4:L4"/>
    <x:mergeCell ref="K5:L6"/>
    <x:mergeCell ref="I8:L8"/>
  </x:mergeCells>
  <x:conditionalFormatting sqref="F9:F11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G9:G11">
    <x:cfRule type="dataBar" priority="2">
      <x:dataBar>
        <x:cfvo type="min"/>
        <x:cfvo type="max"/>
        <x:color rgb="FF173F5F"/>
      </x:dataBar>
      <x:extLst>
        <x:ext xmlns:x14="http://schemas.microsoft.com/office/spreadsheetml/2009/9/main" uri="{B025F937-C7B1-47D3-B67F-A62EFF666E3E}">
          <x14:id>{20D88DAA-7D43-468F-5E1C-E1160B46ED3D}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a56a971114c546f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20D88DAA-7D43-468F-5E1C-E1160B46ED3D}">
            <x14:dataBar gradient="1">
              <x14:cfvo type="min"/>
              <x14:cfvo type="max"/>
              <x14:fillColor rgb="FF173F5F"/>
            </x14:dataBar>
          </x14:cfRule>
          <xm:sqref>G9:G11</xm:sqref>
        </x14:conditionalFormatting>
      </x14:conditionalFormattings>
    </x:ext>
  </x:extLst>
</x:worksheet>
</file>

<file path=xl/worksheets/sheet8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241" t="str">
        <x:v>REPORTING FILIALE</x:v>
      </x:c>
      <x:c r="B1" s="241"/>
      <x:c r="C1" s="241"/>
      <x:c r="D1" s="241"/>
      <x:c r="E1" s="241"/>
      <x:c r="F1" s="241"/>
      <x:c r="G1" s="241"/>
      <x:c r="H1" s="241"/>
      <x:c r="I1" s="241"/>
      <x:c r="J1" s="241"/>
      <x:c r="K1" s="241"/>
      <x:c r="L1" s="241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608" t="str">
        <x:v>Pilotage autonome d'une filiale et remontée au groupe</x:v>
      </x:c>
      <x:c r="B2" s="608"/>
      <x:c r="C2" s="608"/>
      <x:c r="D2" s="608"/>
      <x:c r="E2" s="608"/>
      <x:c r="F2" s="608"/>
      <x:c r="G2" s="608"/>
      <x:c r="H2" s="608"/>
      <x:c r="I2" s="608"/>
      <x:c r="J2" s="608"/>
      <x:c r="K2" s="608"/>
      <x:c r="L2" s="608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113" t="str">
        <x:v>Chiffre d'affaires</x:v>
      </x:c>
      <x:c r="B4" s="114"/>
      <x:c r="C4" s="147" t="str">
        <x:v>Charges</x:v>
      </x:c>
      <x:c r="D4" s="148"/>
      <x:c r="E4" s="153" t="str">
        <x:v>Résultat net</x:v>
      </x:c>
      <x:c r="F4" s="154"/>
      <x:c r="G4" s="159" t="str">
        <x:v>Marge nette</x:v>
      </x:c>
      <x:c r="H4" s="160"/>
      <x:c r="I4" s="165" t="str">
        <x:v>Trésorerie estimée</x:v>
      </x:c>
      <x:c r="J4" s="166"/>
      <x:c r="K4" s="171" t="str">
        <x:v>Écart budget</x:v>
      </x:c>
      <x:c r="L4" s="172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176" t="n">
        <x:f>SUMIFS('Données'!$M$4:$M$243,'Données'!$I$4:$I$243,"Produit",'Données'!$J$4:$J$243,"&lt;&gt;Prévision")</x:f>
        <x:v>912308</x:v>
      </x:c>
      <x:c r="B5" s="177"/>
      <x:c r="C5" s="176" t="n">
        <x:f>-SUMIFS('Données'!$M$4:$M$243,'Données'!$I$4:$I$243,"Charge",'Données'!$J$4:$J$243,"&lt;&gt;Prévision")</x:f>
        <x:v>1210649</x:v>
      </x:c>
      <x:c r="D5" s="177"/>
      <x:c r="E5" s="176" t="n">
        <x:f>A5-C5</x:f>
        <x:v>-298341</x:v>
      </x:c>
      <x:c r="F5" s="177"/>
      <x:c r="G5" s="184" t="n">
        <x:f>IFERROR(E5/A5,0)</x:f>
        <x:v>-0.3270178492351267</x:v>
      </x:c>
      <x:c r="H5" s="185"/>
      <x:c r="I5" s="176" t="n">
        <x:f>E5+'Paramètres'!$B$8</x:f>
        <x:v>-248341</x:v>
      </x:c>
      <x:c r="J5" s="177"/>
      <x:c r="K5" s="176" t="n">
        <x:f>SUM('Données'!$O$4:$O$243)</x:f>
        <x:v>-2226.292562321263</x:v>
      </x:c>
      <x:c r="L5" s="177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178"/>
      <x:c r="B6" s="179"/>
      <x:c r="C6" s="178"/>
      <x:c r="D6" s="179"/>
      <x:c r="E6" s="178"/>
      <x:c r="F6" s="179"/>
      <x:c r="G6" s="186"/>
      <x:c r="H6" s="187"/>
      <x:c r="I6" s="178"/>
      <x:c r="J6" s="179"/>
      <x:c r="K6" s="178"/>
      <x:c r="L6" s="179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590"/>
      <x:c r="B7" s="590"/>
      <x:c r="C7" s="590"/>
      <x:c r="D7" s="590"/>
      <x:c r="E7" s="590"/>
      <x:c r="F7" s="590"/>
      <x:c r="G7" s="590"/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336" t="str">
        <x:v>Période</x:v>
      </x:c>
      <x:c r="B8" s="336" t="str">
        <x:v>CA</x:v>
      </x:c>
      <x:c r="C8" s="336" t="str">
        <x:v>Charges</x:v>
      </x:c>
      <x:c r="D8" s="336" t="str">
        <x:v>Résultat</x:v>
      </x:c>
      <x:c r="E8" s="336" t="str">
        <x:v>Budget</x:v>
      </x:c>
      <x:c r="F8" s="336" t="str">
        <x:v>Écart</x:v>
      </x:c>
      <x:c r="G8" s="336" t="str">
        <x:v>Marge nette</x:v>
      </x:c>
      <x:c r="H8" s="590"/>
      <x:c r="I8" s="592" t="str">
        <x:v>Analyse et actions</x:v>
      </x:c>
      <x:c r="J8" s="592"/>
      <x:c r="K8" s="592"/>
      <x:c r="L8" s="592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590" t="str">
        <x:v>Filiale Nord</x:v>
      </x:c>
      <x:c r="B9" s="593" t="n">
        <x:f>SUMIFS('Données'!$M$4:$M$243,'Données'!$I$4:$I$243,"Produit",'Données'!$F$4:$F$243,"Filiale Nord",'Données'!$J$4:$J$243,"&lt;&gt;Prévision")</x:f>
        <x:v>228758</x:v>
      </x:c>
      <x:c r="C9" s="593" t="n">
        <x:f>-SUMIFS('Données'!$M$4:$M$243,'Données'!$I$4:$I$243,"Charge",'Données'!$F$4:$F$243,"Filiale Nord",'Données'!$J$4:$J$243,"&lt;&gt;Prévision")</x:f>
        <x:v>369138</x:v>
      </x:c>
      <x:c r="D9" s="593" t="n">
        <x:f>B9-C9</x:f>
        <x:v>-140380</x:v>
      </x:c>
      <x:c r="E9" s="593" t="n">
        <x:f>SUMIFS('Données'!$N$4:$N$243,'Données'!$F$4:$F$243,"Filiale Nord")</x:f>
        <x:v>-162382.27479895746</x:v>
      </x:c>
      <x:c r="F9" s="593" t="n">
        <x:f>D9-E9</x:f>
        <x:v>22002.274798957456</x:v>
      </x:c>
      <x:c r="G9" s="594" t="n">
        <x:f>IFERROR(D9/B9,0)</x:f>
        <x:v>-0.6136615987200448</x:v>
      </x:c>
      <x:c r="H9" s="590"/>
      <x:c r="I9" s="609" t="str">
        <x:v>Indicateur</x:v>
      </x:c>
      <x:c r="J9" s="609" t="str">
        <x:v>Constat</x:v>
      </x:c>
      <x:c r="K9" s="609" t="str">
        <x:v>Action</x:v>
      </x:c>
      <x:c r="L9" s="609" t="str">
        <x:v>Responsable</x:v>
      </x:c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590" t="str">
        <x:v>Filiale Sud</x:v>
      </x:c>
      <x:c r="B10" s="593" t="n">
        <x:f>SUMIFS('Données'!$M$4:$M$243,'Données'!$I$4:$I$243,"Produit",'Données'!$F$4:$F$243,"Filiale Sud",'Données'!$J$4:$J$243,"&lt;&gt;Prévision")</x:f>
        <x:v>373642</x:v>
      </x:c>
      <x:c r="C10" s="593" t="n">
        <x:f>-SUMIFS('Données'!$M$4:$M$243,'Données'!$I$4:$I$243,"Charge",'Données'!$F$4:$F$243,"Filiale Sud",'Données'!$J$4:$J$243,"&lt;&gt;Prévision")</x:f>
        <x:v>433139</x:v>
      </x:c>
      <x:c r="D10" s="593" t="n">
        <x:f>B10-C10</x:f>
        <x:v>-59497</x:v>
      </x:c>
      <x:c r="E10" s="593" t="n">
        <x:f>SUMIFS('Données'!$N$4:$N$243,'Données'!$F$4:$F$243,"Filiale Sud")</x:f>
        <x:v>-97617.42605446865</x:v>
      </x:c>
      <x:c r="F10" s="593" t="n">
        <x:f>D10-E10</x:f>
        <x:v>38120.426054468655</x:v>
      </x:c>
      <x:c r="G10" s="594" t="n">
        <x:f>IFERROR(D10/B10,0)</x:f>
        <x:v>-0.15923531080553044</x:v>
      </x:c>
      <x:c r="H10" s="590"/>
      <x:c r="I10" s="590" t="str">
        <x:v>CA</x:v>
      </x:c>
      <x:c r="J10" s="601" t="str">
        <x:v>À commenter</x:v>
      </x:c>
      <x:c r="K10" s="601" t="str">
        <x:v>Plan commercial</x:v>
      </x:c>
      <x:c r="L10" s="601" t="str">
        <x:v>Direction</x:v>
      </x:c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590"/>
      <x:c r="B11" s="590"/>
      <x:c r="C11" s="590"/>
      <x:c r="D11" s="590"/>
      <x:c r="E11" s="590"/>
      <x:c r="F11" s="590"/>
      <x:c r="G11" s="590"/>
      <x:c r="H11" s="590"/>
      <x:c r="I11" s="590" t="str">
        <x:v>Marge</x:v>
      </x:c>
      <x:c r="J11" s="601" t="str">
        <x:v>À commenter</x:v>
      </x:c>
      <x:c r="K11" s="601" t="str">
        <x:v>Revue prix/achats</x:v>
      </x:c>
      <x:c r="L11" s="601" t="str">
        <x:v>DAF</x:v>
      </x:c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/>
      <x:c r="B12" s="590"/>
      <x:c r="C12" s="590"/>
      <x:c r="D12" s="590"/>
      <x:c r="E12" s="590"/>
      <x:c r="F12" s="590"/>
      <x:c r="G12" s="590"/>
      <x:c r="H12" s="590"/>
      <x:c r="I12" s="590" t="str">
        <x:v>Trésorerie</x:v>
      </x:c>
      <x:c r="J12" s="601" t="str">
        <x:v>À commenter</x:v>
      </x:c>
      <x:c r="K12" s="601" t="str">
        <x:v>Plan de cash</x:v>
      </x:c>
      <x:c r="L12" s="601" t="str">
        <x:v>Trésorier</x:v>
      </x:c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 t="str">
        <x:v>BFR</x:v>
      </x:c>
      <x:c r="J13" s="601" t="str">
        <x:v>À commenter</x:v>
      </x:c>
      <x:c r="K13" s="601" t="str">
        <x:v>Relances / stocks</x:v>
      </x:c>
      <x:c r="L13" s="601" t="str">
        <x:v>Contrôle de gestion</x:v>
      </x:c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/>
      <x:c r="B14" s="590"/>
      <x:c r="C14" s="590"/>
      <x:c r="D14" s="590"/>
      <x:c r="E14" s="590"/>
      <x:c r="F14" s="590"/>
      <x:c r="G14" s="590"/>
      <x:c r="H14" s="590"/>
      <x:c r="I14" s="590" t="str">
        <x:v>Budget</x:v>
      </x:c>
      <x:c r="J14" s="601" t="str">
        <x:v>À commenter</x:v>
      </x:c>
      <x:c r="K14" s="601" t="str">
        <x:v>Révision forecast</x:v>
      </x:c>
      <x:c r="L14" s="601" t="str">
        <x:v>Direction</x:v>
      </x:c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 t="str">
        <x:v>Risques</x:v>
      </x:c>
      <x:c r="J15" s="601" t="str">
        <x:v>À commenter</x:v>
      </x:c>
      <x:c r="K15" s="601" t="str">
        <x:v>Plan de maîtrise</x:v>
      </x:c>
      <x:c r="L15" s="601" t="str">
        <x:v>Responsable</x:v>
      </x:c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 t="str">
        <x:v>Clôture</x:v>
      </x:c>
      <x:c r="J16" s="601" t="str">
        <x:v>À commenter</x:v>
      </x:c>
      <x:c r="K16" s="601" t="str">
        <x:v>Correction écritures</x:v>
      </x:c>
      <x:c r="L16" s="601" t="str">
        <x:v>Comptabilité</x:v>
      </x:c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 t="str">
        <x:v>Décision</x:v>
      </x:c>
      <x:c r="J17" s="601" t="str">
        <x:v>À commenter</x:v>
      </x:c>
      <x:c r="K17" s="601" t="str">
        <x:v>Arbitrage</x:v>
      </x:c>
      <x:c r="L17" s="601" t="str">
        <x:v>Comité</x:v>
      </x:c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 t="str">
        <x:v>Échéance</x:v>
      </x:c>
      <x:c r="J18" s="601" t="str">
        <x:v>À définir</x:v>
      </x:c>
      <x:c r="K18" s="601" t="str">
        <x:v>Suivi</x:v>
      </x:c>
      <x:c r="L18" s="601" t="str">
        <x:v>PMO</x:v>
      </x:c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L1"/>
    <x:mergeCell ref="A2:L2"/>
    <x:mergeCell ref="A4:B6"/>
    <x:mergeCell ref="C4:D6"/>
    <x:mergeCell ref="E4:F6"/>
    <x:mergeCell ref="G4:H6"/>
    <x:mergeCell ref="I4:J6"/>
    <x:mergeCell ref="K4:L6"/>
    <x:mergeCell ref="A4:B4"/>
    <x:mergeCell ref="A5:B6"/>
    <x:mergeCell ref="C4:D4"/>
    <x:mergeCell ref="C5:D6"/>
    <x:mergeCell ref="E4:F4"/>
    <x:mergeCell ref="E5:F6"/>
    <x:mergeCell ref="G4:H4"/>
    <x:mergeCell ref="G5:H6"/>
    <x:mergeCell ref="I4:J4"/>
    <x:mergeCell ref="I5:J6"/>
    <x:mergeCell ref="K4:L4"/>
    <x:mergeCell ref="K5:L6"/>
    <x:mergeCell ref="I8:L8"/>
  </x:mergeCells>
  <x:conditionalFormatting sqref="F9:F10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G9:G10">
    <x:cfRule type="dataBar" priority="2">
      <x:dataBar>
        <x:cfvo type="min"/>
        <x:cfvo type="max"/>
        <x:color rgb="FF2E8B57"/>
      </x:dataBar>
      <x:extLst>
        <x:ext xmlns:x14="http://schemas.microsoft.com/office/spreadsheetml/2009/9/main" uri="{B025F937-C7B1-47D3-B67F-A62EFF666E3E}">
          <x14:id>{0EFAFAE6-6202-35D1-C3F9-8BF20A87D66A}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18af83e2be9142a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0EFAFAE6-6202-35D1-C3F9-8BF20A87D66A}">
            <x14:dataBar gradient="1">
              <x14:cfvo type="min"/>
              <x14:cfvo type="max"/>
              <x14:fillColor rgb="FF2E8B57"/>
            </x14:dataBar>
          </x14:cfRule>
          <xm:sqref>G9:G10</xm:sqref>
        </x14:conditionalFormatting>
      </x14:conditionalFormattings>
    </x:ext>
  </x:extLst>
</x:worksheet>
</file>

<file path=xl/worksheets/sheet9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253" t="str">
        <x:v>REPORTING IFRS</x:v>
      </x:c>
      <x:c r="B1" s="253"/>
      <x:c r="C1" s="253"/>
      <x:c r="D1" s="253"/>
      <x:c r="E1" s="253"/>
      <x:c r="F1" s="253"/>
      <x:c r="G1" s="253"/>
      <x:c r="H1" s="253"/>
      <x:c r="I1" s="253"/>
      <x:c r="J1" s="253"/>
      <x:c r="K1" s="253"/>
      <x:c r="L1" s="253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608" t="str">
        <x:v>Lecture par référentiel et suivi des retraitements</x:v>
      </x:c>
      <x:c r="B2" s="608"/>
      <x:c r="C2" s="608"/>
      <x:c r="D2" s="608"/>
      <x:c r="E2" s="608"/>
      <x:c r="F2" s="608"/>
      <x:c r="G2" s="608"/>
      <x:c r="H2" s="608"/>
      <x:c r="I2" s="608"/>
      <x:c r="J2" s="608"/>
      <x:c r="K2" s="608"/>
      <x:c r="L2" s="608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113" t="str">
        <x:v>Chiffre d'affaires</x:v>
      </x:c>
      <x:c r="B4" s="114"/>
      <x:c r="C4" s="147" t="str">
        <x:v>Charges</x:v>
      </x:c>
      <x:c r="D4" s="148"/>
      <x:c r="E4" s="153" t="str">
        <x:v>Résultat net</x:v>
      </x:c>
      <x:c r="F4" s="154"/>
      <x:c r="G4" s="159" t="str">
        <x:v>Marge nette</x:v>
      </x:c>
      <x:c r="H4" s="160"/>
      <x:c r="I4" s="165" t="str">
        <x:v>Trésorerie estimée</x:v>
      </x:c>
      <x:c r="J4" s="166"/>
      <x:c r="K4" s="171" t="str">
        <x:v>Écart budget</x:v>
      </x:c>
      <x:c r="L4" s="172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176" t="n">
        <x:f>SUMIFS('Données'!$M$4:$M$243,'Données'!$I$4:$I$243,"Produit",'Données'!$J$4:$J$243,"&lt;&gt;Prévision")</x:f>
        <x:v>912308</x:v>
      </x:c>
      <x:c r="B5" s="177"/>
      <x:c r="C5" s="176" t="n">
        <x:f>-SUMIFS('Données'!$M$4:$M$243,'Données'!$I$4:$I$243,"Charge",'Données'!$J$4:$J$243,"&lt;&gt;Prévision")</x:f>
        <x:v>1210649</x:v>
      </x:c>
      <x:c r="D5" s="177"/>
      <x:c r="E5" s="176" t="n">
        <x:f>A5-C5</x:f>
        <x:v>-298341</x:v>
      </x:c>
      <x:c r="F5" s="177"/>
      <x:c r="G5" s="184" t="n">
        <x:f>IFERROR(E5/A5,0)</x:f>
        <x:v>-0.3270178492351267</x:v>
      </x:c>
      <x:c r="H5" s="185"/>
      <x:c r="I5" s="176" t="n">
        <x:f>E5+'Paramètres'!$B$8</x:f>
        <x:v>-248341</x:v>
      </x:c>
      <x:c r="J5" s="177"/>
      <x:c r="K5" s="176" t="n">
        <x:f>SUM('Données'!$O$4:$O$243)</x:f>
        <x:v>-2226.292562321263</x:v>
      </x:c>
      <x:c r="L5" s="177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178"/>
      <x:c r="B6" s="179"/>
      <x:c r="C6" s="178"/>
      <x:c r="D6" s="179"/>
      <x:c r="E6" s="178"/>
      <x:c r="F6" s="179"/>
      <x:c r="G6" s="186"/>
      <x:c r="H6" s="187"/>
      <x:c r="I6" s="178"/>
      <x:c r="J6" s="179"/>
      <x:c r="K6" s="178"/>
      <x:c r="L6" s="179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590"/>
      <x:c r="B7" s="590"/>
      <x:c r="C7" s="590"/>
      <x:c r="D7" s="590"/>
      <x:c r="E7" s="590"/>
      <x:c r="F7" s="590"/>
      <x:c r="G7" s="590"/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486" t="str">
        <x:v>Période</x:v>
      </x:c>
      <x:c r="B8" s="486" t="str">
        <x:v>CA</x:v>
      </x:c>
      <x:c r="C8" s="486" t="str">
        <x:v>Charges</x:v>
      </x:c>
      <x:c r="D8" s="486" t="str">
        <x:v>Résultat</x:v>
      </x:c>
      <x:c r="E8" s="486" t="str">
        <x:v>Budget</x:v>
      </x:c>
      <x:c r="F8" s="486" t="str">
        <x:v>Écart</x:v>
      </x:c>
      <x:c r="G8" s="486" t="str">
        <x:v>Marge nette</x:v>
      </x:c>
      <x:c r="H8" s="590"/>
      <x:c r="I8" s="592" t="str">
        <x:v>Analyse et actions</x:v>
      </x:c>
      <x:c r="J8" s="592"/>
      <x:c r="K8" s="592"/>
      <x:c r="L8" s="592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590" t="str">
        <x:v>PCG</x:v>
      </x:c>
      <x:c r="B9" s="593" t="n">
        <x:f>SUMIFS('Données'!$M$4:$M$243,'Données'!$I$4:$I$243,"Produit",'Données'!$P$4:$P$243,"PCG",'Données'!$J$4:$J$243,"&lt;&gt;Prévision")</x:f>
        <x:v>198678</x:v>
      </x:c>
      <x:c r="C9" s="593" t="n">
        <x:f>-SUMIFS('Données'!$M$4:$M$243,'Données'!$I$4:$I$243,"Charge",'Données'!$P$4:$P$243,"PCG",'Données'!$J$4:$J$243,"&lt;&gt;Prévision")</x:f>
        <x:v>419665</x:v>
      </x:c>
      <x:c r="D9" s="593" t="n">
        <x:f>B9-C9</x:f>
        <x:v>-220987</x:v>
      </x:c>
      <x:c r="E9" s="593" t="n">
        <x:f>SUMIFS('Données'!$N$4:$N$243,'Données'!$P$4:$P$243,"PCG")</x:f>
        <x:v>-321924.09660617285</x:v>
      </x:c>
      <x:c r="F9" s="593" t="n">
        <x:f>D9-E9</x:f>
        <x:v>100937.09660617285</x:v>
      </x:c>
      <x:c r="G9" s="594" t="n">
        <x:f>IFERROR(D9/B9,0)</x:f>
        <x:v>-1.11228721851438</x:v>
      </x:c>
      <x:c r="H9" s="590"/>
      <x:c r="I9" s="609" t="str">
        <x:v>Indicateur</x:v>
      </x:c>
      <x:c r="J9" s="609" t="str">
        <x:v>Constat</x:v>
      </x:c>
      <x:c r="K9" s="609" t="str">
        <x:v>Action</x:v>
      </x:c>
      <x:c r="L9" s="609" t="str">
        <x:v>Responsable</x:v>
      </x:c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590" t="str">
        <x:v>IFRS</x:v>
      </x:c>
      <x:c r="B10" s="593" t="n">
        <x:f>SUMIFS('Données'!$M$4:$M$243,'Données'!$I$4:$I$243,"Produit",'Données'!$P$4:$P$243,"IFRS",'Données'!$J$4:$J$243,"&lt;&gt;Prévision")</x:f>
        <x:v>495624</x:v>
      </x:c>
      <x:c r="C10" s="593" t="n">
        <x:f>-SUMIFS('Données'!$M$4:$M$243,'Données'!$I$4:$I$243,"Charge",'Données'!$P$4:$P$243,"IFRS",'Données'!$J$4:$J$243,"&lt;&gt;Prévision")</x:f>
        <x:v>428566</x:v>
      </x:c>
      <x:c r="D10" s="593" t="n">
        <x:f>B10-C10</x:f>
        <x:v>67058</x:v>
      </x:c>
      <x:c r="E10" s="593" t="n">
        <x:f>SUMIFS('Données'!$N$4:$N$243,'Données'!$P$4:$P$243,"IFRS")</x:f>
        <x:v>117759.79173182198</x:v>
      </x:c>
      <x:c r="F10" s="593" t="n">
        <x:f>D10-E10</x:f>
        <x:v>-50701.791731821984</x:v>
      </x:c>
      <x:c r="G10" s="594" t="n">
        <x:f>IFERROR(D10/B10,0)</x:f>
        <x:v>0.13530014688554226</x:v>
      </x:c>
      <x:c r="H10" s="590"/>
      <x:c r="I10" s="590" t="str">
        <x:v>CA</x:v>
      </x:c>
      <x:c r="J10" s="601" t="str">
        <x:v>À commenter</x:v>
      </x:c>
      <x:c r="K10" s="601" t="str">
        <x:v>Plan commercial</x:v>
      </x:c>
      <x:c r="L10" s="601" t="str">
        <x:v>Direction</x:v>
      </x:c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590" t="str">
        <x:v>Management</x:v>
      </x:c>
      <x:c r="B11" s="593" t="n">
        <x:f>SUMIFS('Données'!$M$4:$M$243,'Données'!$I$4:$I$243,"Produit",'Données'!$P$4:$P$243,"Management",'Données'!$J$4:$J$243,"&lt;&gt;Prévision")</x:f>
        <x:v>218006</x:v>
      </x:c>
      <x:c r="C11" s="593" t="n">
        <x:f>-SUMIFS('Données'!$M$4:$M$243,'Données'!$I$4:$I$243,"Charge",'Données'!$P$4:$P$243,"Management",'Données'!$J$4:$J$243,"&lt;&gt;Prévision")</x:f>
        <x:v>362418</x:v>
      </x:c>
      <x:c r="D11" s="593" t="n">
        <x:f>B11-C11</x:f>
        <x:v>-144412</x:v>
      </x:c>
      <x:c r="E11" s="593" t="n">
        <x:f>SUMIFS('Données'!$N$4:$N$243,'Données'!$P$4:$P$243,"Management")</x:f>
        <x:v>-221004.4025633279</x:v>
      </x:c>
      <x:c r="F11" s="593" t="n">
        <x:f>D11-E11</x:f>
        <x:v>76592.4025633279</x:v>
      </x:c>
      <x:c r="G11" s="594" t="n">
        <x:f>IFERROR(D11/B11,0)</x:f>
        <x:v>-0.6624221351705917</x:v>
      </x:c>
      <x:c r="H11" s="590"/>
      <x:c r="I11" s="590" t="str">
        <x:v>Marge</x:v>
      </x:c>
      <x:c r="J11" s="601" t="str">
        <x:v>À commenter</x:v>
      </x:c>
      <x:c r="K11" s="601" t="str">
        <x:v>Revue prix/achats</x:v>
      </x:c>
      <x:c r="L11" s="601" t="str">
        <x:v>DAF</x:v>
      </x:c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/>
      <x:c r="B12" s="590"/>
      <x:c r="C12" s="590"/>
      <x:c r="D12" s="590"/>
      <x:c r="E12" s="590"/>
      <x:c r="F12" s="590"/>
      <x:c r="G12" s="590"/>
      <x:c r="H12" s="590"/>
      <x:c r="I12" s="590" t="str">
        <x:v>Trésorerie</x:v>
      </x:c>
      <x:c r="J12" s="601" t="str">
        <x:v>À commenter</x:v>
      </x:c>
      <x:c r="K12" s="601" t="str">
        <x:v>Plan de cash</x:v>
      </x:c>
      <x:c r="L12" s="601" t="str">
        <x:v>Trésorier</x:v>
      </x:c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 t="str">
        <x:v>BFR</x:v>
      </x:c>
      <x:c r="J13" s="601" t="str">
        <x:v>À commenter</x:v>
      </x:c>
      <x:c r="K13" s="601" t="str">
        <x:v>Relances / stocks</x:v>
      </x:c>
      <x:c r="L13" s="601" t="str">
        <x:v>Contrôle de gestion</x:v>
      </x:c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/>
      <x:c r="B14" s="590"/>
      <x:c r="C14" s="590"/>
      <x:c r="D14" s="590"/>
      <x:c r="E14" s="590"/>
      <x:c r="F14" s="590"/>
      <x:c r="G14" s="590"/>
      <x:c r="H14" s="590"/>
      <x:c r="I14" s="590" t="str">
        <x:v>Budget</x:v>
      </x:c>
      <x:c r="J14" s="601" t="str">
        <x:v>À commenter</x:v>
      </x:c>
      <x:c r="K14" s="601" t="str">
        <x:v>Révision forecast</x:v>
      </x:c>
      <x:c r="L14" s="601" t="str">
        <x:v>Direction</x:v>
      </x:c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 t="str">
        <x:v>Risques</x:v>
      </x:c>
      <x:c r="J15" s="601" t="str">
        <x:v>À commenter</x:v>
      </x:c>
      <x:c r="K15" s="601" t="str">
        <x:v>Plan de maîtrise</x:v>
      </x:c>
      <x:c r="L15" s="601" t="str">
        <x:v>Responsable</x:v>
      </x:c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 t="str">
        <x:v>Clôture</x:v>
      </x:c>
      <x:c r="J16" s="601" t="str">
        <x:v>À commenter</x:v>
      </x:c>
      <x:c r="K16" s="601" t="str">
        <x:v>Correction écritures</x:v>
      </x:c>
      <x:c r="L16" s="601" t="str">
        <x:v>Comptabilité</x:v>
      </x:c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 t="str">
        <x:v>Décision</x:v>
      </x:c>
      <x:c r="J17" s="601" t="str">
        <x:v>À commenter</x:v>
      </x:c>
      <x:c r="K17" s="601" t="str">
        <x:v>Arbitrage</x:v>
      </x:c>
      <x:c r="L17" s="601" t="str">
        <x:v>Comité</x:v>
      </x:c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 t="str">
        <x:v>Échéance</x:v>
      </x:c>
      <x:c r="J18" s="601" t="str">
        <x:v>À définir</x:v>
      </x:c>
      <x:c r="K18" s="601" t="str">
        <x:v>Suivi</x:v>
      </x:c>
      <x:c r="L18" s="601" t="str">
        <x:v>PMO</x:v>
      </x:c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L1"/>
    <x:mergeCell ref="A2:L2"/>
    <x:mergeCell ref="A4:B6"/>
    <x:mergeCell ref="C4:D6"/>
    <x:mergeCell ref="E4:F6"/>
    <x:mergeCell ref="G4:H6"/>
    <x:mergeCell ref="I4:J6"/>
    <x:mergeCell ref="K4:L6"/>
    <x:mergeCell ref="A4:B4"/>
    <x:mergeCell ref="A5:B6"/>
    <x:mergeCell ref="C4:D4"/>
    <x:mergeCell ref="C5:D6"/>
    <x:mergeCell ref="E4:F4"/>
    <x:mergeCell ref="E5:F6"/>
    <x:mergeCell ref="G4:H4"/>
    <x:mergeCell ref="G5:H6"/>
    <x:mergeCell ref="I4:J4"/>
    <x:mergeCell ref="I5:J6"/>
    <x:mergeCell ref="K4:L4"/>
    <x:mergeCell ref="K5:L6"/>
    <x:mergeCell ref="I8:L8"/>
  </x:mergeCells>
  <x:conditionalFormatting sqref="F9:F11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G9:G11">
    <x:cfRule type="dataBar" priority="2">
      <x:dataBar>
        <x:cfvo type="min"/>
        <x:cfvo type="max"/>
        <x:color rgb="FFC0392B"/>
      </x:dataBar>
      <x:extLst>
        <x:ext xmlns:x14="http://schemas.microsoft.com/office/spreadsheetml/2009/9/main" uri="{B025F937-C7B1-47D3-B67F-A62EFF666E3E}">
          <x14:id>{27C48794-A7F5-F3B2-48C3-E8B93F3F240A}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b6b0ca3777264dc5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27C48794-A7F5-F3B2-48C3-E8B93F3F240A}">
            <x14:dataBar gradient="1">
              <x14:cfvo type="min"/>
              <x14:cfvo type="max"/>
              <x14:fillColor rgb="FFC0392B"/>
            </x14:dataBar>
          </x14:cfRule>
          <xm:sqref>G9:G11</xm:sqref>
        </x14:conditionalFormatting>
      </x14:conditionalFormattings>
    </x:ext>
  </x:extLst>
</x:worksheet>
</file>

<file path=xl/worksheets/sheet10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265" t="str">
        <x:v>REPORTING PME</x:v>
      </x:c>
      <x:c r="B1" s="265"/>
      <x:c r="C1" s="265"/>
      <x:c r="D1" s="265"/>
      <x:c r="E1" s="265"/>
      <x:c r="F1" s="265"/>
      <x:c r="G1" s="265"/>
      <x:c r="H1" s="265"/>
      <x:c r="I1" s="265"/>
      <x:c r="J1" s="265"/>
      <x:c r="K1" s="265"/>
      <x:c r="L1" s="265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608" t="str">
        <x:v>Version simplifiée orientée trésorerie, marge et décisions</x:v>
      </x:c>
      <x:c r="B2" s="608"/>
      <x:c r="C2" s="608"/>
      <x:c r="D2" s="608"/>
      <x:c r="E2" s="608"/>
      <x:c r="F2" s="608"/>
      <x:c r="G2" s="608"/>
      <x:c r="H2" s="608"/>
      <x:c r="I2" s="608"/>
      <x:c r="J2" s="608"/>
      <x:c r="K2" s="608"/>
      <x:c r="L2" s="608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113" t="str">
        <x:v>Chiffre d'affaires</x:v>
      </x:c>
      <x:c r="B4" s="114"/>
      <x:c r="C4" s="147" t="str">
        <x:v>Charges</x:v>
      </x:c>
      <x:c r="D4" s="148"/>
      <x:c r="E4" s="153" t="str">
        <x:v>Résultat net</x:v>
      </x:c>
      <x:c r="F4" s="154"/>
      <x:c r="G4" s="159" t="str">
        <x:v>Marge nette</x:v>
      </x:c>
      <x:c r="H4" s="160"/>
      <x:c r="I4" s="165" t="str">
        <x:v>Trésorerie estimée</x:v>
      </x:c>
      <x:c r="J4" s="166"/>
      <x:c r="K4" s="171" t="str">
        <x:v>Écart budget</x:v>
      </x:c>
      <x:c r="L4" s="172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176" t="n">
        <x:f>SUMIFS('Données'!$M$4:$M$243,'Données'!$I$4:$I$243,"Produit",'Données'!$J$4:$J$243,"&lt;&gt;Prévision")</x:f>
        <x:v>912308</x:v>
      </x:c>
      <x:c r="B5" s="177"/>
      <x:c r="C5" s="176" t="n">
        <x:f>-SUMIFS('Données'!$M$4:$M$243,'Données'!$I$4:$I$243,"Charge",'Données'!$J$4:$J$243,"&lt;&gt;Prévision")</x:f>
        <x:v>1210649</x:v>
      </x:c>
      <x:c r="D5" s="177"/>
      <x:c r="E5" s="176" t="n">
        <x:f>A5-C5</x:f>
        <x:v>-298341</x:v>
      </x:c>
      <x:c r="F5" s="177"/>
      <x:c r="G5" s="184" t="n">
        <x:f>IFERROR(E5/A5,0)</x:f>
        <x:v>-0.3270178492351267</x:v>
      </x:c>
      <x:c r="H5" s="185"/>
      <x:c r="I5" s="176" t="n">
        <x:f>E5+'Paramètres'!$B$8</x:f>
        <x:v>-248341</x:v>
      </x:c>
      <x:c r="J5" s="177"/>
      <x:c r="K5" s="176" t="n">
        <x:f>SUM('Données'!$O$4:$O$243)</x:f>
        <x:v>-2226.292562321263</x:v>
      </x:c>
      <x:c r="L5" s="177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178"/>
      <x:c r="B6" s="179"/>
      <x:c r="C6" s="178"/>
      <x:c r="D6" s="179"/>
      <x:c r="E6" s="178"/>
      <x:c r="F6" s="179"/>
      <x:c r="G6" s="186"/>
      <x:c r="H6" s="187"/>
      <x:c r="I6" s="178"/>
      <x:c r="J6" s="179"/>
      <x:c r="K6" s="178"/>
      <x:c r="L6" s="179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590"/>
      <x:c r="B7" s="590"/>
      <x:c r="C7" s="590"/>
      <x:c r="D7" s="590"/>
      <x:c r="E7" s="590"/>
      <x:c r="F7" s="590"/>
      <x:c r="G7" s="590"/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436" t="str">
        <x:v>Période</x:v>
      </x:c>
      <x:c r="B8" s="436" t="str">
        <x:v>CA</x:v>
      </x:c>
      <x:c r="C8" s="436" t="str">
        <x:v>Charges</x:v>
      </x:c>
      <x:c r="D8" s="436" t="str">
        <x:v>Résultat</x:v>
      </x:c>
      <x:c r="E8" s="436" t="str">
        <x:v>Budget</x:v>
      </x:c>
      <x:c r="F8" s="436" t="str">
        <x:v>Écart</x:v>
      </x:c>
      <x:c r="G8" s="436" t="str">
        <x:v>Marge nette</x:v>
      </x:c>
      <x:c r="H8" s="590"/>
      <x:c r="I8" s="592" t="str">
        <x:v>Analyse et actions</x:v>
      </x:c>
      <x:c r="J8" s="592"/>
      <x:c r="K8" s="592"/>
      <x:c r="L8" s="592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590" t="str">
        <x:v>01</x:v>
      </x:c>
      <x:c r="B9" s="593" t="n">
        <x:f>SUMIFS('Données'!$M$4:$M$243,'Données'!$I$4:$I$243,"Produit",'Données'!$C$4:$C$243,"01 - January",'Données'!$J$4:$J$243,"&lt;&gt;Prévision")</x:f>
        <x:v>156284</x:v>
      </x:c>
      <x:c r="C9" s="593" t="n">
        <x:f>-SUMIFS('Données'!$M$4:$M$243,'Données'!$I$4:$I$243,"Charge",'Données'!$C$4:$C$243,"01 - January",'Données'!$J$4:$J$243,"&lt;&gt;Prévision")</x:f>
        <x:v>48337</x:v>
      </x:c>
      <x:c r="D9" s="593" t="n">
        <x:f>B9-C9</x:f>
        <x:v>107947</x:v>
      </x:c>
      <x:c r="E9" s="593" t="n">
        <x:f>SUMIFS('Données'!$N$4:$N$243,'Données'!$C$4:$C$243,"01 - January")</x:f>
        <x:v>170178.86820309726</x:v>
      </x:c>
      <x:c r="F9" s="593" t="n">
        <x:f>D9-E9</x:f>
        <x:v>-62231.868203097256</x:v>
      </x:c>
      <x:c r="G9" s="594" t="n">
        <x:f>IFERROR(D9/B9,0)</x:f>
        <x:v>0.6907105013948964</x:v>
      </x:c>
      <x:c r="H9" s="590"/>
      <x:c r="I9" s="609" t="str">
        <x:v>Indicateur</x:v>
      </x:c>
      <x:c r="J9" s="609" t="str">
        <x:v>Constat</x:v>
      </x:c>
      <x:c r="K9" s="609" t="str">
        <x:v>Action</x:v>
      </x:c>
      <x:c r="L9" s="609" t="str">
        <x:v>Responsable</x:v>
      </x:c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590" t="str">
        <x:v>02</x:v>
      </x:c>
      <x:c r="B10" s="593" t="n">
        <x:f>SUMIFS('Données'!$M$4:$M$243,'Données'!$I$4:$I$243,"Produit",'Données'!$C$4:$C$243,"02 - February",'Données'!$J$4:$J$243,"&lt;&gt;Prévision")</x:f>
        <x:v>0</x:v>
      </x:c>
      <x:c r="C10" s="593" t="n">
        <x:f>-SUMIFS('Données'!$M$4:$M$243,'Données'!$I$4:$I$243,"Charge",'Données'!$C$4:$C$243,"02 - February",'Données'!$J$4:$J$243,"&lt;&gt;Prévision")</x:f>
        <x:v>114970</x:v>
      </x:c>
      <x:c r="D10" s="593" t="n">
        <x:f>B10-C10</x:f>
        <x:v>-114970</x:v>
      </x:c>
      <x:c r="E10" s="593" t="n">
        <x:f>SUMIFS('Données'!$N$4:$N$243,'Données'!$C$4:$C$243,"02 - February")</x:f>
        <x:v>-132069.2461002683</x:v>
      </x:c>
      <x:c r="F10" s="593" t="n">
        <x:f>D10-E10</x:f>
        <x:v>17099.246100268298</x:v>
      </x:c>
      <x:c r="G10" s="594" t="n">
        <x:f>IFERROR(D10/B10,0)</x:f>
        <x:v>0</x:v>
      </x:c>
      <x:c r="H10" s="590"/>
      <x:c r="I10" s="590" t="str">
        <x:v>CA</x:v>
      </x:c>
      <x:c r="J10" s="601" t="str">
        <x:v>À commenter</x:v>
      </x:c>
      <x:c r="K10" s="601" t="str">
        <x:v>Plan commercial</x:v>
      </x:c>
      <x:c r="L10" s="601" t="str">
        <x:v>Direction</x:v>
      </x:c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590" t="str">
        <x:v>03</x:v>
      </x:c>
      <x:c r="B11" s="593" t="n">
        <x:f>SUMIFS('Données'!$M$4:$M$243,'Données'!$I$4:$I$243,"Produit",'Données'!$C$4:$C$243,"03 - March",'Données'!$J$4:$J$243,"&lt;&gt;Prévision")</x:f>
        <x:v>108580</x:v>
      </x:c>
      <x:c r="C11" s="593" t="n">
        <x:f>-SUMIFS('Données'!$M$4:$M$243,'Données'!$I$4:$I$243,"Charge",'Données'!$C$4:$C$243,"03 - March",'Données'!$J$4:$J$243,"&lt;&gt;Prévision")</x:f>
        <x:v>122573</x:v>
      </x:c>
      <x:c r="D11" s="593" t="n">
        <x:f>B11-C11</x:f>
        <x:v>-13993</x:v>
      </x:c>
      <x:c r="E11" s="593" t="n">
        <x:f>SUMIFS('Données'!$N$4:$N$243,'Données'!$C$4:$C$243,"03 - March")</x:f>
        <x:v>-41571.327354672234</x:v>
      </x:c>
      <x:c r="F11" s="593" t="n">
        <x:f>D11-E11</x:f>
        <x:v>27578.327354672234</x:v>
      </x:c>
      <x:c r="G11" s="594" t="n">
        <x:f>IFERROR(D11/B11,0)</x:f>
        <x:v>-0.12887272057469149</x:v>
      </x:c>
      <x:c r="H11" s="590"/>
      <x:c r="I11" s="590" t="str">
        <x:v>Marge</x:v>
      </x:c>
      <x:c r="J11" s="601" t="str">
        <x:v>À commenter</x:v>
      </x:c>
      <x:c r="K11" s="601" t="str">
        <x:v>Revue prix/achats</x:v>
      </x:c>
      <x:c r="L11" s="601" t="str">
        <x:v>DAF</x:v>
      </x:c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 t="str">
        <x:v>04</x:v>
      </x:c>
      <x:c r="B12" s="593" t="n">
        <x:f>SUMIFS('Données'!$M$4:$M$243,'Données'!$I$4:$I$243,"Produit",'Données'!$C$4:$C$243,"04 - April",'Données'!$J$4:$J$243,"&lt;&gt;Prévision")</x:f>
        <x:v>31960</x:v>
      </x:c>
      <x:c r="C12" s="593" t="n">
        <x:f>-SUMIFS('Données'!$M$4:$M$243,'Données'!$I$4:$I$243,"Charge",'Données'!$C$4:$C$243,"04 - April",'Données'!$J$4:$J$243,"&lt;&gt;Prévision")</x:f>
        <x:v>113368</x:v>
      </x:c>
      <x:c r="D12" s="593" t="n">
        <x:f>B12-C12</x:f>
        <x:v>-81408</x:v>
      </x:c>
      <x:c r="E12" s="593" t="n">
        <x:f>SUMIFS('Données'!$N$4:$N$243,'Données'!$C$4:$C$243,"04 - April")</x:f>
        <x:v>-121590.75904972896</x:v>
      </x:c>
      <x:c r="F12" s="593" t="n">
        <x:f>D12-E12</x:f>
        <x:v>40182.759049728964</x:v>
      </x:c>
      <x:c r="G12" s="594" t="n">
        <x:f>IFERROR(D12/B12,0)</x:f>
        <x:v>-2.5471839799749687</x:v>
      </x:c>
      <x:c r="H12" s="590"/>
      <x:c r="I12" s="590" t="str">
        <x:v>Trésorerie</x:v>
      </x:c>
      <x:c r="J12" s="601" t="str">
        <x:v>À commenter</x:v>
      </x:c>
      <x:c r="K12" s="601" t="str">
        <x:v>Plan de cash</x:v>
      </x:c>
      <x:c r="L12" s="601" t="str">
        <x:v>Trésorier</x:v>
      </x:c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 t="str">
        <x:v>05</x:v>
      </x:c>
      <x:c r="B13" s="593" t="n">
        <x:f>SUMIFS('Données'!$M$4:$M$243,'Données'!$I$4:$I$243,"Produit",'Données'!$C$4:$C$243,"05 - May",'Données'!$J$4:$J$243,"&lt;&gt;Prévision")</x:f>
        <x:v>76048</x:v>
      </x:c>
      <x:c r="C13" s="593" t="n">
        <x:f>-SUMIFS('Données'!$M$4:$M$243,'Données'!$I$4:$I$243,"Charge",'Données'!$C$4:$C$243,"05 - May",'Données'!$J$4:$J$243,"&lt;&gt;Prévision")</x:f>
        <x:v>91252</x:v>
      </x:c>
      <x:c r="D13" s="593" t="n">
        <x:f>B13-C13</x:f>
        <x:v>-15204</x:v>
      </x:c>
      <x:c r="E13" s="593" t="n">
        <x:f>SUMIFS('Données'!$N$4:$N$243,'Données'!$C$4:$C$243,"05 - May")</x:f>
        <x:v>-64724.53005201821</x:v>
      </x:c>
      <x:c r="F13" s="593" t="n">
        <x:f>D13-E13</x:f>
        <x:v>49520.53005201821</x:v>
      </x:c>
      <x:c r="G13" s="594" t="n">
        <x:f>IFERROR(D13/B13,0)</x:f>
        <x:v>-0.19992636229749633</x:v>
      </x:c>
      <x:c r="H13" s="590"/>
      <x:c r="I13" s="590" t="str">
        <x:v>BFR</x:v>
      </x:c>
      <x:c r="J13" s="601" t="str">
        <x:v>À commenter</x:v>
      </x:c>
      <x:c r="K13" s="601" t="str">
        <x:v>Relances / stocks</x:v>
      </x:c>
      <x:c r="L13" s="601" t="str">
        <x:v>Contrôle de gestion</x:v>
      </x:c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 t="str">
        <x:v>06</x:v>
      </x:c>
      <x:c r="B14" s="593" t="n">
        <x:f>SUMIFS('Données'!$M$4:$M$243,'Données'!$I$4:$I$243,"Produit",'Données'!$C$4:$C$243,"06 - June",'Données'!$J$4:$J$243,"&lt;&gt;Prévision")</x:f>
        <x:v>91996</x:v>
      </x:c>
      <x:c r="C14" s="593" t="n">
        <x:f>-SUMIFS('Données'!$M$4:$M$243,'Données'!$I$4:$I$243,"Charge",'Données'!$C$4:$C$243,"06 - June",'Données'!$J$4:$J$243,"&lt;&gt;Prévision")</x:f>
        <x:v>109456</x:v>
      </x:c>
      <x:c r="D14" s="593" t="n">
        <x:f>B14-C14</x:f>
        <x:v>-17460</x:v>
      </x:c>
      <x:c r="E14" s="593" t="n">
        <x:f>SUMIFS('Données'!$N$4:$N$243,'Données'!$C$4:$C$243,"06 - June")</x:f>
        <x:v>-37348.8391056233</x:v>
      </x:c>
      <x:c r="F14" s="593" t="n">
        <x:f>D14-E14</x:f>
        <x:v>19888.8391056233</x:v>
      </x:c>
      <x:c r="G14" s="594" t="n">
        <x:f>IFERROR(D14/B14,0)</x:f>
        <x:v>-0.18979086047219446</x:v>
      </x:c>
      <x:c r="H14" s="590"/>
      <x:c r="I14" s="590" t="str">
        <x:v>Budget</x:v>
      </x:c>
      <x:c r="J14" s="601" t="str">
        <x:v>À commenter</x:v>
      </x:c>
      <x:c r="K14" s="601" t="str">
        <x:v>Révision forecast</x:v>
      </x:c>
      <x:c r="L14" s="601" t="str">
        <x:v>Direction</x:v>
      </x:c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 t="str">
        <x:v>07</x:v>
      </x:c>
      <x:c r="B15" s="593" t="n">
        <x:f>SUMIFS('Données'!$M$4:$M$243,'Données'!$I$4:$I$243,"Produit",'Données'!$C$4:$C$243,"07 - July",'Données'!$J$4:$J$243,"&lt;&gt;Prévision")</x:f>
        <x:v>209156</x:v>
      </x:c>
      <x:c r="C15" s="593" t="n">
        <x:f>-SUMIFS('Données'!$M$4:$M$243,'Données'!$I$4:$I$243,"Charge",'Données'!$C$4:$C$243,"07 - July",'Données'!$J$4:$J$243,"&lt;&gt;Prévision")</x:f>
        <x:v>81780</x:v>
      </x:c>
      <x:c r="D15" s="593" t="n">
        <x:f>B15-C15</x:f>
        <x:v>127376</x:v>
      </x:c>
      <x:c r="E15" s="593" t="n">
        <x:f>SUMIFS('Données'!$N$4:$N$243,'Données'!$C$4:$C$243,"07 - July")</x:f>
        <x:v>94911.25935026063</x:v>
      </x:c>
      <x:c r="F15" s="593" t="n">
        <x:f>D15-E15</x:f>
        <x:v>32464.740649739368</x:v>
      </x:c>
      <x:c r="G15" s="594" t="n">
        <x:f>IFERROR(D15/B15,0)</x:f>
        <x:v>0.6089999808755188</x:v>
      </x:c>
      <x:c r="H15" s="590"/>
      <x:c r="I15" s="590" t="str">
        <x:v>Risques</x:v>
      </x:c>
      <x:c r="J15" s="601" t="str">
        <x:v>À commenter</x:v>
      </x:c>
      <x:c r="K15" s="601" t="str">
        <x:v>Plan de maîtrise</x:v>
      </x:c>
      <x:c r="L15" s="601" t="str">
        <x:v>Responsable</x:v>
      </x:c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 t="str">
        <x:v>08</x:v>
      </x:c>
      <x:c r="B16" s="593" t="n">
        <x:f>SUMIFS('Données'!$M$4:$M$243,'Données'!$I$4:$I$243,"Produit",'Données'!$C$4:$C$243,"08 - August",'Données'!$J$4:$J$243,"&lt;&gt;Prévision")</x:f>
        <x:v>12610</x:v>
      </x:c>
      <x:c r="C16" s="593" t="n">
        <x:f>-SUMIFS('Données'!$M$4:$M$243,'Données'!$I$4:$I$243,"Charge",'Données'!$C$4:$C$243,"08 - August",'Données'!$J$4:$J$243,"&lt;&gt;Prévision")</x:f>
        <x:v>60692</x:v>
      </x:c>
      <x:c r="D16" s="593" t="n">
        <x:f>B16-C16</x:f>
        <x:v>-48082</x:v>
      </x:c>
      <x:c r="E16" s="593" t="n">
        <x:f>SUMIFS('Données'!$N$4:$N$243,'Données'!$C$4:$C$243,"08 - August")</x:f>
        <x:v>-78687.16450667832</x:v>
      </x:c>
      <x:c r="F16" s="593" t="n">
        <x:f>D16-E16</x:f>
        <x:v>30605.164506678324</x:v>
      </x:c>
      <x:c r="G16" s="594" t="n">
        <x:f>IFERROR(D16/B16,0)</x:f>
        <x:v>-3.8130055511498813</x:v>
      </x:c>
      <x:c r="H16" s="590"/>
      <x:c r="I16" s="590" t="str">
        <x:v>Clôture</x:v>
      </x:c>
      <x:c r="J16" s="601" t="str">
        <x:v>À commenter</x:v>
      </x:c>
      <x:c r="K16" s="601" t="str">
        <x:v>Correction écritures</x:v>
      </x:c>
      <x:c r="L16" s="601" t="str">
        <x:v>Comptabilité</x:v>
      </x:c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 t="str">
        <x:v>09</x:v>
      </x:c>
      <x:c r="B17" s="593" t="n">
        <x:f>SUMIFS('Données'!$M$4:$M$243,'Données'!$I$4:$I$243,"Produit",'Données'!$C$4:$C$243,"09 - September",'Données'!$J$4:$J$243,"&lt;&gt;Prévision")</x:f>
        <x:v>95054</x:v>
      </x:c>
      <x:c r="C17" s="593" t="n">
        <x:f>-SUMIFS('Données'!$M$4:$M$243,'Données'!$I$4:$I$243,"Charge",'Données'!$C$4:$C$243,"09 - September",'Données'!$J$4:$J$243,"&lt;&gt;Prévision")</x:f>
        <x:v>147933</x:v>
      </x:c>
      <x:c r="D17" s="593" t="n">
        <x:f>B17-C17</x:f>
        <x:v>-52879</x:v>
      </x:c>
      <x:c r="E17" s="593" t="n">
        <x:f>SUMIFS('Données'!$N$4:$N$243,'Données'!$C$4:$C$243,"09 - September")</x:f>
        <x:v>-61745.949878166735</x:v>
      </x:c>
      <x:c r="F17" s="593" t="n">
        <x:f>D17-E17</x:f>
        <x:v>8866.949878166735</x:v>
      </x:c>
      <x:c r="G17" s="594" t="n">
        <x:f>IFERROR(D17/B17,0)</x:f>
        <x:v>-0.556304837250405</x:v>
      </x:c>
      <x:c r="H17" s="590"/>
      <x:c r="I17" s="590" t="str">
        <x:v>Décision</x:v>
      </x:c>
      <x:c r="J17" s="601" t="str">
        <x:v>À commenter</x:v>
      </x:c>
      <x:c r="K17" s="601" t="str">
        <x:v>Arbitrage</x:v>
      </x:c>
      <x:c r="L17" s="601" t="str">
        <x:v>Comité</x:v>
      </x:c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 t="str">
        <x:v>10</x:v>
      </x:c>
      <x:c r="B18" s="593" t="n">
        <x:f>SUMIFS('Données'!$M$4:$M$243,'Données'!$I$4:$I$243,"Produit",'Données'!$C$4:$C$243,"10 - October",'Données'!$J$4:$J$243,"&lt;&gt;Prévision")</x:f>
        <x:v>16397</x:v>
      </x:c>
      <x:c r="C18" s="593" t="n">
        <x:f>-SUMIFS('Données'!$M$4:$M$243,'Données'!$I$4:$I$243,"Charge",'Données'!$C$4:$C$243,"10 - October",'Données'!$J$4:$J$243,"&lt;&gt;Prévision")</x:f>
        <x:v>88710</x:v>
      </x:c>
      <x:c r="D18" s="593" t="n">
        <x:f>B18-C18</x:f>
        <x:v>-72313</x:v>
      </x:c>
      <x:c r="E18" s="593" t="n">
        <x:f>SUMIFS('Données'!$N$4:$N$243,'Données'!$C$4:$C$243,"10 - October")</x:f>
        <x:v>-33596.54893870241</x:v>
      </x:c>
      <x:c r="F18" s="593" t="n">
        <x:f>D18-E18</x:f>
        <x:v>-38716.45106129759</x:v>
      </x:c>
      <x:c r="G18" s="594" t="n">
        <x:f>IFERROR(D18/B18,0)</x:f>
        <x:v>-4.410136000487894</x:v>
      </x:c>
      <x:c r="H18" s="590"/>
      <x:c r="I18" s="590" t="str">
        <x:v>Échéance</x:v>
      </x:c>
      <x:c r="J18" s="601" t="str">
        <x:v>À définir</x:v>
      </x:c>
      <x:c r="K18" s="601" t="str">
        <x:v>Suivi</x:v>
      </x:c>
      <x:c r="L18" s="601" t="str">
        <x:v>PMO</x:v>
      </x:c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 t="str">
        <x:v>11</x:v>
      </x:c>
      <x:c r="B19" s="593" t="n">
        <x:f>SUMIFS('Données'!$M$4:$M$243,'Données'!$I$4:$I$243,"Produit",'Données'!$C$4:$C$243,"11 - November",'Données'!$J$4:$J$243,"&lt;&gt;Prévision")</x:f>
        <x:v>9789</x:v>
      </x:c>
      <x:c r="C19" s="593" t="n">
        <x:f>-SUMIFS('Données'!$M$4:$M$243,'Données'!$I$4:$I$243,"Charge",'Données'!$C$4:$C$243,"11 - November",'Données'!$J$4:$J$243,"&lt;&gt;Prévision")</x:f>
        <x:v>88569</x:v>
      </x:c>
      <x:c r="D19" s="593" t="n">
        <x:f>B19-C19</x:f>
        <x:v>-78780</x:v>
      </x:c>
      <x:c r="E19" s="593" t="n">
        <x:f>SUMIFS('Données'!$N$4:$N$243,'Données'!$C$4:$C$243,"11 - November")</x:f>
        <x:v>-71829.18146969228</x:v>
      </x:c>
      <x:c r="F19" s="593" t="n">
        <x:f>D19-E19</x:f>
        <x:v>-6950.818530307719</x:v>
      </x:c>
      <x:c r="G19" s="594" t="n">
        <x:f>IFERROR(D19/B19,0)</x:f>
        <x:v>-8.047808764940239</x:v>
      </x:c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 t="str">
        <x:v>12</x:v>
      </x:c>
      <x:c r="B20" s="593" t="n">
        <x:f>SUMIFS('Données'!$M$4:$M$243,'Données'!$I$4:$I$243,"Produit",'Données'!$C$4:$C$243,"12 - December",'Données'!$J$4:$J$243,"&lt;&gt;Prévision")</x:f>
        <x:v>104434</x:v>
      </x:c>
      <x:c r="C20" s="593" t="n">
        <x:f>-SUMIFS('Données'!$M$4:$M$243,'Données'!$I$4:$I$243,"Charge",'Données'!$C$4:$C$243,"12 - December",'Données'!$J$4:$J$243,"&lt;&gt;Prévision")</x:f>
        <x:v>143009</x:v>
      </x:c>
      <x:c r="D20" s="593" t="n">
        <x:f>B20-C20</x:f>
        <x:v>-38575</x:v>
      </x:c>
      <x:c r="E20" s="593" t="n">
        <x:f>SUMIFS('Données'!$N$4:$N$243,'Données'!$C$4:$C$243,"12 - December")</x:f>
        <x:v>-47095.28853548585</x:v>
      </x:c>
      <x:c r="F20" s="593" t="n">
        <x:f>D20-E20</x:f>
        <x:v>8520.288535485852</x:v>
      </x:c>
      <x:c r="G20" s="594" t="n">
        <x:f>IFERROR(D20/B20,0)</x:f>
        <x:v>-0.36937204358733744</x:v>
      </x:c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L1"/>
    <x:mergeCell ref="A2:L2"/>
    <x:mergeCell ref="A4:B6"/>
    <x:mergeCell ref="C4:D6"/>
    <x:mergeCell ref="E4:F6"/>
    <x:mergeCell ref="G4:H6"/>
    <x:mergeCell ref="I4:J6"/>
    <x:mergeCell ref="K4:L6"/>
    <x:mergeCell ref="A4:B4"/>
    <x:mergeCell ref="A5:B6"/>
    <x:mergeCell ref="C4:D4"/>
    <x:mergeCell ref="C5:D6"/>
    <x:mergeCell ref="E4:F4"/>
    <x:mergeCell ref="E5:F6"/>
    <x:mergeCell ref="G4:H4"/>
    <x:mergeCell ref="G5:H6"/>
    <x:mergeCell ref="I4:J4"/>
    <x:mergeCell ref="I5:J6"/>
    <x:mergeCell ref="K4:L4"/>
    <x:mergeCell ref="K5:L6"/>
    <x:mergeCell ref="I8:L8"/>
  </x:mergeCells>
  <x:conditionalFormatting sqref="F9:F20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G9:G20">
    <x:cfRule type="dataBar" priority="2">
      <x:dataBar>
        <x:cfvo type="min"/>
        <x:cfvo type="max"/>
        <x:color rgb="FFF6A623"/>
      </x:dataBar>
      <x:extLst>
        <x:ext xmlns:x14="http://schemas.microsoft.com/office/spreadsheetml/2009/9/main" uri="{B025F937-C7B1-47D3-B67F-A62EFF666E3E}">
          <x14:id>{F45F906C-A9D9-F847-D23F-FECC73F05B61}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31582ba027e94c32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F45F906C-A9D9-F847-D23F-FECC73F05B61}">
            <x14:dataBar gradient="1">
              <x14:cfvo type="min"/>
              <x14:cfvo type="max"/>
              <x14:fillColor rgb="FFF6A623"/>
            </x14:dataBar>
          </x14:cfRule>
          <xm:sqref>G9:G20</xm:sqref>
        </x14:conditionalFormatting>
      </x14:conditionalFormattings>
    </x:ext>
  </x:extLst>
</x:worksheet>
</file>

<file path=xl/worksheets/sheet1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18" hidden="0" customWidth="1"/>
    <x:col min="4" max="4" width="18" hidden="0" customWidth="1"/>
  </x:cols>
  <x:sheetData>
    <x:row r="1" ht="34" customHeight="1">
      <x:c r="A1" s="5" t="str">
        <x:v>PARAMÈTRES DU MODÈLE DE REPORTING COMPTABLE</x:v>
      </x:c>
      <x:c r="B1" s="5"/>
      <x:c r="C1" s="5"/>
      <x:c r="D1" s="5"/>
      <x:c r="E1" s="5"/>
      <x:c r="F1" s="5"/>
      <x:c r="G1" s="5"/>
      <x:c r="H1" s="5"/>
      <x:c r="I1" s="590"/>
      <x:c r="J1" s="590"/>
      <x:c r="K1" s="590"/>
      <x:c r="L1" s="590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590"/>
      <x:c r="B2" s="590"/>
      <x:c r="C2" s="590"/>
      <x:c r="D2" s="590"/>
      <x:c r="E2" s="590"/>
      <x:c r="F2" s="590"/>
      <x:c r="G2" s="590"/>
      <x:c r="H2" s="590"/>
      <x:c r="I2" s="590"/>
      <x:c r="J2" s="590"/>
      <x:c r="K2" s="590"/>
      <x:c r="L2" s="590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284" t="str">
        <x:v>Paramètre</x:v>
      </x:c>
      <x:c r="B3" s="284" t="str">
        <x:v>Valeur</x:v>
      </x:c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590" t="str">
        <x:v>Exercice</x:v>
      </x:c>
      <x:c r="B4" s="601" t="n">
        <x:v>2026</x:v>
      </x:c>
      <x:c r="C4" s="590"/>
      <x:c r="D4" s="590"/>
      <x:c r="E4" s="590"/>
      <x:c r="F4" s="590"/>
      <x:c r="G4" s="590"/>
      <x:c r="H4" s="590"/>
      <x:c r="I4" s="590"/>
      <x:c r="J4" s="590"/>
      <x:c r="K4" s="590"/>
      <x:c r="L4" s="590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590" t="str">
        <x:v>Devise</x:v>
      </x:c>
      <x:c r="B5" s="601" t="str">
        <x:v>EUR</x:v>
      </x:c>
      <x:c r="C5" s="590"/>
      <x:c r="D5" s="590"/>
      <x:c r="E5" s="590"/>
      <x:c r="F5" s="590"/>
      <x:c r="G5" s="590"/>
      <x:c r="H5" s="590"/>
      <x:c r="I5" s="590"/>
      <x:c r="J5" s="590"/>
      <x:c r="K5" s="590"/>
      <x:c r="L5" s="590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590" t="str">
        <x:v>Objectif CA annuel</x:v>
      </x:c>
      <x:c r="B6" s="602" t="n">
        <x:v>1500000</x:v>
      </x:c>
      <x:c r="C6" s="590"/>
      <x:c r="D6" s="590"/>
      <x:c r="E6" s="590"/>
      <x:c r="F6" s="590"/>
      <x:c r="G6" s="590"/>
      <x:c r="H6" s="590"/>
      <x:c r="I6" s="590"/>
      <x:c r="J6" s="590"/>
      <x:c r="K6" s="590"/>
      <x:c r="L6" s="590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590" t="str">
        <x:v>Objectif marge brute</x:v>
      </x:c>
      <x:c r="B7" s="616" t="n">
        <x:v>0.38</x:v>
      </x:c>
      <x:c r="C7" s="590"/>
      <x:c r="D7" s="590"/>
      <x:c r="E7" s="590"/>
      <x:c r="F7" s="590"/>
      <x:c r="G7" s="590"/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590" t="str">
        <x:v>Seuil trésorerie d'alerte</x:v>
      </x:c>
      <x:c r="B8" s="602" t="n">
        <x:v>50000</x:v>
      </x:c>
      <x:c r="C8" s="590"/>
      <x:c r="D8" s="590"/>
      <x:c r="E8" s="590"/>
      <x:c r="F8" s="590"/>
      <x:c r="G8" s="590"/>
      <x:c r="H8" s="590"/>
      <x:c r="I8" s="590"/>
      <x:c r="J8" s="590"/>
      <x:c r="K8" s="590"/>
      <x:c r="L8" s="590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590" t="str">
        <x:v>DSO cible (jours)</x:v>
      </x:c>
      <x:c r="B9" s="601" t="n">
        <x:v>45</x:v>
      </x:c>
      <x:c r="C9" s="590"/>
      <x:c r="D9" s="590"/>
      <x:c r="E9" s="590"/>
      <x:c r="F9" s="590"/>
      <x:c r="G9" s="590"/>
      <x:c r="H9" s="590"/>
      <x:c r="I9" s="590"/>
      <x:c r="J9" s="590"/>
      <x:c r="K9" s="590"/>
      <x:c r="L9" s="590"/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590" t="str">
        <x:v>DPO cible (jours)</x:v>
      </x:c>
      <x:c r="B10" s="601" t="n">
        <x:v>50</x:v>
      </x:c>
      <x:c r="C10" s="590"/>
      <x:c r="D10" s="590"/>
      <x:c r="E10" s="590"/>
      <x:c r="F10" s="590"/>
      <x:c r="G10" s="590"/>
      <x:c r="H10" s="590"/>
      <x:c r="I10" s="590"/>
      <x:c r="J10" s="590"/>
      <x:c r="K10" s="590"/>
      <x:c r="L10" s="590"/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590" t="str">
        <x:v>BFR cible / CA</x:v>
      </x:c>
      <x:c r="B11" s="616" t="n">
        <x:v>0.12</x:v>
      </x:c>
      <x:c r="C11" s="590"/>
      <x:c r="D11" s="590"/>
      <x:c r="E11" s="590"/>
      <x:c r="F11" s="590"/>
      <x:c r="G11" s="590"/>
      <x:c r="H11" s="590"/>
      <x:c r="I11" s="590"/>
      <x:c r="J11" s="590"/>
      <x:c r="K11" s="590"/>
      <x:c r="L11" s="590"/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 t="str">
        <x:v>Seuil d'endettement</x:v>
      </x:c>
      <x:c r="B12" s="601" t="n">
        <x:v>1.5</x:v>
      </x:c>
      <x:c r="C12" s="590"/>
      <x:c r="D12" s="590"/>
      <x:c r="E12" s="590"/>
      <x:c r="F12" s="590"/>
      <x:c r="G12" s="590"/>
      <x:c r="H12" s="590"/>
      <x:c r="I12" s="590"/>
      <x:c r="J12" s="590"/>
      <x:c r="K12" s="590"/>
      <x:c r="L12" s="590"/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/>
      <x:c r="J13" s="590"/>
      <x:c r="K13" s="590"/>
      <x:c r="L13" s="590"/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617" t="str">
        <x:v>Liste</x:v>
      </x:c>
      <x:c r="B14" s="617" t="str">
        <x:v>Valeur 1</x:v>
      </x:c>
      <x:c r="C14" s="617" t="str">
        <x:v>Valeur 2</x:v>
      </x:c>
      <x:c r="D14" s="617" t="str">
        <x:v>Valeur 3</x:v>
      </x:c>
      <x:c r="E14" s="590"/>
      <x:c r="F14" s="590"/>
      <x:c r="G14" s="590"/>
      <x:c r="H14" s="590"/>
      <x:c r="I14" s="590"/>
      <x:c r="J14" s="590"/>
      <x:c r="K14" s="590"/>
      <x:c r="L14" s="590"/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 t="str">
        <x:v>Statut</x:v>
      </x:c>
      <x:c r="B15" s="590" t="str">
        <x:v>Prévision</x:v>
      </x:c>
      <x:c r="C15" s="590" t="str">
        <x:v>Réalisé</x:v>
      </x:c>
      <x:c r="D15" s="590" t="str">
        <x:v>Clôturé</x:v>
      </x:c>
      <x:c r="E15" s="590"/>
      <x:c r="F15" s="590"/>
      <x:c r="G15" s="590"/>
      <x:c r="H15" s="590"/>
      <x:c r="I15" s="590"/>
      <x:c r="J15" s="590"/>
      <x:c r="K15" s="590"/>
      <x:c r="L15" s="590"/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 t="str">
        <x:v>Entité</x:v>
      </x:c>
      <x:c r="B16" s="590" t="str">
        <x:v>Groupe</x:v>
      </x:c>
      <x:c r="C16" s="590" t="str">
        <x:v>Filiale Nord</x:v>
      </x:c>
      <x:c r="D16" s="590" t="str">
        <x:v>Filiale Sud</x:v>
      </x:c>
      <x:c r="E16" s="590"/>
      <x:c r="F16" s="590"/>
      <x:c r="G16" s="590"/>
      <x:c r="H16" s="590"/>
      <x:c r="I16" s="590"/>
      <x:c r="J16" s="590"/>
      <x:c r="K16" s="590"/>
      <x:c r="L16" s="590"/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 t="str">
        <x:v>Norme</x:v>
      </x:c>
      <x:c r="B17" s="590" t="str">
        <x:v>PCG</x:v>
      </x:c>
      <x:c r="C17" s="590" t="str">
        <x:v>IFRS</x:v>
      </x:c>
      <x:c r="D17" s="590" t="str">
        <x:v>Management</x:v>
      </x:c>
      <x:c r="E17" s="590"/>
      <x:c r="F17" s="590"/>
      <x:c r="G17" s="590"/>
      <x:c r="H17" s="590"/>
      <x:c r="I17" s="590"/>
      <x:c r="J17" s="590"/>
      <x:c r="K17" s="590"/>
      <x:c r="L17" s="590"/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 t="str">
        <x:v>Périodicité</x:v>
      </x:c>
      <x:c r="B18" s="590" t="str">
        <x:v>Hebdomadaire</x:v>
      </x:c>
      <x:c r="C18" s="590" t="str">
        <x:v>Mensuelle</x:v>
      </x:c>
      <x:c r="D18" s="590" t="str">
        <x:v>Trimestrielle</x:v>
      </x:c>
      <x:c r="E18" s="590"/>
      <x:c r="F18" s="590"/>
      <x:c r="G18" s="590"/>
      <x:c r="H18" s="590"/>
      <x:c r="I18" s="590"/>
      <x:c r="J18" s="590"/>
      <x:c r="K18" s="590"/>
      <x:c r="L18" s="590"/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 t="str">
        <x:v>Responsable</x:v>
      </x:c>
      <x:c r="B19" s="590" t="str">
        <x:v>Direction</x:v>
      </x:c>
      <x:c r="C19" s="590" t="str">
        <x:v>DAF</x:v>
      </x:c>
      <x:c r="D19" s="590" t="str">
        <x:v>Contrôle de gestion</x:v>
      </x:c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H1"/>
  </x:mergeCells>
  <x:pageMargins left="0.7" right="0.7" top="0.75" bottom="0.75" header="0.3" footer="0.3"/>
</x:worksheet>
</file>

<file path=xl/worksheets/sheet12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5" hidden="0" customWidth="1"/>
    <x:col min="3" max="3" width="45" hidden="0" customWidth="1"/>
  </x:cols>
  <x:sheetData>
    <x:row r="1">
      <x:c r="A1" s="234" t="str">
        <x:v>MODE D’EMPLOI — REPORTING COMPTABLE MULTIFEUILLES</x:v>
      </x:c>
      <x:c r="B1" s="234"/>
      <x:c r="C1" s="234"/>
      <x:c r="D1" s="234"/>
      <x:c r="E1" s="234"/>
      <x:c r="F1" s="234"/>
      <x:c r="G1" s="234"/>
      <x:c r="H1" s="234"/>
      <x:c r="I1" s="590"/>
      <x:c r="J1" s="590"/>
      <x:c r="K1" s="590"/>
      <x:c r="L1" s="590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>
      <x:c r="A2" s="590"/>
      <x:c r="B2" s="590"/>
      <x:c r="C2" s="590"/>
      <x:c r="D2" s="590"/>
      <x:c r="E2" s="590"/>
      <x:c r="F2" s="590"/>
      <x:c r="G2" s="590"/>
      <x:c r="H2" s="590"/>
      <x:c r="I2" s="590"/>
      <x:c r="J2" s="590"/>
      <x:c r="K2" s="590"/>
      <x:c r="L2" s="590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620" t="str">
        <x:v>Étape</x:v>
      </x:c>
      <x:c r="B3" s="620" t="str">
        <x:v>Action</x:v>
      </x:c>
      <x:c r="C3" s="620" t="str">
        <x:v>Résultat attendu</x:v>
      </x:c>
      <x:c r="D3" s="590"/>
      <x:c r="E3" s="386" t="str">
        <x:v>Légende des couleurs financières</x:v>
      </x:c>
      <x:c r="F3" s="386"/>
      <x:c r="G3" s="386"/>
      <x:c r="H3" s="386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621" t="str">
        <x:v>1</x:v>
      </x:c>
      <x:c r="B4" s="622" t="str">
        <x:v>Renseigner les paramètres dans l’onglet Paramètres</x:v>
      </x:c>
      <x:c r="C4" s="622" t="str">
        <x:v>Objectifs, seuils et références adaptés à l’entreprise</x:v>
      </x:c>
      <x:c r="D4" s="590"/>
      <x:c r="E4" s="622" t="str">
        <x:v>Couleur</x:v>
      </x:c>
      <x:c r="F4" s="622" t="str">
        <x:v>Usage</x:v>
      </x:c>
      <x:c r="G4" s="622" t="str"/>
      <x:c r="H4" s="622" t="str"/>
      <x:c r="I4" s="590"/>
      <x:c r="J4" s="590"/>
      <x:c r="K4" s="590"/>
      <x:c r="L4" s="590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621" t="str">
        <x:v>2</x:v>
      </x:c>
      <x:c r="B5" s="622" t="str">
        <x:v>Importer ou saisir les écritures dans Données</x:v>
      </x:c>
      <x:c r="C5" s="622" t="str">
        <x:v>Base unique pour tous les reportings</x:v>
      </x:c>
      <x:c r="D5" s="590"/>
      <x:c r="E5" s="623" t="str">
        <x:v>Bleu</x:v>
      </x:c>
      <x:c r="F5" s="622" t="str">
        <x:v>Saisie utilisateur / données modifiables</x:v>
      </x:c>
      <x:c r="G5" s="622" t="str"/>
      <x:c r="H5" s="622" t="str"/>
      <x:c r="I5" s="590"/>
      <x:c r="J5" s="590"/>
      <x:c r="K5" s="590"/>
      <x:c r="L5" s="590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621" t="str">
        <x:v>3</x:v>
      </x:c>
      <x:c r="B6" s="622" t="str">
        <x:v>Contrôler les listes déroulantes et les dates</x:v>
      </x:c>
      <x:c r="C6" s="622" t="str">
        <x:v>Données cohérentes et filtrables</x:v>
      </x:c>
      <x:c r="D6" s="590"/>
      <x:c r="E6" s="624" t="str">
        <x:v>Noir</x:v>
      </x:c>
      <x:c r="F6" s="622" t="str">
        <x:v>Formules et calculs</x:v>
      </x:c>
      <x:c r="G6" s="622" t="str"/>
      <x:c r="H6" s="622" t="str"/>
      <x:c r="I6" s="590"/>
      <x:c r="J6" s="590"/>
      <x:c r="K6" s="590"/>
      <x:c r="L6" s="590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621" t="str">
        <x:v>4</x:v>
      </x:c>
      <x:c r="B7" s="622" t="str">
        <x:v>Consulter le Dashboard</x:v>
      </x:c>
      <x:c r="C7" s="622" t="str">
        <x:v>Lecture rapide des KPI et écarts</x:v>
      </x:c>
      <x:c r="D7" s="590"/>
      <x:c r="E7" s="625" t="str">
        <x:v>Vert</x:v>
      </x:c>
      <x:c r="F7" s="622" t="str">
        <x:v>Liens entre feuilles</x:v>
      </x:c>
      <x:c r="G7" s="622" t="str"/>
      <x:c r="H7" s="622" t="str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21" t="str">
        <x:v>5</x:v>
      </x:c>
      <x:c r="B8" s="622" t="str">
        <x:v>Ouvrir le reporting adapté à la périodicité</x:v>
      </x:c>
      <x:c r="C8" s="622" t="str">
        <x:v>Analyse mensuelle, hebdomadaire, trimestrielle ou annuelle</x:v>
      </x:c>
      <x:c r="D8" s="590"/>
      <x:c r="E8" s="626" t="str">
        <x:v>Jaune</x:v>
      </x:c>
      <x:c r="F8" s="622" t="str">
        <x:v>Hypothèses ou points à mettre à jour</x:v>
      </x:c>
      <x:c r="G8" s="622" t="str"/>
      <x:c r="H8" s="622" t="str"/>
      <x:c r="I8" s="590"/>
      <x:c r="J8" s="590"/>
      <x:c r="K8" s="590"/>
      <x:c r="L8" s="590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621" t="str">
        <x:v>6</x:v>
      </x:c>
      <x:c r="B9" s="622" t="str">
        <x:v>Utiliser Groupe / Filiale</x:v>
      </x:c>
      <x:c r="C9" s="622" t="str">
        <x:v>Comparer les entités et suivre les contributions</x:v>
      </x:c>
      <x:c r="D9" s="590"/>
      <x:c r="E9" s="590"/>
      <x:c r="F9" s="590"/>
      <x:c r="G9" s="590"/>
      <x:c r="H9" s="590"/>
      <x:c r="I9" s="590"/>
      <x:c r="J9" s="590"/>
      <x:c r="K9" s="590"/>
      <x:c r="L9" s="590"/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21" t="str">
        <x:v>7</x:v>
      </x:c>
      <x:c r="B10" s="622" t="str">
        <x:v>Utiliser IFRS</x:v>
      </x:c>
      <x:c r="C10" s="622" t="str">
        <x:v>Distinguer PCG, IFRS et reporting de management</x:v>
      </x:c>
      <x:c r="D10" s="590"/>
      <x:c r="E10" s="590"/>
      <x:c r="F10" s="590"/>
      <x:c r="G10" s="590"/>
      <x:c r="H10" s="590"/>
      <x:c r="I10" s="590"/>
      <x:c r="J10" s="590"/>
      <x:c r="K10" s="590"/>
      <x:c r="L10" s="590"/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621" t="str">
        <x:v>8</x:v>
      </x:c>
      <x:c r="B11" s="622" t="str">
        <x:v>Compléter la zone Analyse et actions</x:v>
      </x:c>
      <x:c r="C11" s="622" t="str">
        <x:v>Transformer les chiffres en décisions</x:v>
      </x:c>
      <x:c r="D11" s="590"/>
      <x:c r="E11" s="590"/>
      <x:c r="F11" s="590"/>
      <x:c r="G11" s="590"/>
      <x:c r="H11" s="590"/>
      <x:c r="I11" s="590"/>
      <x:c r="J11" s="590"/>
      <x:c r="K11" s="590"/>
      <x:c r="L11" s="590"/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/>
      <x:c r="B12" s="590"/>
      <x:c r="C12" s="590"/>
      <x:c r="D12" s="590"/>
      <x:c r="E12" s="590"/>
      <x:c r="F12" s="590"/>
      <x:c r="G12" s="590"/>
      <x:c r="H12" s="590"/>
      <x:c r="I12" s="590"/>
      <x:c r="J12" s="590"/>
      <x:c r="K12" s="590"/>
      <x:c r="L12" s="590"/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/>
      <x:c r="J13" s="590"/>
      <x:c r="K13" s="590"/>
      <x:c r="L13" s="590"/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/>
      <x:c r="B14" s="590"/>
      <x:c r="C14" s="590"/>
      <x:c r="D14" s="590"/>
      <x:c r="E14" s="590"/>
      <x:c r="F14" s="590"/>
      <x:c r="G14" s="590"/>
      <x:c r="H14" s="590"/>
      <x:c r="I14" s="590"/>
      <x:c r="J14" s="590"/>
      <x:c r="K14" s="590"/>
      <x:c r="L14" s="590"/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/>
      <x:c r="J15" s="590"/>
      <x:c r="K15" s="590"/>
      <x:c r="L15" s="590"/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/>
      <x:c r="J16" s="590"/>
      <x:c r="K16" s="590"/>
      <x:c r="L16" s="590"/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/>
      <x:c r="J17" s="590"/>
      <x:c r="K17" s="590"/>
      <x:c r="L17" s="590"/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/>
      <x:c r="J18" s="590"/>
      <x:c r="K18" s="590"/>
      <x:c r="L18" s="590"/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H1"/>
    <x:mergeCell ref="E3:H3"/>
  </x:mergeCells>
  <x:pageMargins left="0.7" right="0.7" top="0.75" bottom="0.75" header="0.3" footer="0.3"/>
</x:worksheet>
</file>