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a462a862d8484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ne Page Dashboard" sheetId="1" r:id="Rbc60495d6d1f4971"/>
    <x:sheet xmlns:r="http://schemas.openxmlformats.org/officeDocument/2006/relationships" name="Risk Register" sheetId="2" r:id="R7e9caf1ead1a4e49"/>
    <x:sheet xmlns:r="http://schemas.openxmlformats.org/officeDocument/2006/relationships" name="Lists" sheetId="3" r:id="R404b315f09c145ec"/>
    <x:sheet xmlns:r="http://schemas.openxmlformats.org/officeDocument/2006/relationships" name="Incident Timeline" sheetId="4" r:id="R5e5bbb50ab4246c0"/>
    <x:sheet xmlns:r="http://schemas.openxmlformats.org/officeDocument/2006/relationships" name="Dashboard Engine" sheetId="5" r:id="Re9ad5df3e4c9463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yyyy-mm-dd"/>
    <x:numFmt numFmtId="201" formatCode="0%"/>
    <x:numFmt numFmtId="202" formatCode="0.0"/>
  </x:numFmts>
  <x:fonts count="21">
    <x:font>
      <x:sz val="11"/>
      <x:name val="Carlito"/>
    </x:font>
    <x:font>
      <x:b/>
      <x:sz val="11"/>
      <x:color rgb="FFFFFF"/>
      <x:name val="Carlito"/>
    </x:font>
    <x:font>
      <x:sz val="11"/>
      <x:color rgb="111827"/>
      <x:name val="Carlito"/>
    </x:font>
    <x:font>
      <x:sz val="11"/>
      <x:color rgb="FFFFFF"/>
      <x:name val="Carlito"/>
    </x:font>
    <x:font>
      <x:b/>
      <x:sz val="22"/>
      <x:color rgb="FFFFFF"/>
      <x:name val="Carlito"/>
    </x:font>
    <x:font>
      <x:b/>
      <x:sz val="11"/>
      <x:color rgb="22D3EE"/>
      <x:name val="Carlito"/>
    </x:font>
    <x:font>
      <x:b/>
      <x:sz val="11"/>
      <x:color rgb="CBD5E1"/>
      <x:name val="Carlito"/>
    </x:font>
    <x:font>
      <x:b/>
      <x:sz val="9"/>
      <x:color rgb="CBD5E1"/>
      <x:name val="Carlito"/>
    </x:font>
    <x:font>
      <x:b/>
      <x:sz val="9"/>
      <x:color rgb="FFFFFF"/>
      <x:name val="Carlito"/>
    </x:font>
    <x:font>
      <x:b/>
      <x:sz val="22"/>
      <x:color rgb="22D3EE"/>
      <x:name val="Carlito"/>
    </x:font>
    <x:font>
      <x:b/>
      <x:sz val="22"/>
      <x:color rgb="EF4444"/>
      <x:name val="Carlito"/>
    </x:font>
    <x:font>
      <x:b/>
      <x:sz val="22"/>
      <x:color rgb="FB923C"/>
      <x:name val="Carlito"/>
    </x:font>
    <x:font>
      <x:b/>
      <x:sz val="22"/>
      <x:color rgb="10B981"/>
      <x:name val="Carlito"/>
    </x:font>
    <x:font>
      <x:b/>
      <x:sz val="22"/>
      <x:color rgb="FACC15"/>
      <x:name val="Carlito"/>
    </x:font>
    <x:font>
      <x:b/>
      <x:sz val="22"/>
      <x:color rgb="8B5CF6"/>
      <x:name val="Carlito"/>
    </x:font>
    <x:font>
      <x:b/>
      <x:sz val="12"/>
      <x:color rgb="FFFFFF"/>
      <x:name val="Carlito"/>
    </x:font>
    <x:font>
      <x:sz val="9"/>
      <x:color rgb="FFFFFF"/>
      <x:name val="Carlito"/>
    </x:font>
    <x:font>
      <x:i/>
      <x:sz val="11"/>
      <x:color rgb="CBD5E1"/>
      <x:name val="Carlito"/>
    </x:font>
    <x:font>
      <x:b/>
      <x:sz val="9"/>
      <x:color rgb="22D3EE"/>
      <x:name val="Carlito"/>
    </x:font>
    <x:font>
      <x:sz val="8"/>
      <x:color rgb="CBD5E1"/>
      <x:name val="Carlito"/>
    </x:font>
    <x:font>
      <x:sz val="9"/>
      <x:color rgb="111827"/>
      <x:name val="Carlito"/>
    </x:font>
  </x:fonts>
  <x:fills count="16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FFFFFF"/>
      </x:patternFill>
    </x:fill>
    <x:fill>
      <x:patternFill patternType="solid">
        <x:fgColor rgb="07111F"/>
      </x:patternFill>
    </x:fill>
    <x:fill>
      <x:patternFill patternType="solid">
        <x:fgColor rgb="1E293B"/>
      </x:patternFill>
    </x:fill>
    <x:fill>
      <x:patternFill patternType="solid">
        <x:fgColor rgb="101C2C"/>
      </x:patternFill>
    </x:fill>
    <x:fill>
      <x:patternFill patternType="solid">
        <x:fgColor rgb="0B1220"/>
      </x:patternFill>
    </x:fill>
    <x:fill>
      <x:patternFill patternType="solid">
        <x:fgColor rgb="172554"/>
      </x:patternFill>
    </x:fill>
    <x:fill>
      <x:patternFill patternType="solid">
        <x:fgColor rgb="EF4444"/>
      </x:patternFill>
    </x:fill>
    <x:fill>
      <x:patternFill patternType="solid">
        <x:fgColor rgb="FB923C"/>
      </x:patternFill>
    </x:fill>
    <x:fill>
      <x:patternFill patternType="solid">
        <x:fgColor rgb="FACC15"/>
      </x:patternFill>
    </x:fill>
    <x:fill>
      <x:patternFill patternType="solid">
        <x:fgColor rgb="84CC16"/>
      </x:patternFill>
    </x:fill>
    <x:fill>
      <x:patternFill patternType="solid">
        <x:fgColor rgb="10B981"/>
      </x:patternFill>
    </x:fill>
    <x:fill>
      <x:patternFill patternType="solid">
        <x:fgColor rgb="06B6D4"/>
      </x:patternFill>
    </x:fill>
    <x:fill>
      <x:patternFill patternType="solid">
        <x:fgColor rgb="8B5CF6"/>
      </x:patternFill>
    </x:fill>
  </x:fills>
  <x:borders count="2">
    <x:border/>
    <x:border/>
  </x:borders>
  <x:cellStyleXfs count="1">
    <x:xf numFmtId="0" fontId="0" fillId="0" borderId="0"/>
  </x:cellStyleXfs>
  <x:cellXfs count="19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200" fontId="2" fillId="3" borderId="0" xfId="0" applyNumberFormat="1" applyFont="1" applyFill="1" applyBorder="1" applyAlignment="1">
      <x:alignment wrapText="1"/>
    </x:xf>
    <x:xf numFmtId="200" fontId="2" fillId="3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1" fontId="0" fillId="3" borderId="0" xfId="0" applyNumberFormat="1" applyFont="1" applyFill="1" applyBorder="1"/>
    <x:xf numFmtId="201" fontId="2" fillId="3" borderId="0" xfId="0" applyNumberFormat="1" applyFont="1" applyFill="1" applyBorder="1"/>
    <x:xf numFmtId="201" fontId="0" fillId="3" borderId="1" xfId="0" applyNumberFormat="1" applyFont="1" applyFill="1" applyBorder="1"/>
    <x:xf numFmtId="201" fontId="2" fillId="3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2" borderId="0" xfId="0" applyNumberFormat="1" applyFont="1" applyFill="1" applyBorder="1"/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/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/>
    </x:xf>
    <x:xf numFmtId="0" fontId="3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3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3" fillId="6" borderId="0" xfId="0" applyNumberFormat="1" applyFont="1" applyFill="1" applyBorder="1"/>
    <x:xf numFmtId="0" fontId="6" fillId="6" borderId="0" xfId="0" applyNumberFormat="1" applyFont="1" applyFill="1" applyBorder="1"/>
    <x:xf numFmtId="0" fontId="6" fillId="6" borderId="0" xfId="0" applyNumberFormat="1" applyFont="1" applyFill="1" applyBorder="1" applyAlignment="1">
      <x:alignment horizontal="center"/>
    </x:xf>
    <x:xf numFmtId="0" fontId="3" fillId="6" borderId="1" xfId="0" applyNumberFormat="1" applyFont="1" applyFill="1" applyBorder="1"/>
    <x:xf numFmtId="0" fontId="6" fillId="6" borderId="1" xfId="0" applyNumberFormat="1" applyFont="1" applyFill="1" applyBorder="1"/>
    <x:xf numFmtId="0" fontId="6" fillId="6" borderId="1" xfId="0" applyNumberFormat="1" applyFont="1" applyFill="1" applyBorder="1" applyAlignment="1">
      <x:alignment horizontal="center"/>
    </x:xf>
    <x:xf numFmtId="0" fontId="6" fillId="7" borderId="0" xfId="0" applyNumberFormat="1" applyFont="1" applyFill="1" applyBorder="1" applyAlignment="1">
      <x:alignment horizontal="center"/>
    </x:xf>
    <x:xf numFmtId="0" fontId="1" fillId="7" borderId="0" xfId="0" applyNumberFormat="1" applyFont="1" applyFill="1" applyBorder="1" applyAlignment="1">
      <x:alignment horizontal="center"/>
    </x:xf>
    <x:xf numFmtId="0" fontId="6" fillId="7" borderId="1" xfId="0" applyNumberFormat="1" applyFont="1" applyFill="1" applyBorder="1" applyAlignment="1">
      <x:alignment horizontal="center"/>
    </x:xf>
    <x:xf numFmtId="0" fontId="1" fillId="7" borderId="1" xfId="0" applyNumberFormat="1" applyFont="1" applyFill="1" applyBorder="1" applyAlignment="1">
      <x:alignment horizontal="center"/>
    </x:xf>
    <x:xf numFmtId="0" fontId="3" fillId="6" borderId="0" xfId="0" applyNumberFormat="1" applyFont="1" applyFill="1" applyBorder="1" applyAlignment="1">
      <x:alignment horizontal="center"/>
    </x:xf>
    <x:xf numFmtId="0" fontId="3" fillId="6" borderId="0" xfId="0" applyNumberFormat="1" applyFont="1" applyFill="1" applyBorder="1" applyAlignment="1">
      <x:alignment horizontal="center" vertical="center"/>
    </x:xf>
    <x:xf numFmtId="0" fontId="3" fillId="6" borderId="1" xfId="0" applyNumberFormat="1" applyFont="1" applyFill="1" applyBorder="1" applyAlignment="1">
      <x:alignment horizontal="center"/>
    </x:xf>
    <x:xf numFmtId="0" fontId="3" fillId="6" borderId="1" xfId="0" applyNumberFormat="1" applyFont="1" applyFill="1" applyBorder="1" applyAlignment="1">
      <x:alignment horizontal="center" vertic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7" fillId="6" borderId="1" xfId="0" applyNumberFormat="1" applyFont="1" applyFill="1" applyBorder="1" applyAlignment="1">
      <x:alignment horizontal="center" vertical="center"/>
    </x:xf>
    <x:xf numFmtId="0" fontId="8" fillId="6" borderId="0" xfId="0" applyNumberFormat="1" applyFont="1" applyFill="1" applyBorder="1" applyAlignment="1">
      <x:alignment horizontal="center" vertical="center"/>
    </x:xf>
    <x:xf numFmtId="0" fontId="8" fillId="6" borderId="1" xfId="0" applyNumberFormat="1" applyFont="1" applyFill="1" applyBorder="1" applyAlignment="1">
      <x:alignment horizontal="center" vertical="center"/>
    </x:xf>
    <x:xf numFmtId="0" fontId="9" fillId="6" borderId="0" xfId="0" applyNumberFormat="1" applyFont="1" applyFill="1" applyBorder="1" applyAlignment="1">
      <x:alignment horizontal="center" vertical="center"/>
    </x:xf>
    <x:xf numFmtId="0" fontId="9" fillId="6" borderId="1" xfId="0" applyNumberFormat="1" applyFont="1" applyFill="1" applyBorder="1" applyAlignment="1">
      <x:alignment horizontal="center" vertical="center"/>
    </x:xf>
    <x:xf numFmtId="0" fontId="10" fillId="6" borderId="0" xfId="0" applyNumberFormat="1" applyFont="1" applyFill="1" applyBorder="1" applyAlignment="1">
      <x:alignment horizontal="center" vertical="center"/>
    </x:xf>
    <x:xf numFmtId="0" fontId="10" fillId="6" borderId="1" xfId="0" applyNumberFormat="1" applyFont="1" applyFill="1" applyBorder="1" applyAlignment="1">
      <x:alignment horizontal="center" vertical="center"/>
    </x:xf>
    <x:xf numFmtId="0" fontId="11" fillId="6" borderId="0" xfId="0" applyNumberFormat="1" applyFont="1" applyFill="1" applyBorder="1" applyAlignment="1">
      <x:alignment horizontal="center" vertical="center"/>
    </x:xf>
    <x:xf numFmtId="0" fontId="11" fillId="6" borderId="1" xfId="0" applyNumberFormat="1" applyFont="1" applyFill="1" applyBorder="1" applyAlignment="1">
      <x:alignment horizontal="center" vertical="center"/>
    </x:xf>
    <x:xf numFmtId="0" fontId="12" fillId="6" borderId="0" xfId="0" applyNumberFormat="1" applyFont="1" applyFill="1" applyBorder="1" applyAlignment="1">
      <x:alignment horizontal="center" vertical="center"/>
    </x:xf>
    <x:xf numFmtId="0" fontId="12" fillId="6" borderId="1" xfId="0" applyNumberFormat="1" applyFont="1" applyFill="1" applyBorder="1" applyAlignment="1">
      <x:alignment horizontal="center" vertical="center"/>
    </x:xf>
    <x:xf numFmtId="0" fontId="13" fillId="6" borderId="0" xfId="0" applyNumberFormat="1" applyFont="1" applyFill="1" applyBorder="1" applyAlignment="1">
      <x:alignment horizontal="center" vertical="center"/>
    </x:xf>
    <x:xf numFmtId="0" fontId="13" fillId="6" borderId="1" xfId="0" applyNumberFormat="1" applyFont="1" applyFill="1" applyBorder="1" applyAlignment="1">
      <x:alignment horizontal="center" vertical="center"/>
    </x:xf>
    <x:xf numFmtId="0" fontId="14" fillId="6" borderId="0" xfId="0" applyNumberFormat="1" applyFont="1" applyFill="1" applyBorder="1" applyAlignment="1">
      <x:alignment horizontal="center" vertical="center"/>
    </x:xf>
    <x:xf numFmtId="0" fontId="14" fillId="6" borderId="1" xfId="0" applyNumberFormat="1" applyFont="1" applyFill="1" applyBorder="1" applyAlignment="1">
      <x:alignment horizontal="center" vertical="center"/>
    </x:xf>
    <x:xf numFmtId="201" fontId="12" fillId="6" borderId="0" xfId="0" applyNumberFormat="1" applyFont="1" applyFill="1" applyBorder="1" applyAlignment="1">
      <x:alignment horizontal="center" vertical="center"/>
    </x:xf>
    <x:xf numFmtId="201" fontId="12" fillId="6" borderId="1" xfId="0" applyNumberFormat="1" applyFont="1" applyFill="1" applyBorder="1" applyAlignment="1">
      <x:alignment horizontal="center" vertical="center"/>
    </x:xf>
    <x:xf numFmtId="0" fontId="3" fillId="8" borderId="0" xfId="0" applyNumberFormat="1" applyFont="1" applyFill="1" applyBorder="1"/>
    <x:xf numFmtId="0" fontId="15" fillId="8" borderId="0" xfId="0" applyNumberFormat="1" applyFont="1" applyFill="1" applyBorder="1"/>
    <x:xf numFmtId="0" fontId="15" fillId="8" borderId="0" xfId="0" applyNumberFormat="1" applyFont="1" applyFill="1" applyBorder="1" applyAlignment="1">
      <x:alignment horizontal="center"/>
    </x:xf>
    <x:xf numFmtId="0" fontId="15" fillId="8" borderId="0" xfId="0" applyNumberFormat="1" applyFont="1" applyFill="1" applyBorder="1" applyAlignment="1">
      <x:alignment horizontal="center" vertical="center"/>
    </x:xf>
    <x:xf numFmtId="0" fontId="3" fillId="8" borderId="1" xfId="0" applyNumberFormat="1" applyFont="1" applyFill="1" applyBorder="1"/>
    <x:xf numFmtId="0" fontId="15" fillId="8" borderId="1" xfId="0" applyNumberFormat="1" applyFont="1" applyFill="1" applyBorder="1"/>
    <x:xf numFmtId="0" fontId="15" fillId="8" borderId="1" xfId="0" applyNumberFormat="1" applyFont="1" applyFill="1" applyBorder="1" applyAlignment="1">
      <x:alignment horizontal="center"/>
    </x:xf>
    <x:xf numFmtId="0" fontId="15" fillId="8" borderId="1" xfId="0" applyNumberFormat="1" applyFont="1" applyFill="1" applyBorder="1" applyAlignment="1">
      <x:alignment horizontal="center" vertical="center"/>
    </x:xf>
    <x:xf numFmtId="0" fontId="3" fillId="7" borderId="0" xfId="0" applyNumberFormat="1" applyFont="1" applyFill="1" applyBorder="1"/>
    <x:xf numFmtId="0" fontId="3" fillId="7" borderId="1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0" fontId="3" fillId="9" borderId="0" xfId="0" applyNumberFormat="1" applyFont="1" applyFill="1" applyBorder="1"/>
    <x:xf numFmtId="0" fontId="15" fillId="9" borderId="0" xfId="0" applyNumberFormat="1" applyFont="1" applyFill="1" applyBorder="1"/>
    <x:xf numFmtId="0" fontId="15" fillId="9" borderId="0" xfId="0" applyNumberFormat="1" applyFont="1" applyFill="1" applyBorder="1" applyAlignment="1">
      <x:alignment horizontal="center"/>
    </x:xf>
    <x:xf numFmtId="0" fontId="15" fillId="9" borderId="0" xfId="0" applyNumberFormat="1" applyFont="1" applyFill="1" applyBorder="1" applyAlignment="1">
      <x:alignment horizontal="center" vertical="center"/>
    </x:xf>
    <x:xf numFmtId="0" fontId="3" fillId="9" borderId="1" xfId="0" applyNumberFormat="1" applyFont="1" applyFill="1" applyBorder="1"/>
    <x:xf numFmtId="0" fontId="15" fillId="9" borderId="1" xfId="0" applyNumberFormat="1" applyFont="1" applyFill="1" applyBorder="1"/>
    <x:xf numFmtId="0" fontId="15" fillId="9" borderId="1" xfId="0" applyNumberFormat="1" applyFont="1" applyFill="1" applyBorder="1" applyAlignment="1">
      <x:alignment horizontal="center"/>
    </x:xf>
    <x:xf numFmtId="0" fontId="15" fillId="9" borderId="1" xfId="0" applyNumberFormat="1" applyFont="1" applyFill="1" applyBorder="1" applyAlignment="1">
      <x:alignment horizontal="center" vertical="center"/>
    </x:xf>
    <x:xf numFmtId="0" fontId="3" fillId="10" borderId="0" xfId="0" applyNumberFormat="1" applyFont="1" applyFill="1" applyBorder="1"/>
    <x:xf numFmtId="0" fontId="15" fillId="10" borderId="0" xfId="0" applyNumberFormat="1" applyFont="1" applyFill="1" applyBorder="1"/>
    <x:xf numFmtId="0" fontId="15" fillId="10" borderId="0" xfId="0" applyNumberFormat="1" applyFont="1" applyFill="1" applyBorder="1" applyAlignment="1">
      <x:alignment horizontal="center"/>
    </x:xf>
    <x:xf numFmtId="0" fontId="15" fillId="10" borderId="0" xfId="0" applyNumberFormat="1" applyFont="1" applyFill="1" applyBorder="1" applyAlignment="1">
      <x:alignment horizontal="center" vertical="center"/>
    </x:xf>
    <x:xf numFmtId="0" fontId="3" fillId="10" borderId="1" xfId="0" applyNumberFormat="1" applyFont="1" applyFill="1" applyBorder="1"/>
    <x:xf numFmtId="0" fontId="15" fillId="10" borderId="1" xfId="0" applyNumberFormat="1" applyFont="1" applyFill="1" applyBorder="1"/>
    <x:xf numFmtId="0" fontId="15" fillId="10" borderId="1" xfId="0" applyNumberFormat="1" applyFont="1" applyFill="1" applyBorder="1" applyAlignment="1">
      <x:alignment horizontal="center"/>
    </x:xf>
    <x:xf numFmtId="0" fontId="15" fillId="10" borderId="1" xfId="0" applyNumberFormat="1" applyFont="1" applyFill="1" applyBorder="1" applyAlignment="1">
      <x:alignment horizontal="center" vertical="center"/>
    </x:xf>
    <x:xf numFmtId="0" fontId="3" fillId="11" borderId="0" xfId="0" applyNumberFormat="1" applyFont="1" applyFill="1" applyBorder="1"/>
    <x:xf numFmtId="0" fontId="15" fillId="11" borderId="0" xfId="0" applyNumberFormat="1" applyFont="1" applyFill="1" applyBorder="1"/>
    <x:xf numFmtId="0" fontId="15" fillId="11" borderId="0" xfId="0" applyNumberFormat="1" applyFont="1" applyFill="1" applyBorder="1" applyAlignment="1">
      <x:alignment horizontal="center"/>
    </x:xf>
    <x:xf numFmtId="0" fontId="15" fillId="11" borderId="0" xfId="0" applyNumberFormat="1" applyFont="1" applyFill="1" applyBorder="1" applyAlignment="1">
      <x:alignment horizontal="center" vertical="center"/>
    </x:xf>
    <x:xf numFmtId="0" fontId="3" fillId="11" borderId="1" xfId="0" applyNumberFormat="1" applyFont="1" applyFill="1" applyBorder="1"/>
    <x:xf numFmtId="0" fontId="15" fillId="11" borderId="1" xfId="0" applyNumberFormat="1" applyFont="1" applyFill="1" applyBorder="1"/>
    <x:xf numFmtId="0" fontId="15" fillId="11" borderId="1" xfId="0" applyNumberFormat="1" applyFont="1" applyFill="1" applyBorder="1" applyAlignment="1">
      <x:alignment horizontal="center"/>
    </x:xf>
    <x:xf numFmtId="0" fontId="15" fillId="11" borderId="1" xfId="0" applyNumberFormat="1" applyFont="1" applyFill="1" applyBorder="1" applyAlignment="1">
      <x:alignment horizontal="center" vertical="center"/>
    </x:xf>
    <x:xf numFmtId="0" fontId="3" fillId="12" borderId="0" xfId="0" applyNumberFormat="1" applyFont="1" applyFill="1" applyBorder="1"/>
    <x:xf numFmtId="0" fontId="15" fillId="12" borderId="0" xfId="0" applyNumberFormat="1" applyFont="1" applyFill="1" applyBorder="1"/>
    <x:xf numFmtId="0" fontId="15" fillId="12" borderId="0" xfId="0" applyNumberFormat="1" applyFont="1" applyFill="1" applyBorder="1" applyAlignment="1">
      <x:alignment horizontal="center"/>
    </x:xf>
    <x:xf numFmtId="0" fontId="15" fillId="12" borderId="0" xfId="0" applyNumberFormat="1" applyFont="1" applyFill="1" applyBorder="1" applyAlignment="1">
      <x:alignment horizontal="center" vertical="center"/>
    </x:xf>
    <x:xf numFmtId="0" fontId="3" fillId="12" borderId="1" xfId="0" applyNumberFormat="1" applyFont="1" applyFill="1" applyBorder="1"/>
    <x:xf numFmtId="0" fontId="15" fillId="12" borderId="1" xfId="0" applyNumberFormat="1" applyFont="1" applyFill="1" applyBorder="1"/>
    <x:xf numFmtId="0" fontId="15" fillId="12" borderId="1" xfId="0" applyNumberFormat="1" applyFont="1" applyFill="1" applyBorder="1" applyAlignment="1">
      <x:alignment horizontal="center"/>
    </x:xf>
    <x:xf numFmtId="0" fontId="15" fillId="12" borderId="1" xfId="0" applyNumberFormat="1" applyFont="1" applyFill="1" applyBorder="1" applyAlignment="1">
      <x:alignment horizontal="center" vertical="center"/>
    </x:xf>
    <x:xf numFmtId="0" fontId="3" fillId="13" borderId="0" xfId="0" applyNumberFormat="1" applyFont="1" applyFill="1" applyBorder="1"/>
    <x:xf numFmtId="0" fontId="15" fillId="13" borderId="0" xfId="0" applyNumberFormat="1" applyFont="1" applyFill="1" applyBorder="1"/>
    <x:xf numFmtId="0" fontId="15" fillId="13" borderId="0" xfId="0" applyNumberFormat="1" applyFont="1" applyFill="1" applyBorder="1" applyAlignment="1">
      <x:alignment horizontal="center"/>
    </x:xf>
    <x:xf numFmtId="0" fontId="15" fillId="13" borderId="0" xfId="0" applyNumberFormat="1" applyFont="1" applyFill="1" applyBorder="1" applyAlignment="1">
      <x:alignment horizontal="center" vertical="center"/>
    </x:xf>
    <x:xf numFmtId="0" fontId="3" fillId="13" borderId="1" xfId="0" applyNumberFormat="1" applyFont="1" applyFill="1" applyBorder="1"/>
    <x:xf numFmtId="0" fontId="15" fillId="13" borderId="1" xfId="0" applyNumberFormat="1" applyFont="1" applyFill="1" applyBorder="1"/>
    <x:xf numFmtId="0" fontId="15" fillId="13" borderId="1" xfId="0" applyNumberFormat="1" applyFont="1" applyFill="1" applyBorder="1" applyAlignment="1">
      <x:alignment horizontal="center"/>
    </x:xf>
    <x:xf numFmtId="0" fontId="15" fillId="13" borderId="1" xfId="0" applyNumberFormat="1" applyFont="1" applyFill="1" applyBorder="1" applyAlignment="1">
      <x:alignment horizontal="center" vertical="center"/>
    </x:xf>
    <x:xf numFmtId="0" fontId="3" fillId="14" borderId="0" xfId="0" applyNumberFormat="1" applyFont="1" applyFill="1" applyBorder="1"/>
    <x:xf numFmtId="0" fontId="15" fillId="14" borderId="0" xfId="0" applyNumberFormat="1" applyFont="1" applyFill="1" applyBorder="1"/>
    <x:xf numFmtId="0" fontId="15" fillId="14" borderId="0" xfId="0" applyNumberFormat="1" applyFont="1" applyFill="1" applyBorder="1" applyAlignment="1">
      <x:alignment horizontal="center"/>
    </x:xf>
    <x:xf numFmtId="0" fontId="15" fillId="14" borderId="0" xfId="0" applyNumberFormat="1" applyFont="1" applyFill="1" applyBorder="1" applyAlignment="1">
      <x:alignment horizontal="center" vertical="center"/>
    </x:xf>
    <x:xf numFmtId="0" fontId="3" fillId="14" borderId="1" xfId="0" applyNumberFormat="1" applyFont="1" applyFill="1" applyBorder="1"/>
    <x:xf numFmtId="0" fontId="15" fillId="14" borderId="1" xfId="0" applyNumberFormat="1" applyFont="1" applyFill="1" applyBorder="1"/>
    <x:xf numFmtId="0" fontId="15" fillId="14" borderId="1" xfId="0" applyNumberFormat="1" applyFont="1" applyFill="1" applyBorder="1" applyAlignment="1">
      <x:alignment horizontal="center"/>
    </x:xf>
    <x:xf numFmtId="0" fontId="15" fillId="14" borderId="1" xfId="0" applyNumberFormat="1" applyFont="1" applyFill="1" applyBorder="1" applyAlignment="1">
      <x:alignment horizontal="center" vertical="center"/>
    </x:xf>
    <x:xf numFmtId="0" fontId="3" fillId="15" borderId="0" xfId="0" applyNumberFormat="1" applyFont="1" applyFill="1" applyBorder="1"/>
    <x:xf numFmtId="0" fontId="15" fillId="15" borderId="0" xfId="0" applyNumberFormat="1" applyFont="1" applyFill="1" applyBorder="1"/>
    <x:xf numFmtId="0" fontId="15" fillId="15" borderId="0" xfId="0" applyNumberFormat="1" applyFont="1" applyFill="1" applyBorder="1" applyAlignment="1">
      <x:alignment horizontal="center"/>
    </x:xf>
    <x:xf numFmtId="0" fontId="15" fillId="15" borderId="0" xfId="0" applyNumberFormat="1" applyFont="1" applyFill="1" applyBorder="1" applyAlignment="1">
      <x:alignment horizontal="center" vertical="center"/>
    </x:xf>
    <x:xf numFmtId="0" fontId="3" fillId="15" borderId="1" xfId="0" applyNumberFormat="1" applyFont="1" applyFill="1" applyBorder="1"/>
    <x:xf numFmtId="0" fontId="15" fillId="15" borderId="1" xfId="0" applyNumberFormat="1" applyFont="1" applyFill="1" applyBorder="1"/>
    <x:xf numFmtId="0" fontId="15" fillId="15" borderId="1" xfId="0" applyNumberFormat="1" applyFont="1" applyFill="1" applyBorder="1" applyAlignment="1">
      <x:alignment horizontal="center"/>
    </x:xf>
    <x:xf numFmtId="0" fontId="15" fillId="15" borderId="1" xfId="0" applyNumberFormat="1" applyFont="1" applyFill="1" applyBorder="1" applyAlignment="1">
      <x:alignment horizontal="center" vertical="center"/>
    </x:xf>
    <x:xf numFmtId="0" fontId="16" fillId="6" borderId="0" xfId="0" applyNumberFormat="1" applyFont="1" applyFill="1" applyBorder="1"/>
    <x:xf numFmtId="0" fontId="16" fillId="6" borderId="0" xfId="0" applyNumberFormat="1" applyFont="1" applyFill="1" applyBorder="1" applyAlignment="1">
      <x:alignment wrapText="1"/>
    </x:xf>
    <x:xf numFmtId="0" fontId="16" fillId="6" borderId="0" xfId="0" applyNumberFormat="1" applyFont="1" applyFill="1" applyBorder="1" applyAlignment="1">
      <x:alignment horizontal="center" wrapText="1"/>
    </x:xf>
    <x:xf numFmtId="0" fontId="16" fillId="6" borderId="1" xfId="0" applyNumberFormat="1" applyFont="1" applyFill="1" applyBorder="1"/>
    <x:xf numFmtId="0" fontId="16" fillId="6" borderId="1" xfId="0" applyNumberFormat="1" applyFont="1" applyFill="1" applyBorder="1" applyAlignment="1">
      <x:alignment wrapText="1"/>
    </x:xf>
    <x:xf numFmtId="0" fontId="16" fillId="6" borderId="1" xfId="0" applyNumberFormat="1" applyFont="1" applyFill="1" applyBorder="1" applyAlignment="1">
      <x:alignment horizontal="center" wrapText="1"/>
    </x:xf>
    <x:xf numFmtId="0" fontId="17" fillId="6" borderId="0" xfId="0" applyNumberFormat="1" applyFont="1" applyFill="1" applyBorder="1"/>
    <x:xf numFmtId="0" fontId="17" fillId="6" borderId="0" xfId="0" applyNumberFormat="1" applyFont="1" applyFill="1" applyBorder="1" applyAlignment="1">
      <x:alignment wrapText="1"/>
    </x:xf>
    <x:xf numFmtId="0" fontId="17" fillId="6" borderId="0" xfId="0" applyNumberFormat="1" applyFont="1" applyFill="1" applyBorder="1" applyAlignment="1">
      <x:alignment vertical="center" wrapText="1"/>
    </x:xf>
    <x:xf numFmtId="0" fontId="17" fillId="6" borderId="1" xfId="0" applyNumberFormat="1" applyFont="1" applyFill="1" applyBorder="1"/>
    <x:xf numFmtId="0" fontId="17" fillId="6" borderId="1" xfId="0" applyNumberFormat="1" applyFont="1" applyFill="1" applyBorder="1" applyAlignment="1">
      <x:alignment wrapText="1"/>
    </x:xf>
    <x:xf numFmtId="0" fontId="17" fillId="6" borderId="1" xfId="0" applyNumberFormat="1" applyFont="1" applyFill="1" applyBorder="1" applyAlignment="1">
      <x:alignment vertical="center" wrapText="1"/>
    </x:xf>
    <x:xf numFmtId="202" fontId="14" fillId="6" borderId="0" xfId="0" applyNumberFormat="1" applyFont="1" applyFill="1" applyBorder="1" applyAlignment="1">
      <x:alignment horizontal="center" vertical="center"/>
    </x:xf>
    <x:xf numFmtId="202" fontId="14" fillId="6" borderId="1" xfId="0" applyNumberFormat="1" applyFont="1" applyFill="1" applyBorder="1" applyAlignment="1">
      <x:alignment horizontal="center" vertical="center"/>
    </x:xf>
    <x:xf numFmtId="0" fontId="5" fillId="6" borderId="0" xfId="0" applyNumberFormat="1" applyFont="1" applyFill="1" applyBorder="1" applyAlignment="1">
      <x:alignment horizontal="center"/>
    </x:xf>
    <x:xf numFmtId="0" fontId="18" fillId="6" borderId="0" xfId="0" applyNumberFormat="1" applyFont="1" applyFill="1" applyBorder="1" applyAlignment="1">
      <x:alignment horizontal="center"/>
    </x:xf>
    <x:xf numFmtId="0" fontId="18" fillId="6" borderId="0" xfId="0" applyNumberFormat="1" applyFont="1" applyFill="1" applyBorder="1"/>
    <x:xf numFmtId="0" fontId="18" fillId="6" borderId="0" xfId="0" applyNumberFormat="1" applyFont="1" applyFill="1" applyBorder="1" applyAlignment="1">
      <x:alignment horizontal="center" vertical="center"/>
    </x:xf>
    <x:xf numFmtId="0" fontId="5" fillId="6" borderId="1" xfId="0" applyNumberFormat="1" applyFont="1" applyFill="1" applyBorder="1" applyAlignment="1">
      <x:alignment horizontal="center"/>
    </x:xf>
    <x:xf numFmtId="0" fontId="18" fillId="6" borderId="1" xfId="0" applyNumberFormat="1" applyFont="1" applyFill="1" applyBorder="1" applyAlignment="1">
      <x:alignment horizontal="center"/>
    </x:xf>
    <x:xf numFmtId="0" fontId="18" fillId="6" borderId="1" xfId="0" applyNumberFormat="1" applyFont="1" applyFill="1" applyBorder="1"/>
    <x:xf numFmtId="0" fontId="18" fillId="6" borderId="1" xfId="0" applyNumberFormat="1" applyFont="1" applyFill="1" applyBorder="1" applyAlignment="1">
      <x:alignment horizontal="center" vertical="center"/>
    </x:xf>
    <x:xf numFmtId="0" fontId="1" fillId="6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/>
    </x:xf>
    <x:xf numFmtId="0" fontId="3" fillId="7" borderId="0" xfId="0" applyNumberFormat="1" applyFont="1" applyFill="1" applyBorder="1" applyAlignment="1">
      <x:alignment horizontal="center" vertical="center"/>
    </x:xf>
    <x:xf numFmtId="0" fontId="19" fillId="7" borderId="0" xfId="0" applyNumberFormat="1" applyFont="1" applyFill="1" applyBorder="1" applyAlignment="1">
      <x:alignment horizontal="center" vertical="center"/>
    </x:xf>
    <x:xf numFmtId="0" fontId="3" fillId="7" borderId="1" xfId="0" applyNumberFormat="1" applyFont="1" applyFill="1" applyBorder="1" applyAlignment="1">
      <x:alignment horizontal="center" vertical="center"/>
    </x:xf>
    <x:xf numFmtId="0" fontId="19" fillId="7" borderId="1" xfId="0" applyNumberFormat="1" applyFont="1" applyFill="1" applyBorder="1" applyAlignment="1">
      <x:alignment horizontal="center" vertical="center"/>
    </x:xf>
    <x:xf numFmtId="0" fontId="16" fillId="6" borderId="0" xfId="0" applyNumberFormat="1" applyFont="1" applyFill="1" applyBorder="1" applyAlignment="1">
      <x:alignment horizontal="center"/>
    </x:xf>
    <x:xf numFmtId="0" fontId="16" fillId="6" borderId="0" xfId="0" applyNumberFormat="1" applyFont="1" applyFill="1" applyBorder="1" applyAlignment="1">
      <x:alignment horizontal="center" vertical="center"/>
    </x:xf>
    <x:xf numFmtId="0" fontId="16" fillId="6" borderId="1" xfId="0" applyNumberFormat="1" applyFont="1" applyFill="1" applyBorder="1" applyAlignment="1">
      <x:alignment horizontal="center"/>
    </x:xf>
    <x:xf numFmtId="0" fontId="16" fillId="6" borderId="1" xfId="0" applyNumberFormat="1" applyFont="1" applyFill="1" applyBorder="1" applyAlignment="1">
      <x:alignment horizontal="center" vertical="center"/>
    </x:xf>
    <x:xf numFmtId="0" fontId="16" fillId="9" borderId="0" xfId="0" applyNumberFormat="1" applyFont="1" applyFill="1" applyBorder="1" applyAlignment="1">
      <x:alignment horizontal="center" vertical="center"/>
    </x:xf>
    <x:xf numFmtId="0" fontId="16" fillId="9" borderId="1" xfId="0" applyNumberFormat="1" applyFont="1" applyFill="1" applyBorder="1" applyAlignment="1">
      <x:alignment horizontal="center" vertical="center"/>
    </x:xf>
    <x:xf numFmtId="0" fontId="16" fillId="10" borderId="0" xfId="0" applyNumberFormat="1" applyFont="1" applyFill="1" applyBorder="1" applyAlignment="1">
      <x:alignment horizontal="center" vertical="center"/>
    </x:xf>
    <x:xf numFmtId="0" fontId="16" fillId="10" borderId="1" xfId="0" applyNumberFormat="1" applyFont="1" applyFill="1" applyBorder="1" applyAlignment="1">
      <x:alignment horizontal="center" vertical="center"/>
    </x:xf>
    <x:xf numFmtId="0" fontId="16" fillId="11" borderId="0" xfId="0" applyNumberFormat="1" applyFont="1" applyFill="1" applyBorder="1" applyAlignment="1">
      <x:alignment horizontal="center" vertical="center"/>
    </x:xf>
    <x:xf numFmtId="0" fontId="16" fillId="11" borderId="1" xfId="0" applyNumberFormat="1" applyFont="1" applyFill="1" applyBorder="1" applyAlignment="1">
      <x:alignment horizontal="center" vertical="center"/>
    </x:xf>
    <x:xf numFmtId="0" fontId="20" fillId="11" borderId="0" xfId="0" applyNumberFormat="1" applyFont="1" applyFill="1" applyBorder="1" applyAlignment="1">
      <x:alignment horizontal="center" vertical="center"/>
    </x:xf>
    <x:xf numFmtId="0" fontId="20" fillId="11" borderId="1" xfId="0" applyNumberFormat="1" applyFont="1" applyFill="1" applyBorder="1" applyAlignment="1">
      <x:alignment horizontal="center" vertical="center"/>
    </x:xf>
    <x:xf numFmtId="0" fontId="16" fillId="13" borderId="0" xfId="0" applyNumberFormat="1" applyFont="1" applyFill="1" applyBorder="1" applyAlignment="1">
      <x:alignment horizontal="center" vertical="center"/>
    </x:xf>
  </x:cellXfs>
  <x:cellStyles count="1">
    <x:cellStyle name="Normal" xfId="0"/>
  </x:cellStyles>
  <x:dxfs count="8">
    <x:dxf>
      <x:font>
        <x:b/>
        <x:color rgb="FFFFFF"/>
      </x:font>
      <x:fill>
        <x:patternFill patternType="solid">
          <x:bgColor rgb="EF4444"/>
        </x:patternFill>
      </x:fill>
    </x:dxf>
    <x:dxf>
      <x:font>
        <x:b/>
        <x:color rgb="FFFFFF"/>
      </x:font>
      <x:fill>
        <x:patternFill patternType="solid">
          <x:bgColor rgb="FB923C"/>
        </x:patternFill>
      </x:fill>
    </x:dxf>
    <x:dxf>
      <x:font>
        <x:b/>
        <x:color rgb="111827"/>
      </x:font>
      <x:fill>
        <x:patternFill patternType="solid">
          <x:bgColor rgb="FACC15"/>
        </x:patternFill>
      </x:fill>
    </x:dxf>
    <x:dxf>
      <x:font>
        <x:b/>
        <x:color rgb="FFFFFF"/>
      </x:font>
      <x:fill>
        <x:patternFill patternType="solid">
          <x:bgColor rgb="10B981"/>
        </x:patternFill>
      </x:fill>
    </x:dxf>
    <x:dxf>
      <x:font>
        <x:b/>
        <x:color rgb="FFFFFF"/>
      </x:font>
      <x:fill>
        <x:patternFill patternType="solid">
          <x:bgColor rgb="EF4444"/>
        </x:patternFill>
      </x:fill>
    </x:dxf>
    <x:dxf>
      <x:font>
        <x:b/>
        <x:color rgb="FFFFFF"/>
      </x:font>
      <x:fill>
        <x:patternFill patternType="solid">
          <x:bgColor rgb="FB923C"/>
        </x:patternFill>
      </x:fill>
    </x:dxf>
    <x:dxf>
      <x:font>
        <x:b/>
        <x:color rgb="111827"/>
      </x:font>
      <x:fill>
        <x:patternFill patternType="solid">
          <x:bgColor rgb="FACC15"/>
        </x:patternFill>
      </x:fill>
    </x:dxf>
    <x:dxf>
      <x:font>
        <x:b/>
        <x:color rgb="FFFFFF"/>
      </x:font>
      <x:fill>
        <x:patternFill patternType="solid">
          <x:bgColor rgb="10B981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c962e2bde2047a0" /><Relationship Type="http://schemas.openxmlformats.org/officeDocument/2006/relationships/theme" Target="/xl/theme/theme1.xml" Id="Ra8965a54e83141c3" /><Relationship Type="http://schemas.openxmlformats.org/officeDocument/2006/relationships/sharedStrings" Target="/xl/sharedStrings.xml" Id="Rb5363e343b8d4c12" /><Relationship Type="http://schemas.openxmlformats.org/officeDocument/2006/relationships/worksheet" Target="/xl/worksheets/sheet1.xml" Id="Rbc60495d6d1f4971" /><Relationship Type="http://schemas.openxmlformats.org/officeDocument/2006/relationships/worksheet" Target="/xl/worksheets/sheet2.xml" Id="R7e9caf1ead1a4e49" /><Relationship Type="http://schemas.openxmlformats.org/officeDocument/2006/relationships/worksheet" Target="/xl/worksheets/sheet3.xml" Id="R404b315f09c145ec" /><Relationship Type="http://schemas.openxmlformats.org/officeDocument/2006/relationships/worksheet" Target="/xl/worksheets/sheet4.xml" Id="R5e5bbb50ab4246c0" /><Relationship Type="http://schemas.openxmlformats.org/officeDocument/2006/relationships/worksheet" Target="/xl/worksheets/sheet5.xml" Id="Re9ad5df3e4c9463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2513a04cbb84c9b" /><Relationship Type="http://schemas.openxmlformats.org/officeDocument/2006/relationships/chart" Target="/xl/drawings/charts/chart2.xml" Id="R7502750bba6a4914" /><Relationship Type="http://schemas.openxmlformats.org/officeDocument/2006/relationships/chart" Target="/xl/drawings/charts/chart3.xml" Id="R83784844c14b4ca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Mitigation Completion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Value</c:v>
          </c:tx>
          <c:cat>
            <c:strRef>
              <c:f>'Dashboard Engine'!$AH$2:$AH$3</c:f>
              <c:strCache>
                <c:ptCount val="0"/>
              </c:strCache>
            </c:strRef>
          </c:cat>
          <c:val>
            <c:numRef>
              <c:f>'Dashboard Engine'!$AI$2:$AI$3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Incident Timeline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Incidents</c:v>
          </c:tx>
          <c:cat>
            <c:strRef>
              <c:f>'Dashboard Engine'!$J$2:$J$13</c:f>
              <c:strCache>
                <c:ptCount val="0"/>
              </c:strCache>
            </c:strRef>
          </c:cat>
          <c:val>
            <c:numRef>
              <c:f>'Dashboard Engine'!$K$2:$K$13</c:f>
              <c:numCache>
                <c:formatCode/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Filtered Severity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Filtered Count</c:v>
          </c:tx>
          <c:cat>
            <c:strRef>
              <c:f>'Dashboard Engine'!$V$2:$V$5</c:f>
              <c:strCache>
                <c:ptCount val="0"/>
              </c:strCache>
            </c:strRef>
          </c:cat>
          <c:val>
            <c:numRef>
              <c:f>'Dashboard Engine'!$W$2:$W$5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10</xdr:row>
      <xdr:rowOff>0</xdr:rowOff>
    </xdr:from>
    <xdr:to>
      <xdr:col>8</xdr:col>
      <xdr:colOff>0</xdr:colOff>
      <xdr:row>21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2513a04cbb84c9b"/>
        </a:graphicData>
      </a:graphic>
    </xdr:graphicFrame>
    <xdr:clientData/>
  </xdr:twoCellAnchor>
  <xdr:twoCellAnchor>
    <xdr:from>
      <xdr:col>8</xdr:col>
      <xdr:colOff>0</xdr:colOff>
      <xdr:row>10</xdr:row>
      <xdr:rowOff>0</xdr:rowOff>
    </xdr:from>
    <xdr:to>
      <xdr:col>16</xdr:col>
      <xdr:colOff>0</xdr:colOff>
      <xdr:row>21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502750bba6a4914"/>
        </a:graphicData>
      </a:graphic>
    </xdr:graphicFrame>
    <xdr:clientData/>
  </xdr:twoCellAnchor>
  <xdr:twoCellAnchor>
    <xdr:from>
      <xdr:col>16</xdr:col>
      <xdr:colOff>0</xdr:colOff>
      <xdr:row>10</xdr:row>
      <xdr:rowOff>0</xdr:rowOff>
    </xdr:from>
    <xdr:to>
      <xdr:col>24</xdr:col>
      <xdr:colOff>0</xdr:colOff>
      <xdr:row>21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3784844c14b4cad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iskRegisterTable" displayName="RiskRegisterTable" ref="A1:P31" headerRowCount="1">
  <x:tableColumns count="16">
    <x:tableColumn id="1" name="Risk ID"/>
    <x:tableColumn id="2" name="Date"/>
    <x:tableColumn id="3" name="Category"/>
    <x:tableColumn id="4" name="Risk Title"/>
    <x:tableColumn id="5" name="Owner"/>
    <x:tableColumn id="6" name="Probability"/>
    <x:tableColumn id="7" name="Impact"/>
    <x:tableColumn id="8" name="Inherent Score"/>
    <x:tableColumn id="9" name="Control Effectiveness"/>
    <x:tableColumn id="10" name="Control Factor"/>
    <x:tableColumn id="11" name="Residual Score"/>
    <x:tableColumn id="12" name="Priority"/>
    <x:tableColumn id="13" name="Status"/>
    <x:tableColumn id="14" name="Mitigation Action"/>
    <x:tableColumn id="15" name="Target Date"/>
    <x:tableColumn id="16" name="Incident Count"/>
  </x:tableColumns>
  <x:tableStyleInfo name="TableStyleMedium2" showRowStripes="1"/>
</x:table>
</file>

<file path=xl/tables/table2.xml><?xml version="1.0" encoding="utf-8"?>
<x:table xmlns:x="http://schemas.openxmlformats.org/spreadsheetml/2006/main" id="2" name="IncidentTimelineTable" displayName="IncidentTimelineTable" ref="A1:F7" headerRowCount="1">
  <x:tableColumns count="6">
    <x:tableColumn id="1" name="Date"/>
    <x:tableColumn id="2" name="Incident"/>
    <x:tableColumn id="3" name="Category"/>
    <x:tableColumn id="4" name="Severity"/>
    <x:tableColumn id="5" name="Owner"/>
    <x:tableColumn id="6" name="Respons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746ef28a28d54300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822903f014eb4426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186b4c67676547ba" /></Relationships>
</file>

<file path=xl/worksheets/sheet1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9" hidden="0" customWidth="1"/>
    <x:col min="3" max="3" width="9" hidden="0" customWidth="1"/>
    <x:col min="4" max="4" width="9" hidden="0" customWidth="1"/>
    <x:col min="5" max="5" width="9" hidden="0" customWidth="1"/>
    <x:col min="6" max="6" width="9" hidden="0" customWidth="1"/>
    <x:col min="7" max="7" width="9" hidden="0" customWidth="1"/>
    <x:col min="8" max="8" width="9" hidden="0" customWidth="1"/>
    <x:col min="9" max="9" width="9" hidden="0" customWidth="1"/>
    <x:col min="10" max="10" width="9" hidden="0" customWidth="1"/>
    <x:col min="11" max="11" width="9" hidden="0" customWidth="1"/>
    <x:col min="12" max="12" width="9" hidden="0" customWidth="1"/>
    <x:col min="13" max="13" width="9" hidden="0" customWidth="1"/>
    <x:col min="14" max="14" width="9" hidden="0" customWidth="1"/>
    <x:col min="15" max="15" width="9" hidden="0" customWidth="1"/>
    <x:col min="16" max="16" width="9" hidden="0" customWidth="1"/>
    <x:col min="17" max="17" width="9" hidden="0" customWidth="1"/>
    <x:col min="18" max="18" width="9" hidden="0" customWidth="1"/>
    <x:col min="19" max="19" width="9" hidden="0" customWidth="1"/>
    <x:col min="20" max="20" width="9" hidden="0" customWidth="1"/>
    <x:col min="21" max="21" width="9" hidden="0" customWidth="1"/>
    <x:col min="22" max="22" width="9" hidden="0" customWidth="1"/>
    <x:col min="23" max="23" width="9" hidden="0" customWidth="1"/>
    <x:col min="24" max="24" width="9" hidden="0" customWidth="1"/>
  </x:cols>
  <x:sheetData>
    <x:row r="1" ht="20" customHeight="1">
      <x:c r="A1" s="39" t="str">
        <x:v>DYNAMIC RISK MANAGEMENT EXECUTIVE DASHBOARD</x:v>
      </x:c>
      <x:c r="B1" s="39"/>
      <x:c r="C1" s="39"/>
      <x:c r="D1" s="39"/>
      <x:c r="E1" s="39"/>
      <x:c r="F1" s="39"/>
      <x:c r="G1" s="39"/>
      <x:c r="H1" s="39"/>
      <x:c r="I1" s="39"/>
      <x:c r="J1" s="39"/>
      <x:c r="K1" s="39"/>
      <x:c r="L1" s="39"/>
      <x:c r="M1" s="39"/>
      <x:c r="N1" s="39"/>
      <x:c r="O1" s="39"/>
      <x:c r="P1" s="39"/>
      <x:c r="Q1" s="39"/>
      <x:c r="R1" s="39"/>
      <x:c r="S1" s="39"/>
      <x:c r="T1" s="39"/>
      <x:c r="U1" s="39"/>
      <x:c r="V1" s="39"/>
      <x:c r="W1" s="39"/>
      <x:c r="X1" s="39"/>
    </x:row>
    <x:row r="2" ht="20" customHeight="1">
      <x:c r="A2" s="39"/>
      <x:c r="B2" s="39"/>
      <x:c r="C2" s="39"/>
      <x:c r="D2" s="39"/>
      <x:c r="E2" s="39"/>
      <x:c r="F2" s="39"/>
      <x:c r="G2" s="39"/>
      <x:c r="H2" s="39"/>
      <x:c r="I2" s="39"/>
      <x:c r="J2" s="39"/>
      <x:c r="K2" s="39"/>
      <x:c r="L2" s="39"/>
      <x:c r="M2" s="39"/>
      <x:c r="N2" s="39"/>
      <x:c r="O2" s="39"/>
      <x:c r="P2" s="39"/>
      <x:c r="Q2" s="39"/>
      <x:c r="R2" s="39"/>
      <x:c r="S2" s="39"/>
      <x:c r="T2" s="39"/>
      <x:c r="U2" s="39"/>
      <x:c r="V2" s="39"/>
      <x:c r="W2" s="39"/>
      <x:c r="X2" s="39"/>
    </x:row>
    <x:row r="3" ht="20" customHeight="1">
      <x:c r="A3" s="169" t="str">
        <x:v>DASHBOARD</x:v>
      </x:c>
      <x:c r="B3" s="169"/>
      <x:c r="C3" s="169" t="str">
        <x:v>RISK REGISTER</x:v>
      </x:c>
      <x:c r="D3" s="169"/>
      <x:c r="E3" s="169" t="str">
        <x:v>INCIDENT TIMELINE</x:v>
      </x:c>
      <x:c r="F3" s="169"/>
      <x:c r="G3" s="64" t="str">
        <x:v>All</x:v>
      </x:c>
      <x:c r="H3" s="64" t="str">
        <x:v>Status</x:v>
      </x:c>
      <x:c r="I3" s="64" t="str">
        <x:v>All</x:v>
      </x:c>
      <x:c r="J3" s="64" t="str">
        <x:v>Owner</x:v>
      </x:c>
      <x:c r="K3" s="64" t="str">
        <x:v>All</x:v>
      </x:c>
      <x:c r="L3" s="64" t="str">
        <x:v>Priority</x:v>
      </x:c>
      <x:c r="M3" s="64" t="str">
        <x:v>All</x:v>
      </x:c>
      <x:c r="N3" s="64" t="str">
        <x:v>Control</x:v>
      </x:c>
      <x:c r="O3" s="64" t="str">
        <x:v>All</x:v>
      </x:c>
      <x:c r="P3" s="64"/>
      <x:c r="Q3" s="64"/>
      <x:c r="R3" s="64"/>
      <x:c r="S3" s="64"/>
      <x:c r="T3" s="64"/>
      <x:c r="U3" s="64"/>
      <x:c r="V3" s="64"/>
      <x:c r="W3" s="64"/>
      <x:c r="X3" s="64"/>
    </x:row>
    <x:row r="4" ht="20" customHeight="1">
      <x:c r="A4" s="33"/>
      <x:c r="B4" s="33"/>
      <x:c r="C4" s="33"/>
      <x:c r="D4" s="33"/>
      <x:c r="E4" s="33"/>
      <x:c r="F4" s="33"/>
      <x:c r="G4" s="33"/>
      <x:c r="H4" s="33"/>
      <x:c r="I4" s="33"/>
      <x:c r="J4" s="33"/>
      <x:c r="K4" s="33"/>
      <x:c r="L4" s="33"/>
      <x:c r="M4" s="33"/>
      <x:c r="N4" s="33"/>
      <x:c r="O4" s="33"/>
      <x:c r="P4" s="33"/>
      <x:c r="Q4" s="33"/>
      <x:c r="R4" s="33"/>
      <x:c r="S4" s="33"/>
      <x:c r="T4" s="33"/>
      <x:c r="U4" s="33"/>
      <x:c r="V4" s="33"/>
      <x:c r="W4" s="33"/>
      <x:c r="X4" s="33"/>
    </x:row>
    <x:row r="5" ht="20" customHeight="1">
      <x:c r="A5" s="64" t="str">
        <x:v>TOTAL RISKS</x:v>
      </x:c>
      <x:c r="B5" s="61"/>
      <x:c r="C5" s="61"/>
      <x:c r="D5" s="61"/>
      <x:c r="E5" s="64" t="str">
        <x:v>CRITICAL</x:v>
      </x:c>
      <x:c r="F5" s="61"/>
      <x:c r="G5" s="61"/>
      <x:c r="H5" s="61"/>
      <x:c r="I5" s="64" t="str">
        <x:v>HIGH RISKS</x:v>
      </x:c>
      <x:c r="J5" s="61"/>
      <x:c r="K5" s="61"/>
      <x:c r="L5" s="61"/>
      <x:c r="M5" s="64" t="str">
        <x:v>MITIGATION</x:v>
      </x:c>
      <x:c r="N5" s="61"/>
      <x:c r="O5" s="61"/>
      <x:c r="P5" s="61"/>
      <x:c r="Q5" s="64" t="str">
        <x:v>OPEN ACTIONS</x:v>
      </x:c>
      <x:c r="R5" s="61"/>
      <x:c r="S5" s="61"/>
      <x:c r="T5" s="61"/>
      <x:c r="U5" s="64" t="str">
        <x:v>AVG RESIDUAL</x:v>
      </x:c>
      <x:c r="V5" s="61"/>
      <x:c r="W5" s="61"/>
      <x:c r="X5" s="61"/>
    </x:row>
    <x:row r="6" ht="20" customHeight="1">
      <x:c r="A6" s="61"/>
      <x:c r="B6" s="68" t="n">
        <x:f>'Dashboard Engine'!T9</x:f>
        <x:v>30</x:v>
      </x:c>
      <x:c r="C6" s="61"/>
      <x:c r="D6" s="61"/>
      <x:c r="E6" s="61"/>
      <x:c r="F6" s="70" t="n">
        <x:f>'Dashboard Engine'!T10</x:f>
        <x:v>2</x:v>
      </x:c>
      <x:c r="G6" s="61"/>
      <x:c r="H6" s="61"/>
      <x:c r="I6" s="61"/>
      <x:c r="J6" s="72" t="n">
        <x:f>'Dashboard Engine'!T11</x:f>
        <x:v>6</x:v>
      </x:c>
      <x:c r="K6" s="61"/>
      <x:c r="L6" s="61"/>
      <x:c r="M6" s="61"/>
      <x:c r="N6" s="80" t="n">
        <x:f>'Dashboard Engine'!T12</x:f>
        <x:v>0.2</x:v>
      </x:c>
      <x:c r="O6" s="61"/>
      <x:c r="P6" s="61"/>
      <x:c r="Q6" s="61"/>
      <x:c r="R6" s="76" t="n">
        <x:f>'Dashboard Engine'!T13</x:f>
        <x:v>18</x:v>
      </x:c>
      <x:c r="S6" s="61"/>
      <x:c r="T6" s="61"/>
      <x:c r="U6" s="61"/>
      <x:c r="V6" s="164" t="n">
        <x:f>'Dashboard Engine'!T14</x:f>
        <x:v>7.266666666666667</x:v>
      </x:c>
      <x:c r="W6" s="61"/>
      <x:c r="X6" s="61"/>
    </x:row>
    <x:row r="7" ht="20" customHeight="1">
      <x:c r="A7" s="61"/>
      <x:c r="B7" s="61"/>
      <x:c r="C7" s="61"/>
      <x:c r="D7" s="61"/>
      <x:c r="E7" s="61"/>
      <x:c r="F7" s="61"/>
      <x:c r="G7" s="61"/>
      <x:c r="H7" s="61"/>
      <x:c r="I7" s="61"/>
      <x:c r="J7" s="61"/>
      <x:c r="K7" s="61"/>
      <x:c r="L7" s="61"/>
      <x:c r="M7" s="61"/>
      <x:c r="N7" s="61"/>
      <x:c r="O7" s="61"/>
      <x:c r="P7" s="61"/>
      <x:c r="Q7" s="61"/>
      <x:c r="R7" s="61"/>
      <x:c r="S7" s="61"/>
      <x:c r="T7" s="61"/>
      <x:c r="U7" s="61"/>
      <x:c r="V7" s="61"/>
      <x:c r="W7" s="61"/>
      <x:c r="X7" s="61"/>
    </x:row>
    <x:row r="8" ht="20" customHeight="1">
      <x:c r="A8" s="179" t="str">
        <x:f>"Filter: "&amp;$G$3&amp;" / "&amp;$I$3</x:f>
        <x:v>Filter: All / All</x:v>
      </x:c>
      <x:c r="B8" s="179"/>
      <x:c r="C8" s="179"/>
      <x:c r="D8" s="179"/>
      <x:c r="E8" s="179" t="str">
        <x:v>Immediate attention</x:v>
      </x:c>
      <x:c r="F8" s="179"/>
      <x:c r="G8" s="179"/>
      <x:c r="H8" s="179"/>
      <x:c r="I8" s="179" t="str">
        <x:v>Monitor closely</x:v>
      </x:c>
      <x:c r="J8" s="179"/>
      <x:c r="K8" s="179"/>
      <x:c r="L8" s="179"/>
      <x:c r="M8" s="179" t="str">
        <x:v>Closed ÷ total risks</x:v>
      </x:c>
      <x:c r="N8" s="179"/>
      <x:c r="O8" s="179"/>
      <x:c r="P8" s="179"/>
      <x:c r="Q8" s="179" t="str">
        <x:v>Open + in progress</x:v>
      </x:c>
      <x:c r="R8" s="179"/>
      <x:c r="S8" s="179"/>
      <x:c r="T8" s="179"/>
      <x:c r="U8" s="179" t="str">
        <x:v>Mean residual score</x:v>
      </x:c>
      <x:c r="V8" s="179"/>
      <x:c r="W8" s="179"/>
      <x:c r="X8" s="179"/>
    </x:row>
    <x:row r="9" ht="20" customHeight="1">
      <x:c r="A9" s="33"/>
      <x:c r="B9" s="33"/>
      <x:c r="C9" s="33"/>
      <x:c r="D9" s="33"/>
      <x:c r="E9" s="33"/>
      <x:c r="F9" s="33"/>
      <x:c r="G9" s="33"/>
      <x:c r="H9" s="33"/>
      <x:c r="I9" s="33"/>
      <x:c r="J9" s="33"/>
      <x:c r="K9" s="33"/>
      <x:c r="L9" s="33"/>
      <x:c r="M9" s="33"/>
      <x:c r="N9" s="33"/>
      <x:c r="O9" s="33"/>
      <x:c r="P9" s="33"/>
      <x:c r="Q9" s="33"/>
      <x:c r="R9" s="33"/>
      <x:c r="S9" s="33"/>
      <x:c r="T9" s="33"/>
      <x:c r="U9" s="33"/>
      <x:c r="V9" s="33"/>
      <x:c r="W9" s="33"/>
      <x:c r="X9" s="33"/>
    </x:row>
    <x:row r="10" ht="20" customHeight="1">
      <x:c r="A10" s="85" t="str">
        <x:v>MITIGATION GAUGE</x:v>
      </x:c>
      <x:c r="B10" s="85"/>
      <x:c r="C10" s="85"/>
      <x:c r="D10" s="85"/>
      <x:c r="E10" s="85"/>
      <x:c r="F10" s="85"/>
      <x:c r="G10" s="85"/>
      <x:c r="H10" s="85"/>
      <x:c r="I10" s="85" t="str">
        <x:v>RESIDUAL RISK TREND</x:v>
      </x:c>
      <x:c r="J10" s="85"/>
      <x:c r="K10" s="85"/>
      <x:c r="L10" s="85"/>
      <x:c r="M10" s="85"/>
      <x:c r="N10" s="85"/>
      <x:c r="O10" s="85"/>
      <x:c r="P10" s="85"/>
      <x:c r="Q10" s="85" t="str">
        <x:v>SEVERITY MIX</x:v>
      </x:c>
      <x:c r="R10" s="85"/>
      <x:c r="S10" s="85"/>
      <x:c r="T10" s="85"/>
      <x:c r="U10" s="85"/>
      <x:c r="V10" s="85"/>
      <x:c r="W10" s="85"/>
      <x:c r="X10" s="85"/>
    </x:row>
    <x:row r="11" ht="20" customHeight="1">
      <x:c r="A11" s="90"/>
      <x:c r="B11" s="90"/>
      <x:c r="C11" s="90"/>
      <x:c r="D11" s="90"/>
      <x:c r="E11" s="90"/>
      <x:c r="F11" s="90"/>
      <x:c r="G11" s="90"/>
      <x:c r="H11" s="90"/>
      <x:c r="I11" s="90"/>
      <x:c r="J11" s="90"/>
      <x:c r="K11" s="90"/>
      <x:c r="L11" s="90"/>
      <x:c r="M11" s="90"/>
      <x:c r="N11" s="90"/>
      <x:c r="O11" s="90"/>
      <x:c r="P11" s="90"/>
      <x:c r="Q11" s="90"/>
      <x:c r="R11" s="90"/>
      <x:c r="S11" s="90"/>
      <x:c r="T11" s="90"/>
      <x:c r="U11" s="90"/>
      <x:c r="V11" s="90"/>
      <x:c r="W11" s="90"/>
      <x:c r="X11" s="90"/>
    </x:row>
    <x:row r="12" ht="20" customHeight="1">
      <x:c r="A12" s="90"/>
      <x:c r="B12" s="90"/>
      <x:c r="C12" s="90"/>
      <x:c r="D12" s="90"/>
      <x:c r="E12" s="90"/>
      <x:c r="F12" s="90"/>
      <x:c r="G12" s="90"/>
      <x:c r="H12" s="90"/>
      <x:c r="I12" s="90"/>
      <x:c r="J12" s="90"/>
      <x:c r="K12" s="90"/>
      <x:c r="L12" s="90"/>
      <x:c r="M12" s="90"/>
      <x:c r="N12" s="90"/>
      <x:c r="O12" s="90"/>
      <x:c r="P12" s="90"/>
      <x:c r="Q12" s="90"/>
      <x:c r="R12" s="90"/>
      <x:c r="S12" s="90"/>
      <x:c r="T12" s="90"/>
      <x:c r="U12" s="90"/>
      <x:c r="V12" s="90"/>
      <x:c r="W12" s="90"/>
      <x:c r="X12" s="90"/>
    </x:row>
    <x:row r="13" ht="20" customHeight="1">
      <x:c r="A13" s="90"/>
      <x:c r="B13" s="90"/>
      <x:c r="C13" s="90"/>
      <x:c r="D13" s="90"/>
      <x:c r="E13" s="90"/>
      <x:c r="F13" s="90"/>
      <x:c r="G13" s="90"/>
      <x:c r="H13" s="90"/>
      <x:c r="I13" s="90"/>
      <x:c r="J13" s="90"/>
      <x:c r="K13" s="90"/>
      <x:c r="L13" s="90"/>
      <x:c r="M13" s="90"/>
      <x:c r="N13" s="90"/>
      <x:c r="O13" s="90"/>
      <x:c r="P13" s="90"/>
      <x:c r="Q13" s="90"/>
      <x:c r="R13" s="90"/>
      <x:c r="S13" s="90"/>
      <x:c r="T13" s="90"/>
      <x:c r="U13" s="90"/>
      <x:c r="V13" s="90"/>
      <x:c r="W13" s="90"/>
      <x:c r="X13" s="90"/>
    </x:row>
    <x:row r="14" ht="20" customHeight="1">
      <x:c r="A14" s="90"/>
      <x:c r="B14" s="90"/>
      <x:c r="C14" s="90"/>
      <x:c r="D14" s="90"/>
      <x:c r="E14" s="90"/>
      <x:c r="F14" s="90"/>
      <x:c r="G14" s="90"/>
      <x:c r="H14" s="90"/>
      <x:c r="I14" s="90"/>
      <x:c r="J14" s="90"/>
      <x:c r="K14" s="90"/>
      <x:c r="L14" s="90"/>
      <x:c r="M14" s="90"/>
      <x:c r="N14" s="90"/>
      <x:c r="O14" s="90"/>
      <x:c r="P14" s="90"/>
      <x:c r="Q14" s="90"/>
      <x:c r="R14" s="90"/>
      <x:c r="S14" s="90"/>
      <x:c r="T14" s="90"/>
      <x:c r="U14" s="90"/>
      <x:c r="V14" s="90"/>
      <x:c r="W14" s="90"/>
      <x:c r="X14" s="90"/>
    </x:row>
    <x:row r="15" ht="20" customHeight="1">
      <x:c r="A15" s="90"/>
      <x:c r="B15" s="90"/>
      <x:c r="C15" s="90"/>
      <x:c r="D15" s="90"/>
      <x:c r="E15" s="90"/>
      <x:c r="F15" s="90"/>
      <x:c r="G15" s="90"/>
      <x:c r="H15" s="90"/>
      <x:c r="I15" s="90"/>
      <x:c r="J15" s="90"/>
      <x:c r="K15" s="90"/>
      <x:c r="L15" s="90"/>
      <x:c r="M15" s="90"/>
      <x:c r="N15" s="90"/>
      <x:c r="O15" s="90"/>
      <x:c r="P15" s="90"/>
      <x:c r="Q15" s="90"/>
      <x:c r="R15" s="90"/>
      <x:c r="S15" s="90"/>
      <x:c r="T15" s="90"/>
      <x:c r="U15" s="90"/>
      <x:c r="V15" s="90"/>
      <x:c r="W15" s="90"/>
      <x:c r="X15" s="90"/>
    </x:row>
    <x:row r="16" ht="20" customHeight="1">
      <x:c r="A16" s="90"/>
      <x:c r="B16" s="90"/>
      <x:c r="C16" s="90"/>
      <x:c r="D16" s="90"/>
      <x:c r="E16" s="90"/>
      <x:c r="F16" s="90"/>
      <x:c r="G16" s="90"/>
      <x:c r="H16" s="90"/>
      <x:c r="I16" s="90"/>
      <x:c r="J16" s="90"/>
      <x:c r="K16" s="90"/>
      <x:c r="L16" s="90"/>
      <x:c r="M16" s="90"/>
      <x:c r="N16" s="90"/>
      <x:c r="O16" s="90"/>
      <x:c r="P16" s="90"/>
      <x:c r="Q16" s="90"/>
      <x:c r="R16" s="90"/>
      <x:c r="S16" s="90"/>
      <x:c r="T16" s="90"/>
      <x:c r="U16" s="90"/>
      <x:c r="V16" s="90"/>
      <x:c r="W16" s="90"/>
      <x:c r="X16" s="90"/>
    </x:row>
    <x:row r="17" ht="20" customHeight="1">
      <x:c r="A17" s="90"/>
      <x:c r="B17" s="90"/>
      <x:c r="C17" s="90"/>
      <x:c r="D17" s="90"/>
      <x:c r="E17" s="90"/>
      <x:c r="F17" s="90"/>
      <x:c r="G17" s="90"/>
      <x:c r="H17" s="90"/>
      <x:c r="I17" s="90"/>
      <x:c r="J17" s="90"/>
      <x:c r="K17" s="90"/>
      <x:c r="L17" s="90"/>
      <x:c r="M17" s="90"/>
      <x:c r="N17" s="90"/>
      <x:c r="O17" s="90"/>
      <x:c r="P17" s="90"/>
      <x:c r="Q17" s="90"/>
      <x:c r="R17" s="90"/>
      <x:c r="S17" s="90"/>
      <x:c r="T17" s="90"/>
      <x:c r="U17" s="90"/>
      <x:c r="V17" s="90"/>
      <x:c r="W17" s="90"/>
      <x:c r="X17" s="90"/>
    </x:row>
    <x:row r="18" ht="20" customHeight="1">
      <x:c r="A18" s="90"/>
      <x:c r="B18" s="90"/>
      <x:c r="C18" s="90"/>
      <x:c r="D18" s="90"/>
      <x:c r="E18" s="90"/>
      <x:c r="F18" s="90"/>
      <x:c r="G18" s="90"/>
      <x:c r="H18" s="90"/>
      <x:c r="I18" s="90"/>
      <x:c r="J18" s="90"/>
      <x:c r="K18" s="90"/>
      <x:c r="L18" s="90"/>
      <x:c r="M18" s="90"/>
      <x:c r="N18" s="90"/>
      <x:c r="O18" s="90"/>
      <x:c r="P18" s="90"/>
      <x:c r="Q18" s="90"/>
      <x:c r="R18" s="90"/>
      <x:c r="S18" s="90"/>
      <x:c r="T18" s="90"/>
      <x:c r="U18" s="90"/>
      <x:c r="V18" s="90"/>
      <x:c r="W18" s="90"/>
      <x:c r="X18" s="90"/>
    </x:row>
    <x:row r="19" ht="20" customHeight="1">
      <x:c r="A19" s="90"/>
      <x:c r="B19" s="90"/>
      <x:c r="C19" s="90"/>
      <x:c r="D19" s="90"/>
      <x:c r="E19" s="90"/>
      <x:c r="F19" s="90"/>
      <x:c r="G19" s="90"/>
      <x:c r="H19" s="90"/>
      <x:c r="I19" s="90"/>
      <x:c r="J19" s="90"/>
      <x:c r="K19" s="90"/>
      <x:c r="L19" s="90"/>
      <x:c r="M19" s="90"/>
      <x:c r="N19" s="90"/>
      <x:c r="O19" s="90"/>
      <x:c r="P19" s="90"/>
      <x:c r="Q19" s="90"/>
      <x:c r="R19" s="90"/>
      <x:c r="S19" s="90"/>
      <x:c r="T19" s="90"/>
      <x:c r="U19" s="90"/>
      <x:c r="V19" s="90"/>
      <x:c r="W19" s="90"/>
      <x:c r="X19" s="90"/>
    </x:row>
    <x:row r="20" ht="20" customHeight="1">
      <x:c r="A20" s="90"/>
      <x:c r="B20" s="90"/>
      <x:c r="C20" s="90"/>
      <x:c r="D20" s="90"/>
      <x:c r="E20" s="90"/>
      <x:c r="F20" s="90"/>
      <x:c r="G20" s="90"/>
      <x:c r="H20" s="90"/>
      <x:c r="I20" s="90"/>
      <x:c r="J20" s="90"/>
      <x:c r="K20" s="90"/>
      <x:c r="L20" s="90"/>
      <x:c r="M20" s="90"/>
      <x:c r="N20" s="90"/>
      <x:c r="O20" s="90"/>
      <x:c r="P20" s="90"/>
      <x:c r="Q20" s="90"/>
      <x:c r="R20" s="90"/>
      <x:c r="S20" s="90"/>
      <x:c r="T20" s="90"/>
      <x:c r="U20" s="90"/>
      <x:c r="V20" s="90"/>
      <x:c r="W20" s="90"/>
      <x:c r="X20" s="90"/>
    </x:row>
    <x:row r="21" ht="20" customHeight="1">
      <x:c r="A21" s="90"/>
      <x:c r="B21" s="90"/>
      <x:c r="C21" s="90"/>
      <x:c r="D21" s="90"/>
      <x:c r="E21" s="90"/>
      <x:c r="F21" s="90"/>
      <x:c r="G21" s="90"/>
      <x:c r="H21" s="90"/>
      <x:c r="I21" s="90"/>
      <x:c r="J21" s="90"/>
      <x:c r="K21" s="90"/>
      <x:c r="L21" s="90"/>
      <x:c r="M21" s="90"/>
      <x:c r="N21" s="90"/>
      <x:c r="O21" s="90"/>
      <x:c r="P21" s="90"/>
      <x:c r="Q21" s="90"/>
      <x:c r="R21" s="90"/>
      <x:c r="S21" s="90"/>
      <x:c r="T21" s="90"/>
      <x:c r="U21" s="90"/>
      <x:c r="V21" s="90"/>
      <x:c r="W21" s="90"/>
      <x:c r="X21" s="90"/>
    </x:row>
    <x:row r="22" ht="20" customHeight="1">
      <x:c r="A22" s="85" t="str">
        <x:v>DYNAMIC HEAT MAP</x:v>
      </x:c>
      <x:c r="B22" s="85"/>
      <x:c r="C22" s="85"/>
      <x:c r="D22" s="85"/>
      <x:c r="E22" s="85"/>
      <x:c r="F22" s="85"/>
      <x:c r="G22" s="85"/>
      <x:c r="H22" s="85"/>
      <x:c r="I22" s="85"/>
      <x:c r="J22" s="85"/>
      <x:c r="K22" s="85"/>
      <x:c r="L22" s="85"/>
      <x:c r="M22" s="85" t="str">
        <x:v>LIVE TOP RISKS</x:v>
      </x:c>
      <x:c r="N22" s="85"/>
      <x:c r="O22" s="85"/>
      <x:c r="P22" s="85"/>
      <x:c r="Q22" s="85"/>
      <x:c r="R22" s="85"/>
      <x:c r="S22" s="85"/>
      <x:c r="T22" s="85"/>
      <x:c r="U22" s="85"/>
      <x:c r="V22" s="85"/>
      <x:c r="W22" s="85"/>
      <x:c r="X22" s="85"/>
    </x:row>
    <x:row r="23" ht="20" customHeight="1">
      <x:c r="A23" s="90"/>
      <x:c r="B23" s="90"/>
      <x:c r="C23" s="90"/>
      <x:c r="D23" s="90"/>
      <x:c r="E23" s="90"/>
      <x:c r="F23" s="90"/>
      <x:c r="G23" s="90"/>
      <x:c r="H23" s="90"/>
      <x:c r="I23" s="90"/>
      <x:c r="J23" s="90"/>
      <x:c r="K23" s="90"/>
      <x:c r="L23" s="90"/>
      <x:c r="M23" s="93" t="str">
        <x:v>Risk Title</x:v>
      </x:c>
      <x:c r="N23" s="93" t="str">
        <x:v>Owner</x:v>
      </x:c>
      <x:c r="O23" s="93" t="str">
        <x:v>Score</x:v>
      </x:c>
      <x:c r="P23" s="93" t="str">
        <x:v>Priority</x:v>
      </x:c>
      <x:c r="Q23" s="93" t="str">
        <x:v>Status</x:v>
      </x:c>
      <x:c r="R23" s="93" t="str">
        <x:v>Action</x:v>
      </x:c>
      <x:c r="S23" s="93"/>
      <x:c r="T23" s="93"/>
      <x:c r="U23" s="93"/>
      <x:c r="V23" s="93"/>
      <x:c r="W23" s="93"/>
      <x:c r="X23" s="93"/>
    </x:row>
    <x:row r="24" ht="20" customHeight="1">
      <x:c r="A24" s="90"/>
      <x:c r="B24" s="93" t="str">
        <x:v>P1</x:v>
      </x:c>
      <x:c r="C24" s="93" t="str">
        <x:v>P2</x:v>
      </x:c>
      <x:c r="D24" s="93" t="str">
        <x:v>P3</x:v>
      </x:c>
      <x:c r="E24" s="93" t="str">
        <x:v>P4</x:v>
      </x:c>
      <x:c r="F24" s="93" t="str">
        <x:v>P5</x:v>
      </x:c>
      <x:c r="G24" s="90"/>
      <x:c r="H24" s="183" t="str">
        <x:v>RISK ZONES</x:v>
      </x:c>
      <x:c r="I24" s="183"/>
      <x:c r="J24" s="183"/>
      <x:c r="K24" s="183"/>
      <x:c r="L24" s="183"/>
      <x:c r="M24" s="154" t="str">
        <x:f>INDEX('Risk Register'!$D$2:$D$31,MATCH(LARGE('Risk Register'!$K$2:$K$31,1),'Risk Register'!$K$2:$K$31,0))</x:f>
        <x:v>Contract renewal uncertainty</x:v>
      </x:c>
      <x:c r="N24" s="154" t="str">
        <x:f>INDEX('Risk Register'!$E$2:$E$31,MATCH(LARGE('Risk Register'!$K$2:$K$31,1),'Risk Register'!$K$2:$K$31,0))</x:f>
        <x:v>Mary Smith</x:v>
      </x:c>
      <x:c r="O24" s="154" t="n">
        <x:f>LARGE('Risk Register'!$K$2:$K$31,1)</x:f>
        <x:v>20</x:v>
      </x:c>
      <x:c r="P24" s="154" t="str">
        <x:f>INDEX('Risk Register'!$L$2:$L$31,MATCH(LARGE('Risk Register'!$K$2:$K$31,1),'Risk Register'!$K$2:$K$31,0))</x:f>
        <x:v>Critical</x:v>
      </x:c>
      <x:c r="Q24" s="154" t="str">
        <x:f>INDEX('Risk Register'!$M$2:$M$31,MATCH(LARGE('Risk Register'!$K$2:$K$31,1),'Risk Register'!$K$2:$K$31,0))</x:f>
        <x:v>Escalated</x:v>
      </x:c>
      <x:c r="R24" s="154" t="str">
        <x:f>INDEX('Risk Register'!$N$2:$N$31,MATCH(LARGE('Risk Register'!$K$2:$K$31,1),'Risk Register'!$K$2:$K$31,0))</x:f>
        <x:v>Close after verification</x:v>
      </x:c>
      <x:c r="S24" s="154"/>
      <x:c r="T24" s="154"/>
      <x:c r="U24" s="154"/>
      <x:c r="V24" s="154"/>
      <x:c r="W24" s="154"/>
      <x:c r="X24" s="154"/>
    </x:row>
    <x:row r="25" ht="20" customHeight="1">
      <x:c r="A25" s="93" t="str">
        <x:v>I5</x:v>
      </x:c>
      <x:c r="B25" s="99" t="n">
        <x:f>'Dashboard Engine'!AB2</x:f>
        <x:v>0</x:v>
      </x:c>
      <x:c r="C25" s="99" t="n">
        <x:f>'Dashboard Engine'!AC2</x:f>
        <x:v>0</x:v>
      </x:c>
      <x:c r="D25" s="107" t="n">
        <x:f>'Dashboard Engine'!AD2</x:f>
        <x:v>6</x:v>
      </x:c>
      <x:c r="E25" s="107" t="n">
        <x:f>'Dashboard Engine'!AE2</x:f>
        <x:v>0</x:v>
      </x:c>
      <x:c r="F25" s="115" t="n">
        <x:f>'Dashboard Engine'!AF2</x:f>
        <x:v>0</x:v>
      </x:c>
      <x:c r="G25" s="90"/>
      <x:c r="H25" s="186" t="str">
        <x:v>Critical</x:v>
      </x:c>
      <x:c r="I25" s="186"/>
      <x:c r="J25" s="183" t="str">
        <x:v>Immediate escalation</x:v>
      </x:c>
      <x:c r="K25" s="183"/>
      <x:c r="L25" s="183"/>
      <x:c r="M25" s="154" t="str">
        <x:f>INDEX('Risk Register'!$D$2:$D$31,MATCH(LARGE('Risk Register'!$K$2:$K$31,2),'Risk Register'!$K$2:$K$31,0))</x:f>
        <x:v>Contract renewal uncertainty</x:v>
      </x:c>
      <x:c r="N25" s="154" t="str">
        <x:f>INDEX('Risk Register'!$E$2:$E$31,MATCH(LARGE('Risk Register'!$K$2:$K$31,2),'Risk Register'!$K$2:$K$31,0))</x:f>
        <x:v>Mary Smith</x:v>
      </x:c>
      <x:c r="O25" s="154" t="n">
        <x:f>LARGE('Risk Register'!$K$2:$K$31,2)</x:f>
        <x:v>20</x:v>
      </x:c>
      <x:c r="P25" s="154" t="str">
        <x:f>INDEX('Risk Register'!$L$2:$L$31,MATCH(LARGE('Risk Register'!$K$2:$K$31,2),'Risk Register'!$K$2:$K$31,0))</x:f>
        <x:v>Critical</x:v>
      </x:c>
      <x:c r="Q25" s="154" t="str">
        <x:f>INDEX('Risk Register'!$M$2:$M$31,MATCH(LARGE('Risk Register'!$K$2:$K$31,2),'Risk Register'!$K$2:$K$31,0))</x:f>
        <x:v>Escalated</x:v>
      </x:c>
      <x:c r="R25" s="154" t="str">
        <x:f>INDEX('Risk Register'!$N$2:$N$31,MATCH(LARGE('Risk Register'!$K$2:$K$31,2),'Risk Register'!$K$2:$K$31,0))</x:f>
        <x:v>Close after verification</x:v>
      </x:c>
      <x:c r="S25" s="154"/>
      <x:c r="T25" s="154"/>
      <x:c r="U25" s="154"/>
      <x:c r="V25" s="154"/>
      <x:c r="W25" s="154"/>
      <x:c r="X25" s="154"/>
    </x:row>
    <x:row r="26" ht="20" customHeight="1">
      <x:c r="A26" s="93" t="str">
        <x:v>I4</x:v>
      </x:c>
      <x:c r="B26" s="99" t="n">
        <x:f>'Dashboard Engine'!AB3</x:f>
        <x:v>0</x:v>
      </x:c>
      <x:c r="C26" s="107" t="n">
        <x:f>'Dashboard Engine'!AC3</x:f>
        <x:v>0</x:v>
      </x:c>
      <x:c r="D26" s="107" t="n">
        <x:f>'Dashboard Engine'!AD3</x:f>
        <x:v>0</x:v>
      </x:c>
      <x:c r="E26" s="115" t="n">
        <x:f>'Dashboard Engine'!AE3</x:f>
        <x:v>0</x:v>
      </x:c>
      <x:c r="F26" s="123" t="n">
        <x:f>'Dashboard Engine'!AF3</x:f>
        <x:v>6</x:v>
      </x:c>
      <x:c r="G26" s="90"/>
      <x:c r="H26" s="188" t="str">
        <x:v>High</x:v>
      </x:c>
      <x:c r="I26" s="188"/>
      <x:c r="J26" s="183" t="str">
        <x:v>Mitigation plan</x:v>
      </x:c>
      <x:c r="K26" s="183"/>
      <x:c r="L26" s="183"/>
      <x:c r="M26" s="154" t="str">
        <x:f>INDEX('Risk Register'!$D$2:$D$31,MATCH(LARGE('Risk Register'!$K$2:$K$31,3),'Risk Register'!$K$2:$K$31,0))</x:f>
        <x:v>ERP migration delay</x:v>
      </x:c>
      <x:c r="N26" s="154" t="str">
        <x:f>INDEX('Risk Register'!$E$2:$E$31,MATCH(LARGE('Risk Register'!$K$2:$K$31,3),'Risk Register'!$K$2:$K$31,0))</x:f>
        <x:v>Robert Hall</x:v>
      </x:c>
      <x:c r="O26" s="154" t="n">
        <x:f>LARGE('Risk Register'!$K$2:$K$31,3)</x:f>
        <x:v>15</x:v>
      </x:c>
      <x:c r="P26" s="154" t="str">
        <x:f>INDEX('Risk Register'!$L$2:$L$31,MATCH(LARGE('Risk Register'!$K$2:$K$31,3),'Risk Register'!$K$2:$K$31,0))</x:f>
        <x:v>High</x:v>
      </x:c>
      <x:c r="Q26" s="154" t="str">
        <x:f>INDEX('Risk Register'!$M$2:$M$31,MATCH(LARGE('Risk Register'!$K$2:$K$31,3),'Risk Register'!$K$2:$K$31,0))</x:f>
        <x:v>Controlled</x:v>
      </x:c>
      <x:c r="R26" s="154" t="str">
        <x:f>INDEX('Risk Register'!$N$2:$N$31,MATCH(LARGE('Risk Register'!$K$2:$K$31,3),'Risk Register'!$K$2:$K$31,0))</x:f>
        <x:v>Assign mitigation owner</x:v>
      </x:c>
      <x:c r="S26" s="154"/>
      <x:c r="T26" s="154"/>
      <x:c r="U26" s="154"/>
      <x:c r="V26" s="154"/>
      <x:c r="W26" s="154"/>
      <x:c r="X26" s="154"/>
    </x:row>
    <x:row r="27" ht="20" customHeight="1">
      <x:c r="A27" s="93" t="str">
        <x:v>I3</x:v>
      </x:c>
      <x:c r="B27" s="107" t="n">
        <x:f>'Dashboard Engine'!AB4</x:f>
        <x:v>0</x:v>
      </x:c>
      <x:c r="C27" s="107" t="n">
        <x:f>'Dashboard Engine'!AC4</x:f>
        <x:v>6</x:v>
      </x:c>
      <x:c r="D27" s="115" t="n">
        <x:f>'Dashboard Engine'!AD4</x:f>
        <x:v>0</x:v>
      </x:c>
      <x:c r="E27" s="123" t="n">
        <x:f>'Dashboard Engine'!AE4</x:f>
        <x:v>0</x:v>
      </x:c>
      <x:c r="F27" s="131" t="n">
        <x:f>'Dashboard Engine'!AF4</x:f>
        <x:v>0</x:v>
      </x:c>
      <x:c r="G27" s="90"/>
      <x:c r="H27" s="192" t="str">
        <x:v>Medium</x:v>
      </x:c>
      <x:c r="I27" s="192"/>
      <x:c r="J27" s="183" t="str">
        <x:v>Routine control</x:v>
      </x:c>
      <x:c r="K27" s="183"/>
      <x:c r="L27" s="183"/>
      <x:c r="M27" s="154" t="str">
        <x:f>INDEX('Risk Register'!$D$2:$D$31,MATCH(LARGE('Risk Register'!$K$2:$K$31,4),'Risk Register'!$K$2:$K$31,0))</x:f>
        <x:v>ERP migration delay</x:v>
      </x:c>
      <x:c r="N27" s="154" t="str">
        <x:f>INDEX('Risk Register'!$E$2:$E$31,MATCH(LARGE('Risk Register'!$K$2:$K$31,4),'Risk Register'!$K$2:$K$31,0))</x:f>
        <x:v>Robert Hall</x:v>
      </x:c>
      <x:c r="O27" s="154" t="n">
        <x:f>LARGE('Risk Register'!$K$2:$K$31,4)</x:f>
        <x:v>15</x:v>
      </x:c>
      <x:c r="P27" s="154" t="str">
        <x:f>INDEX('Risk Register'!$L$2:$L$31,MATCH(LARGE('Risk Register'!$K$2:$K$31,4),'Risk Register'!$K$2:$K$31,0))</x:f>
        <x:v>High</x:v>
      </x:c>
      <x:c r="Q27" s="154" t="str">
        <x:f>INDEX('Risk Register'!$M$2:$M$31,MATCH(LARGE('Risk Register'!$K$2:$K$31,4),'Risk Register'!$K$2:$K$31,0))</x:f>
        <x:v>Controlled</x:v>
      </x:c>
      <x:c r="R27" s="154" t="str">
        <x:f>INDEX('Risk Register'!$N$2:$N$31,MATCH(LARGE('Risk Register'!$K$2:$K$31,4),'Risk Register'!$K$2:$K$31,0))</x:f>
        <x:v>Assign mitigation owner</x:v>
      </x:c>
      <x:c r="S27" s="154"/>
      <x:c r="T27" s="154"/>
      <x:c r="U27" s="154"/>
      <x:c r="V27" s="154"/>
      <x:c r="W27" s="154"/>
      <x:c r="X27" s="154"/>
    </x:row>
    <x:row r="28" ht="20" customHeight="1">
      <x:c r="A28" s="93" t="str">
        <x:v>I2</x:v>
      </x:c>
      <x:c r="B28" s="107" t="n">
        <x:f>'Dashboard Engine'!AB5</x:f>
        <x:v>0</x:v>
      </x:c>
      <x:c r="C28" s="115" t="n">
        <x:f>'Dashboard Engine'!AC5</x:f>
        <x:v>0</x:v>
      </x:c>
      <x:c r="D28" s="123" t="n">
        <x:f>'Dashboard Engine'!AD5</x:f>
        <x:v>0</x:v>
      </x:c>
      <x:c r="E28" s="131" t="n">
        <x:f>'Dashboard Engine'!AE5</x:f>
        <x:v>6</x:v>
      </x:c>
      <x:c r="F28" s="139" t="n">
        <x:f>'Dashboard Engine'!AF5</x:f>
        <x:v>0</x:v>
      </x:c>
      <x:c r="G28" s="90"/>
      <x:c r="H28" s="194" t="str">
        <x:v>Low</x:v>
      </x:c>
      <x:c r="I28" s="194"/>
      <x:c r="J28" s="183" t="str">
        <x:v>Accepted risk</x:v>
      </x:c>
      <x:c r="K28" s="183"/>
      <x:c r="L28" s="183"/>
      <x:c r="M28" s="154" t="str">
        <x:f>INDEX('Risk Register'!$D$2:$D$31,MATCH(LARGE('Risk Register'!$K$2:$K$31,5),'Risk Register'!$K$2:$K$31,0))</x:f>
        <x:v>Regulatory reporting error</x:v>
      </x:c>
      <x:c r="N28" s="154" t="str">
        <x:f>INDEX('Risk Register'!$E$2:$E$31,MATCH(LARGE('Risk Register'!$K$2:$K$31,5),'Risk Register'!$K$2:$K$31,0))</x:f>
        <x:v>Robert Hall</x:v>
      </x:c>
      <x:c r="O28" s="154" t="n">
        <x:f>LARGE('Risk Register'!$K$2:$K$31,5)</x:f>
        <x:v>14</x:v>
      </x:c>
      <x:c r="P28" s="154" t="str">
        <x:f>INDEX('Risk Register'!$L$2:$L$31,MATCH(LARGE('Risk Register'!$K$2:$K$31,5),'Risk Register'!$K$2:$K$31,0))</x:f>
        <x:v>High</x:v>
      </x:c>
      <x:c r="Q28" s="154" t="str">
        <x:f>INDEX('Risk Register'!$M$2:$M$31,MATCH(LARGE('Risk Register'!$K$2:$K$31,5),'Risk Register'!$K$2:$K$31,0))</x:f>
        <x:v>Escalated</x:v>
      </x:c>
      <x:c r="R28" s="154" t="str">
        <x:f>INDEX('Risk Register'!$N$2:$N$31,MATCH(LARGE('Risk Register'!$K$2:$K$31,5),'Risk Register'!$K$2:$K$31,0))</x:f>
        <x:v>Close after verification</x:v>
      </x:c>
      <x:c r="S28" s="154"/>
      <x:c r="T28" s="154"/>
      <x:c r="U28" s="154"/>
      <x:c r="V28" s="154"/>
      <x:c r="W28" s="154"/>
      <x:c r="X28" s="154"/>
    </x:row>
    <x:row r="29" ht="20" customHeight="1">
      <x:c r="A29" s="93" t="str">
        <x:v>I1</x:v>
      </x:c>
      <x:c r="B29" s="115" t="n">
        <x:f>'Dashboard Engine'!AB6</x:f>
        <x:v>6</x:v>
      </x:c>
      <x:c r="C29" s="123" t="n">
        <x:f>'Dashboard Engine'!AC6</x:f>
        <x:v>0</x:v>
      </x:c>
      <x:c r="D29" s="131" t="n">
        <x:f>'Dashboard Engine'!AD6</x:f>
        <x:v>0</x:v>
      </x:c>
      <x:c r="E29" s="139" t="n">
        <x:f>'Dashboard Engine'!AE6</x:f>
        <x:v>0</x:v>
      </x:c>
      <x:c r="F29" s="147" t="n">
        <x:f>'Dashboard Engine'!AF6</x:f>
        <x:v>0</x:v>
      </x:c>
      <x:c r="G29" s="90"/>
      <x:c r="H29" s="183" t="str">
        <x:v>Heat map refreshes with filters</x:v>
      </x:c>
      <x:c r="I29" s="183"/>
      <x:c r="J29" s="183"/>
      <x:c r="K29" s="183"/>
      <x:c r="L29" s="183"/>
      <x:c r="M29" s="154" t="str">
        <x:f>INDEX('Risk Register'!$D$2:$D$31,MATCH(LARGE('Risk Register'!$K$2:$K$31,6),'Risk Register'!$K$2:$K$31,0))</x:f>
        <x:v>Regulatory reporting error</x:v>
      </x:c>
      <x:c r="N29" s="154" t="str">
        <x:f>INDEX('Risk Register'!$E$2:$E$31,MATCH(LARGE('Risk Register'!$K$2:$K$31,6),'Risk Register'!$K$2:$K$31,0))</x:f>
        <x:v>Robert Hall</x:v>
      </x:c>
      <x:c r="O29" s="154" t="n">
        <x:f>LARGE('Risk Register'!$K$2:$K$31,6)</x:f>
        <x:v>14</x:v>
      </x:c>
      <x:c r="P29" s="154" t="str">
        <x:f>INDEX('Risk Register'!$L$2:$L$31,MATCH(LARGE('Risk Register'!$K$2:$K$31,6),'Risk Register'!$K$2:$K$31,0))</x:f>
        <x:v>High</x:v>
      </x:c>
      <x:c r="Q29" s="154" t="str">
        <x:f>INDEX('Risk Register'!$M$2:$M$31,MATCH(LARGE('Risk Register'!$K$2:$K$31,6),'Risk Register'!$K$2:$K$31,0))</x:f>
        <x:v>Escalated</x:v>
      </x:c>
      <x:c r="R29" s="154" t="str">
        <x:f>INDEX('Risk Register'!$N$2:$N$31,MATCH(LARGE('Risk Register'!$K$2:$K$31,6),'Risk Register'!$K$2:$K$31,0))</x:f>
        <x:v>Close after verification</x:v>
      </x:c>
      <x:c r="S29" s="154"/>
      <x:c r="T29" s="154"/>
      <x:c r="U29" s="154"/>
      <x:c r="V29" s="154"/>
      <x:c r="W29" s="154"/>
      <x:c r="X29" s="154"/>
    </x:row>
    <x:row r="30" ht="20" customHeight="1">
      <x:c r="A30" s="90"/>
      <x:c r="B30" s="90"/>
      <x:c r="C30" s="90"/>
      <x:c r="D30" s="90"/>
      <x:c r="E30" s="90"/>
      <x:c r="F30" s="90"/>
      <x:c r="G30" s="90"/>
      <x:c r="H30" s="90"/>
      <x:c r="I30" s="90"/>
      <x:c r="J30" s="90"/>
      <x:c r="K30" s="90"/>
      <x:c r="L30" s="90"/>
      <x:c r="M30" s="154" t="str">
        <x:f>INDEX('Risk Register'!$D$2:$D$31,MATCH(LARGE('Risk Register'!$K$2:$K$31,7),'Risk Register'!$K$2:$K$31,0))</x:f>
        <x:v>Staff turnover in key function</x:v>
      </x:c>
      <x:c r="N30" s="154" t="str">
        <x:f>INDEX('Risk Register'!$E$2:$E$31,MATCH(LARGE('Risk Register'!$K$2:$K$31,7),'Risk Register'!$K$2:$K$31,0))</x:f>
        <x:v>Nora Patel</x:v>
      </x:c>
      <x:c r="O30" s="154" t="n">
        <x:f>LARGE('Risk Register'!$K$2:$K$31,7)</x:f>
        <x:v>11</x:v>
      </x:c>
      <x:c r="P30" s="154" t="str">
        <x:f>INDEX('Risk Register'!$L$2:$L$31,MATCH(LARGE('Risk Register'!$K$2:$K$31,7),'Risk Register'!$K$2:$K$31,0))</x:f>
        <x:v>High</x:v>
      </x:c>
      <x:c r="Q30" s="154" t="str">
        <x:f>INDEX('Risk Register'!$M$2:$M$31,MATCH(LARGE('Risk Register'!$K$2:$K$31,7),'Risk Register'!$K$2:$K$31,0))</x:f>
        <x:v>Controlled</x:v>
      </x:c>
      <x:c r="R30" s="154" t="str">
        <x:f>INDEX('Risk Register'!$N$2:$N$31,MATCH(LARGE('Risk Register'!$K$2:$K$31,7),'Risk Register'!$K$2:$K$31,0))</x:f>
        <x:v>Assign mitigation owner</x:v>
      </x:c>
      <x:c r="S30" s="154"/>
      <x:c r="T30" s="154"/>
      <x:c r="U30" s="154"/>
      <x:c r="V30" s="154"/>
      <x:c r="W30" s="154"/>
      <x:c r="X30" s="154"/>
    </x:row>
    <x:row r="31" ht="20" customHeight="1">
      <x:c r="A31" s="160" t="str">
        <x:v>Interactive controls above drive all KPI cards and charts. Risk Register table includes filter arrows, dropdown fields, automatic inherent/residual scores, priority levels and visual alerts.</x:v>
      </x:c>
      <x:c r="B31" s="160"/>
      <x:c r="C31" s="160"/>
      <x:c r="D31" s="160"/>
      <x:c r="E31" s="160"/>
      <x:c r="F31" s="160"/>
      <x:c r="G31" s="160"/>
      <x:c r="H31" s="160"/>
      <x:c r="I31" s="160"/>
      <x:c r="J31" s="160"/>
      <x:c r="K31" s="160"/>
      <x:c r="L31" s="160"/>
      <x:c r="M31" s="90"/>
      <x:c r="N31" s="90"/>
      <x:c r="O31" s="90"/>
      <x:c r="P31" s="90"/>
      <x:c r="Q31" s="90"/>
      <x:c r="R31" s="90"/>
      <x:c r="S31" s="90"/>
      <x:c r="T31" s="90"/>
      <x:c r="U31" s="90"/>
      <x:c r="V31" s="90"/>
      <x:c r="W31" s="90"/>
      <x:c r="X31" s="90"/>
    </x:row>
    <x:row r="32" ht="20" customHeight="1">
      <x:c r="A32" s="160"/>
      <x:c r="B32" s="160"/>
      <x:c r="C32" s="160"/>
      <x:c r="D32" s="160"/>
      <x:c r="E32" s="160"/>
      <x:c r="F32" s="160"/>
      <x:c r="G32" s="160"/>
      <x:c r="H32" s="160"/>
      <x:c r="I32" s="160"/>
      <x:c r="J32" s="160"/>
      <x:c r="K32" s="160"/>
      <x:c r="L32" s="160"/>
      <x:c r="M32" s="33"/>
      <x:c r="N32" s="33"/>
      <x:c r="O32" s="33"/>
      <x:c r="P32" s="33"/>
      <x:c r="Q32" s="33"/>
      <x:c r="R32" s="33"/>
      <x:c r="S32" s="33"/>
      <x:c r="T32" s="33"/>
      <x:c r="U32" s="33"/>
      <x:c r="V32" s="33"/>
      <x:c r="W32" s="33"/>
      <x:c r="X32" s="33"/>
    </x:row>
    <x:row r="33" ht="20" customHeight="1">
      <x:c r="A33" s="160"/>
      <x:c r="B33" s="160"/>
      <x:c r="C33" s="160"/>
      <x:c r="D33" s="160"/>
      <x:c r="E33" s="160"/>
      <x:c r="F33" s="160"/>
      <x:c r="G33" s="160"/>
      <x:c r="H33" s="160"/>
      <x:c r="I33" s="160"/>
      <x:c r="J33" s="160"/>
      <x:c r="K33" s="160"/>
      <x:c r="L33" s="160"/>
      <x:c r="M33" s="33"/>
      <x:c r="N33" s="33"/>
      <x:c r="O33" s="33"/>
      <x:c r="P33" s="33"/>
      <x:c r="Q33" s="33"/>
      <x:c r="R33" s="33"/>
      <x:c r="S33" s="33"/>
      <x:c r="T33" s="33"/>
      <x:c r="U33" s="33"/>
      <x:c r="V33" s="33"/>
      <x:c r="W33" s="33"/>
      <x:c r="X33" s="33"/>
    </x:row>
  </x:sheetData>
  <x:mergeCells>
    <x:mergeCell ref="A1:X2"/>
    <x:mergeCell ref="A10:H10"/>
    <x:mergeCell ref="I10:P10"/>
    <x:mergeCell ref="Q10:X10"/>
    <x:mergeCell ref="A22:L22"/>
    <x:mergeCell ref="M22:X22"/>
    <x:mergeCell ref="R24:X24"/>
    <x:mergeCell ref="R25:X25"/>
    <x:mergeCell ref="R26:X26"/>
    <x:mergeCell ref="R27:X27"/>
    <x:mergeCell ref="R28:X28"/>
    <x:mergeCell ref="R29:X29"/>
    <x:mergeCell ref="R30:X30"/>
    <x:mergeCell ref="A31:L33"/>
    <x:mergeCell ref="A3:B3"/>
    <x:mergeCell ref="C3:D3"/>
    <x:mergeCell ref="E3:F3"/>
    <x:mergeCell ref="A8:D8"/>
    <x:mergeCell ref="E8:H8"/>
    <x:mergeCell ref="I8:L8"/>
    <x:mergeCell ref="M8:P8"/>
    <x:mergeCell ref="Q8:T8"/>
    <x:mergeCell ref="U8:X8"/>
    <x:mergeCell ref="H24:L24"/>
    <x:mergeCell ref="H25:I25"/>
    <x:mergeCell ref="J25:L25"/>
    <x:mergeCell ref="H26:I26"/>
    <x:mergeCell ref="J26:L26"/>
    <x:mergeCell ref="H27:I27"/>
    <x:mergeCell ref="J27:L27"/>
    <x:mergeCell ref="H28:I28"/>
    <x:mergeCell ref="J28:L28"/>
    <x:mergeCell ref="H29:L29"/>
  </x:mergeCells>
  <x:conditionalFormatting sqref="P24:P30">
    <x:cfRule type="expression" dxfId="4" priority="1">
      <x:formula>P24="Critical"</x:formula>
    </x:cfRule>
    <x:cfRule type="expression" dxfId="5" priority="2">
      <x:formula>P24="High"</x:formula>
    </x:cfRule>
    <x:cfRule type="expression" dxfId="6" priority="3">
      <x:formula>P24="Medium"</x:formula>
    </x:cfRule>
    <x:cfRule type="expression" dxfId="7" priority="4">
      <x:formula>P24="Low"</x:formula>
    </x:cfRule>
  </x:conditionalFormatting>
  <x:dataValidations count="5">
    <x:dataValidation type="list" sqref="G3">
      <x:formula1>Lists!$I$2:$I$10</x:formula1>
    </x:dataValidation>
    <x:dataValidation type="list" sqref="I3">
      <x:formula1>Lists!$J$2:$J$7</x:formula1>
    </x:dataValidation>
    <x:dataValidation type="list" sqref="K3">
      <x:formula1>Lists!$K$2:$K$10</x:formula1>
    </x:dataValidation>
    <x:dataValidation type="list" sqref="M3">
      <x:formula1>Lists!$L$2:$L$6</x:formula1>
    </x:dataValidation>
    <x:dataValidation type="list" sqref="O3">
      <x:formula1>Lists!$M$2:$M$5</x:formula1>
    </x:dataValidation>
  </x:dataValidations>
  <x:pageMargins left="0.7" right="0.7" top="0.75" bottom="0.75" header="0.3" footer="0.3"/>
  <x:drawing xmlns:r="http://schemas.openxmlformats.org/officeDocument/2006/relationships" r:id="R746ef28a28d54300"/>
</x:worksheet>
</file>

<file path=xl/worksheets/sheet2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12" hidden="0" customWidth="1"/>
    <x:col min="3" max="3" width="18" hidden="0" customWidth="1"/>
    <x:col min="4" max="4" width="34" hidden="0" customWidth="1"/>
    <x:col min="5" max="5" width="18" hidden="0" customWidth="1"/>
    <x:col min="6" max="6" width="11" hidden="0" customWidth="1"/>
    <x:col min="7" max="7" width="10" hidden="0" customWidth="1"/>
    <x:col min="8" max="8" width="12" hidden="0" customWidth="1"/>
    <x:col min="9" max="9" width="20" hidden="0" customWidth="1"/>
    <x:col min="10" max="10" width="12" hidden="0" customWidth="1"/>
    <x:col min="11" max="11" width="12" hidden="0" customWidth="1"/>
    <x:col min="12" max="12" width="12" hidden="0" customWidth="1"/>
    <x:col min="13" max="13" width="13" hidden="0" customWidth="1"/>
    <x:col min="14" max="14" width="30" hidden="0" customWidth="1"/>
    <x:col min="15" max="15" width="12" hidden="0" customWidth="1"/>
    <x:col min="16" max="16" width="12" hidden="0" customWidth="1"/>
  </x:cols>
  <x:sheetData>
    <x:row r="1">
      <x:c r="A1" s="6" t="str">
        <x:v>Risk ID</x:v>
      </x:c>
      <x:c r="B1" s="6" t="str">
        <x:v>Date</x:v>
      </x:c>
      <x:c r="C1" s="6" t="str">
        <x:v>Category</x:v>
      </x:c>
      <x:c r="D1" s="6" t="str">
        <x:v>Risk Title</x:v>
      </x:c>
      <x:c r="E1" s="6" t="str">
        <x:v>Owner</x:v>
      </x:c>
      <x:c r="F1" s="6" t="str">
        <x:v>Probability</x:v>
      </x:c>
      <x:c r="G1" s="6" t="str">
        <x:v>Impact</x:v>
      </x:c>
      <x:c r="H1" s="6" t="str">
        <x:v>Inherent Score</x:v>
      </x:c>
      <x:c r="I1" s="6" t="str">
        <x:v>Control Effectiveness</x:v>
      </x:c>
      <x:c r="J1" s="6" t="str">
        <x:v>Control Factor</x:v>
      </x:c>
      <x:c r="K1" s="6" t="str">
        <x:v>Residual Score</x:v>
      </x:c>
      <x:c r="L1" s="6" t="str">
        <x:v>Priority</x:v>
      </x:c>
      <x:c r="M1" s="6" t="str">
        <x:v>Status</x:v>
      </x:c>
      <x:c r="N1" s="6" t="str">
        <x:v>Mitigation Action</x:v>
      </x:c>
      <x:c r="O1" s="6" t="str">
        <x:v>Target Date</x:v>
      </x:c>
      <x:c r="P1" s="6" t="str">
        <x:v>Incident Count</x:v>
      </x:c>
    </x:row>
    <x:row r="2">
      <x:c r="A2" s="14" t="str">
        <x:v>R001</x:v>
      </x:c>
      <x:c r="B2" s="18" t="n">
        <x:v>46034</x:v>
      </x:c>
      <x:c r="C2" s="14" t="str">
        <x:v>Compliance</x:v>
      </x:c>
      <x:c r="D2" s="14" t="str">
        <x:v>Cybersecurity breach in access management</x:v>
      </x:c>
      <x:c r="E2" s="14" t="str">
        <x:v>Mary Smith</x:v>
      </x:c>
      <x:c r="F2" s="14" t="n">
        <x:v>2</x:v>
      </x:c>
      <x:c r="G2" s="14" t="n">
        <x:v>3</x:v>
      </x:c>
      <x:c r="H2" s="14" t="n">
        <x:f>F2*G2</x:f>
        <x:v>6</x:v>
      </x:c>
      <x:c r="I2" s="14" t="str">
        <x:v>Partially Effective</x:v>
      </x:c>
      <x:c r="J2" s="14" t="n">
        <x:f>IF(I2="Effective",0.45,IF(I2="Partially Effective",0.7,1))</x:f>
        <x:v>0.7</x:v>
      </x:c>
      <x:c r="K2" s="14" t="n">
        <x:f>ROUND(H2*J2,0)</x:f>
        <x:v>4</x:v>
      </x:c>
      <x:c r="L2" s="14" t="str">
        <x:f>IF(K2&gt;=17,"Critical",IF(K2&gt;=10,"High",IF(K2&gt;=5,"Medium","Low")))</x:f>
        <x:v>Low</x:v>
      </x:c>
      <x:c r="M2" s="14" t="str">
        <x:v>In Progress</x:v>
      </x:c>
      <x:c r="N2" s="14" t="str">
        <x:v>Strengthen preventive control</x:v>
      </x:c>
      <x:c r="O2" s="18" t="n">
        <x:v>46074</x:v>
      </x:c>
      <x:c r="P2" s="14" t="n">
        <x:v>1</x:v>
      </x:c>
    </x:row>
    <x:row r="3">
      <x:c r="A3" s="14" t="str">
        <x:v>R002</x:v>
      </x:c>
      <x:c r="B3" s="18" t="n">
        <x:v>46041</x:v>
      </x:c>
      <x:c r="C3" s="14" t="str">
        <x:v>People</x:v>
      </x:c>
      <x:c r="D3" s="14" t="str">
        <x:v>Supplier delay on critical components</x:v>
      </x:c>
      <x:c r="E3" s="14" t="str">
        <x:v>Anna Laurent</x:v>
      </x:c>
      <x:c r="F3" s="14" t="n">
        <x:v>3</x:v>
      </x:c>
      <x:c r="G3" s="14" t="n">
        <x:v>5</x:v>
      </x:c>
      <x:c r="H3" s="14" t="n">
        <x:f>F3*G3</x:f>
        <x:v>15</x:v>
      </x:c>
      <x:c r="I3" s="14" t="str">
        <x:v>Effective</x:v>
      </x:c>
      <x:c r="J3" s="14" t="n">
        <x:f>IF(I3="Effective",0.45,IF(I3="Partially Effective",0.7,1))</x:f>
        <x:v>0.45</x:v>
      </x:c>
      <x:c r="K3" s="14" t="n">
        <x:f>ROUND(H3*J3,0)</x:f>
        <x:v>7</x:v>
      </x:c>
      <x:c r="L3" s="14" t="str">
        <x:f>IF(K3&gt;=17,"Critical",IF(K3&gt;=10,"High",IF(K3&gt;=5,"Medium","Low")))</x:f>
        <x:v>Medium</x:v>
      </x:c>
      <x:c r="M3" s="14" t="str">
        <x:v>Controlled</x:v>
      </x:c>
      <x:c r="N3" s="14" t="str">
        <x:v>Assign mitigation owner</x:v>
      </x:c>
      <x:c r="O3" s="18" t="n">
        <x:v>46091</x:v>
      </x:c>
      <x:c r="P3" s="14" t="n">
        <x:v>2</x:v>
      </x:c>
    </x:row>
    <x:row r="4">
      <x:c r="A4" s="14" t="str">
        <x:v>R003</x:v>
      </x:c>
      <x:c r="B4" s="18" t="n">
        <x:v>46048</x:v>
      </x:c>
      <x:c r="C4" s="14" t="str">
        <x:v>Financial</x:v>
      </x:c>
      <x:c r="D4" s="14" t="str">
        <x:v>Budget overrun on strategic project</x:v>
      </x:c>
      <x:c r="E4" s="14" t="str">
        <x:v>Nora Patel</x:v>
      </x:c>
      <x:c r="F4" s="14" t="n">
        <x:v>4</x:v>
      </x:c>
      <x:c r="G4" s="14" t="n">
        <x:v>2</x:v>
      </x:c>
      <x:c r="H4" s="14" t="n">
        <x:f>F4*G4</x:f>
        <x:v>8</x:v>
      </x:c>
      <x:c r="I4" s="14" t="str">
        <x:v>Ineffective</x:v>
      </x:c>
      <x:c r="J4" s="14" t="n">
        <x:f>IF(I4="Effective",0.45,IF(I4="Partially Effective",0.7,1))</x:f>
        <x:v>1</x:v>
      </x:c>
      <x:c r="K4" s="14" t="n">
        <x:f>ROUND(H4*J4,0)</x:f>
        <x:v>8</x:v>
      </x:c>
      <x:c r="L4" s="14" t="str">
        <x:f>IF(K4&gt;=17,"Critical",IF(K4&gt;=10,"High",IF(K4&gt;=5,"Medium","Low")))</x:f>
        <x:v>Medium</x:v>
      </x:c>
      <x:c r="M4" s="14" t="str">
        <x:v>Closed</x:v>
      </x:c>
      <x:c r="N4" s="14" t="str">
        <x:v>Run weekly review</x:v>
      </x:c>
      <x:c r="O4" s="18" t="n">
        <x:v>46108</x:v>
      </x:c>
      <x:c r="P4" s="14" t="n">
        <x:v>3</x:v>
      </x:c>
    </x:row>
    <x:row r="5">
      <x:c r="A5" s="14" t="str">
        <x:v>R004</x:v>
      </x:c>
      <x:c r="B5" s="18" t="n">
        <x:v>46055</x:v>
      </x:c>
      <x:c r="C5" s="14" t="str">
        <x:v>Project</x:v>
      </x:c>
      <x:c r="D5" s="14" t="str">
        <x:v>Regulatory reporting error</x:v>
      </x:c>
      <x:c r="E5" s="14" t="str">
        <x:v>Robert Hall</x:v>
      </x:c>
      <x:c r="F5" s="14" t="n">
        <x:v>5</x:v>
      </x:c>
      <x:c r="G5" s="14" t="n">
        <x:v>4</x:v>
      </x:c>
      <x:c r="H5" s="14" t="n">
        <x:f>F5*G5</x:f>
        <x:v>20</x:v>
      </x:c>
      <x:c r="I5" s="14" t="str">
        <x:v>Partially Effective</x:v>
      </x:c>
      <x:c r="J5" s="14" t="n">
        <x:f>IF(I5="Effective",0.45,IF(I5="Partially Effective",0.7,1))</x:f>
        <x:v>0.7</x:v>
      </x:c>
      <x:c r="K5" s="14" t="n">
        <x:f>ROUND(H5*J5,0)</x:f>
        <x:v>14</x:v>
      </x:c>
      <x:c r="L5" s="14" t="str">
        <x:f>IF(K5&gt;=17,"Critical",IF(K5&gt;=10,"High",IF(K5&gt;=5,"Medium","Low")))</x:f>
        <x:v>High</x:v>
      </x:c>
      <x:c r="M5" s="14" t="str">
        <x:v>Escalated</x:v>
      </x:c>
      <x:c r="N5" s="14" t="str">
        <x:v>Close after verification</x:v>
      </x:c>
      <x:c r="O5" s="18" t="n">
        <x:v>46085</x:v>
      </x:c>
      <x:c r="P5" s="14" t="n">
        <x:v>4</x:v>
      </x:c>
    </x:row>
    <x:row r="6">
      <x:c r="A6" s="14" t="str">
        <x:v>R005</x:v>
      </x:c>
      <x:c r="B6" s="18" t="n">
        <x:v>46062</x:v>
      </x:c>
      <x:c r="C6" s="14" t="str">
        <x:v>Technology</x:v>
      </x:c>
      <x:c r="D6" s="14" t="str">
        <x:v>Machine downtime affecting production</x:v>
      </x:c>
      <x:c r="E6" s="14" t="str">
        <x:v>Mary Smith</x:v>
      </x:c>
      <x:c r="F6" s="14" t="n">
        <x:v>1</x:v>
      </x:c>
      <x:c r="G6" s="14" t="n">
        <x:v>1</x:v>
      </x:c>
      <x:c r="H6" s="14" t="n">
        <x:f>F6*G6</x:f>
        <x:v>1</x:v>
      </x:c>
      <x:c r="I6" s="14" t="str">
        <x:v>Effective</x:v>
      </x:c>
      <x:c r="J6" s="14" t="n">
        <x:f>IF(I6="Effective",0.45,IF(I6="Partially Effective",0.7,1))</x:f>
        <x:v>0.45</x:v>
      </x:c>
      <x:c r="K6" s="14" t="n">
        <x:f>ROUND(H6*J6,0)</x:f>
        <x:v>0</x:v>
      </x:c>
      <x:c r="L6" s="14" t="str">
        <x:f>IF(K6&gt;=17,"Critical",IF(K6&gt;=10,"High",IF(K6&gt;=5,"Medium","Low")))</x:f>
        <x:v>Low</x:v>
      </x:c>
      <x:c r="M6" s="14" t="str">
        <x:v>Open</x:v>
      </x:c>
      <x:c r="N6" s="14" t="str">
        <x:v>Escalate to risk committee</x:v>
      </x:c>
      <x:c r="O6" s="18" t="n">
        <x:v>46102</x:v>
      </x:c>
      <x:c r="P6" s="14" t="n">
        <x:v>5</x:v>
      </x:c>
    </x:row>
    <x:row r="7">
      <x:c r="A7" s="14" t="str">
        <x:v>R006</x:v>
      </x:c>
      <x:c r="B7" s="18" t="n">
        <x:v>46069</x:v>
      </x:c>
      <x:c r="C7" s="14" t="str">
        <x:v>Cybersecurity</x:v>
      </x:c>
      <x:c r="D7" s="14" t="str">
        <x:v>Data backup failure</x:v>
      </x:c>
      <x:c r="E7" s="14" t="str">
        <x:v>Anna Laurent</x:v>
      </x:c>
      <x:c r="F7" s="14" t="n">
        <x:v>2</x:v>
      </x:c>
      <x:c r="G7" s="14" t="n">
        <x:v>3</x:v>
      </x:c>
      <x:c r="H7" s="14" t="n">
        <x:f>F7*G7</x:f>
        <x:v>6</x:v>
      </x:c>
      <x:c r="I7" s="14" t="str">
        <x:v>Ineffective</x:v>
      </x:c>
      <x:c r="J7" s="14" t="n">
        <x:f>IF(I7="Effective",0.45,IF(I7="Partially Effective",0.7,1))</x:f>
        <x:v>1</x:v>
      </x:c>
      <x:c r="K7" s="14" t="n">
        <x:f>ROUND(H7*J7,0)</x:f>
        <x:v>6</x:v>
      </x:c>
      <x:c r="L7" s="14" t="str">
        <x:f>IF(K7&gt;=17,"Critical",IF(K7&gt;=10,"High",IF(K7&gt;=5,"Medium","Low")))</x:f>
        <x:v>Medium</x:v>
      </x:c>
      <x:c r="M7" s="14" t="str">
        <x:v>In Progress</x:v>
      </x:c>
      <x:c r="N7" s="14" t="str">
        <x:v>Strengthen preventive control</x:v>
      </x:c>
      <x:c r="O7" s="18" t="n">
        <x:v>46119</x:v>
      </x:c>
      <x:c r="P7" s="14" t="n">
        <x:v>0</x:v>
      </x:c>
    </x:row>
    <x:row r="8">
      <x:c r="A8" s="14" t="str">
        <x:v>R007</x:v>
      </x:c>
      <x:c r="B8" s="18" t="n">
        <x:v>46076</x:v>
      </x:c>
      <x:c r="C8" s="14" t="str">
        <x:v>Legal</x:v>
      </x:c>
      <x:c r="D8" s="14" t="str">
        <x:v>Staff turnover in key function</x:v>
      </x:c>
      <x:c r="E8" s="14" t="str">
        <x:v>Nora Patel</x:v>
      </x:c>
      <x:c r="F8" s="14" t="n">
        <x:v>3</x:v>
      </x:c>
      <x:c r="G8" s="14" t="n">
        <x:v>5</x:v>
      </x:c>
      <x:c r="H8" s="14" t="n">
        <x:f>F8*G8</x:f>
        <x:v>15</x:v>
      </x:c>
      <x:c r="I8" s="14" t="str">
        <x:v>Partially Effective</x:v>
      </x:c>
      <x:c r="J8" s="14" t="n">
        <x:f>IF(I8="Effective",0.45,IF(I8="Partially Effective",0.7,1))</x:f>
        <x:v>0.7</x:v>
      </x:c>
      <x:c r="K8" s="14" t="n">
        <x:f>ROUND(H8*J8,0)</x:f>
        <x:v>11</x:v>
      </x:c>
      <x:c r="L8" s="14" t="str">
        <x:f>IF(K8&gt;=17,"Critical",IF(K8&gt;=10,"High",IF(K8&gt;=5,"Medium","Low")))</x:f>
        <x:v>High</x:v>
      </x:c>
      <x:c r="M8" s="14" t="str">
        <x:v>Controlled</x:v>
      </x:c>
      <x:c r="N8" s="14" t="str">
        <x:v>Assign mitigation owner</x:v>
      </x:c>
      <x:c r="O8" s="18" t="n">
        <x:v>46136</x:v>
      </x:c>
      <x:c r="P8" s="14" t="n">
        <x:v>1</x:v>
      </x:c>
    </x:row>
    <x:row r="9">
      <x:c r="A9" s="14" t="str">
        <x:v>R008</x:v>
      </x:c>
      <x:c r="B9" s="18" t="n">
        <x:v>46083</x:v>
      </x:c>
      <x:c r="C9" s="14" t="str">
        <x:v>Operational</x:v>
      </x:c>
      <x:c r="D9" s="14" t="str">
        <x:v>Customer complaint escalation</x:v>
      </x:c>
      <x:c r="E9" s="14" t="str">
        <x:v>Robert Hall</x:v>
      </x:c>
      <x:c r="F9" s="14" t="n">
        <x:v>4</x:v>
      </x:c>
      <x:c r="G9" s="14" t="n">
        <x:v>2</x:v>
      </x:c>
      <x:c r="H9" s="14" t="n">
        <x:f>F9*G9</x:f>
        <x:v>8</x:v>
      </x:c>
      <x:c r="I9" s="14" t="str">
        <x:v>Effective</x:v>
      </x:c>
      <x:c r="J9" s="14" t="n">
        <x:f>IF(I9="Effective",0.45,IF(I9="Partially Effective",0.7,1))</x:f>
        <x:v>0.45</x:v>
      </x:c>
      <x:c r="K9" s="14" t="n">
        <x:f>ROUND(H9*J9,0)</x:f>
        <x:v>4</x:v>
      </x:c>
      <x:c r="L9" s="14" t="str">
        <x:f>IF(K9&gt;=17,"Critical",IF(K9&gt;=10,"High",IF(K9&gt;=5,"Medium","Low")))</x:f>
        <x:v>Low</x:v>
      </x:c>
      <x:c r="M9" s="14" t="str">
        <x:v>Closed</x:v>
      </x:c>
      <x:c r="N9" s="14" t="str">
        <x:v>Run weekly review</x:v>
      </x:c>
      <x:c r="O9" s="18" t="n">
        <x:v>46113</x:v>
      </x:c>
      <x:c r="P9" s="14" t="n">
        <x:v>2</x:v>
      </x:c>
    </x:row>
    <x:row r="10">
      <x:c r="A10" s="14" t="str">
        <x:v>R009</x:v>
      </x:c>
      <x:c r="B10" s="18" t="n">
        <x:v>46090</x:v>
      </x:c>
      <x:c r="C10" s="14" t="str">
        <x:v>Compliance</x:v>
      </x:c>
      <x:c r="D10" s="14" t="str">
        <x:v>Contract renewal uncertainty</x:v>
      </x:c>
      <x:c r="E10" s="14" t="str">
        <x:v>Mary Smith</x:v>
      </x:c>
      <x:c r="F10" s="14" t="n">
        <x:v>5</x:v>
      </x:c>
      <x:c r="G10" s="14" t="n">
        <x:v>4</x:v>
      </x:c>
      <x:c r="H10" s="14" t="n">
        <x:f>F10*G10</x:f>
        <x:v>20</x:v>
      </x:c>
      <x:c r="I10" s="14" t="str">
        <x:v>Ineffective</x:v>
      </x:c>
      <x:c r="J10" s="14" t="n">
        <x:f>IF(I10="Effective",0.45,IF(I10="Partially Effective",0.7,1))</x:f>
        <x:v>1</x:v>
      </x:c>
      <x:c r="K10" s="14" t="n">
        <x:f>ROUND(H10*J10,0)</x:f>
        <x:v>20</x:v>
      </x:c>
      <x:c r="L10" s="14" t="str">
        <x:f>IF(K10&gt;=17,"Critical",IF(K10&gt;=10,"High",IF(K10&gt;=5,"Medium","Low")))</x:f>
        <x:v>Critical</x:v>
      </x:c>
      <x:c r="M10" s="14" t="str">
        <x:v>Escalated</x:v>
      </x:c>
      <x:c r="N10" s="14" t="str">
        <x:v>Close after verification</x:v>
      </x:c>
      <x:c r="O10" s="18" t="n">
        <x:v>46130</x:v>
      </x:c>
      <x:c r="P10" s="14" t="n">
        <x:v>3</x:v>
      </x:c>
    </x:row>
    <x:row r="11">
      <x:c r="A11" s="14" t="str">
        <x:v>R010</x:v>
      </x:c>
      <x:c r="B11" s="18" t="n">
        <x:v>46097</x:v>
      </x:c>
      <x:c r="C11" s="14" t="str">
        <x:v>People</x:v>
      </x:c>
      <x:c r="D11" s="14" t="str">
        <x:v>Cash-flow pressure during peak season</x:v>
      </x:c>
      <x:c r="E11" s="14" t="str">
        <x:v>Anna Laurent</x:v>
      </x:c>
      <x:c r="F11" s="14" t="n">
        <x:v>1</x:v>
      </x:c>
      <x:c r="G11" s="14" t="n">
        <x:v>1</x:v>
      </x:c>
      <x:c r="H11" s="14" t="n">
        <x:f>F11*G11</x:f>
        <x:v>1</x:v>
      </x:c>
      <x:c r="I11" s="14" t="str">
        <x:v>Partially Effective</x:v>
      </x:c>
      <x:c r="J11" s="14" t="n">
        <x:f>IF(I11="Effective",0.45,IF(I11="Partially Effective",0.7,1))</x:f>
        <x:v>0.7</x:v>
      </x:c>
      <x:c r="K11" s="14" t="n">
        <x:f>ROUND(H11*J11,0)</x:f>
        <x:v>1</x:v>
      </x:c>
      <x:c r="L11" s="14" t="str">
        <x:f>IF(K11&gt;=17,"Critical",IF(K11&gt;=10,"High",IF(K11&gt;=5,"Medium","Low")))</x:f>
        <x:v>Low</x:v>
      </x:c>
      <x:c r="M11" s="14" t="str">
        <x:v>Open</x:v>
      </x:c>
      <x:c r="N11" s="14" t="str">
        <x:v>Escalate to risk committee</x:v>
      </x:c>
      <x:c r="O11" s="18" t="n">
        <x:v>46147</x:v>
      </x:c>
      <x:c r="P11" s="14" t="n">
        <x:v>4</x:v>
      </x:c>
    </x:row>
    <x:row r="12">
      <x:c r="A12" s="14" t="str">
        <x:v>R011</x:v>
      </x:c>
      <x:c r="B12" s="18" t="n">
        <x:v>46104</x:v>
      </x:c>
      <x:c r="C12" s="14" t="str">
        <x:v>Financial</x:v>
      </x:c>
      <x:c r="D12" s="14" t="str">
        <x:v>Quality non-conformance recurrence</x:v>
      </x:c>
      <x:c r="E12" s="14" t="str">
        <x:v>Nora Patel</x:v>
      </x:c>
      <x:c r="F12" s="14" t="n">
        <x:v>2</x:v>
      </x:c>
      <x:c r="G12" s="14" t="n">
        <x:v>3</x:v>
      </x:c>
      <x:c r="H12" s="14" t="n">
        <x:f>F12*G12</x:f>
        <x:v>6</x:v>
      </x:c>
      <x:c r="I12" s="14" t="str">
        <x:v>Effective</x:v>
      </x:c>
      <x:c r="J12" s="14" t="n">
        <x:f>IF(I12="Effective",0.45,IF(I12="Partially Effective",0.7,1))</x:f>
        <x:v>0.45</x:v>
      </x:c>
      <x:c r="K12" s="14" t="n">
        <x:f>ROUND(H12*J12,0)</x:f>
        <x:v>3</x:v>
      </x:c>
      <x:c r="L12" s="14" t="str">
        <x:f>IF(K12&gt;=17,"Critical",IF(K12&gt;=10,"High",IF(K12&gt;=5,"Medium","Low")))</x:f>
        <x:v>Low</x:v>
      </x:c>
      <x:c r="M12" s="14" t="str">
        <x:v>In Progress</x:v>
      </x:c>
      <x:c r="N12" s="14" t="str">
        <x:v>Strengthen preventive control</x:v>
      </x:c>
      <x:c r="O12" s="18" t="n">
        <x:v>46164</x:v>
      </x:c>
      <x:c r="P12" s="14" t="n">
        <x:v>5</x:v>
      </x:c>
    </x:row>
    <x:row r="13">
      <x:c r="A13" s="14" t="str">
        <x:v>R012</x:v>
      </x:c>
      <x:c r="B13" s="18" t="n">
        <x:v>46111</x:v>
      </x:c>
      <x:c r="C13" s="14" t="str">
        <x:v>Project</x:v>
      </x:c>
      <x:c r="D13" s="14" t="str">
        <x:v>ERP migration delay</x:v>
      </x:c>
      <x:c r="E13" s="14" t="str">
        <x:v>Robert Hall</x:v>
      </x:c>
      <x:c r="F13" s="14" t="n">
        <x:v>3</x:v>
      </x:c>
      <x:c r="G13" s="14" t="n">
        <x:v>5</x:v>
      </x:c>
      <x:c r="H13" s="14" t="n">
        <x:f>F13*G13</x:f>
        <x:v>15</x:v>
      </x:c>
      <x:c r="I13" s="14" t="str">
        <x:v>Ineffective</x:v>
      </x:c>
      <x:c r="J13" s="14" t="n">
        <x:f>IF(I13="Effective",0.45,IF(I13="Partially Effective",0.7,1))</x:f>
        <x:v>1</x:v>
      </x:c>
      <x:c r="K13" s="14" t="n">
        <x:f>ROUND(H13*J13,0)</x:f>
        <x:v>15</x:v>
      </x:c>
      <x:c r="L13" s="14" t="str">
        <x:f>IF(K13&gt;=17,"Critical",IF(K13&gt;=10,"High",IF(K13&gt;=5,"Medium","Low")))</x:f>
        <x:v>High</x:v>
      </x:c>
      <x:c r="M13" s="14" t="str">
        <x:v>Controlled</x:v>
      </x:c>
      <x:c r="N13" s="14" t="str">
        <x:v>Assign mitigation owner</x:v>
      </x:c>
      <x:c r="O13" s="18" t="n">
        <x:v>46141</x:v>
      </x:c>
      <x:c r="P13" s="14" t="n">
        <x:v>0</x:v>
      </x:c>
    </x:row>
    <x:row r="14">
      <x:c r="A14" s="14" t="str">
        <x:v>R013</x:v>
      </x:c>
      <x:c r="B14" s="18" t="n">
        <x:v>46118</x:v>
      </x:c>
      <x:c r="C14" s="14" t="str">
        <x:v>Technology</x:v>
      </x:c>
      <x:c r="D14" s="14" t="str">
        <x:v>Workplace safety observation</x:v>
      </x:c>
      <x:c r="E14" s="14" t="str">
        <x:v>Mary Smith</x:v>
      </x:c>
      <x:c r="F14" s="14" t="n">
        <x:v>4</x:v>
      </x:c>
      <x:c r="G14" s="14" t="n">
        <x:v>2</x:v>
      </x:c>
      <x:c r="H14" s="14" t="n">
        <x:f>F14*G14</x:f>
        <x:v>8</x:v>
      </x:c>
      <x:c r="I14" s="14" t="str">
        <x:v>Partially Effective</x:v>
      </x:c>
      <x:c r="J14" s="14" t="n">
        <x:f>IF(I14="Effective",0.45,IF(I14="Partially Effective",0.7,1))</x:f>
        <x:v>0.7</x:v>
      </x:c>
      <x:c r="K14" s="14" t="n">
        <x:f>ROUND(H14*J14,0)</x:f>
        <x:v>6</x:v>
      </x:c>
      <x:c r="L14" s="14" t="str">
        <x:f>IF(K14&gt;=17,"Critical",IF(K14&gt;=10,"High",IF(K14&gt;=5,"Medium","Low")))</x:f>
        <x:v>Medium</x:v>
      </x:c>
      <x:c r="M14" s="14" t="str">
        <x:v>Closed</x:v>
      </x:c>
      <x:c r="N14" s="14" t="str">
        <x:v>Run weekly review</x:v>
      </x:c>
      <x:c r="O14" s="18" t="n">
        <x:v>46158</x:v>
      </x:c>
      <x:c r="P14" s="14" t="n">
        <x:v>1</x:v>
      </x:c>
    </x:row>
    <x:row r="15">
      <x:c r="A15" s="14" t="str">
        <x:v>R014</x:v>
      </x:c>
      <x:c r="B15" s="18" t="n">
        <x:v>46125</x:v>
      </x:c>
      <x:c r="C15" s="14" t="str">
        <x:v>Cybersecurity</x:v>
      </x:c>
      <x:c r="D15" s="14" t="str">
        <x:v>Critical vendor concentration</x:v>
      </x:c>
      <x:c r="E15" s="14" t="str">
        <x:v>Anna Laurent</x:v>
      </x:c>
      <x:c r="F15" s="14" t="n">
        <x:v>5</x:v>
      </x:c>
      <x:c r="G15" s="14" t="n">
        <x:v>4</x:v>
      </x:c>
      <x:c r="H15" s="14" t="n">
        <x:f>F15*G15</x:f>
        <x:v>20</x:v>
      </x:c>
      <x:c r="I15" s="14" t="str">
        <x:v>Effective</x:v>
      </x:c>
      <x:c r="J15" s="14" t="n">
        <x:f>IF(I15="Effective",0.45,IF(I15="Partially Effective",0.7,1))</x:f>
        <x:v>0.45</x:v>
      </x:c>
      <x:c r="K15" s="14" t="n">
        <x:f>ROUND(H15*J15,0)</x:f>
        <x:v>9</x:v>
      </x:c>
      <x:c r="L15" s="14" t="str">
        <x:f>IF(K15&gt;=17,"Critical",IF(K15&gt;=10,"High",IF(K15&gt;=5,"Medium","Low")))</x:f>
        <x:v>Medium</x:v>
      </x:c>
      <x:c r="M15" s="14" t="str">
        <x:v>Escalated</x:v>
      </x:c>
      <x:c r="N15" s="14" t="str">
        <x:v>Close after verification</x:v>
      </x:c>
      <x:c r="O15" s="18" t="n">
        <x:v>46175</x:v>
      </x:c>
      <x:c r="P15" s="14" t="n">
        <x:v>2</x:v>
      </x:c>
    </x:row>
    <x:row r="16">
      <x:c r="A16" s="14" t="str">
        <x:v>R015</x:v>
      </x:c>
      <x:c r="B16" s="18" t="n">
        <x:v>46132</x:v>
      </x:c>
      <x:c r="C16" s="14" t="str">
        <x:v>Legal</x:v>
      </x:c>
      <x:c r="D16" s="14" t="str">
        <x:v>Legal dispute exposure</x:v>
      </x:c>
      <x:c r="E16" s="14" t="str">
        <x:v>Nora Patel</x:v>
      </x:c>
      <x:c r="F16" s="14" t="n">
        <x:v>1</x:v>
      </x:c>
      <x:c r="G16" s="14" t="n">
        <x:v>1</x:v>
      </x:c>
      <x:c r="H16" s="14" t="n">
        <x:f>F16*G16</x:f>
        <x:v>1</x:v>
      </x:c>
      <x:c r="I16" s="14" t="str">
        <x:v>Ineffective</x:v>
      </x:c>
      <x:c r="J16" s="14" t="n">
        <x:f>IF(I16="Effective",0.45,IF(I16="Partially Effective",0.7,1))</x:f>
        <x:v>1</x:v>
      </x:c>
      <x:c r="K16" s="14" t="n">
        <x:f>ROUND(H16*J16,0)</x:f>
        <x:v>1</x:v>
      </x:c>
      <x:c r="L16" s="14" t="str">
        <x:f>IF(K16&gt;=17,"Critical",IF(K16&gt;=10,"High",IF(K16&gt;=5,"Medium","Low")))</x:f>
        <x:v>Low</x:v>
      </x:c>
      <x:c r="M16" s="14" t="str">
        <x:v>Open</x:v>
      </x:c>
      <x:c r="N16" s="14" t="str">
        <x:v>Escalate to risk committee</x:v>
      </x:c>
      <x:c r="O16" s="18" t="n">
        <x:v>46192</x:v>
      </x:c>
      <x:c r="P16" s="14" t="n">
        <x:v>3</x:v>
      </x:c>
    </x:row>
    <x:row r="17">
      <x:c r="A17" s="14" t="str">
        <x:v>R016</x:v>
      </x:c>
      <x:c r="B17" s="18" t="n">
        <x:v>46139</x:v>
      </x:c>
      <x:c r="C17" s="14" t="str">
        <x:v>Operational</x:v>
      </x:c>
      <x:c r="D17" s="14" t="str">
        <x:v>Network outage risk</x:v>
      </x:c>
      <x:c r="E17" s="14" t="str">
        <x:v>Robert Hall</x:v>
      </x:c>
      <x:c r="F17" s="14" t="n">
        <x:v>2</x:v>
      </x:c>
      <x:c r="G17" s="14" t="n">
        <x:v>3</x:v>
      </x:c>
      <x:c r="H17" s="14" t="n">
        <x:f>F17*G17</x:f>
        <x:v>6</x:v>
      </x:c>
      <x:c r="I17" s="14" t="str">
        <x:v>Partially Effective</x:v>
      </x:c>
      <x:c r="J17" s="14" t="n">
        <x:f>IF(I17="Effective",0.45,IF(I17="Partially Effective",0.7,1))</x:f>
        <x:v>0.7</x:v>
      </x:c>
      <x:c r="K17" s="14" t="n">
        <x:f>ROUND(H17*J17,0)</x:f>
        <x:v>4</x:v>
      </x:c>
      <x:c r="L17" s="14" t="str">
        <x:f>IF(K17&gt;=17,"Critical",IF(K17&gt;=10,"High",IF(K17&gt;=5,"Medium","Low")))</x:f>
        <x:v>Low</x:v>
      </x:c>
      <x:c r="M17" s="14" t="str">
        <x:v>In Progress</x:v>
      </x:c>
      <x:c r="N17" s="14" t="str">
        <x:v>Strengthen preventive control</x:v>
      </x:c>
      <x:c r="O17" s="18" t="n">
        <x:v>46169</x:v>
      </x:c>
      <x:c r="P17" s="14" t="n">
        <x:v>4</x:v>
      </x:c>
    </x:row>
    <x:row r="18">
      <x:c r="A18" s="14" t="str">
        <x:v>R017</x:v>
      </x:c>
      <x:c r="B18" s="18" t="n">
        <x:v>46146</x:v>
      </x:c>
      <x:c r="C18" s="14" t="str">
        <x:v>Compliance</x:v>
      </x:c>
      <x:c r="D18" s="14" t="str">
        <x:v>Fraudulent payment attempt</x:v>
      </x:c>
      <x:c r="E18" s="14" t="str">
        <x:v>Mary Smith</x:v>
      </x:c>
      <x:c r="F18" s="14" t="n">
        <x:v>3</x:v>
      </x:c>
      <x:c r="G18" s="14" t="n">
        <x:v>5</x:v>
      </x:c>
      <x:c r="H18" s="14" t="n">
        <x:f>F18*G18</x:f>
        <x:v>15</x:v>
      </x:c>
      <x:c r="I18" s="14" t="str">
        <x:v>Effective</x:v>
      </x:c>
      <x:c r="J18" s="14" t="n">
        <x:f>IF(I18="Effective",0.45,IF(I18="Partially Effective",0.7,1))</x:f>
        <x:v>0.45</x:v>
      </x:c>
      <x:c r="K18" s="14" t="n">
        <x:f>ROUND(H18*J18,0)</x:f>
        <x:v>7</x:v>
      </x:c>
      <x:c r="L18" s="14" t="str">
        <x:f>IF(K18&gt;=17,"Critical",IF(K18&gt;=10,"High",IF(K18&gt;=5,"Medium","Low")))</x:f>
        <x:v>Medium</x:v>
      </x:c>
      <x:c r="M18" s="14" t="str">
        <x:v>Controlled</x:v>
      </x:c>
      <x:c r="N18" s="14" t="str">
        <x:v>Assign mitigation owner</x:v>
      </x:c>
      <x:c r="O18" s="18" t="n">
        <x:v>46186</x:v>
      </x:c>
      <x:c r="P18" s="14" t="n">
        <x:v>5</x:v>
      </x:c>
    </x:row>
    <x:row r="19">
      <x:c r="A19" s="14" t="str">
        <x:v>R018</x:v>
      </x:c>
      <x:c r="B19" s="18" t="n">
        <x:v>46153</x:v>
      </x:c>
      <x:c r="C19" s="14" t="str">
        <x:v>People</x:v>
      </x:c>
      <x:c r="D19" s="14" t="str">
        <x:v>Inventory shortage risk</x:v>
      </x:c>
      <x:c r="E19" s="14" t="str">
        <x:v>Anna Laurent</x:v>
      </x:c>
      <x:c r="F19" s="14" t="n">
        <x:v>4</x:v>
      </x:c>
      <x:c r="G19" s="14" t="n">
        <x:v>2</x:v>
      </x:c>
      <x:c r="H19" s="14" t="n">
        <x:f>F19*G19</x:f>
        <x:v>8</x:v>
      </x:c>
      <x:c r="I19" s="14" t="str">
        <x:v>Ineffective</x:v>
      </x:c>
      <x:c r="J19" s="14" t="n">
        <x:f>IF(I19="Effective",0.45,IF(I19="Partially Effective",0.7,1))</x:f>
        <x:v>1</x:v>
      </x:c>
      <x:c r="K19" s="14" t="n">
        <x:f>ROUND(H19*J19,0)</x:f>
        <x:v>8</x:v>
      </x:c>
      <x:c r="L19" s="14" t="str">
        <x:f>IF(K19&gt;=17,"Critical",IF(K19&gt;=10,"High",IF(K19&gt;=5,"Medium","Low")))</x:f>
        <x:v>Medium</x:v>
      </x:c>
      <x:c r="M19" s="14" t="str">
        <x:v>Closed</x:v>
      </x:c>
      <x:c r="N19" s="14" t="str">
        <x:v>Run weekly review</x:v>
      </x:c>
      <x:c r="O19" s="18" t="n">
        <x:v>46203</x:v>
      </x:c>
      <x:c r="P19" s="14" t="n">
        <x:v>0</x:v>
      </x:c>
    </x:row>
    <x:row r="20">
      <x:c r="A20" s="14" t="str">
        <x:v>R019</x:v>
      </x:c>
      <x:c r="B20" s="18" t="n">
        <x:v>46160</x:v>
      </x:c>
      <x:c r="C20" s="14" t="str">
        <x:v>Financial</x:v>
      </x:c>
      <x:c r="D20" s="14" t="str">
        <x:v>Reputation risk from public complaint</x:v>
      </x:c>
      <x:c r="E20" s="14" t="str">
        <x:v>Nora Patel</x:v>
      </x:c>
      <x:c r="F20" s="14" t="n">
        <x:v>5</x:v>
      </x:c>
      <x:c r="G20" s="14" t="n">
        <x:v>4</x:v>
      </x:c>
      <x:c r="H20" s="14" t="n">
        <x:f>F20*G20</x:f>
        <x:v>20</x:v>
      </x:c>
      <x:c r="I20" s="14" t="str">
        <x:v>Partially Effective</x:v>
      </x:c>
      <x:c r="J20" s="14" t="n">
        <x:f>IF(I20="Effective",0.45,IF(I20="Partially Effective",0.7,1))</x:f>
        <x:v>0.7</x:v>
      </x:c>
      <x:c r="K20" s="14" t="n">
        <x:f>ROUND(H20*J20,0)</x:f>
        <x:v>14</x:v>
      </x:c>
      <x:c r="L20" s="14" t="str">
        <x:f>IF(K20&gt;=17,"Critical",IF(K20&gt;=10,"High",IF(K20&gt;=5,"Medium","Low")))</x:f>
        <x:v>High</x:v>
      </x:c>
      <x:c r="M20" s="14" t="str">
        <x:v>Escalated</x:v>
      </x:c>
      <x:c r="N20" s="14" t="str">
        <x:v>Close after verification</x:v>
      </x:c>
      <x:c r="O20" s="18" t="n">
        <x:v>46220</x:v>
      </x:c>
      <x:c r="P20" s="14" t="n">
        <x:v>1</x:v>
      </x:c>
    </x:row>
    <x:row r="21">
      <x:c r="A21" s="14" t="str">
        <x:v>R020</x:v>
      </x:c>
      <x:c r="B21" s="18" t="n">
        <x:v>46167</x:v>
      </x:c>
      <x:c r="C21" s="14" t="str">
        <x:v>Project</x:v>
      </x:c>
      <x:c r="D21" s="14" t="str">
        <x:v>Compliance documentation gap</x:v>
      </x:c>
      <x:c r="E21" s="14" t="str">
        <x:v>Robert Hall</x:v>
      </x:c>
      <x:c r="F21" s="14" t="n">
        <x:v>1</x:v>
      </x:c>
      <x:c r="G21" s="14" t="n">
        <x:v>1</x:v>
      </x:c>
      <x:c r="H21" s="14" t="n">
        <x:f>F21*G21</x:f>
        <x:v>1</x:v>
      </x:c>
      <x:c r="I21" s="14" t="str">
        <x:v>Effective</x:v>
      </x:c>
      <x:c r="J21" s="14" t="n">
        <x:f>IF(I21="Effective",0.45,IF(I21="Partially Effective",0.7,1))</x:f>
        <x:v>0.45</x:v>
      </x:c>
      <x:c r="K21" s="14" t="n">
        <x:f>ROUND(H21*J21,0)</x:f>
        <x:v>0</x:v>
      </x:c>
      <x:c r="L21" s="14" t="str">
        <x:f>IF(K21&gt;=17,"Critical",IF(K21&gt;=10,"High",IF(K21&gt;=5,"Medium","Low")))</x:f>
        <x:v>Low</x:v>
      </x:c>
      <x:c r="M21" s="14" t="str">
        <x:v>Open</x:v>
      </x:c>
      <x:c r="N21" s="14" t="str">
        <x:v>Escalate to risk committee</x:v>
      </x:c>
      <x:c r="O21" s="18" t="n">
        <x:v>46197</x:v>
      </x:c>
      <x:c r="P21" s="14" t="n">
        <x:v>2</x:v>
      </x:c>
    </x:row>
    <x:row r="22">
      <x:c r="A22" s="14" t="str">
        <x:v>R021</x:v>
      </x:c>
      <x:c r="B22" s="18" t="n">
        <x:v>46174</x:v>
      </x:c>
      <x:c r="C22" s="14" t="str">
        <x:v>Technology</x:v>
      </x:c>
      <x:c r="D22" s="14" t="str">
        <x:v>Maintenance backlog accumulation</x:v>
      </x:c>
      <x:c r="E22" s="14" t="str">
        <x:v>Mary Smith</x:v>
      </x:c>
      <x:c r="F22" s="14" t="n">
        <x:v>2</x:v>
      </x:c>
      <x:c r="G22" s="14" t="n">
        <x:v>3</x:v>
      </x:c>
      <x:c r="H22" s="14" t="n">
        <x:f>F22*G22</x:f>
        <x:v>6</x:v>
      </x:c>
      <x:c r="I22" s="14" t="str">
        <x:v>Ineffective</x:v>
      </x:c>
      <x:c r="J22" s="14" t="n">
        <x:f>IF(I22="Effective",0.45,IF(I22="Partially Effective",0.7,1))</x:f>
        <x:v>1</x:v>
      </x:c>
      <x:c r="K22" s="14" t="n">
        <x:f>ROUND(H22*J22,0)</x:f>
        <x:v>6</x:v>
      </x:c>
      <x:c r="L22" s="14" t="str">
        <x:f>IF(K22&gt;=17,"Critical",IF(K22&gt;=10,"High",IF(K22&gt;=5,"Medium","Low")))</x:f>
        <x:v>Medium</x:v>
      </x:c>
      <x:c r="M22" s="14" t="str">
        <x:v>In Progress</x:v>
      </x:c>
      <x:c r="N22" s="14" t="str">
        <x:v>Strengthen preventive control</x:v>
      </x:c>
      <x:c r="O22" s="18" t="n">
        <x:v>46214</x:v>
      </x:c>
      <x:c r="P22" s="14" t="n">
        <x:v>3</x:v>
      </x:c>
    </x:row>
    <x:row r="23">
      <x:c r="A23" s="14" t="str">
        <x:v>R022</x:v>
      </x:c>
      <x:c r="B23" s="18" t="n">
        <x:v>46181</x:v>
      </x:c>
      <x:c r="C23" s="14" t="str">
        <x:v>Cybersecurity</x:v>
      </x:c>
      <x:c r="D23" s="14" t="str">
        <x:v>Project scope creep</x:v>
      </x:c>
      <x:c r="E23" s="14" t="str">
        <x:v>Anna Laurent</x:v>
      </x:c>
      <x:c r="F23" s="14" t="n">
        <x:v>3</x:v>
      </x:c>
      <x:c r="G23" s="14" t="n">
        <x:v>5</x:v>
      </x:c>
      <x:c r="H23" s="14" t="n">
        <x:f>F23*G23</x:f>
        <x:v>15</x:v>
      </x:c>
      <x:c r="I23" s="14" t="str">
        <x:v>Partially Effective</x:v>
      </x:c>
      <x:c r="J23" s="14" t="n">
        <x:f>IF(I23="Effective",0.45,IF(I23="Partially Effective",0.7,1))</x:f>
        <x:v>0.7</x:v>
      </x:c>
      <x:c r="K23" s="14" t="n">
        <x:f>ROUND(H23*J23,0)</x:f>
        <x:v>11</x:v>
      </x:c>
      <x:c r="L23" s="14" t="str">
        <x:f>IF(K23&gt;=17,"Critical",IF(K23&gt;=10,"High",IF(K23&gt;=5,"Medium","Low")))</x:f>
        <x:v>High</x:v>
      </x:c>
      <x:c r="M23" s="14" t="str">
        <x:v>Controlled</x:v>
      </x:c>
      <x:c r="N23" s="14" t="str">
        <x:v>Assign mitigation owner</x:v>
      </x:c>
      <x:c r="O23" s="18" t="n">
        <x:v>46231</x:v>
      </x:c>
      <x:c r="P23" s="14" t="n">
        <x:v>4</x:v>
      </x:c>
    </x:row>
    <x:row r="24">
      <x:c r="A24" s="14" t="str">
        <x:v>R023</x:v>
      </x:c>
      <x:c r="B24" s="18" t="n">
        <x:v>46188</x:v>
      </x:c>
      <x:c r="C24" s="14" t="str">
        <x:v>Legal</x:v>
      </x:c>
      <x:c r="D24" s="14" t="str">
        <x:v>Cloud service dependency</x:v>
      </x:c>
      <x:c r="E24" s="14" t="str">
        <x:v>Nora Patel</x:v>
      </x:c>
      <x:c r="F24" s="14" t="n">
        <x:v>4</x:v>
      </x:c>
      <x:c r="G24" s="14" t="n">
        <x:v>2</x:v>
      </x:c>
      <x:c r="H24" s="14" t="n">
        <x:f>F24*G24</x:f>
        <x:v>8</x:v>
      </x:c>
      <x:c r="I24" s="14" t="str">
        <x:v>Effective</x:v>
      </x:c>
      <x:c r="J24" s="14" t="n">
        <x:f>IF(I24="Effective",0.45,IF(I24="Partially Effective",0.7,1))</x:f>
        <x:v>0.45</x:v>
      </x:c>
      <x:c r="K24" s="14" t="n">
        <x:f>ROUND(H24*J24,0)</x:f>
        <x:v>4</x:v>
      </x:c>
      <x:c r="L24" s="14" t="str">
        <x:f>IF(K24&gt;=17,"Critical",IF(K24&gt;=10,"High",IF(K24&gt;=5,"Medium","Low")))</x:f>
        <x:v>Low</x:v>
      </x:c>
      <x:c r="M24" s="14" t="str">
        <x:v>Closed</x:v>
      </x:c>
      <x:c r="N24" s="14" t="str">
        <x:v>Run weekly review</x:v>
      </x:c>
      <x:c r="O24" s="18" t="n">
        <x:v>46248</x:v>
      </x:c>
      <x:c r="P24" s="14" t="n">
        <x:v>5</x:v>
      </x:c>
    </x:row>
    <x:row r="25">
      <x:c r="A25" s="14" t="str">
        <x:v>R024</x:v>
      </x:c>
      <x:c r="B25" s="18" t="n">
        <x:v>46195</x:v>
      </x:c>
      <x:c r="C25" s="14" t="str">
        <x:v>Operational</x:v>
      </x:c>
      <x:c r="D25" s="14" t="str">
        <x:v>Training plan delay</x:v>
      </x:c>
      <x:c r="E25" s="14" t="str">
        <x:v>Robert Hall</x:v>
      </x:c>
      <x:c r="F25" s="14" t="n">
        <x:v>5</x:v>
      </x:c>
      <x:c r="G25" s="14" t="n">
        <x:v>4</x:v>
      </x:c>
      <x:c r="H25" s="14" t="n">
        <x:f>F25*G25</x:f>
        <x:v>20</x:v>
      </x:c>
      <x:c r="I25" s="14" t="str">
        <x:v>Ineffective</x:v>
      </x:c>
      <x:c r="J25" s="14" t="n">
        <x:f>IF(I25="Effective",0.45,IF(I25="Partially Effective",0.7,1))</x:f>
        <x:v>1</x:v>
      </x:c>
      <x:c r="K25" s="14" t="n">
        <x:f>ROUND(H25*J25,0)</x:f>
        <x:v>20</x:v>
      </x:c>
      <x:c r="L25" s="14" t="str">
        <x:f>IF(K25&gt;=17,"Critical",IF(K25&gt;=10,"High",IF(K25&gt;=5,"Medium","Low")))</x:f>
        <x:v>Critical</x:v>
      </x:c>
      <x:c r="M25" s="14" t="str">
        <x:v>Escalated</x:v>
      </x:c>
      <x:c r="N25" s="14" t="str">
        <x:v>Close after verification</x:v>
      </x:c>
      <x:c r="O25" s="18" t="n">
        <x:v>46225</x:v>
      </x:c>
      <x:c r="P25" s="14" t="n">
        <x:v>0</x:v>
      </x:c>
    </x:row>
    <x:row r="26">
      <x:c r="A26" s="14" t="str">
        <x:v>R025</x:v>
      </x:c>
      <x:c r="B26" s="18" t="n">
        <x:v>46202</x:v>
      </x:c>
      <x:c r="C26" s="14" t="str">
        <x:v>Compliance</x:v>
      </x:c>
      <x:c r="D26" s="14" t="str">
        <x:v>Environmental reporting inconsistency</x:v>
      </x:c>
      <x:c r="E26" s="14" t="str">
        <x:v>Mary Smith</x:v>
      </x:c>
      <x:c r="F26" s="14" t="n">
        <x:v>1</x:v>
      </x:c>
      <x:c r="G26" s="14" t="n">
        <x:v>1</x:v>
      </x:c>
      <x:c r="H26" s="14" t="n">
        <x:f>F26*G26</x:f>
        <x:v>1</x:v>
      </x:c>
      <x:c r="I26" s="14" t="str">
        <x:v>Partially Effective</x:v>
      </x:c>
      <x:c r="J26" s="14" t="n">
        <x:f>IF(I26="Effective",0.45,IF(I26="Partially Effective",0.7,1))</x:f>
        <x:v>0.7</x:v>
      </x:c>
      <x:c r="K26" s="14" t="n">
        <x:f>ROUND(H26*J26,0)</x:f>
        <x:v>1</x:v>
      </x:c>
      <x:c r="L26" s="14" t="str">
        <x:f>IF(K26&gt;=17,"Critical",IF(K26&gt;=10,"High",IF(K26&gt;=5,"Medium","Low")))</x:f>
        <x:v>Low</x:v>
      </x:c>
      <x:c r="M26" s="14" t="str">
        <x:v>Open</x:v>
      </x:c>
      <x:c r="N26" s="14" t="str">
        <x:v>Escalate to risk committee</x:v>
      </x:c>
      <x:c r="O26" s="18" t="n">
        <x:v>46242</x:v>
      </x:c>
      <x:c r="P26" s="14" t="n">
        <x:v>1</x:v>
      </x:c>
    </x:row>
    <x:row r="27">
      <x:c r="A27" s="14" t="str">
        <x:v>R026</x:v>
      </x:c>
      <x:c r="B27" s="18" t="n">
        <x:v>46209</x:v>
      </x:c>
      <x:c r="C27" s="14" t="str">
        <x:v>People</x:v>
      </x:c>
      <x:c r="D27" s="14" t="str">
        <x:v>Energy cost volatility</x:v>
      </x:c>
      <x:c r="E27" s="14" t="str">
        <x:v>Anna Laurent</x:v>
      </x:c>
      <x:c r="F27" s="14" t="n">
        <x:v>2</x:v>
      </x:c>
      <x:c r="G27" s="14" t="n">
        <x:v>3</x:v>
      </x:c>
      <x:c r="H27" s="14" t="n">
        <x:f>F27*G27</x:f>
        <x:v>6</x:v>
      </x:c>
      <x:c r="I27" s="14" t="str">
        <x:v>Effective</x:v>
      </x:c>
      <x:c r="J27" s="14" t="n">
        <x:f>IF(I27="Effective",0.45,IF(I27="Partially Effective",0.7,1))</x:f>
        <x:v>0.45</x:v>
      </x:c>
      <x:c r="K27" s="14" t="n">
        <x:f>ROUND(H27*J27,0)</x:f>
        <x:v>3</x:v>
      </x:c>
      <x:c r="L27" s="14" t="str">
        <x:f>IF(K27&gt;=17,"Critical",IF(K27&gt;=10,"High",IF(K27&gt;=5,"Medium","Low")))</x:f>
        <x:v>Low</x:v>
      </x:c>
      <x:c r="M27" s="14" t="str">
        <x:v>In Progress</x:v>
      </x:c>
      <x:c r="N27" s="14" t="str">
        <x:v>Strengthen preventive control</x:v>
      </x:c>
      <x:c r="O27" s="18" t="n">
        <x:v>46259</x:v>
      </x:c>
      <x:c r="P27" s="14" t="n">
        <x:v>2</x:v>
      </x:c>
    </x:row>
    <x:row r="28">
      <x:c r="A28" s="14" t="str">
        <x:v>R027</x:v>
      </x:c>
      <x:c r="B28" s="18" t="n">
        <x:v>46216</x:v>
      </x:c>
      <x:c r="C28" s="14" t="str">
        <x:v>Financial</x:v>
      </x:c>
      <x:c r="D28" s="14" t="str">
        <x:v>Data privacy request overload</x:v>
      </x:c>
      <x:c r="E28" s="14" t="str">
        <x:v>Nora Patel</x:v>
      </x:c>
      <x:c r="F28" s="14" t="n">
        <x:v>3</x:v>
      </x:c>
      <x:c r="G28" s="14" t="n">
        <x:v>5</x:v>
      </x:c>
      <x:c r="H28" s="14" t="n">
        <x:f>F28*G28</x:f>
        <x:v>15</x:v>
      </x:c>
      <x:c r="I28" s="14" t="str">
        <x:v>Ineffective</x:v>
      </x:c>
      <x:c r="J28" s="14" t="n">
        <x:f>IF(I28="Effective",0.45,IF(I28="Partially Effective",0.7,1))</x:f>
        <x:v>1</x:v>
      </x:c>
      <x:c r="K28" s="14" t="n">
        <x:f>ROUND(H28*J28,0)</x:f>
        <x:v>15</x:v>
      </x:c>
      <x:c r="L28" s="14" t="str">
        <x:f>IF(K28&gt;=17,"Critical",IF(K28&gt;=10,"High",IF(K28&gt;=5,"Medium","Low")))</x:f>
        <x:v>High</x:v>
      </x:c>
      <x:c r="M28" s="14" t="str">
        <x:v>Controlled</x:v>
      </x:c>
      <x:c r="N28" s="14" t="str">
        <x:v>Assign mitigation owner</x:v>
      </x:c>
      <x:c r="O28" s="18" t="n">
        <x:v>46276</x:v>
      </x:c>
      <x:c r="P28" s="14" t="n">
        <x:v>3</x:v>
      </x:c>
    </x:row>
    <x:row r="29">
      <x:c r="A29" s="14" t="str">
        <x:v>R028</x:v>
      </x:c>
      <x:c r="B29" s="18" t="n">
        <x:v>46223</x:v>
      </x:c>
      <x:c r="C29" s="14" t="str">
        <x:v>Project</x:v>
      </x:c>
      <x:c r="D29" s="14" t="str">
        <x:v>Procurement approval bottleneck</x:v>
      </x:c>
      <x:c r="E29" s="14" t="str">
        <x:v>Robert Hall</x:v>
      </x:c>
      <x:c r="F29" s="14" t="n">
        <x:v>4</x:v>
      </x:c>
      <x:c r="G29" s="14" t="n">
        <x:v>2</x:v>
      </x:c>
      <x:c r="H29" s="14" t="n">
        <x:f>F29*G29</x:f>
        <x:v>8</x:v>
      </x:c>
      <x:c r="I29" s="14" t="str">
        <x:v>Partially Effective</x:v>
      </x:c>
      <x:c r="J29" s="14" t="n">
        <x:f>IF(I29="Effective",0.45,IF(I29="Partially Effective",0.7,1))</x:f>
        <x:v>0.7</x:v>
      </x:c>
      <x:c r="K29" s="14" t="n">
        <x:f>ROUND(H29*J29,0)</x:f>
        <x:v>6</x:v>
      </x:c>
      <x:c r="L29" s="14" t="str">
        <x:f>IF(K29&gt;=17,"Critical",IF(K29&gt;=10,"High",IF(K29&gt;=5,"Medium","Low")))</x:f>
        <x:v>Medium</x:v>
      </x:c>
      <x:c r="M29" s="14" t="str">
        <x:v>Closed</x:v>
      </x:c>
      <x:c r="N29" s="14" t="str">
        <x:v>Run weekly review</x:v>
      </x:c>
      <x:c r="O29" s="18" t="n">
        <x:v>46253</x:v>
      </x:c>
      <x:c r="P29" s="14" t="n">
        <x:v>4</x:v>
      </x:c>
    </x:row>
    <x:row r="30">
      <x:c r="A30" s="14" t="str">
        <x:v>R029</x:v>
      </x:c>
      <x:c r="B30" s="18" t="n">
        <x:v>46230</x:v>
      </x:c>
      <x:c r="C30" s="14" t="str">
        <x:v>Technology</x:v>
      </x:c>
      <x:c r="D30" s="14" t="str">
        <x:v>Unpatched legacy system</x:v>
      </x:c>
      <x:c r="E30" s="14" t="str">
        <x:v>Mary Smith</x:v>
      </x:c>
      <x:c r="F30" s="14" t="n">
        <x:v>5</x:v>
      </x:c>
      <x:c r="G30" s="14" t="n">
        <x:v>4</x:v>
      </x:c>
      <x:c r="H30" s="14" t="n">
        <x:f>F30*G30</x:f>
        <x:v>20</x:v>
      </x:c>
      <x:c r="I30" s="14" t="str">
        <x:v>Effective</x:v>
      </x:c>
      <x:c r="J30" s="14" t="n">
        <x:f>IF(I30="Effective",0.45,IF(I30="Partially Effective",0.7,1))</x:f>
        <x:v>0.45</x:v>
      </x:c>
      <x:c r="K30" s="14" t="n">
        <x:f>ROUND(H30*J30,0)</x:f>
        <x:v>9</x:v>
      </x:c>
      <x:c r="L30" s="14" t="str">
        <x:f>IF(K30&gt;=17,"Critical",IF(K30&gt;=10,"High",IF(K30&gt;=5,"Medium","Low")))</x:f>
        <x:v>Medium</x:v>
      </x:c>
      <x:c r="M30" s="14" t="str">
        <x:v>Escalated</x:v>
      </x:c>
      <x:c r="N30" s="14" t="str">
        <x:v>Close after verification</x:v>
      </x:c>
      <x:c r="O30" s="18" t="n">
        <x:v>46270</x:v>
      </x:c>
      <x:c r="P30" s="14" t="n">
        <x:v>5</x:v>
      </x:c>
    </x:row>
    <x:row r="31">
      <x:c r="A31" s="14" t="str">
        <x:v>R030</x:v>
      </x:c>
      <x:c r="B31" s="18" t="n">
        <x:v>46237</x:v>
      </x:c>
      <x:c r="C31" s="14" t="str">
        <x:v>Cybersecurity</x:v>
      </x:c>
      <x:c r="D31" s="14" t="str">
        <x:v>Production capacity constraint</x:v>
      </x:c>
      <x:c r="E31" s="14" t="str">
        <x:v>Anna Laurent</x:v>
      </x:c>
      <x:c r="F31" s="14" t="n">
        <x:v>1</x:v>
      </x:c>
      <x:c r="G31" s="14" t="n">
        <x:v>1</x:v>
      </x:c>
      <x:c r="H31" s="14" t="n">
        <x:f>F31*G31</x:f>
        <x:v>1</x:v>
      </x:c>
      <x:c r="I31" s="14" t="str">
        <x:v>Ineffective</x:v>
      </x:c>
      <x:c r="J31" s="14" t="n">
        <x:f>IF(I31="Effective",0.45,IF(I31="Partially Effective",0.7,1))</x:f>
        <x:v>1</x:v>
      </x:c>
      <x:c r="K31" s="14" t="n">
        <x:f>ROUND(H31*J31,0)</x:f>
        <x:v>1</x:v>
      </x:c>
      <x:c r="L31" s="14" t="str">
        <x:f>IF(K31&gt;=17,"Critical",IF(K31&gt;=10,"High",IF(K31&gt;=5,"Medium","Low")))</x:f>
        <x:v>Low</x:v>
      </x:c>
      <x:c r="M31" s="14" t="str">
        <x:v>Open</x:v>
      </x:c>
      <x:c r="N31" s="14" t="str">
        <x:v>Escalate to risk committee</x:v>
      </x:c>
      <x:c r="O31" s="18" t="n">
        <x:v>46287</x:v>
      </x:c>
      <x:c r="P31" s="14" t="n">
        <x:v>0</x:v>
      </x:c>
    </x:row>
  </x:sheetData>
  <x:conditionalFormatting sqref="L2:L31">
    <x:cfRule type="expression" dxfId="0" priority="1">
      <x:formula>L2="Critical"</x:formula>
    </x:cfRule>
    <x:cfRule type="expression" dxfId="1" priority="2">
      <x:formula>L2="High"</x:formula>
    </x:cfRule>
    <x:cfRule type="expression" dxfId="2" priority="3">
      <x:formula>L2="Medium"</x:formula>
    </x:cfRule>
    <x:cfRule type="expression" dxfId="3" priority="4">
      <x:formula>L2="Low"</x:formula>
    </x:cfRule>
  </x:conditionalFormatting>
  <x:conditionalFormatting sqref="K2:K31">
    <x:cfRule type="dataBar" priority="5">
      <x:dataBar>
        <x:cfvo type="min"/>
        <x:cfvo type="max"/>
        <x:color rgb="06B6D4"/>
      </x:dataBar>
      <x:extLst>
        <x:ext xmlns:x14="http://schemas.microsoft.com/office/spreadsheetml/2009/9/main" uri="{B025F937-C7B1-47D3-B67F-A62EFF666E3E}">
          <x14:id>{8555DC08-76E9-C35C-15E5-731C95F131A9}</x14:id>
        </x:ext>
      </x:extLst>
    </x:cfRule>
  </x:conditionalFormatting>
  <x:dataValidations count="4">
    <x:dataValidation type="list" sqref="C2:C31">
      <x:formula1>Lists!$B$2:$B$9</x:formula1>
    </x:dataValidation>
    <x:dataValidation type="list" sqref="E2:E31">
      <x:formula1>Lists!$A$2:$A$9</x:formula1>
    </x:dataValidation>
    <x:dataValidation type="list" sqref="I2:I31">
      <x:formula1>Lists!$E$2:$E$4</x:formula1>
    </x:dataValidation>
    <x:dataValidation type="list" sqref="M2:M31">
      <x:formula1>Lists!$C$2:$C$6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822903f014eb4426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5" id="{8555DC08-76E9-C35C-15E5-731C95F131A9}">
            <x14:dataBar gradient="1">
              <x14:cfvo type="min"/>
              <x14:cfvo type="max"/>
              <x14:fillColor rgb="06B6D4"/>
            </x14:dataBar>
          </x14:cfRule>
          <xm:sqref>K2:K31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</x:cols>
  <x:sheetData>
    <x:row r="1">
      <x:c r="A1" s="28" t="str">
        <x:v>Owners</x:v>
      </x:c>
      <x:c r="B1" s="28" t="str">
        <x:v>Categories</x:v>
      </x:c>
      <x:c r="C1" s="28" t="str">
        <x:v>Status</x:v>
      </x:c>
      <x:c r="D1" s="28" t="str">
        <x:v>Priority</x:v>
      </x:c>
      <x:c r="E1" s="28" t="str">
        <x:v>Control Rate</x:v>
      </x:c>
      <x:c r="F1" s="28" t="str">
        <x:v>Probability</x:v>
      </x:c>
      <x:c r="G1" s="28" t="str">
        <x:v>Impact</x:v>
      </x:c>
      <x:c r="H1" s="28"/>
      <x:c r="I1" s="28" t="str">
        <x:v>Category Filter</x:v>
      </x:c>
      <x:c r="J1" s="28" t="str">
        <x:v>Status Filter</x:v>
      </x:c>
      <x:c r="K1" s="28" t="str">
        <x:v>Owner Filter</x:v>
      </x:c>
      <x:c r="L1" s="28" t="str">
        <x:v>Priority Filter</x:v>
      </x:c>
      <x:c r="M1" s="28" t="str">
        <x:v>Control Filter</x:v>
      </x:c>
    </x:row>
    <x:row r="2">
      <x:c r="A2" t="str">
        <x:v>Robert Hall</x:v>
      </x:c>
      <x:c r="B2" t="str">
        <x:v>Operational</x:v>
      </x:c>
      <x:c r="C2" t="str">
        <x:v>Open</x:v>
      </x:c>
      <x:c r="D2" t="str">
        <x:v>Low</x:v>
      </x:c>
      <x:c r="E2" t="str">
        <x:v>Ineffective</x:v>
      </x:c>
      <x:c r="F2" t="str">
        <x:v>Rare</x:v>
      </x:c>
      <x:c r="G2" t="str">
        <x:v>Minor</x:v>
      </x:c>
      <x:c r="I2" t="str">
        <x:v>All</x:v>
      </x:c>
      <x:c r="J2" t="str">
        <x:v>All</x:v>
      </x:c>
      <x:c r="K2" t="str">
        <x:v>All</x:v>
      </x:c>
      <x:c r="L2" t="str">
        <x:v>All</x:v>
      </x:c>
      <x:c r="M2" t="str">
        <x:v>All</x:v>
      </x:c>
    </x:row>
    <x:row r="3">
      <x:c r="A3" t="str">
        <x:v>Verna Hughes</x:v>
      </x:c>
      <x:c r="B3" t="str">
        <x:v>Financial</x:v>
      </x:c>
      <x:c r="C3" t="str">
        <x:v>In Progress</x:v>
      </x:c>
      <x:c r="D3" t="str">
        <x:v>Medium</x:v>
      </x:c>
      <x:c r="E3" t="str">
        <x:v>Partially Effective</x:v>
      </x:c>
      <x:c r="F3" t="str">
        <x:v>Unlikely</x:v>
      </x:c>
      <x:c r="G3" t="str">
        <x:v>Moderate</x:v>
      </x:c>
      <x:c r="I3" t="str">
        <x:v>Operational</x:v>
      </x:c>
      <x:c r="J3" t="str">
        <x:v>Open</x:v>
      </x:c>
      <x:c r="K3" t="str">
        <x:v>Robert Hall</x:v>
      </x:c>
      <x:c r="L3" t="str">
        <x:v>Low</x:v>
      </x:c>
      <x:c r="M3" t="str">
        <x:v>Ineffective</x:v>
      </x:c>
    </x:row>
    <x:row r="4">
      <x:c r="A4" t="str">
        <x:v>Mary Smith</x:v>
      </x:c>
      <x:c r="B4" t="str">
        <x:v>Cybersecurity</x:v>
      </x:c>
      <x:c r="C4" t="str">
        <x:v>Controlled</x:v>
      </x:c>
      <x:c r="D4" t="str">
        <x:v>High</x:v>
      </x:c>
      <x:c r="E4" t="str">
        <x:v>Effective</x:v>
      </x:c>
      <x:c r="F4" t="str">
        <x:v>Possible</x:v>
      </x:c>
      <x:c r="G4" t="str">
        <x:v>Major</x:v>
      </x:c>
      <x:c r="I4" t="str">
        <x:v>Financial</x:v>
      </x:c>
      <x:c r="J4" t="str">
        <x:v>In Progress</x:v>
      </x:c>
      <x:c r="K4" t="str">
        <x:v>Verna Hughes</x:v>
      </x:c>
      <x:c r="L4" t="str">
        <x:v>Medium</x:v>
      </x:c>
      <x:c r="M4" t="str">
        <x:v>Partially Effective</x:v>
      </x:c>
    </x:row>
    <x:row r="5">
      <x:c r="A5" t="str">
        <x:v>Trevor Williams</x:v>
      </x:c>
      <x:c r="B5" t="str">
        <x:v>Compliance</x:v>
      </x:c>
      <x:c r="C5" t="str">
        <x:v>Closed</x:v>
      </x:c>
      <x:c r="D5" t="str">
        <x:v>Critical</x:v>
      </x:c>
      <x:c r="F5" t="str">
        <x:v>Likely</x:v>
      </x:c>
      <x:c r="G5" t="str">
        <x:v>Severe</x:v>
      </x:c>
      <x:c r="I5" t="str">
        <x:v>Cybersecurity</x:v>
      </x:c>
      <x:c r="J5" t="str">
        <x:v>Controlled</x:v>
      </x:c>
      <x:c r="K5" t="str">
        <x:v>Mary Smith</x:v>
      </x:c>
      <x:c r="L5" t="str">
        <x:v>High</x:v>
      </x:c>
      <x:c r="M5" t="str">
        <x:v>Effective</x:v>
      </x:c>
    </x:row>
    <x:row r="6">
      <x:c r="A6" t="str">
        <x:v>Anna Laurent</x:v>
      </x:c>
      <x:c r="B6" t="str">
        <x:v>Project</x:v>
      </x:c>
      <x:c r="C6" t="str">
        <x:v>Escalated</x:v>
      </x:c>
      <x:c r="F6" t="str">
        <x:v>Almost Certain</x:v>
      </x:c>
      <x:c r="G6" t="str">
        <x:v>Catastrophic</x:v>
      </x:c>
      <x:c r="I6" t="str">
        <x:v>Compliance</x:v>
      </x:c>
      <x:c r="J6" t="str">
        <x:v>Closed</x:v>
      </x:c>
      <x:c r="K6" t="str">
        <x:v>Trevor Williams</x:v>
      </x:c>
      <x:c r="L6" t="str">
        <x:v>Critical</x:v>
      </x:c>
    </x:row>
    <x:row r="7">
      <x:c r="A7" t="str">
        <x:v>James Carter</x:v>
      </x:c>
      <x:c r="B7" t="str">
        <x:v>Legal</x:v>
      </x:c>
      <x:c r="I7" t="str">
        <x:v>Project</x:v>
      </x:c>
      <x:c r="J7" t="str">
        <x:v>Escalated</x:v>
      </x:c>
      <x:c r="K7" t="str">
        <x:v>Anna Laurent</x:v>
      </x:c>
    </x:row>
    <x:row r="8">
      <x:c r="A8" t="str">
        <x:v>Nora Patel</x:v>
      </x:c>
      <x:c r="B8" t="str">
        <x:v>People</x:v>
      </x:c>
      <x:c r="I8" t="str">
        <x:v>Legal</x:v>
      </x:c>
      <x:c r="K8" t="str">
        <x:v>James Carter</x:v>
      </x:c>
    </x:row>
    <x:row r="9">
      <x:c r="A9" t="str">
        <x:v>Omar Diaz</x:v>
      </x:c>
      <x:c r="B9" t="str">
        <x:v>Technology</x:v>
      </x:c>
      <x:c r="I9" t="str">
        <x:v>People</x:v>
      </x:c>
      <x:c r="K9" t="str">
        <x:v>Nora Patel</x:v>
      </x:c>
    </x:row>
    <x:row r="10">
      <x:c r="I10" t="str">
        <x:v>Technology</x:v>
      </x:c>
      <x:c r="K10" t="str">
        <x:v>Omar Diaz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8" hidden="0" customWidth="1"/>
    <x:col min="3" max="3" width="18" hidden="0" customWidth="1"/>
    <x:col min="4" max="4" width="12" hidden="0" customWidth="1"/>
    <x:col min="5" max="5" width="18" hidden="0" customWidth="1"/>
    <x:col min="6" max="6" width="36" hidden="0" customWidth="1"/>
  </x:cols>
  <x:sheetData>
    <x:row r="1">
      <x:c r="A1" s="28" t="str">
        <x:v>Date</x:v>
      </x:c>
      <x:c r="B1" s="28" t="str">
        <x:v>Incident</x:v>
      </x:c>
      <x:c r="C1" s="28" t="str">
        <x:v>Category</x:v>
      </x:c>
      <x:c r="D1" s="28" t="str">
        <x:v>Severity</x:v>
      </x:c>
      <x:c r="E1" s="28" t="str">
        <x:v>Owner</x:v>
      </x:c>
      <x:c r="F1" s="28" t="str">
        <x:v>Response</x:v>
      </x:c>
    </x:row>
    <x:row r="2">
      <x:c r="A2" s="30" t="n">
        <x:v>46034</x:v>
      </x:c>
      <x:c r="B2" t="str">
        <x:v>Phishing attempt blocked</x:v>
      </x:c>
      <x:c r="C2" t="str">
        <x:v>Cybersecurity</x:v>
      </x:c>
      <x:c r="D2" t="str">
        <x:v>High</x:v>
      </x:c>
      <x:c r="E2" t="str">
        <x:v>James Carter</x:v>
      </x:c>
      <x:c r="F2" t="str">
        <x:v>Reset credentials and train users</x:v>
      </x:c>
    </x:row>
    <x:row r="3">
      <x:c r="A3" s="30" t="n">
        <x:v>46060</x:v>
      </x:c>
      <x:c r="B3" t="str">
        <x:v>Supplier delay</x:v>
      </x:c>
      <x:c r="C3" t="str">
        <x:v>Operational</x:v>
      </x:c>
      <x:c r="D3" t="str">
        <x:v>Medium</x:v>
      </x:c>
      <x:c r="E3" t="str">
        <x:v>Mary Smith</x:v>
      </x:c>
      <x:c r="F3" t="str">
        <x:v>Activate backup supplier</x:v>
      </x:c>
    </x:row>
    <x:row r="4">
      <x:c r="A4" s="30" t="n">
        <x:v>46099</x:v>
      </x:c>
      <x:c r="B4" t="str">
        <x:v>Budget deviation</x:v>
      </x:c>
      <x:c r="C4" t="str">
        <x:v>Financial</x:v>
      </x:c>
      <x:c r="D4" t="str">
        <x:v>High</x:v>
      </x:c>
      <x:c r="E4" t="str">
        <x:v>Anna Laurent</x:v>
      </x:c>
      <x:c r="F4" t="str">
        <x:v>Freeze non-critical expenses</x:v>
      </x:c>
    </x:row>
    <x:row r="5">
      <x:c r="A5" s="30" t="n">
        <x:v>46116</x:v>
      </x:c>
      <x:c r="B5" t="str">
        <x:v>Safety near miss</x:v>
      </x:c>
      <x:c r="C5" t="str">
        <x:v>Operational</x:v>
      </x:c>
      <x:c r="D5" t="str">
        <x:v>Medium</x:v>
      </x:c>
      <x:c r="E5" t="str">
        <x:v>Robert Hall</x:v>
      </x:c>
      <x:c r="F5" t="str">
        <x:v>Corrective action logged</x:v>
      </x:c>
    </x:row>
    <x:row r="6">
      <x:c r="A6" s="30" t="n">
        <x:v>46153</x:v>
      </x:c>
      <x:c r="B6" t="str">
        <x:v>Privacy request backlog</x:v>
      </x:c>
      <x:c r="C6" t="str">
        <x:v>Compliance</x:v>
      </x:c>
      <x:c r="D6" t="str">
        <x:v>High</x:v>
      </x:c>
      <x:c r="E6" t="str">
        <x:v>Nora Patel</x:v>
      </x:c>
      <x:c r="F6" t="str">
        <x:v>Reassign compliance analyst</x:v>
      </x:c>
    </x:row>
    <x:row r="7">
      <x:c r="A7" s="30" t="n">
        <x:v>46194</x:v>
      </x:c>
      <x:c r="B7" t="str">
        <x:v>Network outage</x:v>
      </x:c>
      <x:c r="C7" t="str">
        <x:v>Technology</x:v>
      </x:c>
      <x:c r="D7" t="str">
        <x:v>Critical</x:v>
      </x:c>
      <x:c r="E7" t="str">
        <x:v>Omar Diaz</x:v>
      </x:c>
      <x:c r="F7" t="str">
        <x:v>Failover plan executed</x:v>
      </x:c>
    </x:row>
  </x:sheetData>
  <x:pageMargins left="0.7" right="0.7" top="0.75" bottom="0.75" header="0.3" footer="0.3"/>
  <x:tableParts count="1">
    <x:tablePart xmlns:r="http://schemas.openxmlformats.org/officeDocument/2006/relationships" r:id="R186b4c67676547ba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4" hidden="0" customWidth="1"/>
    <x:col min="16" max="16" width="14" hidden="0" customWidth="1"/>
    <x:col min="17" max="17" width="14" hidden="0" customWidth="1"/>
    <x:col min="18" max="18" width="14" hidden="0" customWidth="1"/>
    <x:col min="19" max="19" width="14" hidden="0" customWidth="1"/>
    <x:col min="20" max="20" width="14" hidden="0" customWidth="1"/>
    <x:col min="21" max="21" width="14" hidden="0" customWidth="1"/>
    <x:col min="22" max="22" width="14" hidden="0" customWidth="1"/>
    <x:col min="23" max="23" width="14" hidden="0" customWidth="1"/>
    <x:col min="24" max="24" width="14" hidden="0" customWidth="1"/>
    <x:col min="25" max="25" width="14" hidden="0" customWidth="1"/>
    <x:col min="26" max="26" width="14" hidden="0" customWidth="1"/>
    <x:col min="27" max="27" width="14" hidden="0" customWidth="1"/>
    <x:col min="28" max="28" width="14" hidden="0" customWidth="1"/>
    <x:col min="29" max="29" width="14" hidden="0" customWidth="1"/>
    <x:col min="30" max="30" width="14" hidden="0" customWidth="1"/>
    <x:col min="31" max="31" width="14" hidden="0" customWidth="1"/>
    <x:col min="32" max="32" width="14" hidden="0" customWidth="1"/>
    <x:col min="33" max="33" width="14" hidden="0" customWidth="1"/>
    <x:col min="34" max="34" width="14" hidden="0" customWidth="1"/>
    <x:col min="35" max="35" width="14" hidden="0" customWidth="1"/>
    <x:col min="36" max="36" width="14" hidden="0" customWidth="1"/>
    <x:col min="37" max="37" width="14" hidden="0" customWidth="1"/>
    <x:col min="38" max="38" width="14" hidden="0" customWidth="1"/>
  </x:cols>
  <x:sheetData>
    <x:row r="1">
      <x:c r="A1" s="3" t="str">
        <x:v>Metric</x:v>
      </x:c>
      <x:c r="B1" s="3" t="str">
        <x:v>Value</x:v>
      </x:c>
      <x:c r="C1" s="3"/>
      <x:c r="D1" s="3" t="str">
        <x:v>Category</x:v>
      </x:c>
      <x:c r="E1" s="3" t="str">
        <x:v>Count</x:v>
      </x:c>
      <x:c r="F1" s="3"/>
      <x:c r="G1" s="3" t="str">
        <x:v>Priority</x:v>
      </x:c>
      <x:c r="H1" s="3" t="str">
        <x:v>Count</x:v>
      </x:c>
      <x:c r="I1" s="3"/>
      <x:c r="J1" s="3" t="str">
        <x:v>Month</x:v>
      </x:c>
      <x:c r="K1" s="3" t="str">
        <x:v>Incidents</x:v>
      </x:c>
      <x:c r="L1" s="3"/>
      <x:c r="M1" s="3" t="str">
        <x:v>P1</x:v>
      </x:c>
      <x:c r="N1" s="3" t="str">
        <x:v>P2</x:v>
      </x:c>
      <x:c r="O1" s="3" t="str">
        <x:v>P3</x:v>
      </x:c>
      <x:c r="P1" s="3" t="str">
        <x:v>P4</x:v>
      </x:c>
      <x:c r="Q1" s="3" t="str">
        <x:v>P5</x:v>
      </x:c>
      <x:c r="S1" t="str">
        <x:v>Filter Category</x:v>
      </x:c>
      <x:c r="T1" t="str">
        <x:f>'One Page Dashboard'!G3</x:f>
        <x:v>All</x:v>
      </x:c>
      <x:c r="V1" t="str">
        <x:v>Priority</x:v>
      </x:c>
      <x:c r="W1" t="str">
        <x:v>Filtered Count</x:v>
      </x:c>
      <x:c r="Y1" t="str">
        <x:v>Category</x:v>
      </x:c>
      <x:c r="Z1" t="str">
        <x:v>Filtered Count</x:v>
      </x:c>
      <x:c r="AB1" t="str">
        <x:v>P1</x:v>
      </x:c>
      <x:c r="AC1" t="str">
        <x:v>P2</x:v>
      </x:c>
      <x:c r="AD1" t="str">
        <x:v>P3</x:v>
      </x:c>
      <x:c r="AE1" t="str">
        <x:v>P4</x:v>
      </x:c>
      <x:c r="AF1" t="str">
        <x:v>P5</x:v>
      </x:c>
      <x:c r="AH1" t="str">
        <x:v>Gauge</x:v>
      </x:c>
      <x:c r="AI1" t="str">
        <x:v>Value</x:v>
      </x:c>
      <x:c r="AK1" t="str">
        <x:v>Gauge</x:v>
      </x:c>
      <x:c r="AL1" t="str">
        <x:v>Value</x:v>
      </x:c>
    </x:row>
    <x:row r="2">
      <x:c r="A2" s="13" t="str">
        <x:v>Total Risks</x:v>
      </x:c>
      <x:c r="B2" s="13" t="n">
        <x:f>COUNTA('Risk Register'!$A$2:$A$31)</x:f>
        <x:v>30</x:v>
      </x:c>
      <x:c r="C2" s="13"/>
      <x:c r="D2" s="13" t="str">
        <x:v>Operational</x:v>
      </x:c>
      <x:c r="E2" s="13" t="n">
        <x:f>COUNTIF('Risk Register'!$C$2:$C$31,D2)</x:f>
        <x:v>3</x:v>
      </x:c>
      <x:c r="F2" s="13"/>
      <x:c r="G2" s="13" t="str">
        <x:v>Low</x:v>
      </x:c>
      <x:c r="H2" s="13" t="n">
        <x:f>COUNTIF('Risk Register'!$L$2:$L$31,G2)</x:f>
        <x:v>12</x:v>
      </x:c>
      <x:c r="I2" s="13"/>
      <x:c r="J2" s="13" t="str">
        <x:v>Jan</x:v>
      </x:c>
      <x:c r="K2" s="13" t="n">
        <x:f>SUMIFS('Risk Register'!$P$2:$P$31,'Risk Register'!$B$2:$B$31,"&gt;="&amp;DATE(2026,1,1),'Risk Register'!$B$2:$B$31,"&lt;"&amp;EDATE(DATE(2026,1,1),1))</x:f>
        <x:v>6</x:v>
      </x:c>
      <x:c r="L2" s="13" t="str">
        <x:v>I5</x:v>
      </x:c>
      <x:c r="M2" s="13" t="n">
        <x:f>COUNTIFS('Risk Register'!$F$2:$F$31,1,'Risk Register'!$G$2:$G$31,5)</x:f>
        <x:v>0</x:v>
      </x:c>
      <x:c r="N2" s="13" t="n">
        <x:f>COUNTIFS('Risk Register'!$F$2:$F$31,2,'Risk Register'!$G$2:$G$31,5)</x:f>
        <x:v>0</x:v>
      </x:c>
      <x:c r="O2" s="13" t="n">
        <x:f>COUNTIFS('Risk Register'!$F$2:$F$31,3,'Risk Register'!$G$2:$G$31,5)</x:f>
        <x:v>6</x:v>
      </x:c>
      <x:c r="P2" s="13" t="n">
        <x:f>COUNTIFS('Risk Register'!$F$2:$F$31,4,'Risk Register'!$G$2:$G$31,5)</x:f>
        <x:v>0</x:v>
      </x:c>
      <x:c r="Q2" s="13" t="n">
        <x:f>COUNTIFS('Risk Register'!$F$2:$F$31,5,'Risk Register'!$G$2:$G$31,5)</x:f>
        <x:v>0</x:v>
      </x:c>
      <x:c r="S2" t="str">
        <x:v>Filter Status</x:v>
      </x:c>
      <x:c r="T2" t="str">
        <x:f>'One Page Dashboard'!I3</x:f>
        <x:v>All</x:v>
      </x:c>
      <x:c r="V2" t="str">
        <x:v>Low</x:v>
      </x:c>
      <x:c r="W2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Register'!$L$2:$L$31,V2)</x:f>
        <x:v>12</x:v>
      </x:c>
      <x:c r="Y2" t="str">
        <x:v>Operational</x:v>
      </x:c>
      <x:c r="Z2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Register'!$C$2:$C$31,Y2)</x:f>
        <x:v>3</x:v>
      </x:c>
      <x:c r="AA2" t="str">
        <x:v>I5</x:v>
      </x:c>
      <x:c r="AB2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Register'!$F$2:$F$31,1,'Risk Register'!$G$2:$G$31,5)</x:f>
        <x:v>0</x:v>
      </x:c>
      <x:c r="AC2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Register'!$F$2:$F$31,2,'Risk Register'!$G$2:$G$31,5)</x:f>
        <x:v>0</x:v>
      </x:c>
      <x:c r="AD2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Register'!$F$2:$F$31,3,'Risk Register'!$G$2:$G$31,5)</x:f>
        <x:v>6</x:v>
      </x:c>
      <x:c r="AE2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Register'!$F$2:$F$31,4,'Risk Register'!$G$2:$G$31,5)</x:f>
        <x:v>0</x:v>
      </x:c>
      <x:c r="AF2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Register'!$F$2:$F$31,5,'Risk Register'!$G$2:$G$31,5)</x:f>
        <x:v>0</x:v>
      </x:c>
      <x:c r="AH2" t="str">
        <x:v>Mitigated</x:v>
      </x:c>
      <x:c r="AI2" t="n">
        <x:f>T12</x:f>
        <x:v>0.2</x:v>
      </x:c>
      <x:c r="AK2" t="str">
        <x:v>Compliance</x:v>
      </x:c>
      <x:c r="AL2" t="n">
        <x:f>0.92</x:f>
        <x:v>0.92</x:v>
      </x:c>
    </x:row>
    <x:row r="3">
      <x:c r="A3" s="13" t="str">
        <x:v>Critical Risks</x:v>
      </x:c>
      <x:c r="B3" s="13" t="n">
        <x:f>COUNTIF('Risk Register'!$L$2:$L$31,"Critical")</x:f>
        <x:v>2</x:v>
      </x:c>
      <x:c r="C3" s="13"/>
      <x:c r="D3" s="13" t="str">
        <x:v>Financial</x:v>
      </x:c>
      <x:c r="E3" s="13" t="n">
        <x:f>COUNTIF('Risk Register'!$C$2:$C$31,D3)</x:f>
        <x:v>4</x:v>
      </x:c>
      <x:c r="F3" s="13"/>
      <x:c r="G3" s="13" t="str">
        <x:v>Medium</x:v>
      </x:c>
      <x:c r="H3" s="13" t="n">
        <x:f>COUNTIF('Risk Register'!$L$2:$L$31,G3)</x:f>
        <x:v>10</x:v>
      </x:c>
      <x:c r="I3" s="13"/>
      <x:c r="J3" s="13" t="str">
        <x:v>Feb</x:v>
      </x:c>
      <x:c r="K3" s="13" t="n">
        <x:f>SUMIFS('Risk Register'!$P$2:$P$31,'Risk Register'!$B$2:$B$31,"&gt;="&amp;DATE(2026,2,1),'Risk Register'!$B$2:$B$31,"&lt;"&amp;EDATE(DATE(2026,2,1),1))</x:f>
        <x:v>10</x:v>
      </x:c>
      <x:c r="L3" s="13" t="str">
        <x:v>I4</x:v>
      </x:c>
      <x:c r="M3" s="13" t="n">
        <x:f>COUNTIFS('Risk Register'!$F$2:$F$31,1,'Risk Register'!$G$2:$G$31,4)</x:f>
        <x:v>0</x:v>
      </x:c>
      <x:c r="N3" s="13" t="n">
        <x:f>COUNTIFS('Risk Register'!$F$2:$F$31,2,'Risk Register'!$G$2:$G$31,4)</x:f>
        <x:v>0</x:v>
      </x:c>
      <x:c r="O3" s="13" t="n">
        <x:f>COUNTIFS('Risk Register'!$F$2:$F$31,3,'Risk Register'!$G$2:$G$31,4)</x:f>
        <x:v>0</x:v>
      </x:c>
      <x:c r="P3" s="13" t="n">
        <x:f>COUNTIFS('Risk Register'!$F$2:$F$31,4,'Risk Register'!$G$2:$G$31,4)</x:f>
        <x:v>0</x:v>
      </x:c>
      <x:c r="Q3" s="13" t="n">
        <x:f>COUNTIFS('Risk Register'!$F$2:$F$31,5,'Risk Register'!$G$2:$G$31,4)</x:f>
        <x:v>6</x:v>
      </x:c>
      <x:c r="S3" t="str">
        <x:v>Filter Owner</x:v>
      </x:c>
      <x:c r="T3" t="str">
        <x:f>'One Page Dashboard'!K3</x:f>
        <x:v>All</x:v>
      </x:c>
      <x:c r="V3" t="str">
        <x:v>Medium</x:v>
      </x:c>
      <x:c r="W3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Register'!$L$2:$L$31,V3)</x:f>
        <x:v>10</x:v>
      </x:c>
      <x:c r="Y3" t="str">
        <x:v>Financial</x:v>
      </x:c>
      <x:c r="Z3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Register'!$C$2:$C$31,Y3)</x:f>
        <x:v>4</x:v>
      </x:c>
      <x:c r="AA3" t="str">
        <x:v>I4</x:v>
      </x:c>
      <x:c r="AB3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Register'!$F$2:$F$31,1,'Risk Register'!$G$2:$G$31,4)</x:f>
        <x:v>0</x:v>
      </x:c>
      <x:c r="AC3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Register'!$F$2:$F$31,2,'Risk Register'!$G$2:$G$31,4)</x:f>
        <x:v>0</x:v>
      </x:c>
      <x:c r="AD3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Register'!$F$2:$F$31,3,'Risk Register'!$G$2:$G$31,4)</x:f>
        <x:v>0</x:v>
      </x:c>
      <x:c r="AE3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Register'!$F$2:$F$31,4,'Risk Register'!$G$2:$G$31,4)</x:f>
        <x:v>0</x:v>
      </x:c>
      <x:c r="AF3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Register'!$F$2:$F$31,5,'Risk Register'!$G$2:$G$31,4)</x:f>
        <x:v>6</x:v>
      </x:c>
      <x:c r="AH3" t="str">
        <x:v>Remaining</x:v>
      </x:c>
      <x:c r="AI3" t="n">
        <x:f>1-T12</x:f>
        <x:v>0.8</x:v>
      </x:c>
      <x:c r="AK3" t="str">
        <x:v>Gap</x:v>
      </x:c>
      <x:c r="AL3" t="n">
        <x:f>0.08</x:f>
        <x:v>0.08</x:v>
      </x:c>
    </x:row>
    <x:row r="4">
      <x:c r="A4" s="13" t="str">
        <x:v>High Risks</x:v>
      </x:c>
      <x:c r="B4" s="13" t="n">
        <x:f>COUNTIF('Risk Register'!$L$2:$L$31,"High")</x:f>
        <x:v>6</x:v>
      </x:c>
      <x:c r="C4" s="13"/>
      <x:c r="D4" s="13" t="str">
        <x:v>Cybersecurity</x:v>
      </x:c>
      <x:c r="E4" s="13" t="n">
        <x:f>COUNTIF('Risk Register'!$C$2:$C$31,D4)</x:f>
        <x:v>4</x:v>
      </x:c>
      <x:c r="F4" s="13"/>
      <x:c r="G4" s="13" t="str">
        <x:v>High</x:v>
      </x:c>
      <x:c r="H4" s="13" t="n">
        <x:f>COUNTIF('Risk Register'!$L$2:$L$31,G4)</x:f>
        <x:v>6</x:v>
      </x:c>
      <x:c r="I4" s="13"/>
      <x:c r="J4" s="13" t="str">
        <x:v>Mar</x:v>
      </x:c>
      <x:c r="K4" s="13" t="n">
        <x:f>SUMIFS('Risk Register'!$P$2:$P$31,'Risk Register'!$B$2:$B$31,"&gt;="&amp;DATE(2026,3,1),'Risk Register'!$B$2:$B$31,"&lt;"&amp;EDATE(DATE(2026,3,1),1))</x:f>
        <x:v>14</x:v>
      </x:c>
      <x:c r="L4" s="13" t="str">
        <x:v>I3</x:v>
      </x:c>
      <x:c r="M4" s="13" t="n">
        <x:f>COUNTIFS('Risk Register'!$F$2:$F$31,1,'Risk Register'!$G$2:$G$31,3)</x:f>
        <x:v>0</x:v>
      </x:c>
      <x:c r="N4" s="13" t="n">
        <x:f>COUNTIFS('Risk Register'!$F$2:$F$31,2,'Risk Register'!$G$2:$G$31,3)</x:f>
        <x:v>6</x:v>
      </x:c>
      <x:c r="O4" s="13" t="n">
        <x:f>COUNTIFS('Risk Register'!$F$2:$F$31,3,'Risk Register'!$G$2:$G$31,3)</x:f>
        <x:v>0</x:v>
      </x:c>
      <x:c r="P4" s="13" t="n">
        <x:f>COUNTIFS('Risk Register'!$F$2:$F$31,4,'Risk Register'!$G$2:$G$31,3)</x:f>
        <x:v>0</x:v>
      </x:c>
      <x:c r="Q4" s="13" t="n">
        <x:f>COUNTIFS('Risk Register'!$F$2:$F$31,5,'Risk Register'!$G$2:$G$31,3)</x:f>
        <x:v>0</x:v>
      </x:c>
      <x:c r="S4" t="str">
        <x:v>Filter Priority</x:v>
      </x:c>
      <x:c r="T4" t="str">
        <x:f>'One Page Dashboard'!M3</x:f>
        <x:v>All</x:v>
      </x:c>
      <x:c r="V4" t="str">
        <x:v>High</x:v>
      </x:c>
      <x:c r="W4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Register'!$L$2:$L$31,V4)</x:f>
        <x:v>6</x:v>
      </x:c>
      <x:c r="Y4" t="str">
        <x:v>Cybersecurity</x:v>
      </x:c>
      <x:c r="Z4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Register'!$C$2:$C$31,Y4)</x:f>
        <x:v>4</x:v>
      </x:c>
      <x:c r="AA4" t="str">
        <x:v>I3</x:v>
      </x:c>
      <x:c r="AB4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Register'!$F$2:$F$31,1,'Risk Register'!$G$2:$G$31,3)</x:f>
        <x:v>0</x:v>
      </x:c>
      <x:c r="AC4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Register'!$F$2:$F$31,2,'Risk Register'!$G$2:$G$31,3)</x:f>
        <x:v>6</x:v>
      </x:c>
      <x:c r="AD4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Register'!$F$2:$F$31,3,'Risk Register'!$G$2:$G$31,3)</x:f>
        <x:v>0</x:v>
      </x:c>
      <x:c r="AE4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Register'!$F$2:$F$31,4,'Risk Register'!$G$2:$G$31,3)</x:f>
        <x:v>0</x:v>
      </x:c>
      <x:c r="AF4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Register'!$F$2:$F$31,5,'Risk Register'!$G$2:$G$31,3)</x:f>
        <x:v>0</x:v>
      </x:c>
    </x:row>
    <x:row r="5">
      <x:c r="A5" s="13" t="str">
        <x:v>Mitigation Rate</x:v>
      </x:c>
      <x:c r="B5" s="23" t="n">
        <x:f>COUNTIF('Risk Register'!$M$2:$M$31,"Closed")/COUNTA('Risk Register'!$M$2:$M$31)</x:f>
        <x:v>0.2</x:v>
      </x:c>
      <x:c r="C5" s="13"/>
      <x:c r="D5" s="13" t="str">
        <x:v>Compliance</x:v>
      </x:c>
      <x:c r="E5" s="13" t="n">
        <x:f>COUNTIF('Risk Register'!$C$2:$C$31,D5)</x:f>
        <x:v>4</x:v>
      </x:c>
      <x:c r="F5" s="13"/>
      <x:c r="G5" s="13" t="str">
        <x:v>Critical</x:v>
      </x:c>
      <x:c r="H5" s="13" t="n">
        <x:f>COUNTIF('Risk Register'!$L$2:$L$31,G5)</x:f>
        <x:v>2</x:v>
      </x:c>
      <x:c r="I5" s="13"/>
      <x:c r="J5" s="13" t="str">
        <x:v>Apr</x:v>
      </x:c>
      <x:c r="K5" s="13" t="n">
        <x:f>SUMIFS('Risk Register'!$P$2:$P$31,'Risk Register'!$B$2:$B$31,"&gt;="&amp;DATE(2026,4,1),'Risk Register'!$B$2:$B$31,"&lt;"&amp;EDATE(DATE(2026,4,1),1))</x:f>
        <x:v>10</x:v>
      </x:c>
      <x:c r="L5" s="13" t="str">
        <x:v>I2</x:v>
      </x:c>
      <x:c r="M5" s="13" t="n">
        <x:f>COUNTIFS('Risk Register'!$F$2:$F$31,1,'Risk Register'!$G$2:$G$31,2)</x:f>
        <x:v>0</x:v>
      </x:c>
      <x:c r="N5" s="13" t="n">
        <x:f>COUNTIFS('Risk Register'!$F$2:$F$31,2,'Risk Register'!$G$2:$G$31,2)</x:f>
        <x:v>0</x:v>
      </x:c>
      <x:c r="O5" s="13" t="n">
        <x:f>COUNTIFS('Risk Register'!$F$2:$F$31,3,'Risk Register'!$G$2:$G$31,2)</x:f>
        <x:v>0</x:v>
      </x:c>
      <x:c r="P5" s="13" t="n">
        <x:f>COUNTIFS('Risk Register'!$F$2:$F$31,4,'Risk Register'!$G$2:$G$31,2)</x:f>
        <x:v>6</x:v>
      </x:c>
      <x:c r="Q5" s="13" t="n">
        <x:f>COUNTIFS('Risk Register'!$F$2:$F$31,5,'Risk Register'!$G$2:$G$31,2)</x:f>
        <x:v>0</x:v>
      </x:c>
      <x:c r="S5" t="str">
        <x:v>Filter Control</x:v>
      </x:c>
      <x:c r="T5" t="str">
        <x:f>'One Page Dashboard'!O3</x:f>
        <x:v>All</x:v>
      </x:c>
      <x:c r="V5" t="str">
        <x:v>Critical</x:v>
      </x:c>
      <x:c r="W5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Register'!$L$2:$L$31,V5)</x:f>
        <x:v>2</x:v>
      </x:c>
      <x:c r="Y5" t="str">
        <x:v>Compliance</x:v>
      </x:c>
      <x:c r="Z5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Register'!$C$2:$C$31,Y5)</x:f>
        <x:v>4</x:v>
      </x:c>
      <x:c r="AA5" t="str">
        <x:v>I2</x:v>
      </x:c>
      <x:c r="AB5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Register'!$F$2:$F$31,1,'Risk Register'!$G$2:$G$31,2)</x:f>
        <x:v>0</x:v>
      </x:c>
      <x:c r="AC5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Register'!$F$2:$F$31,2,'Risk Register'!$G$2:$G$31,2)</x:f>
        <x:v>0</x:v>
      </x:c>
      <x:c r="AD5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Register'!$F$2:$F$31,3,'Risk Register'!$G$2:$G$31,2)</x:f>
        <x:v>0</x:v>
      </x:c>
      <x:c r="AE5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Register'!$F$2:$F$31,4,'Risk Register'!$G$2:$G$31,2)</x:f>
        <x:v>6</x:v>
      </x:c>
      <x:c r="AF5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Register'!$F$2:$F$31,5,'Risk Register'!$G$2:$G$31,2)</x:f>
        <x:v>0</x:v>
      </x:c>
    </x:row>
    <x:row r="6">
      <x:c r="A6" s="13" t="str">
        <x:v>Open Actions</x:v>
      </x:c>
      <x:c r="B6" s="13" t="n">
        <x:f>COUNTIF('Risk Register'!$M$2:$M$31,"Open")+COUNTIF('Risk Register'!$M$2:$M$31,"In Progress")+COUNTIF('Risk Register'!$M$2:$M$31,"Escalated")</x:f>
        <x:v>18</x:v>
      </x:c>
      <x:c r="C6" s="13"/>
      <x:c r="D6" s="13" t="str">
        <x:v>Project</x:v>
      </x:c>
      <x:c r="E6" s="13" t="n">
        <x:f>COUNTIF('Risk Register'!$C$2:$C$31,D6)</x:f>
        <x:v>4</x:v>
      </x:c>
      <x:c r="F6" s="13"/>
      <x:c r="G6" s="13"/>
      <x:c r="H6" s="13"/>
      <x:c r="I6" s="13"/>
      <x:c r="J6" s="13" t="str">
        <x:v>May</x:v>
      </x:c>
      <x:c r="K6" s="13" t="n">
        <x:f>SUMIFS('Risk Register'!$P$2:$P$31,'Risk Register'!$B$2:$B$31,"&gt;="&amp;DATE(2026,5,1),'Risk Register'!$B$2:$B$31,"&lt;"&amp;EDATE(DATE(2026,5,1),1))</x:f>
        <x:v>8</x:v>
      </x:c>
      <x:c r="L6" s="13" t="str">
        <x:v>I1</x:v>
      </x:c>
      <x:c r="M6" s="13" t="n">
        <x:f>COUNTIFS('Risk Register'!$F$2:$F$31,1,'Risk Register'!$G$2:$G$31,1)</x:f>
        <x:v>6</x:v>
      </x:c>
      <x:c r="N6" s="13" t="n">
        <x:f>COUNTIFS('Risk Register'!$F$2:$F$31,2,'Risk Register'!$G$2:$G$31,1)</x:f>
        <x:v>0</x:v>
      </x:c>
      <x:c r="O6" s="13" t="n">
        <x:f>COUNTIFS('Risk Register'!$F$2:$F$31,3,'Risk Register'!$G$2:$G$31,1)</x:f>
        <x:v>0</x:v>
      </x:c>
      <x:c r="P6" s="13" t="n">
        <x:f>COUNTIFS('Risk Register'!$F$2:$F$31,4,'Risk Register'!$G$2:$G$31,1)</x:f>
        <x:v>0</x:v>
      </x:c>
      <x:c r="Q6" s="13" t="n">
        <x:f>COUNTIFS('Risk Register'!$F$2:$F$31,5,'Risk Register'!$G$2:$G$31,1)</x:f>
        <x:v>0</x:v>
      </x:c>
      <x:c r="Y6" t="str">
        <x:v>Project</x:v>
      </x:c>
      <x:c r="Z6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Register'!$C$2:$C$31,Y6)</x:f>
        <x:v>4</x:v>
      </x:c>
      <x:c r="AA6" t="str">
        <x:v>I1</x:v>
      </x:c>
      <x:c r="AB6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Register'!$F$2:$F$31,1,'Risk Register'!$G$2:$G$31,1)</x:f>
        <x:v>6</x:v>
      </x:c>
      <x:c r="AC6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Register'!$F$2:$F$31,2,'Risk Register'!$G$2:$G$31,1)</x:f>
        <x:v>0</x:v>
      </x:c>
      <x:c r="AD6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Register'!$F$2:$F$31,3,'Risk Register'!$G$2:$G$31,1)</x:f>
        <x:v>0</x:v>
      </x:c>
      <x:c r="AE6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Register'!$F$2:$F$31,4,'Risk Register'!$G$2:$G$31,1)</x:f>
        <x:v>0</x:v>
      </x:c>
      <x:c r="AF6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Register'!$F$2:$F$31,5,'Risk Register'!$G$2:$G$31,1)</x:f>
        <x:v>0</x:v>
      </x:c>
    </x:row>
    <x:row r="7">
      <x:c r="A7" s="13" t="str">
        <x:v>Average Residual</x:v>
      </x:c>
      <x:c r="B7" s="13" t="n">
        <x:f>AVERAGE('Risk Register'!$K$2:$K$31)</x:f>
        <x:v>7.266666666666667</x:v>
      </x:c>
      <x:c r="C7" s="13"/>
      <x:c r="D7" s="13" t="str">
        <x:v>Legal</x:v>
      </x:c>
      <x:c r="E7" s="13" t="n">
        <x:f>COUNTIF('Risk Register'!$C$2:$C$31,D7)</x:f>
        <x:v>3</x:v>
      </x:c>
      <x:c r="F7" s="13"/>
      <x:c r="G7" s="13"/>
      <x:c r="H7" s="13"/>
      <x:c r="I7" s="13"/>
      <x:c r="J7" s="13" t="str">
        <x:v>Jun</x:v>
      </x:c>
      <x:c r="K7" s="13" t="n">
        <x:f>SUMIFS('Risk Register'!$P$2:$P$31,'Risk Register'!$B$2:$B$31,"&gt;="&amp;DATE(2026,6,1),'Risk Register'!$B$2:$B$31,"&lt;"&amp;EDATE(DATE(2026,6,1),1))</x:f>
        <x:v>13</x:v>
      </x:c>
      <x:c r="L7" s="13"/>
      <x:c r="M7" s="13"/>
      <x:c r="N7" s="13"/>
      <x:c r="O7" s="13"/>
      <x:c r="P7" s="13"/>
      <x:c r="Q7" s="13"/>
      <x:c r="Y7" t="str">
        <x:v>Legal</x:v>
      </x:c>
      <x:c r="Z7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Register'!$C$2:$C$31,Y7)</x:f>
        <x:v>3</x:v>
      </x:c>
    </x:row>
    <x:row r="8">
      <x:c r="A8" s="13"/>
      <x:c r="B8" s="13"/>
      <x:c r="C8" s="13"/>
      <x:c r="D8" s="13" t="str">
        <x:v>People</x:v>
      </x:c>
      <x:c r="E8" s="13" t="n">
        <x:f>COUNTIF('Risk Register'!$C$2:$C$31,D8)</x:f>
        <x:v>4</x:v>
      </x:c>
      <x:c r="F8" s="13"/>
      <x:c r="G8" s="13"/>
      <x:c r="H8" s="13"/>
      <x:c r="I8" s="13"/>
      <x:c r="J8" s="13" t="str">
        <x:v>Jul</x:v>
      </x:c>
      <x:c r="K8" s="13" t="n">
        <x:f>SUMIFS('Risk Register'!$P$2:$P$31,'Risk Register'!$B$2:$B$31,"&gt;="&amp;DATE(2026,7,1),'Risk Register'!$B$2:$B$31,"&lt;"&amp;EDATE(DATE(2026,7,1),1))</x:f>
        <x:v>14</x:v>
      </x:c>
      <x:c r="L8" s="13"/>
      <x:c r="M8" s="13"/>
      <x:c r="N8" s="13"/>
      <x:c r="O8" s="13"/>
      <x:c r="P8" s="13"/>
      <x:c r="Q8" s="13"/>
      <x:c r="S8" t="str">
        <x:v>Dynamic KPI</x:v>
      </x:c>
      <x:c r="T8" t="str">
        <x:v>Value</x:v>
      </x:c>
      <x:c r="Y8" t="str">
        <x:v>People</x:v>
      </x:c>
      <x:c r="Z8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Register'!$C$2:$C$31,Y8)</x:f>
        <x:v>4</x:v>
      </x:c>
    </x:row>
    <x:row r="9">
      <x:c r="A9" s="13"/>
      <x:c r="B9" s="13"/>
      <x:c r="C9" s="13"/>
      <x:c r="D9" s="13" t="str">
        <x:v>Technology</x:v>
      </x:c>
      <x:c r="E9" s="13" t="n">
        <x:f>COUNTIF('Risk Register'!$C$2:$C$31,D9)</x:f>
        <x:v>4</x:v>
      </x:c>
      <x:c r="F9" s="13"/>
      <x:c r="G9" s="13"/>
      <x:c r="H9" s="13"/>
      <x:c r="I9" s="13"/>
      <x:c r="J9" s="13" t="str">
        <x:v>Aug</x:v>
      </x:c>
      <x:c r="K9" s="13" t="n">
        <x:f>SUMIFS('Risk Register'!$P$2:$P$31,'Risk Register'!$B$2:$B$31,"&gt;="&amp;DATE(2026,8,1),'Risk Register'!$B$2:$B$31,"&lt;"&amp;EDATE(DATE(2026,8,1),1))</x:f>
        <x:v>0</x:v>
      </x:c>
      <x:c r="L9" s="13"/>
      <x:c r="M9" s="13"/>
      <x:c r="N9" s="13"/>
      <x:c r="O9" s="13"/>
      <x:c r="P9" s="13"/>
      <x:c r="Q9" s="13"/>
      <x:c r="S9" t="str">
        <x:v>Total Risks</x:v>
      </x:c>
      <x:c r="T9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Dashboard'!$O$3))</x:f>
        <x:v>30</x:v>
      </x:c>
      <x:c r="Y9" t="str">
        <x:v>Technology</x:v>
      </x:c>
      <x:c r="Z9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Register'!$C$2:$C$31,Y9)</x:f>
        <x:v>4</x:v>
      </x:c>
    </x:row>
    <x:row r="10">
      <x:c r="A10" s="13"/>
      <x:c r="B10" s="13"/>
      <x:c r="C10" s="13"/>
      <x:c r="D10" s="13"/>
      <x:c r="E10" s="13"/>
      <x:c r="F10" s="13"/>
      <x:c r="G10" s="13"/>
      <x:c r="H10" s="13"/>
      <x:c r="I10" s="13"/>
      <x:c r="J10" s="13" t="str">
        <x:v>Sep</x:v>
      </x:c>
      <x:c r="K10" s="13" t="n">
        <x:f>SUMIFS('Risk Register'!$P$2:$P$31,'Risk Register'!$B$2:$B$31,"&gt;="&amp;DATE(2026,9,1),'Risk Register'!$B$2:$B$31,"&lt;"&amp;EDATE(DATE(2026,9,1),1))</x:f>
        <x:v>0</x:v>
      </x:c>
      <x:c r="L10" s="13"/>
      <x:c r="M10" s="13"/>
      <x:c r="N10" s="13"/>
      <x:c r="O10" s="13"/>
      <x:c r="P10" s="13"/>
      <x:c r="Q10" s="13"/>
      <x:c r="S10" t="str">
        <x:v>Critical</x:v>
      </x:c>
      <x:c r="T10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Register'!$L$2:$L$31,"Critical")</x:f>
        <x:v>2</x:v>
      </x:c>
    </x:row>
    <x:row r="11">
      <x:c r="A11" s="13"/>
      <x:c r="B11" s="13"/>
      <x:c r="C11" s="13"/>
      <x:c r="D11" s="13"/>
      <x:c r="E11" s="13"/>
      <x:c r="F11" s="13"/>
      <x:c r="G11" s="13"/>
      <x:c r="H11" s="13"/>
      <x:c r="I11" s="13"/>
      <x:c r="J11" s="13" t="str">
        <x:v>Oct</x:v>
      </x:c>
      <x:c r="K11" s="13" t="n">
        <x:f>SUMIFS('Risk Register'!$P$2:$P$31,'Risk Register'!$B$2:$B$31,"&gt;="&amp;DATE(2026,10,1),'Risk Register'!$B$2:$B$31,"&lt;"&amp;EDATE(DATE(2026,10,1),1))</x:f>
        <x:v>0</x:v>
      </x:c>
      <x:c r="L11" s="13"/>
      <x:c r="M11" s="13"/>
      <x:c r="N11" s="13"/>
      <x:c r="O11" s="13"/>
      <x:c r="P11" s="13"/>
      <x:c r="Q11" s="13"/>
      <x:c r="S11" t="str">
        <x:v>High</x:v>
      </x:c>
      <x:c r="T11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Register'!$L$2:$L$31,"High")</x:f>
        <x:v>6</x:v>
      </x:c>
    </x:row>
    <x:row r="12">
      <x:c r="A12" s="13"/>
      <x:c r="B12" s="13"/>
      <x:c r="C12" s="13"/>
      <x:c r="D12" s="13"/>
      <x:c r="E12" s="13"/>
      <x:c r="F12" s="13"/>
      <x:c r="G12" s="13"/>
      <x:c r="H12" s="13"/>
      <x:c r="I12" s="13"/>
      <x:c r="J12" s="13" t="str">
        <x:v>Nov</x:v>
      </x:c>
      <x:c r="K12" s="13" t="n">
        <x:f>SUMIFS('Risk Register'!$P$2:$P$31,'Risk Register'!$B$2:$B$31,"&gt;="&amp;DATE(2026,11,1),'Risk Register'!$B$2:$B$31,"&lt;"&amp;EDATE(DATE(2026,11,1),1))</x:f>
        <x:v>0</x:v>
      </x:c>
      <x:c r="L12" s="13"/>
      <x:c r="M12" s="13"/>
      <x:c r="N12" s="13"/>
      <x:c r="O12" s="13"/>
      <x:c r="P12" s="13"/>
      <x:c r="Q12" s="13"/>
      <x:c r="S12" t="str">
        <x:v>Mitigation Rate</x:v>
      </x:c>
      <x:c r="T12" s="20" t="n">
        <x:f>IFERROR(COUNTIFS('Risk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Register'!$M$2:$M$31,"Closed")/T9,0)</x:f>
        <x:v>0.2</x:v>
      </x:c>
    </x:row>
    <x:row r="13">
      <x:c r="A13" s="13"/>
      <x:c r="B13" s="13"/>
      <x:c r="C13" s="13"/>
      <x:c r="D13" s="13"/>
      <x:c r="E13" s="13"/>
      <x:c r="F13" s="13"/>
      <x:c r="G13" s="13"/>
      <x:c r="H13" s="13"/>
      <x:c r="I13" s="13"/>
      <x:c r="J13" s="13" t="str">
        <x:v>Dec</x:v>
      </x:c>
      <x:c r="K13" s="13" t="n">
        <x:f>SUMIFS('Risk Register'!$P$2:$P$31,'Risk Register'!$B$2:$B$31,"&gt;="&amp;DATE(2026,12,1),'Risk Register'!$B$2:$B$31,"&lt;"&amp;EDATE(DATE(2026,12,1),1))</x:f>
        <x:v>0</x:v>
      </x:c>
      <x:c r="L13" s="13"/>
      <x:c r="M13" s="13"/>
      <x:c r="N13" s="13"/>
      <x:c r="O13" s="13"/>
      <x:c r="P13" s="13"/>
      <x:c r="Q13" s="13"/>
      <x:c r="S13" t="str">
        <x:v>Open Actions</x:v>
      </x:c>
      <x:c r="T13" t="n">
        <x:f>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Register'!$M$2:$M$31,"Open")+COUNTIFS('Risk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Register'!$M$2:$M$31,"In Progress")+COUNTIFS('Risk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Dashboard'!$O$3),'Risk Register'!$M$2:$M$31,"Escalated")</x:f>
        <x:v>18</x:v>
      </x:c>
    </x:row>
    <x:row r="14">
      <x:c r="A14" s="13"/>
      <x:c r="B14" s="13"/>
      <x:c r="C14" s="13"/>
      <x:c r="D14" s="13"/>
      <x:c r="E14" s="13"/>
      <x:c r="F14" s="13"/>
      <x:c r="G14" s="13"/>
      <x:c r="H14" s="13"/>
      <x:c r="I14" s="13"/>
      <x:c r="J14" s="13"/>
      <x:c r="K14" s="13"/>
      <x:c r="L14" s="13"/>
      <x:c r="M14" s="13"/>
      <x:c r="N14" s="13"/>
      <x:c r="O14" s="13"/>
      <x:c r="P14" s="13"/>
      <x:c r="Q14" s="13"/>
      <x:c r="S14" t="str">
        <x:v>Avg Residual</x:v>
      </x:c>
      <x:c r="T14" t="n">
        <x:f>IFERROR(AVERAGEIFS('Risk Register'!$K$2:$K$31,'Risk Register'!$C$2:$C$31,IF('One Page Dashboard'!$G$3="All","*",'One Page Dashboard'!$G$3),'Risk Register'!$M$2:$M$31,IF('One Page Dashboard'!$I$3="All","*",'One Page Dashboard'!$I$3),'Risk Register'!$E$2:$E$31,IF('One Page Dashboard'!$K$3="All","*",'One Page Dashboard'!$K$3),'Risk Register'!$L$2:$L$31,IF('One Page Dashboard'!$M$3="All","*",'One Page Dashboard'!$M$3),'Risk Register'!$I$2:$I$31,IF('One Page Dashboard'!$O$3="All","*",'One Page Dashboard'!$O$3)),0)</x:f>
        <x:v>7.266666666666667</x:v>
      </x:c>
    </x:row>
    <x:row r="15">
      <x:c r="A15" s="13" t="str">
        <x:v>Risk</x:v>
      </x:c>
      <x:c r="B15" s="13" t="str">
        <x:v>Owner</x:v>
      </x:c>
      <x:c r="C15" s="13" t="str">
        <x:v>Score</x:v>
      </x:c>
      <x:c r="D15" s="13" t="str">
        <x:v>Priority</x:v>
      </x:c>
      <x:c r="E15" s="13" t="str">
        <x:v>Status</x:v>
      </x:c>
      <x:c r="F15" s="13"/>
      <x:c r="G15" s="13"/>
      <x:c r="H15" s="13"/>
      <x:c r="I15" s="13"/>
      <x:c r="J15" s="13"/>
      <x:c r="K15" s="13"/>
      <x:c r="L15" s="13"/>
      <x:c r="M15" s="13"/>
      <x:c r="N15" s="13"/>
      <x:c r="O15" s="13"/>
      <x:c r="P15" s="13"/>
      <x:c r="Q15" s="13"/>
    </x:row>
    <x:row r="16">
      <x:c r="A16" s="13" t="str">
        <x:f>INDEX('Risk Register'!$D$2:$D$31,MATCH(LARGE('Risk Register'!$K$2:$K$31,1),'Risk Register'!$K$2:$K$31,0))</x:f>
        <x:v>Contract renewal uncertainty</x:v>
      </x:c>
      <x:c r="B16" s="13" t="str">
        <x:f>INDEX('Risk Register'!$E$2:$E$31,MATCH(LARGE('Risk Register'!$K$2:$K$31,1),'Risk Register'!$K$2:$K$31,0))</x:f>
        <x:v>Mary Smith</x:v>
      </x:c>
      <x:c r="C16" s="13" t="n">
        <x:f>LARGE('Risk Register'!$K$2:$K$31,1)</x:f>
        <x:v>20</x:v>
      </x:c>
      <x:c r="D16" s="13" t="str">
        <x:f>INDEX('Risk Register'!$L$2:$L$31,MATCH(LARGE('Risk Register'!$K$2:$K$31,1),'Risk Register'!$K$2:$K$31,0))</x:f>
        <x:v>Critical</x:v>
      </x:c>
      <x:c r="E16" s="13" t="str">
        <x:f>INDEX('Risk Register'!$M$2:$M$31,MATCH(LARGE('Risk Register'!$K$2:$K$31,1),'Risk Register'!$K$2:$K$31,0))</x:f>
        <x:v>Escalated</x:v>
      </x:c>
      <x:c r="F16" s="13"/>
      <x:c r="G16" s="13"/>
      <x:c r="H16" s="13"/>
      <x:c r="I16" s="13"/>
      <x:c r="J16" s="13"/>
      <x:c r="K16" s="13"/>
      <x:c r="L16" s="13"/>
      <x:c r="M16" s="13"/>
      <x:c r="N16" s="13"/>
      <x:c r="O16" s="13"/>
      <x:c r="P16" s="13"/>
      <x:c r="Q16" s="13"/>
    </x:row>
    <x:row r="17">
      <x:c r="A17" s="13" t="str">
        <x:f>INDEX('Risk Register'!$D$2:$D$31,MATCH(LARGE('Risk Register'!$K$2:$K$31,2),'Risk Register'!$K$2:$K$31,0))</x:f>
        <x:v>Contract renewal uncertainty</x:v>
      </x:c>
      <x:c r="B17" s="13" t="str">
        <x:f>INDEX('Risk Register'!$E$2:$E$31,MATCH(LARGE('Risk Register'!$K$2:$K$31,2),'Risk Register'!$K$2:$K$31,0))</x:f>
        <x:v>Mary Smith</x:v>
      </x:c>
      <x:c r="C17" s="13" t="n">
        <x:f>LARGE('Risk Register'!$K$2:$K$31,2)</x:f>
        <x:v>20</x:v>
      </x:c>
      <x:c r="D17" s="13" t="str">
        <x:f>INDEX('Risk Register'!$L$2:$L$31,MATCH(LARGE('Risk Register'!$K$2:$K$31,2),'Risk Register'!$K$2:$K$31,0))</x:f>
        <x:v>Critical</x:v>
      </x:c>
      <x:c r="E17" s="13" t="str">
        <x:f>INDEX('Risk Register'!$M$2:$M$31,MATCH(LARGE('Risk Register'!$K$2:$K$31,2),'Risk Register'!$K$2:$K$31,0))</x:f>
        <x:v>Escalated</x:v>
      </x:c>
      <x:c r="F17" s="13"/>
      <x:c r="G17" s="13"/>
      <x:c r="H17" s="13"/>
      <x:c r="I17" s="13"/>
      <x:c r="J17" s="13"/>
      <x:c r="K17" s="13"/>
      <x:c r="L17" s="13"/>
      <x:c r="M17" s="13"/>
      <x:c r="N17" s="13"/>
      <x:c r="O17" s="13"/>
      <x:c r="P17" s="13"/>
      <x:c r="Q17" s="13"/>
    </x:row>
    <x:row r="18">
      <x:c r="A18" s="13" t="str">
        <x:f>INDEX('Risk Register'!$D$2:$D$31,MATCH(LARGE('Risk Register'!$K$2:$K$31,3),'Risk Register'!$K$2:$K$31,0))</x:f>
        <x:v>ERP migration delay</x:v>
      </x:c>
      <x:c r="B18" s="13" t="str">
        <x:f>INDEX('Risk Register'!$E$2:$E$31,MATCH(LARGE('Risk Register'!$K$2:$K$31,3),'Risk Register'!$K$2:$K$31,0))</x:f>
        <x:v>Robert Hall</x:v>
      </x:c>
      <x:c r="C18" s="13" t="n">
        <x:f>LARGE('Risk Register'!$K$2:$K$31,3)</x:f>
        <x:v>15</x:v>
      </x:c>
      <x:c r="D18" s="13" t="str">
        <x:f>INDEX('Risk Register'!$L$2:$L$31,MATCH(LARGE('Risk Register'!$K$2:$K$31,3),'Risk Register'!$K$2:$K$31,0))</x:f>
        <x:v>High</x:v>
      </x:c>
      <x:c r="E18" s="13" t="str">
        <x:f>INDEX('Risk Register'!$M$2:$M$31,MATCH(LARGE('Risk Register'!$K$2:$K$31,3),'Risk Register'!$K$2:$K$31,0))</x:f>
        <x:v>Controlled</x:v>
      </x:c>
      <x:c r="F18" s="13"/>
      <x:c r="G18" s="13"/>
      <x:c r="H18" s="13"/>
      <x:c r="I18" s="13"/>
      <x:c r="J18" s="13"/>
      <x:c r="K18" s="13"/>
      <x:c r="L18" s="13"/>
      <x:c r="M18" s="13"/>
      <x:c r="N18" s="13"/>
      <x:c r="O18" s="13"/>
      <x:c r="P18" s="13"/>
      <x:c r="Q18" s="13"/>
    </x:row>
    <x:row r="19">
      <x:c r="A19" s="13" t="str">
        <x:f>INDEX('Risk Register'!$D$2:$D$31,MATCH(LARGE('Risk Register'!$K$2:$K$31,4),'Risk Register'!$K$2:$K$31,0))</x:f>
        <x:v>ERP migration delay</x:v>
      </x:c>
      <x:c r="B19" s="13" t="str">
        <x:f>INDEX('Risk Register'!$E$2:$E$31,MATCH(LARGE('Risk Register'!$K$2:$K$31,4),'Risk Register'!$K$2:$K$31,0))</x:f>
        <x:v>Robert Hall</x:v>
      </x:c>
      <x:c r="C19" s="13" t="n">
        <x:f>LARGE('Risk Register'!$K$2:$K$31,4)</x:f>
        <x:v>15</x:v>
      </x:c>
      <x:c r="D19" s="13" t="str">
        <x:f>INDEX('Risk Register'!$L$2:$L$31,MATCH(LARGE('Risk Register'!$K$2:$K$31,4),'Risk Register'!$K$2:$K$31,0))</x:f>
        <x:v>High</x:v>
      </x:c>
      <x:c r="E19" s="13" t="str">
        <x:f>INDEX('Risk Register'!$M$2:$M$31,MATCH(LARGE('Risk Register'!$K$2:$K$31,4),'Risk Register'!$K$2:$K$31,0))</x:f>
        <x:v>Controlled</x:v>
      </x:c>
      <x:c r="F19" s="13"/>
      <x:c r="G19" s="13"/>
      <x:c r="H19" s="13"/>
      <x:c r="I19" s="13"/>
      <x:c r="J19" s="13"/>
      <x:c r="K19" s="13"/>
      <x:c r="L19" s="13"/>
      <x:c r="M19" s="13"/>
      <x:c r="N19" s="13"/>
      <x:c r="O19" s="13"/>
      <x:c r="P19" s="13"/>
      <x:c r="Q19" s="13"/>
    </x:row>
    <x:row r="20">
      <x:c r="A20" s="13" t="str">
        <x:f>INDEX('Risk Register'!$D$2:$D$31,MATCH(LARGE('Risk Register'!$K$2:$K$31,5),'Risk Register'!$K$2:$K$31,0))</x:f>
        <x:v>Regulatory reporting error</x:v>
      </x:c>
      <x:c r="B20" s="13" t="str">
        <x:f>INDEX('Risk Register'!$E$2:$E$31,MATCH(LARGE('Risk Register'!$K$2:$K$31,5),'Risk Register'!$K$2:$K$31,0))</x:f>
        <x:v>Robert Hall</x:v>
      </x:c>
      <x:c r="C20" s="13" t="n">
        <x:f>LARGE('Risk Register'!$K$2:$K$31,5)</x:f>
        <x:v>14</x:v>
      </x:c>
      <x:c r="D20" s="13" t="str">
        <x:f>INDEX('Risk Register'!$L$2:$L$31,MATCH(LARGE('Risk Register'!$K$2:$K$31,5),'Risk Register'!$K$2:$K$31,0))</x:f>
        <x:v>High</x:v>
      </x:c>
      <x:c r="E20" s="13" t="str">
        <x:f>INDEX('Risk Register'!$M$2:$M$31,MATCH(LARGE('Risk Register'!$K$2:$K$31,5),'Risk Register'!$K$2:$K$31,0))</x:f>
        <x:v>Escalated</x:v>
      </x:c>
      <x:c r="F20" s="13"/>
      <x:c r="G20" s="13"/>
      <x:c r="H20" s="13"/>
      <x:c r="I20" s="13"/>
      <x:c r="J20" s="13"/>
      <x:c r="K20" s="13"/>
      <x:c r="L20" s="13"/>
      <x:c r="M20" s="13"/>
      <x:c r="N20" s="13"/>
      <x:c r="O20" s="13"/>
      <x:c r="P20" s="13"/>
      <x:c r="Q20" s="13"/>
    </x:row>
    <x:row r="21">
      <x:c r="A21" s="13" t="str">
        <x:f>INDEX('Risk Register'!$D$2:$D$31,MATCH(LARGE('Risk Register'!$K$2:$K$31,6),'Risk Register'!$K$2:$K$31,0))</x:f>
        <x:v>Regulatory reporting error</x:v>
      </x:c>
      <x:c r="B21" s="13" t="str">
        <x:f>INDEX('Risk Register'!$E$2:$E$31,MATCH(LARGE('Risk Register'!$K$2:$K$31,6),'Risk Register'!$K$2:$K$31,0))</x:f>
        <x:v>Robert Hall</x:v>
      </x:c>
      <x:c r="C21" s="13" t="n">
        <x:f>LARGE('Risk Register'!$K$2:$K$31,6)</x:f>
        <x:v>14</x:v>
      </x:c>
      <x:c r="D21" s="13" t="str">
        <x:f>INDEX('Risk Register'!$L$2:$L$31,MATCH(LARGE('Risk Register'!$K$2:$K$31,6),'Risk Register'!$K$2:$K$31,0))</x:f>
        <x:v>High</x:v>
      </x:c>
      <x:c r="E21" s="13" t="str">
        <x:f>INDEX('Risk Register'!$M$2:$M$31,MATCH(LARGE('Risk Register'!$K$2:$K$31,6),'Risk Register'!$K$2:$K$31,0))</x:f>
        <x:v>Escalated</x:v>
      </x:c>
      <x:c r="F21" s="13"/>
      <x:c r="G21" s="13"/>
      <x:c r="H21" s="13"/>
      <x:c r="I21" s="13"/>
      <x:c r="J21" s="13"/>
      <x:c r="K21" s="13"/>
      <x:c r="L21" s="13"/>
      <x:c r="M21" s="13"/>
      <x:c r="N21" s="13"/>
      <x:c r="O21" s="13"/>
      <x:c r="P21" s="13"/>
      <x:c r="Q21" s="13"/>
    </x:row>
    <x:row r="22">
      <x:c r="A22" s="13" t="str">
        <x:f>INDEX('Risk Register'!$D$2:$D$31,MATCH(LARGE('Risk Register'!$K$2:$K$31,7),'Risk Register'!$K$2:$K$31,0))</x:f>
        <x:v>Staff turnover in key function</x:v>
      </x:c>
      <x:c r="B22" s="13" t="str">
        <x:f>INDEX('Risk Register'!$E$2:$E$31,MATCH(LARGE('Risk Register'!$K$2:$K$31,7),'Risk Register'!$K$2:$K$31,0))</x:f>
        <x:v>Nora Patel</x:v>
      </x:c>
      <x:c r="C22" s="13" t="n">
        <x:f>LARGE('Risk Register'!$K$2:$K$31,7)</x:f>
        <x:v>11</x:v>
      </x:c>
      <x:c r="D22" s="13" t="str">
        <x:f>INDEX('Risk Register'!$L$2:$L$31,MATCH(LARGE('Risk Register'!$K$2:$K$31,7),'Risk Register'!$K$2:$K$31,0))</x:f>
        <x:v>High</x:v>
      </x:c>
      <x:c r="E22" s="13" t="str">
        <x:f>INDEX('Risk Register'!$M$2:$M$31,MATCH(LARGE('Risk Register'!$K$2:$K$31,7),'Risk Register'!$K$2:$K$31,0))</x:f>
        <x:v>Controlled</x:v>
      </x:c>
      <x:c r="F22" s="13"/>
      <x:c r="G22" s="13"/>
      <x:c r="H22" s="13"/>
      <x:c r="I22" s="13"/>
      <x:c r="J22" s="13"/>
      <x:c r="K22" s="13"/>
      <x:c r="L22" s="13"/>
      <x:c r="M22" s="13"/>
      <x:c r="N22" s="13"/>
      <x:c r="O22" s="13"/>
      <x:c r="P22" s="13"/>
      <x:c r="Q22" s="13"/>
    </x:row>
  </x:sheetData>
  <x:pageMargins left="0.7" right="0.7" top="0.75" bottom="0.75" header="0.3" footer="0.3"/>
</x:worksheet>
</file>