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drawings/drawing2.xml" ContentType="application/vnd.openxmlformats-officedocument.drawing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ables/table3.xml" ContentType="application/vnd.openxmlformats-officedocument.spreadsheetml.table+xml"/>
  <Override PartName="/xl/worksheets/sheet15.xml" ContentType="application/vnd.openxmlformats-officedocument.spreadsheetml.worksheet+xml"/>
  <Override PartName="/xl/tables/table4.xml" ContentType="application/vnd.openxmlformats-officedocument.spreadsheetml.table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ccueil One Page" sheetId="1" state="visible" r:id="rId1"/>
    <sheet xmlns:r="http://schemas.openxmlformats.org/officeDocument/2006/relationships" name="Paramètres" sheetId="2" state="visible" r:id="rId2"/>
    <sheet xmlns:r="http://schemas.openxmlformats.org/officeDocument/2006/relationships" name="Plan Comptable" sheetId="3" state="visible" r:id="rId3"/>
    <sheet xmlns:r="http://schemas.openxmlformats.org/officeDocument/2006/relationships" name="Journal" sheetId="4" state="visible" r:id="rId4"/>
    <sheet xmlns:r="http://schemas.openxmlformats.org/officeDocument/2006/relationships" name="Balance" sheetId="5" state="visible" r:id="rId5"/>
    <sheet xmlns:r="http://schemas.openxmlformats.org/officeDocument/2006/relationships" name="Grand Livre" sheetId="6" state="visible" r:id="rId6"/>
    <sheet xmlns:r="http://schemas.openxmlformats.org/officeDocument/2006/relationships" name="Compte Résultat" sheetId="7" state="visible" r:id="rId7"/>
    <sheet xmlns:r="http://schemas.openxmlformats.org/officeDocument/2006/relationships" name="Bilan" sheetId="8" state="visible" r:id="rId8"/>
    <sheet xmlns:r="http://schemas.openxmlformats.org/officeDocument/2006/relationships" name="Trésorerie" sheetId="9" state="visible" r:id="rId9"/>
    <sheet xmlns:r="http://schemas.openxmlformats.org/officeDocument/2006/relationships" name="TVA" sheetId="10" state="visible" r:id="rId10"/>
    <sheet xmlns:r="http://schemas.openxmlformats.org/officeDocument/2006/relationships" name="Revenus Fonciers" sheetId="11" state="visible" r:id="rId11"/>
    <sheet xmlns:r="http://schemas.openxmlformats.org/officeDocument/2006/relationships" name="Amortissements" sheetId="12" state="visible" r:id="rId12"/>
    <sheet xmlns:r="http://schemas.openxmlformats.org/officeDocument/2006/relationships" name="SCI Associés" sheetId="13" state="visible" r:id="rId13"/>
    <sheet xmlns:r="http://schemas.openxmlformats.org/officeDocument/2006/relationships" name="Copropriété" sheetId="14" state="visible" r:id="rId14"/>
    <sheet xmlns:r="http://schemas.openxmlformats.org/officeDocument/2006/relationships" name="Gestion Locative" sheetId="15" state="visible" r:id="rId15"/>
    <sheet xmlns:r="http://schemas.openxmlformats.org/officeDocument/2006/relationships" name="Alertes" sheetId="16" state="visible" r:id="rId16"/>
    <sheet xmlns:r="http://schemas.openxmlformats.org/officeDocument/2006/relationships" name="Mode d’emploi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#,##0 €;[Red](#,##0 €);-"/>
    <numFmt numFmtId="165" formatCode="0.0%"/>
    <numFmt numFmtId="166" formatCode="yyyy-mm-dd"/>
    <numFmt numFmtId="167" formatCode="dd/mm/yyyy"/>
  </numFmts>
  <fonts count="8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2"/>
    </font>
    <font>
      <b val="1"/>
      <color rgb="00FFFFFF"/>
    </font>
    <font>
      <color rgb="000000FF"/>
    </font>
    <font>
      <b val="1"/>
    </font>
    <font>
      <color rgb="00000000"/>
    </font>
    <font>
      <color rgb="00666666"/>
    </font>
  </fonts>
  <fills count="24">
    <fill>
      <patternFill/>
    </fill>
    <fill>
      <patternFill patternType="gray125"/>
    </fill>
    <fill>
      <patternFill patternType="solid">
        <fgColor rgb="000B1F3A"/>
      </patternFill>
    </fill>
    <fill>
      <patternFill patternType="solid">
        <fgColor rgb="0016A34A"/>
      </patternFill>
    </fill>
    <fill>
      <patternFill patternType="solid">
        <fgColor rgb="00F97316"/>
      </patternFill>
    </fill>
    <fill>
      <patternFill patternType="solid">
        <fgColor rgb="00C9A227"/>
      </patternFill>
    </fill>
    <fill>
      <patternFill patternType="solid">
        <fgColor rgb="000F766E"/>
      </patternFill>
    </fill>
    <fill>
      <patternFill patternType="solid">
        <fgColor rgb="007C3AED"/>
      </patternFill>
    </fill>
    <fill>
      <patternFill patternType="solid">
        <fgColor rgb="00DC2626"/>
      </patternFill>
    </fill>
    <fill>
      <patternFill patternType="solid">
        <fgColor rgb="00F8FAFC"/>
      </patternFill>
    </fill>
    <fill>
      <patternFill patternType="solid">
        <fgColor rgb="00EFF6FF"/>
      </patternFill>
    </fill>
    <fill>
      <patternFill patternType="solid">
        <fgColor rgb="00FFF7ED"/>
      </patternFill>
    </fill>
    <fill>
      <patternFill patternType="solid">
        <fgColor rgb="00ECFDF5"/>
      </patternFill>
    </fill>
    <fill>
      <patternFill patternType="solid">
        <fgColor rgb="00DCFCE7"/>
      </patternFill>
    </fill>
    <fill>
      <patternFill patternType="solid">
        <fgColor rgb="00DBEAFE"/>
      </patternFill>
    </fill>
    <fill>
      <patternFill patternType="solid">
        <fgColor rgb="00FFEDD5"/>
      </patternFill>
    </fill>
    <fill>
      <patternFill patternType="solid">
        <fgColor rgb="00FEF9C3"/>
      </patternFill>
    </fill>
    <fill>
      <patternFill patternType="solid">
        <fgColor rgb="00CCFBF1"/>
      </patternFill>
    </fill>
    <fill>
      <patternFill patternType="solid">
        <fgColor rgb="00EDE9FE"/>
      </patternFill>
    </fill>
    <fill>
      <patternFill patternType="solid">
        <fgColor rgb="00FCE7F3"/>
      </patternFill>
    </fill>
    <fill>
      <patternFill patternType="solid">
        <fgColor rgb="00F1F5F9"/>
      </patternFill>
    </fill>
    <fill>
      <patternFill patternType="solid">
        <fgColor rgb="002563EB"/>
      </patternFill>
    </fill>
    <fill>
      <patternFill patternType="solid">
        <fgColor rgb="00FEF3C7"/>
      </patternFill>
    </fill>
    <fill>
      <patternFill patternType="solid">
        <fgColor rgb="00FEE2E2"/>
      </patternFill>
    </fill>
  </fills>
  <borders count="4">
    <border>
      <left/>
      <right/>
      <top/>
      <bottom/>
      <diagonal/>
    </border>
    <border>
      <left style="medium">
        <color rgb="000B1F3A"/>
      </left>
      <right style="medium">
        <color rgb="000B1F3A"/>
      </right>
      <top style="medium">
        <color rgb="000B1F3A"/>
      </top>
      <bottom style="medium">
        <color rgb="000B1F3A"/>
      </bottom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top style="medium">
        <color rgb="000B1F3A"/>
      </top>
    </border>
  </borders>
  <cellStyleXfs count="1">
    <xf numFmtId="0" fontId="0" fillId="0" borderId="0"/>
  </cellStyleXfs>
  <cellXfs count="73">
    <xf numFmtId="0" fontId="0" fillId="0" borderId="0" pivotButton="0" quotePrefix="0" xfId="0"/>
    <xf numFmtId="0" fontId="1" fillId="2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2" fillId="3" borderId="1" applyAlignment="1" pivotButton="0" quotePrefix="0" xfId="0">
      <alignment vertical="center" wrapText="1"/>
    </xf>
    <xf numFmtId="0" fontId="2" fillId="4" borderId="1" applyAlignment="1" pivotButton="0" quotePrefix="0" xfId="0">
      <alignment vertical="center" wrapText="1"/>
    </xf>
    <xf numFmtId="0" fontId="2" fillId="5" borderId="1" applyAlignment="1" pivotButton="0" quotePrefix="0" xfId="0">
      <alignment vertical="center" wrapText="1"/>
    </xf>
    <xf numFmtId="0" fontId="2" fillId="6" borderId="1" applyAlignment="1" pivotButton="0" quotePrefix="0" xfId="0">
      <alignment vertical="center" wrapText="1"/>
    </xf>
    <xf numFmtId="0" fontId="2" fillId="7" borderId="1" applyAlignment="1" pivotButton="0" quotePrefix="0" xfId="0">
      <alignment vertical="center" wrapText="1"/>
    </xf>
    <xf numFmtId="0" fontId="2" fillId="8" borderId="1" applyAlignment="1" pivotButton="0" quotePrefix="0" xfId="0">
      <alignment vertical="center" wrapText="1"/>
    </xf>
    <xf numFmtId="0" fontId="3" fillId="2" borderId="0" applyAlignment="1" pivotButton="0" quotePrefix="0" xfId="0">
      <alignment vertical="center" wrapText="1"/>
    </xf>
    <xf numFmtId="0" fontId="3" fillId="6" borderId="0" applyAlignment="1" pivotButton="0" quotePrefix="0" xfId="0">
      <alignment vertical="center" wrapText="1"/>
    </xf>
    <xf numFmtId="0" fontId="3" fillId="2" borderId="2" applyAlignment="1" pivotButton="0" quotePrefix="0" xfId="0">
      <alignment vertical="center" wrapText="1"/>
    </xf>
    <xf numFmtId="0" fontId="0" fillId="10" borderId="2" applyAlignment="1" pivotButton="0" quotePrefix="0" xfId="0">
      <alignment vertical="center" wrapText="1"/>
    </xf>
    <xf numFmtId="0" fontId="0" fillId="9" borderId="2" applyAlignment="1" pivotButton="0" quotePrefix="0" xfId="0">
      <alignment vertical="center" wrapText="1"/>
    </xf>
    <xf numFmtId="164" fontId="6" fillId="9" borderId="2" applyAlignment="1" pivotButton="0" quotePrefix="0" xfId="0">
      <alignment vertical="center" wrapText="1"/>
    </xf>
    <xf numFmtId="165" fontId="0" fillId="9" borderId="2" applyAlignment="1" pivotButton="0" quotePrefix="0" xfId="0">
      <alignment vertical="center" wrapText="1"/>
    </xf>
    <xf numFmtId="0" fontId="6" fillId="9" borderId="2" applyAlignment="1" pivotButton="0" quotePrefix="0" xfId="0">
      <alignment vertical="center" wrapText="1"/>
    </xf>
    <xf numFmtId="0" fontId="0" fillId="0" borderId="2" applyAlignment="1" pivotButton="0" quotePrefix="0" xfId="0">
      <alignment vertical="center" wrapText="1"/>
    </xf>
    <xf numFmtId="164" fontId="6" fillId="0" borderId="2" applyAlignment="1" pivotButton="0" quotePrefix="0" xfId="0">
      <alignment vertical="center" wrapText="1"/>
    </xf>
    <xf numFmtId="165" fontId="0" fillId="0" borderId="2" applyAlignment="1" pivotButton="0" quotePrefix="0" xfId="0">
      <alignment vertical="center" wrapText="1"/>
    </xf>
    <xf numFmtId="0" fontId="6" fillId="0" borderId="2" applyAlignment="1" pivotButton="0" quotePrefix="0" xfId="0">
      <alignment vertical="center" wrapText="1"/>
    </xf>
    <xf numFmtId="0" fontId="1" fillId="7" borderId="0" applyAlignment="1" pivotButton="0" quotePrefix="0" xfId="0">
      <alignment vertical="center" wrapText="1"/>
    </xf>
    <xf numFmtId="0" fontId="3" fillId="7" borderId="2" applyAlignment="1" pivotButton="0" quotePrefix="0" xfId="0">
      <alignment vertical="center" wrapText="1"/>
    </xf>
    <xf numFmtId="0" fontId="4" fillId="0" borderId="2" applyAlignment="1" pivotButton="0" quotePrefix="0" xfId="0">
      <alignment vertical="center" wrapText="1"/>
    </xf>
    <xf numFmtId="0" fontId="4" fillId="11" borderId="2" applyAlignment="1" pivotButton="0" quotePrefix="0" xfId="0">
      <alignment vertical="center" wrapText="1"/>
    </xf>
    <xf numFmtId="0" fontId="4" fillId="0" borderId="0" applyAlignment="1" pivotButton="0" quotePrefix="0" xfId="0">
      <alignment vertical="center" wrapText="1"/>
    </xf>
    <xf numFmtId="165" fontId="4" fillId="11" borderId="2" applyAlignment="1" pivotButton="0" quotePrefix="0" xfId="0">
      <alignment vertical="center" wrapText="1"/>
    </xf>
    <xf numFmtId="164" fontId="4" fillId="11" borderId="2" applyAlignment="1" pivotButton="0" quotePrefix="0" xfId="0">
      <alignment vertical="center" wrapText="1"/>
    </xf>
    <xf numFmtId="0" fontId="7" fillId="13" borderId="2" applyAlignment="1" pivotButton="0" quotePrefix="0" xfId="0">
      <alignment vertical="center" wrapText="1"/>
    </xf>
    <xf numFmtId="0" fontId="7" fillId="0" borderId="2" applyAlignment="1" pivotButton="0" quotePrefix="0" xfId="0">
      <alignment vertical="center" wrapText="1"/>
    </xf>
    <xf numFmtId="0" fontId="7" fillId="12" borderId="2" applyAlignment="1" pivotButton="0" quotePrefix="0" xfId="0">
      <alignment vertical="center" wrapText="1"/>
    </xf>
    <xf numFmtId="0" fontId="4" fillId="9" borderId="2" applyAlignment="1" pivotButton="0" quotePrefix="0" xfId="0">
      <alignment vertical="center" wrapText="1"/>
    </xf>
    <xf numFmtId="0" fontId="7" fillId="9" borderId="2" applyAlignment="1" pivotButton="0" quotePrefix="0" xfId="0">
      <alignment vertical="center" wrapText="1"/>
    </xf>
    <xf numFmtId="0" fontId="7" fillId="14" borderId="2" applyAlignment="1" pivotButton="0" quotePrefix="0" xfId="0">
      <alignment vertical="center" wrapText="1"/>
    </xf>
    <xf numFmtId="0" fontId="7" fillId="15" borderId="2" applyAlignment="1" pivotButton="0" quotePrefix="0" xfId="0">
      <alignment vertical="center" wrapText="1"/>
    </xf>
    <xf numFmtId="0" fontId="7" fillId="16" borderId="2" applyAlignment="1" pivotButton="0" quotePrefix="0" xfId="0">
      <alignment vertical="center" wrapText="1"/>
    </xf>
    <xf numFmtId="0" fontId="7" fillId="17" borderId="2" applyAlignment="1" pivotButton="0" quotePrefix="0" xfId="0">
      <alignment vertical="center" wrapText="1"/>
    </xf>
    <xf numFmtId="0" fontId="7" fillId="18" borderId="2" applyAlignment="1" pivotButton="0" quotePrefix="0" xfId="0">
      <alignment vertical="center" wrapText="1"/>
    </xf>
    <xf numFmtId="0" fontId="7" fillId="19" borderId="2" applyAlignment="1" pivotButton="0" quotePrefix="0" xfId="0">
      <alignment vertical="center" wrapText="1"/>
    </xf>
    <xf numFmtId="0" fontId="7" fillId="20" borderId="2" applyAlignment="1" pivotButton="0" quotePrefix="0" xfId="0">
      <alignment vertical="center" wrapText="1"/>
    </xf>
    <xf numFmtId="167" fontId="4" fillId="0" borderId="2" applyAlignment="1" pivotButton="0" quotePrefix="0" xfId="0">
      <alignment vertical="center" wrapText="1"/>
    </xf>
    <xf numFmtId="164" fontId="4" fillId="0" borderId="2" applyAlignment="1" pivotButton="0" quotePrefix="0" xfId="0">
      <alignment vertical="center" wrapText="1"/>
    </xf>
    <xf numFmtId="167" fontId="4" fillId="9" borderId="2" applyAlignment="1" pivotButton="0" quotePrefix="0" xfId="0">
      <alignment vertical="center" wrapText="1"/>
    </xf>
    <xf numFmtId="164" fontId="4" fillId="9" borderId="2" applyAlignment="1" pivotButton="0" quotePrefix="0" xfId="0">
      <alignment vertical="center" wrapText="1"/>
    </xf>
    <xf numFmtId="0" fontId="1" fillId="6" borderId="0" applyAlignment="1" pivotButton="0" quotePrefix="0" xfId="0">
      <alignment vertical="center" wrapText="1"/>
    </xf>
    <xf numFmtId="0" fontId="3" fillId="6" borderId="2" applyAlignment="1" pivotButton="0" quotePrefix="0" xfId="0">
      <alignment vertical="center" wrapText="1"/>
    </xf>
    <xf numFmtId="0" fontId="5" fillId="17" borderId="3" applyAlignment="1" pivotButton="0" quotePrefix="0" xfId="0">
      <alignment vertical="center" wrapText="1"/>
    </xf>
    <xf numFmtId="164" fontId="6" fillId="17" borderId="3" applyAlignment="1" pivotButton="0" quotePrefix="0" xfId="0">
      <alignment vertical="center" wrapText="1"/>
    </xf>
    <xf numFmtId="0" fontId="1" fillId="21" borderId="0" applyAlignment="1" pivotButton="0" quotePrefix="0" xfId="0">
      <alignment vertical="center" wrapText="1"/>
    </xf>
    <xf numFmtId="0" fontId="3" fillId="21" borderId="2" applyAlignment="1" pivotButton="0" quotePrefix="0" xfId="0">
      <alignment vertical="center" wrapText="1"/>
    </xf>
    <xf numFmtId="0" fontId="1" fillId="3" borderId="0" applyAlignment="1" pivotButton="0" quotePrefix="0" xfId="0">
      <alignment vertical="center" wrapText="1"/>
    </xf>
    <xf numFmtId="0" fontId="3" fillId="3" borderId="2" applyAlignment="1" pivotButton="0" quotePrefix="0" xfId="0">
      <alignment vertical="center" wrapText="1"/>
    </xf>
    <xf numFmtId="164" fontId="3" fillId="2" borderId="2" applyAlignment="1" pivotButton="0" quotePrefix="0" xfId="0">
      <alignment vertical="center" wrapText="1"/>
    </xf>
    <xf numFmtId="0" fontId="5" fillId="12" borderId="2" applyAlignment="1" pivotButton="0" quotePrefix="0" xfId="0">
      <alignment vertical="center" wrapText="1"/>
    </xf>
    <xf numFmtId="164" fontId="6" fillId="12" borderId="2" applyAlignment="1" pivotButton="0" quotePrefix="0" xfId="0">
      <alignment vertical="center" wrapText="1"/>
    </xf>
    <xf numFmtId="164" fontId="0" fillId="0" borderId="2" applyAlignment="1" pivotButton="0" quotePrefix="0" xfId="0">
      <alignment vertical="center" wrapText="1"/>
    </xf>
    <xf numFmtId="0" fontId="5" fillId="22" borderId="2" applyAlignment="1" pivotButton="0" quotePrefix="0" xfId="0">
      <alignment vertical="center" wrapText="1"/>
    </xf>
    <xf numFmtId="164" fontId="6" fillId="22" borderId="2" applyAlignment="1" pivotButton="0" quotePrefix="0" xfId="0">
      <alignment vertical="center" wrapText="1"/>
    </xf>
    <xf numFmtId="0" fontId="5" fillId="14" borderId="3" applyAlignment="1" pivotButton="0" quotePrefix="0" xfId="0">
      <alignment vertical="center" wrapText="1"/>
    </xf>
    <xf numFmtId="164" fontId="6" fillId="14" borderId="3" applyAlignment="1" pivotButton="0" quotePrefix="0" xfId="0">
      <alignment vertical="center" wrapText="1"/>
    </xf>
    <xf numFmtId="0" fontId="5" fillId="23" borderId="2" applyAlignment="1" pivotButton="0" quotePrefix="0" xfId="0">
      <alignment vertical="center" wrapText="1"/>
    </xf>
    <xf numFmtId="164" fontId="6" fillId="23" borderId="2" applyAlignment="1" pivotButton="0" quotePrefix="0" xfId="0">
      <alignment vertical="center" wrapText="1"/>
    </xf>
    <xf numFmtId="164" fontId="5" fillId="23" borderId="2" applyAlignment="1" pivotButton="0" quotePrefix="0" xfId="0">
      <alignment vertical="center" wrapText="1"/>
    </xf>
    <xf numFmtId="0" fontId="1" fillId="5" borderId="0" applyAlignment="1" pivotButton="0" quotePrefix="0" xfId="0">
      <alignment vertical="center" wrapText="1"/>
    </xf>
    <xf numFmtId="0" fontId="3" fillId="5" borderId="2" applyAlignment="1" pivotButton="0" quotePrefix="0" xfId="0">
      <alignment vertical="center" wrapText="1"/>
    </xf>
    <xf numFmtId="167" fontId="0" fillId="0" borderId="2" applyAlignment="1" pivotButton="0" quotePrefix="0" xfId="0">
      <alignment vertical="center" wrapText="1"/>
    </xf>
    <xf numFmtId="164" fontId="6" fillId="0" borderId="0" applyAlignment="1" pivotButton="0" quotePrefix="0" xfId="0">
      <alignment vertical="center" wrapText="1"/>
    </xf>
    <xf numFmtId="165" fontId="4" fillId="0" borderId="2" applyAlignment="1" pivotButton="0" quotePrefix="0" xfId="0">
      <alignment vertical="center" wrapText="1"/>
    </xf>
    <xf numFmtId="0" fontId="1" fillId="4" borderId="0" applyAlignment="1" pivotButton="0" quotePrefix="0" xfId="0">
      <alignment vertical="center" wrapText="1"/>
    </xf>
    <xf numFmtId="0" fontId="3" fillId="4" borderId="2" applyAlignment="1" pivotButton="0" quotePrefix="0" xfId="0">
      <alignment vertical="center" wrapText="1"/>
    </xf>
    <xf numFmtId="0" fontId="1" fillId="8" borderId="0" applyAlignment="1" pivotButton="0" quotePrefix="0" xfId="0">
      <alignment vertical="center" wrapText="1"/>
    </xf>
    <xf numFmtId="0" fontId="3" fillId="8" borderId="2" applyAlignment="1" pivotButton="0" quotePrefix="0" xfId="0">
      <alignment vertical="center" wrapText="1"/>
    </xf>
    <xf numFmtId="165" fontId="6" fillId="0" borderId="2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Résultat par bien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'Accueil One Page'!E9</f>
            </strRef>
          </tx>
          <spPr>
            <a:ln xmlns:a="http://schemas.openxmlformats.org/drawingml/2006/main">
              <a:prstDash val="solid"/>
            </a:ln>
          </spPr>
          <cat>
            <numRef>
              <f>'Accueil One Page'!$A$10:$A$14</f>
            </numRef>
          </cat>
          <val>
            <numRef>
              <f>'Accueil One Page'!$E$10:$E$14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Cash-flow mensuel</a:t>
            </a:r>
          </a:p>
        </rich>
      </tx>
    </title>
    <plotArea>
      <lineChart>
        <grouping val="standard"/>
        <ser>
          <idx val="0"/>
          <order val="0"/>
          <tx>
            <strRef>
              <f>'Trésorerie'!G4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'Trésorerie'!$A$5:$A$16</f>
            </numRef>
          </cat>
          <val>
            <numRef>
              <f>'Trésorerie'!$G$5:$G$16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12</row>
      <rowOff>0</rowOff>
    </from>
    <ext cx="468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11</col>
      <colOff>0</colOff>
      <row>3</row>
      <rowOff>0</rowOff>
    </from>
    <ext cx="54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Plan_Comptable" displayName="Plan_Comptable" ref="A4:H65" headerRowCount="1">
  <autoFilter ref="A4:H65"/>
  <tableColumns count="8">
    <tableColumn id="1" name="Compte"/>
    <tableColumn id="2" name="Libellé personnalisable"/>
    <tableColumn id="3" name="Classe"/>
    <tableColumn id="4" name="Nature"/>
    <tableColumn id="5" name="Débit / Crédit normal"/>
    <tableColumn id="6" name="Usage immobilier"/>
    <tableColumn id="7" name="Modifiable"/>
    <tableColumn id="8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Journal" displayName="Journal" ref="A4:J261" headerRowCount="1">
  <autoFilter ref="A4:J261"/>
  <tableColumns count="10">
    <tableColumn id="1" name="Date"/>
    <tableColumn id="2" name="Compte"/>
    <tableColumn id="3" name="Libellé"/>
    <tableColumn id="4" name="Débit (€)"/>
    <tableColumn id="5" name="Crédit (€)"/>
    <tableColumn id="6" name="Nature"/>
    <tableColumn id="7" name="Bien"/>
    <tableColumn id="8" name="Pièce"/>
    <tableColumn id="9" name="Mois"/>
    <tableColumn id="10" name="Contrôl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Copropriete" displayName="Copropriete" ref="A4:I24" headerRowCount="1">
  <autoFilter ref="A4:I24"/>
  <tableColumns count="9">
    <tableColumn id="1" name="Bien"/>
    <tableColumn id="2" name="Trimestre"/>
    <tableColumn id="3" name="Appel fonds"/>
    <tableColumn id="4" name="Part récupérable"/>
    <tableColumn id="5" name="Part propriétaire"/>
    <tableColumn id="6" name="Fonds Alur"/>
    <tableColumn id="7" name="Payé"/>
    <tableColumn id="8" name="Solde"/>
    <tableColumn id="9" name="Commentaire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Gestion_Locative" displayName="Gestion_Locative" ref="A4:K9" headerRowCount="1">
  <autoFilter ref="A4:K9"/>
  <tableColumns count="11">
    <tableColumn id="1" name="Bien"/>
    <tableColumn id="2" name="Locataire"/>
    <tableColumn id="3" name="Loyer mensuel"/>
    <tableColumn id="4" name="Charges prov."/>
    <tableColumn id="5" name="Dépôt garantie"/>
    <tableColumn id="6" name="Début bail"/>
    <tableColumn id="7" name="Fin bail"/>
    <tableColumn id="8" name="Échéance prochaine"/>
    <tableColumn id="9" name="Statut"/>
    <tableColumn id="10" name="Relance"/>
    <tableColumn id="11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9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1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1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N14"/>
  <sheetViews>
    <sheetView showGridLines="0"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14" customWidth="1" min="10" max="10"/>
    <col width="14" customWidth="1" min="11" max="11"/>
    <col width="14" customWidth="1" min="12" max="12"/>
    <col width="14" customWidth="1" min="13" max="13"/>
    <col width="14" customWidth="1" min="14" max="14"/>
  </cols>
  <sheetData>
    <row r="1" ht="28" customHeight="1">
      <c r="A1" s="1" t="inlineStr">
        <is>
          <t>REVUE COMPTABILITÉ IMMOBILIÈRE AUTOMATISÉE — MODÈLE PRÊT À L’EMPLOI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</row>
    <row r="2" ht="28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  <c r="N3" s="2" t="n"/>
    </row>
    <row r="4">
      <c r="A4" s="3" t="inlineStr">
        <is>
          <t>Produits locatifs
=SUM('Compte Résultat'!C8:C10)</t>
        </is>
      </c>
      <c r="B4" s="2" t="n"/>
      <c r="C4" s="4" t="inlineStr">
        <is>
          <t>Charges exploitation
=SUM('Compte Résultat'!C14:C23)</t>
        </is>
      </c>
      <c r="D4" s="2" t="n"/>
      <c r="E4" s="5" t="inlineStr">
        <is>
          <t>Résultat net
='Compte Résultat'!C28</t>
        </is>
      </c>
      <c r="F4" s="2" t="n"/>
      <c r="G4" s="6" t="inlineStr">
        <is>
          <t>Trésorerie
=Bilan!C8</t>
        </is>
      </c>
      <c r="H4" s="2" t="n"/>
      <c r="I4" s="7" t="inlineStr">
        <is>
          <t>Rentabilité nette
=IF(Paramètres!B10=0,0,'Compte Résultat'!C28/Paramètres!B10)</t>
        </is>
      </c>
      <c r="J4" s="2" t="n"/>
      <c r="K4" s="8" t="inlineStr">
        <is>
          <t>Contrôle débit/crédit
=Balance!E123</t>
        </is>
      </c>
      <c r="L4" s="2" t="n"/>
      <c r="M4" s="2" t="n"/>
      <c r="N4" s="2" t="n"/>
    </row>
    <row r="5">
      <c r="A5" s="2" t="n"/>
      <c r="B5" s="2" t="n"/>
      <c r="C5" s="2" t="n"/>
      <c r="D5" s="2" t="n"/>
      <c r="E5" s="2" t="n"/>
      <c r="F5" s="2" t="n"/>
      <c r="G5" s="2" t="n"/>
      <c r="H5" s="2" t="n"/>
      <c r="I5" s="2" t="n"/>
      <c r="J5" s="2" t="n"/>
      <c r="K5" s="2" t="n"/>
      <c r="L5" s="2" t="n"/>
      <c r="M5" s="2" t="n"/>
      <c r="N5" s="2" t="n"/>
    </row>
    <row r="6">
      <c r="A6" s="2" t="n"/>
      <c r="B6" s="2" t="n"/>
      <c r="C6" s="2" t="n"/>
      <c r="D6" s="2" t="n"/>
      <c r="E6" s="2" t="n"/>
      <c r="F6" s="2" t="n"/>
      <c r="G6" s="2" t="n"/>
      <c r="H6" s="2" t="n"/>
      <c r="I6" s="2" t="n"/>
      <c r="J6" s="2" t="n"/>
      <c r="K6" s="2" t="n"/>
      <c r="L6" s="2" t="n"/>
      <c r="M6" s="2" t="n"/>
      <c r="N6" s="2" t="n"/>
    </row>
    <row r="7">
      <c r="A7" s="2" t="n"/>
      <c r="B7" s="2" t="n"/>
      <c r="C7" s="2" t="n"/>
      <c r="D7" s="2" t="n"/>
      <c r="E7" s="2" t="n"/>
      <c r="F7" s="2" t="n"/>
      <c r="G7" s="2" t="n"/>
      <c r="H7" s="2" t="n"/>
      <c r="I7" s="2" t="n"/>
      <c r="J7" s="2" t="n"/>
      <c r="K7" s="2" t="n"/>
      <c r="L7" s="2" t="n"/>
      <c r="M7" s="2" t="n"/>
      <c r="N7" s="2" t="n"/>
    </row>
    <row r="8">
      <c r="A8" s="9" t="inlineStr">
        <is>
          <t>Synthèse par bien immobilier</t>
        </is>
      </c>
      <c r="B8" s="2" t="n"/>
      <c r="C8" s="2" t="n"/>
      <c r="D8" s="2" t="n"/>
      <c r="E8" s="2" t="n"/>
      <c r="F8" s="2" t="n"/>
      <c r="G8" s="2" t="n"/>
      <c r="H8" s="2" t="n"/>
      <c r="I8" s="10" t="inlineStr">
        <is>
          <t>Lecture rapide</t>
        </is>
      </c>
      <c r="J8" s="2" t="n"/>
      <c r="K8" s="2" t="n"/>
      <c r="L8" s="2" t="n"/>
      <c r="M8" s="2" t="n"/>
      <c r="N8" s="2" t="n"/>
    </row>
    <row r="9">
      <c r="A9" s="11" t="inlineStr">
        <is>
          <t>Bien</t>
        </is>
      </c>
      <c r="B9" s="11" t="inlineStr">
        <is>
          <t>Ville</t>
        </is>
      </c>
      <c r="C9" s="11" t="inlineStr">
        <is>
          <t>Loyers</t>
        </is>
      </c>
      <c r="D9" s="11" t="inlineStr">
        <is>
          <t>Charges</t>
        </is>
      </c>
      <c r="E9" s="11" t="inlineStr">
        <is>
          <t>Résultat</t>
        </is>
      </c>
      <c r="F9" s="11" t="inlineStr">
        <is>
          <t>Taux occupation</t>
        </is>
      </c>
      <c r="G9" s="11" t="inlineStr">
        <is>
          <t>Alerte</t>
        </is>
      </c>
      <c r="H9" s="2" t="n"/>
      <c r="I9" s="12" t="inlineStr">
        <is>
          <t>À compléter — Modifiez les onglets Journal et Plan Comptable : les bilans et contrôles se mettent à jour.</t>
        </is>
      </c>
      <c r="J9" s="2" t="n"/>
      <c r="K9" s="2" t="n"/>
      <c r="L9" s="2" t="n"/>
      <c r="M9" s="2" t="n"/>
      <c r="N9" s="2" t="n"/>
    </row>
    <row r="10">
      <c r="A10" s="13" t="inlineStr">
        <is>
          <t>Résidence Atlas</t>
        </is>
      </c>
      <c r="B10" s="13" t="inlineStr">
        <is>
          <t>Casablanca</t>
        </is>
      </c>
      <c r="C10" s="14">
        <f>SUMIFS(Journal!$E:$E,Journal!$G:$G,$A10,Journal!$F:$F,"Produit")</f>
        <v/>
      </c>
      <c r="D10" s="14">
        <f>SUMIFS(Journal!$D:$D,Journal!$G:$G,$A10,Journal!$F:$F,"Charge")</f>
        <v/>
      </c>
      <c r="E10" s="14">
        <f>C10-D10</f>
        <v/>
      </c>
      <c r="F10" s="15" t="n">
        <v>0.98</v>
      </c>
      <c r="G10" s="16">
        <f>IF(E10&lt;0,"À surveiller",IF(F10&lt;0.95,"Vacance", "OK"))</f>
        <v/>
      </c>
      <c r="H10" s="2" t="n"/>
      <c r="I10" s="12" t="inlineStr">
        <is>
          <t>Prêt à l’emploi — Les comptes, libellés et exemples peuvent être supprimés ou adaptés.</t>
        </is>
      </c>
      <c r="J10" s="2" t="n"/>
      <c r="K10" s="2" t="n"/>
      <c r="L10" s="2" t="n"/>
      <c r="M10" s="2" t="n"/>
      <c r="N10" s="2" t="n"/>
    </row>
    <row r="11">
      <c r="A11" s="17" t="inlineStr">
        <is>
          <t>Immeuble Central</t>
        </is>
      </c>
      <c r="B11" s="17" t="inlineStr">
        <is>
          <t>Paris</t>
        </is>
      </c>
      <c r="C11" s="18">
        <f>SUMIFS(Journal!$E:$E,Journal!$G:$G,$A11,Journal!$F:$F,"Produit")</f>
        <v/>
      </c>
      <c r="D11" s="18">
        <f>SUMIFS(Journal!$D:$D,Journal!$G:$G,$A11,Journal!$F:$F,"Charge")</f>
        <v/>
      </c>
      <c r="E11" s="18">
        <f>C11-D11</f>
        <v/>
      </c>
      <c r="F11" s="19" t="n">
        <v>0.95</v>
      </c>
      <c r="G11" s="20">
        <f>IF(E11&lt;0,"À surveiller",IF(F11&lt;0.95,"Vacance", "OK"))</f>
        <v/>
      </c>
      <c r="H11" s="2" t="n"/>
      <c r="I11" s="12" t="inlineStr">
        <is>
          <t>Usage — SCI, LMNP, gestion locative, copropriété, marchand de biens, promotion immobilière.</t>
        </is>
      </c>
      <c r="J11" s="2" t="n"/>
      <c r="K11" s="2" t="n"/>
      <c r="L11" s="2" t="n"/>
      <c r="M11" s="2" t="n"/>
      <c r="N11" s="2" t="n"/>
    </row>
    <row r="12">
      <c r="A12" s="13" t="inlineStr">
        <is>
          <t>Studio Riviera</t>
        </is>
      </c>
      <c r="B12" s="13" t="inlineStr">
        <is>
          <t>Nice</t>
        </is>
      </c>
      <c r="C12" s="14">
        <f>SUMIFS(Journal!$E:$E,Journal!$G:$G,$A12,Journal!$F:$F,"Produit")</f>
        <v/>
      </c>
      <c r="D12" s="14">
        <f>SUMIFS(Journal!$D:$D,Journal!$G:$G,$A12,Journal!$F:$F,"Charge")</f>
        <v/>
      </c>
      <c r="E12" s="14">
        <f>C12-D12</f>
        <v/>
      </c>
      <c r="F12" s="15" t="n">
        <v>1</v>
      </c>
      <c r="G12" s="16">
        <f>IF(E12&lt;0,"À surveiller",IF(F12&lt;0.95,"Vacance", "OK"))</f>
        <v/>
      </c>
      <c r="H12" s="2" t="n"/>
      <c r="I12" s="2" t="n"/>
      <c r="J12" s="2" t="n"/>
      <c r="K12" s="2" t="n"/>
      <c r="L12" s="2" t="n"/>
      <c r="M12" s="2" t="n"/>
      <c r="N12" s="2" t="n"/>
    </row>
    <row r="13">
      <c r="A13" s="17" t="inlineStr">
        <is>
          <t>Local République</t>
        </is>
      </c>
      <c r="B13" s="17" t="inlineStr">
        <is>
          <t>Lyon</t>
        </is>
      </c>
      <c r="C13" s="18">
        <f>SUMIFS(Journal!$E:$E,Journal!$G:$G,$A13,Journal!$F:$F,"Produit")</f>
        <v/>
      </c>
      <c r="D13" s="18">
        <f>SUMIFS(Journal!$D:$D,Journal!$G:$G,$A13,Journal!$F:$F,"Charge")</f>
        <v/>
      </c>
      <c r="E13" s="18">
        <f>C13-D13</f>
        <v/>
      </c>
      <c r="F13" s="19" t="n">
        <v>0.92</v>
      </c>
      <c r="G13" s="20">
        <f>IF(E13&lt;0,"À surveiller",IF(F13&lt;0.95,"Vacance", "OK"))</f>
        <v/>
      </c>
      <c r="H13" s="2" t="n"/>
      <c r="I13" s="2" t="n"/>
      <c r="J13" s="2" t="n"/>
      <c r="K13" s="2" t="n"/>
      <c r="L13" s="2" t="n"/>
      <c r="M13" s="2" t="n"/>
      <c r="N13" s="2" t="n"/>
    </row>
    <row r="14">
      <c r="A14" s="13" t="inlineStr">
        <is>
          <t>Appartement Plage</t>
        </is>
      </c>
      <c r="B14" s="13" t="inlineStr">
        <is>
          <t>Marseille</t>
        </is>
      </c>
      <c r="C14" s="14">
        <f>SUMIFS(Journal!$E:$E,Journal!$G:$G,$A14,Journal!$F:$F,"Produit")</f>
        <v/>
      </c>
      <c r="D14" s="14">
        <f>SUMIFS(Journal!$D:$D,Journal!$G:$G,$A14,Journal!$F:$F,"Charge")</f>
        <v/>
      </c>
      <c r="E14" s="14">
        <f>C14-D14</f>
        <v/>
      </c>
      <c r="F14" s="15" t="n">
        <v>0.97</v>
      </c>
      <c r="G14" s="16">
        <f>IF(E14&lt;0,"À surveiller",IF(F14&lt;0.95,"Vacance", "OK"))</f>
        <v/>
      </c>
      <c r="H14" s="2" t="n"/>
      <c r="I14" s="2" t="n"/>
      <c r="J14" s="2" t="n"/>
      <c r="K14" s="2" t="n"/>
      <c r="L14" s="2" t="n"/>
      <c r="M14" s="2" t="n"/>
      <c r="N14" s="2" t="n"/>
    </row>
  </sheetData>
  <mergeCells count="12">
    <mergeCell ref="A1:N2"/>
    <mergeCell ref="I11:N11"/>
    <mergeCell ref="E4:F6"/>
    <mergeCell ref="A8:G8"/>
    <mergeCell ref="I4:J6"/>
    <mergeCell ref="I10:N10"/>
    <mergeCell ref="I9:N9"/>
    <mergeCell ref="I8:N8"/>
    <mergeCell ref="C4:D6"/>
    <mergeCell ref="A4:B6"/>
    <mergeCell ref="G4:H6"/>
    <mergeCell ref="K4:L6"/>
  </mergeCells>
  <pageMargins left="0.25" right="0.25" top="0.5" bottom="0.5" header="0.5" footer="0.5"/>
  <pageSetup fitToHeight="0" fitToWidth="1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F14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24" customWidth="1" min="2" max="2"/>
    <col width="24" customWidth="1" min="3" max="3"/>
    <col width="45" customWidth="1" min="4" max="4"/>
  </cols>
  <sheetData>
    <row r="1" ht="28" customHeight="1">
      <c r="A1" s="21" t="inlineStr">
        <is>
          <t>PARAMÈTRES DU MODÈLE — DONNÉES MODIFIABLES</t>
        </is>
      </c>
      <c r="B1" s="2" t="n"/>
      <c r="C1" s="2" t="n"/>
      <c r="D1" s="2" t="n"/>
      <c r="E1" s="2" t="n"/>
      <c r="F1" s="2" t="n"/>
    </row>
    <row r="2" ht="28" customHeight="1">
      <c r="A2" s="2" t="n"/>
      <c r="B2" s="2" t="n"/>
      <c r="C2" s="2" t="n"/>
      <c r="D2" s="2" t="n"/>
      <c r="E2" s="2" t="n"/>
      <c r="F2" s="2" t="n"/>
    </row>
    <row r="3">
      <c r="A3" s="2" t="n"/>
      <c r="B3" s="2" t="n"/>
      <c r="C3" s="2" t="n"/>
      <c r="D3" s="2" t="n"/>
      <c r="E3" s="2" t="n"/>
      <c r="F3" s="2" t="n"/>
    </row>
    <row r="4">
      <c r="A4" s="22" t="inlineStr">
        <is>
          <t>Paramètre</t>
        </is>
      </c>
      <c r="B4" s="22" t="inlineStr">
        <is>
          <t>Valeur</t>
        </is>
      </c>
      <c r="C4" s="22" t="inlineStr">
        <is>
          <t>Unité / commentaire</t>
        </is>
      </c>
      <c r="D4" s="22" t="inlineStr">
        <is>
          <t>Source / usage</t>
        </is>
      </c>
      <c r="E4" s="2" t="n"/>
      <c r="F4" s="2" t="n"/>
    </row>
    <row r="5">
      <c r="A5" s="23" t="inlineStr">
        <is>
          <t>Nom du portefeuille</t>
        </is>
      </c>
      <c r="B5" s="24" t="inlineStr">
        <is>
          <t>Patrimoine Immobilier 2026</t>
        </is>
      </c>
      <c r="C5" s="23" t="inlineStr">
        <is>
          <t>Texte</t>
        </is>
      </c>
      <c r="D5" s="23" t="inlineStr">
        <is>
          <t>Titre des rapports</t>
        </is>
      </c>
      <c r="E5" s="25" t="n"/>
      <c r="F5" s="25" t="n"/>
    </row>
    <row r="6">
      <c r="A6" s="23" t="inlineStr">
        <is>
          <t>Devise</t>
        </is>
      </c>
      <c r="B6" s="24" t="inlineStr">
        <is>
          <t>€</t>
        </is>
      </c>
      <c r="C6" s="23" t="inlineStr">
        <is>
          <t>Symbole</t>
        </is>
      </c>
      <c r="D6" s="23" t="inlineStr">
        <is>
          <t>Formats financiers</t>
        </is>
      </c>
      <c r="E6" s="25" t="n"/>
      <c r="F6" s="25" t="n"/>
    </row>
    <row r="7">
      <c r="A7" s="23" t="inlineStr">
        <is>
          <t>Année</t>
        </is>
      </c>
      <c r="B7" s="24" t="inlineStr">
        <is>
          <t>2026</t>
        </is>
      </c>
      <c r="C7" s="23" t="inlineStr">
        <is>
          <t>Année</t>
        </is>
      </c>
      <c r="D7" s="23" t="inlineStr">
        <is>
          <t>Période de revue</t>
        </is>
      </c>
      <c r="E7" s="25" t="n"/>
      <c r="F7" s="25" t="n"/>
    </row>
    <row r="8">
      <c r="A8" s="23" t="inlineStr">
        <is>
          <t>Taux TVA standard</t>
        </is>
      </c>
      <c r="B8" s="26" t="n">
        <v>0.2</v>
      </c>
      <c r="C8" s="23" t="inlineStr">
        <is>
          <t>%</t>
        </is>
      </c>
      <c r="D8" s="23" t="inlineStr">
        <is>
          <t>Calculs TVA</t>
        </is>
      </c>
      <c r="E8" s="25" t="n"/>
      <c r="F8" s="25" t="n"/>
    </row>
    <row r="9">
      <c r="A9" s="23" t="inlineStr">
        <is>
          <t>Taux vacance prudent</t>
        </is>
      </c>
      <c r="B9" s="26" t="n">
        <v>0.05</v>
      </c>
      <c r="C9" s="23" t="inlineStr">
        <is>
          <t>%</t>
        </is>
      </c>
      <c r="D9" s="23" t="inlineStr">
        <is>
          <t>Scénarios</t>
        </is>
      </c>
      <c r="E9" s="25" t="n"/>
      <c r="F9" s="25" t="n"/>
    </row>
    <row r="10">
      <c r="A10" s="23" t="inlineStr">
        <is>
          <t>Taux frais gestion</t>
        </is>
      </c>
      <c r="B10" s="24" t="n">
        <v>0.07000000000000001</v>
      </c>
      <c r="C10" s="23" t="inlineStr">
        <is>
          <t>% loyers</t>
        </is>
      </c>
      <c r="D10" s="23" t="inlineStr">
        <is>
          <t>Honoraires</t>
        </is>
      </c>
      <c r="E10" s="25" t="n"/>
      <c r="F10" s="25" t="n"/>
    </row>
    <row r="11">
      <c r="A11" s="23" t="inlineStr">
        <is>
          <t>Valeur patrimoine</t>
        </is>
      </c>
      <c r="B11" s="27" t="n">
        <v>845000</v>
      </c>
      <c r="C11" s="23" t="inlineStr">
        <is>
          <t>€</t>
        </is>
      </c>
      <c r="D11" s="23" t="inlineStr">
        <is>
          <t>Base rentabilité</t>
        </is>
      </c>
      <c r="E11" s="25" t="n"/>
      <c r="F11" s="25" t="n"/>
    </row>
    <row r="12">
      <c r="A12" s="23" t="inlineStr">
        <is>
          <t>Seuil alerte trésorerie</t>
        </is>
      </c>
      <c r="B12" s="27" t="n">
        <v>5000</v>
      </c>
      <c r="C12" s="23" t="inlineStr">
        <is>
          <t>€</t>
        </is>
      </c>
      <c r="D12" s="23" t="inlineStr">
        <is>
          <t>Alertes</t>
        </is>
      </c>
      <c r="E12" s="25" t="n"/>
      <c r="F12" s="25" t="n"/>
    </row>
    <row r="13">
      <c r="A13" s="23" t="inlineStr">
        <is>
          <t>Seuil occupation</t>
        </is>
      </c>
      <c r="B13" s="26" t="n">
        <v>0.95</v>
      </c>
      <c r="C13" s="23" t="inlineStr">
        <is>
          <t>%</t>
        </is>
      </c>
      <c r="D13" s="23" t="inlineStr">
        <is>
          <t>Alertes</t>
        </is>
      </c>
      <c r="E13" s="25" t="n"/>
      <c r="F13" s="25" t="n"/>
    </row>
    <row r="14">
      <c r="A14" s="23" t="inlineStr">
        <is>
          <t>Taux imposition indicatif</t>
        </is>
      </c>
      <c r="B14" s="26" t="n">
        <v>0.3</v>
      </c>
      <c r="C14" s="23" t="inlineStr">
        <is>
          <t>%</t>
        </is>
      </c>
      <c r="D14" s="23" t="inlineStr">
        <is>
          <t>Simulation simple</t>
        </is>
      </c>
      <c r="E14" s="25" t="n"/>
      <c r="F14" s="25" t="n"/>
    </row>
  </sheetData>
  <mergeCells count="1">
    <mergeCell ref="A1:F2"/>
  </mergeCells>
  <pageMargins left="0.25" right="0.25" top="0.5" bottom="0.5" header="0.5" footer="0.5"/>
  <pageSetup fitToHeight="0" fitToWidth="1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H65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2" customWidth="1" min="1" max="1"/>
    <col width="38" customWidth="1" min="2" max="2"/>
    <col width="10" customWidth="1" min="3" max="3"/>
    <col width="24" customWidth="1" min="4" max="4"/>
    <col width="18" customWidth="1" min="5" max="5"/>
    <col width="36" customWidth="1" min="6" max="6"/>
    <col width="12" customWidth="1" min="7" max="7"/>
    <col width="30" customWidth="1" min="8" max="8"/>
  </cols>
  <sheetData>
    <row r="1" ht="28" customHeight="1">
      <c r="A1" s="1" t="inlineStr">
        <is>
          <t>PLAN COMPTABLE IMMOBILIER — COMPTES ET LIBELLÉS MODIFIABLES</t>
        </is>
      </c>
      <c r="B1" s="2" t="n"/>
      <c r="C1" s="2" t="n"/>
      <c r="D1" s="2" t="n"/>
      <c r="E1" s="2" t="n"/>
      <c r="F1" s="2" t="n"/>
      <c r="G1" s="2" t="n"/>
      <c r="H1" s="2" t="n"/>
    </row>
    <row r="2" ht="28" customHeight="1">
      <c r="A2" s="2" t="n"/>
      <c r="B2" s="2" t="n"/>
      <c r="C2" s="2" t="n"/>
      <c r="D2" s="2" t="n"/>
      <c r="E2" s="2" t="n"/>
      <c r="F2" s="2" t="n"/>
      <c r="G2" s="2" t="n"/>
      <c r="H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</row>
    <row r="4">
      <c r="A4" s="11" t="inlineStr">
        <is>
          <t>Compte</t>
        </is>
      </c>
      <c r="B4" s="11" t="inlineStr">
        <is>
          <t>Libellé personnalisable</t>
        </is>
      </c>
      <c r="C4" s="11" t="inlineStr">
        <is>
          <t>Classe</t>
        </is>
      </c>
      <c r="D4" s="11" t="inlineStr">
        <is>
          <t>Nature</t>
        </is>
      </c>
      <c r="E4" s="11" t="inlineStr">
        <is>
          <t>Débit / Crédit normal</t>
        </is>
      </c>
      <c r="F4" s="11" t="inlineStr">
        <is>
          <t>Usage immobilier</t>
        </is>
      </c>
      <c r="G4" s="11" t="inlineStr">
        <is>
          <t>Modifiable</t>
        </is>
      </c>
      <c r="H4" s="11" t="inlineStr">
        <is>
          <t>Notes</t>
        </is>
      </c>
    </row>
    <row r="5">
      <c r="A5" s="23" t="inlineStr">
        <is>
          <t>101</t>
        </is>
      </c>
      <c r="B5" s="23" t="inlineStr">
        <is>
          <t>Capital social</t>
        </is>
      </c>
      <c r="C5" s="28" t="inlineStr">
        <is>
          <t>1</t>
        </is>
      </c>
      <c r="D5" s="29" t="inlineStr">
        <is>
          <t>Capitaux propres</t>
        </is>
      </c>
      <c r="E5" s="29" t="inlineStr">
        <is>
          <t>Crédit</t>
        </is>
      </c>
      <c r="F5" s="23" t="inlineStr">
        <is>
          <t>SCI, sociétés immobilières</t>
        </is>
      </c>
      <c r="G5" s="30" t="inlineStr">
        <is>
          <t>Oui</t>
        </is>
      </c>
      <c r="H5" s="23" t="inlineStr">
        <is>
          <t>Capital de départ</t>
        </is>
      </c>
    </row>
    <row r="6">
      <c r="A6" s="31" t="inlineStr">
        <is>
          <t>106</t>
        </is>
      </c>
      <c r="B6" s="31" t="inlineStr">
        <is>
          <t>Réserves</t>
        </is>
      </c>
      <c r="C6" s="28" t="inlineStr">
        <is>
          <t>1</t>
        </is>
      </c>
      <c r="D6" s="32" t="inlineStr">
        <is>
          <t>Capitaux propres</t>
        </is>
      </c>
      <c r="E6" s="32" t="inlineStr">
        <is>
          <t>Crédit</t>
        </is>
      </c>
      <c r="F6" s="31" t="inlineStr">
        <is>
          <t>Affectation résultat</t>
        </is>
      </c>
      <c r="G6" s="30" t="inlineStr">
        <is>
          <t>Oui</t>
        </is>
      </c>
      <c r="H6" s="31" t="inlineStr">
        <is>
          <t>Réserve légale/statutaire</t>
        </is>
      </c>
    </row>
    <row r="7">
      <c r="A7" s="23" t="inlineStr">
        <is>
          <t>110</t>
        </is>
      </c>
      <c r="B7" s="23" t="inlineStr">
        <is>
          <t>Report à nouveau créditeur</t>
        </is>
      </c>
      <c r="C7" s="28" t="inlineStr">
        <is>
          <t>1</t>
        </is>
      </c>
      <c r="D7" s="29" t="inlineStr">
        <is>
          <t>Capitaux propres</t>
        </is>
      </c>
      <c r="E7" s="29" t="inlineStr">
        <is>
          <t>Crédit</t>
        </is>
      </c>
      <c r="F7" s="23" t="inlineStr">
        <is>
          <t>Résultats antérieurs</t>
        </is>
      </c>
      <c r="G7" s="30" t="inlineStr">
        <is>
          <t>Oui</t>
        </is>
      </c>
      <c r="H7" s="23" t="inlineStr">
        <is>
          <t>Solde positif</t>
        </is>
      </c>
    </row>
    <row r="8">
      <c r="A8" s="31" t="inlineStr">
        <is>
          <t>119</t>
        </is>
      </c>
      <c r="B8" s="31" t="inlineStr">
        <is>
          <t>Report à nouveau débiteur</t>
        </is>
      </c>
      <c r="C8" s="28" t="inlineStr">
        <is>
          <t>1</t>
        </is>
      </c>
      <c r="D8" s="32" t="inlineStr">
        <is>
          <t>Capitaux propres</t>
        </is>
      </c>
      <c r="E8" s="32" t="inlineStr">
        <is>
          <t>Débit</t>
        </is>
      </c>
      <c r="F8" s="31" t="inlineStr">
        <is>
          <t>Résultats antérieurs</t>
        </is>
      </c>
      <c r="G8" s="30" t="inlineStr">
        <is>
          <t>Oui</t>
        </is>
      </c>
      <c r="H8" s="31" t="inlineStr">
        <is>
          <t>Solde négatif</t>
        </is>
      </c>
    </row>
    <row r="9">
      <c r="A9" s="23" t="inlineStr">
        <is>
          <t>120</t>
        </is>
      </c>
      <c r="B9" s="23" t="inlineStr">
        <is>
          <t>Résultat de l’exercice</t>
        </is>
      </c>
      <c r="C9" s="28" t="inlineStr">
        <is>
          <t>1</t>
        </is>
      </c>
      <c r="D9" s="29" t="inlineStr">
        <is>
          <t>Résultat</t>
        </is>
      </c>
      <c r="E9" s="29" t="inlineStr">
        <is>
          <t>Crédit</t>
        </is>
      </c>
      <c r="F9" s="23" t="inlineStr">
        <is>
          <t>Bénéfice</t>
        </is>
      </c>
      <c r="G9" s="30" t="inlineStr">
        <is>
          <t>Oui</t>
        </is>
      </c>
      <c r="H9" s="23" t="inlineStr">
        <is>
          <t>Automatique bilan</t>
        </is>
      </c>
    </row>
    <row r="10">
      <c r="A10" s="31" t="inlineStr">
        <is>
          <t>129</t>
        </is>
      </c>
      <c r="B10" s="31" t="inlineStr">
        <is>
          <t>Perte de l’exercice</t>
        </is>
      </c>
      <c r="C10" s="28" t="inlineStr">
        <is>
          <t>1</t>
        </is>
      </c>
      <c r="D10" s="32" t="inlineStr">
        <is>
          <t>Résultat</t>
        </is>
      </c>
      <c r="E10" s="32" t="inlineStr">
        <is>
          <t>Débit</t>
        </is>
      </c>
      <c r="F10" s="31" t="inlineStr">
        <is>
          <t>Perte</t>
        </is>
      </c>
      <c r="G10" s="30" t="inlineStr">
        <is>
          <t>Oui</t>
        </is>
      </c>
      <c r="H10" s="31" t="inlineStr">
        <is>
          <t>Automatique bilan</t>
        </is>
      </c>
    </row>
    <row r="11">
      <c r="A11" s="23" t="inlineStr">
        <is>
          <t>164</t>
        </is>
      </c>
      <c r="B11" s="23" t="inlineStr">
        <is>
          <t>Emprunts auprès établissements de crédit</t>
        </is>
      </c>
      <c r="C11" s="28" t="inlineStr">
        <is>
          <t>1</t>
        </is>
      </c>
      <c r="D11" s="29" t="inlineStr">
        <is>
          <t>Dette financière</t>
        </is>
      </c>
      <c r="E11" s="29" t="inlineStr">
        <is>
          <t>Crédit</t>
        </is>
      </c>
      <c r="F11" s="23" t="inlineStr">
        <is>
          <t>Crédit immobilier</t>
        </is>
      </c>
      <c r="G11" s="30" t="inlineStr">
        <is>
          <t>Oui</t>
        </is>
      </c>
      <c r="H11" s="23" t="inlineStr">
        <is>
          <t>Capital restant dû</t>
        </is>
      </c>
    </row>
    <row r="12">
      <c r="A12" s="31" t="inlineStr">
        <is>
          <t>165</t>
        </is>
      </c>
      <c r="B12" s="31" t="inlineStr">
        <is>
          <t>Dépôts et cautionnements reçus</t>
        </is>
      </c>
      <c r="C12" s="28" t="inlineStr">
        <is>
          <t>1</t>
        </is>
      </c>
      <c r="D12" s="32" t="inlineStr">
        <is>
          <t>Dette</t>
        </is>
      </c>
      <c r="E12" s="32" t="inlineStr">
        <is>
          <t>Crédit</t>
        </is>
      </c>
      <c r="F12" s="31" t="inlineStr">
        <is>
          <t>Dépôts de garantie locataires</t>
        </is>
      </c>
      <c r="G12" s="30" t="inlineStr">
        <is>
          <t>Oui</t>
        </is>
      </c>
      <c r="H12" s="31" t="inlineStr">
        <is>
          <t>Restituable</t>
        </is>
      </c>
    </row>
    <row r="13">
      <c r="A13" s="23" t="inlineStr">
        <is>
          <t>1688</t>
        </is>
      </c>
      <c r="B13" s="23" t="inlineStr">
        <is>
          <t>Intérêts courus sur emprunts</t>
        </is>
      </c>
      <c r="C13" s="28" t="inlineStr">
        <is>
          <t>1</t>
        </is>
      </c>
      <c r="D13" s="29" t="inlineStr">
        <is>
          <t>Dette</t>
        </is>
      </c>
      <c r="E13" s="29" t="inlineStr">
        <is>
          <t>Crédit</t>
        </is>
      </c>
      <c r="F13" s="23" t="inlineStr">
        <is>
          <t>Clôture intérêts</t>
        </is>
      </c>
      <c r="G13" s="30" t="inlineStr">
        <is>
          <t>Oui</t>
        </is>
      </c>
      <c r="H13" s="23" t="inlineStr">
        <is>
          <t>Régularisation</t>
        </is>
      </c>
    </row>
    <row r="14">
      <c r="A14" s="31" t="inlineStr">
        <is>
          <t>211</t>
        </is>
      </c>
      <c r="B14" s="31" t="inlineStr">
        <is>
          <t>Terrains</t>
        </is>
      </c>
      <c r="C14" s="33" t="inlineStr">
        <is>
          <t>2</t>
        </is>
      </c>
      <c r="D14" s="32" t="inlineStr">
        <is>
          <t>Actif immobilisé</t>
        </is>
      </c>
      <c r="E14" s="32" t="inlineStr">
        <is>
          <t>Débit</t>
        </is>
      </c>
      <c r="F14" s="31" t="inlineStr">
        <is>
          <t>Terrain</t>
        </is>
      </c>
      <c r="G14" s="30" t="inlineStr">
        <is>
          <t>Oui</t>
        </is>
      </c>
      <c r="H14" s="31" t="inlineStr">
        <is>
          <t>Non amortissable généralement</t>
        </is>
      </c>
    </row>
    <row r="15">
      <c r="A15" s="23" t="inlineStr">
        <is>
          <t>213</t>
        </is>
      </c>
      <c r="B15" s="23" t="inlineStr">
        <is>
          <t>Constructions</t>
        </is>
      </c>
      <c r="C15" s="33" t="inlineStr">
        <is>
          <t>2</t>
        </is>
      </c>
      <c r="D15" s="29" t="inlineStr">
        <is>
          <t>Actif immobilisé</t>
        </is>
      </c>
      <c r="E15" s="29" t="inlineStr">
        <is>
          <t>Débit</t>
        </is>
      </c>
      <c r="F15" s="23" t="inlineStr">
        <is>
          <t>Immeubles bâtis</t>
        </is>
      </c>
      <c r="G15" s="30" t="inlineStr">
        <is>
          <t>Oui</t>
        </is>
      </c>
      <c r="H15" s="23" t="inlineStr">
        <is>
          <t>Amortissement possible IS/LMNP</t>
        </is>
      </c>
    </row>
    <row r="16">
      <c r="A16" s="31" t="inlineStr">
        <is>
          <t>2135</t>
        </is>
      </c>
      <c r="B16" s="31" t="inlineStr">
        <is>
          <t>Installations générales</t>
        </is>
      </c>
      <c r="C16" s="33" t="inlineStr">
        <is>
          <t>2</t>
        </is>
      </c>
      <c r="D16" s="32" t="inlineStr">
        <is>
          <t>Actif immobilisé</t>
        </is>
      </c>
      <c r="E16" s="32" t="inlineStr">
        <is>
          <t>Débit</t>
        </is>
      </c>
      <c r="F16" s="31" t="inlineStr">
        <is>
          <t>Agencements immobiliers</t>
        </is>
      </c>
      <c r="G16" s="30" t="inlineStr">
        <is>
          <t>Oui</t>
        </is>
      </c>
      <c r="H16" s="31" t="inlineStr">
        <is>
          <t>Travaux lourds</t>
        </is>
      </c>
    </row>
    <row r="17">
      <c r="A17" s="23" t="inlineStr">
        <is>
          <t>215</t>
        </is>
      </c>
      <c r="B17" s="23" t="inlineStr">
        <is>
          <t>Installations techniques</t>
        </is>
      </c>
      <c r="C17" s="33" t="inlineStr">
        <is>
          <t>2</t>
        </is>
      </c>
      <c r="D17" s="29" t="inlineStr">
        <is>
          <t>Actif immobilisé</t>
        </is>
      </c>
      <c r="E17" s="29" t="inlineStr">
        <is>
          <t>Débit</t>
        </is>
      </c>
      <c r="F17" s="23" t="inlineStr">
        <is>
          <t>Équipements techniques</t>
        </is>
      </c>
      <c r="G17" s="30" t="inlineStr">
        <is>
          <t>Oui</t>
        </is>
      </c>
      <c r="H17" s="23" t="inlineStr">
        <is>
          <t>Chauffage, ascenseur</t>
        </is>
      </c>
    </row>
    <row r="18">
      <c r="A18" s="31" t="inlineStr">
        <is>
          <t>2181</t>
        </is>
      </c>
      <c r="B18" s="31" t="inlineStr">
        <is>
          <t>Installations diverses</t>
        </is>
      </c>
      <c r="C18" s="33" t="inlineStr">
        <is>
          <t>2</t>
        </is>
      </c>
      <c r="D18" s="32" t="inlineStr">
        <is>
          <t>Actif immobilisé</t>
        </is>
      </c>
      <c r="E18" s="32" t="inlineStr">
        <is>
          <t>Débit</t>
        </is>
      </c>
      <c r="F18" s="31" t="inlineStr">
        <is>
          <t>Aménagements</t>
        </is>
      </c>
      <c r="G18" s="30" t="inlineStr">
        <is>
          <t>Oui</t>
        </is>
      </c>
      <c r="H18" s="31" t="inlineStr">
        <is>
          <t>Selon régime</t>
        </is>
      </c>
    </row>
    <row r="19">
      <c r="A19" s="23" t="inlineStr">
        <is>
          <t>2184</t>
        </is>
      </c>
      <c r="B19" s="23" t="inlineStr">
        <is>
          <t>Mobilier</t>
        </is>
      </c>
      <c r="C19" s="33" t="inlineStr">
        <is>
          <t>2</t>
        </is>
      </c>
      <c r="D19" s="29" t="inlineStr">
        <is>
          <t>Actif immobilisé</t>
        </is>
      </c>
      <c r="E19" s="29" t="inlineStr">
        <is>
          <t>Débit</t>
        </is>
      </c>
      <c r="F19" s="23" t="inlineStr">
        <is>
          <t>LMNP meublé</t>
        </is>
      </c>
      <c r="G19" s="30" t="inlineStr">
        <is>
          <t>Oui</t>
        </is>
      </c>
      <c r="H19" s="23" t="inlineStr">
        <is>
          <t>Mobilier amortissable</t>
        </is>
      </c>
    </row>
    <row r="20">
      <c r="A20" s="31" t="inlineStr">
        <is>
          <t>2813</t>
        </is>
      </c>
      <c r="B20" s="31" t="inlineStr">
        <is>
          <t>Amortissements constructions</t>
        </is>
      </c>
      <c r="C20" s="33" t="inlineStr">
        <is>
          <t>2</t>
        </is>
      </c>
      <c r="D20" s="32" t="inlineStr">
        <is>
          <t>Amortissement</t>
        </is>
      </c>
      <c r="E20" s="32" t="inlineStr">
        <is>
          <t>Crédit</t>
        </is>
      </c>
      <c r="F20" s="31" t="inlineStr">
        <is>
          <t>SCI IS / LMNP</t>
        </is>
      </c>
      <c r="G20" s="30" t="inlineStr">
        <is>
          <t>Oui</t>
        </is>
      </c>
      <c r="H20" s="31" t="inlineStr">
        <is>
          <t>Compte correctif actif</t>
        </is>
      </c>
    </row>
    <row r="21">
      <c r="A21" s="23" t="inlineStr">
        <is>
          <t>2818</t>
        </is>
      </c>
      <c r="B21" s="23" t="inlineStr">
        <is>
          <t>Amortissements autres immobilisations</t>
        </is>
      </c>
      <c r="C21" s="33" t="inlineStr">
        <is>
          <t>2</t>
        </is>
      </c>
      <c r="D21" s="29" t="inlineStr">
        <is>
          <t>Amortissement</t>
        </is>
      </c>
      <c r="E21" s="29" t="inlineStr">
        <is>
          <t>Crédit</t>
        </is>
      </c>
      <c r="F21" s="23" t="inlineStr">
        <is>
          <t>Mobilier et équipements</t>
        </is>
      </c>
      <c r="G21" s="30" t="inlineStr">
        <is>
          <t>Oui</t>
        </is>
      </c>
      <c r="H21" s="23" t="inlineStr">
        <is>
          <t>Plan amortissement</t>
        </is>
      </c>
    </row>
    <row r="22">
      <c r="A22" s="31" t="inlineStr">
        <is>
          <t>301</t>
        </is>
      </c>
      <c r="B22" s="31" t="inlineStr">
        <is>
          <t>Terrains en stock</t>
        </is>
      </c>
      <c r="C22" s="34" t="inlineStr">
        <is>
          <t>3</t>
        </is>
      </c>
      <c r="D22" s="32" t="inlineStr">
        <is>
          <t>Stock</t>
        </is>
      </c>
      <c r="E22" s="32" t="inlineStr">
        <is>
          <t>Débit</t>
        </is>
      </c>
      <c r="F22" s="31" t="inlineStr">
        <is>
          <t>Marchand de biens</t>
        </is>
      </c>
      <c r="G22" s="30" t="inlineStr">
        <is>
          <t>Oui</t>
        </is>
      </c>
      <c r="H22" s="31" t="inlineStr">
        <is>
          <t>Achat pour revente</t>
        </is>
      </c>
    </row>
    <row r="23">
      <c r="A23" s="23" t="inlineStr">
        <is>
          <t>335</t>
        </is>
      </c>
      <c r="B23" s="23" t="inlineStr">
        <is>
          <t>Travaux en cours</t>
        </is>
      </c>
      <c r="C23" s="34" t="inlineStr">
        <is>
          <t>3</t>
        </is>
      </c>
      <c r="D23" s="29" t="inlineStr">
        <is>
          <t>Stock</t>
        </is>
      </c>
      <c r="E23" s="29" t="inlineStr">
        <is>
          <t>Débit</t>
        </is>
      </c>
      <c r="F23" s="23" t="inlineStr">
        <is>
          <t>Promotion immobilière</t>
        </is>
      </c>
      <c r="G23" s="30" t="inlineStr">
        <is>
          <t>Oui</t>
        </is>
      </c>
      <c r="H23" s="23" t="inlineStr">
        <is>
          <t>En-cours chantier</t>
        </is>
      </c>
    </row>
    <row r="24">
      <c r="A24" s="31" t="inlineStr">
        <is>
          <t>371</t>
        </is>
      </c>
      <c r="B24" s="31" t="inlineStr">
        <is>
          <t>Immeubles destinés à la vente</t>
        </is>
      </c>
      <c r="C24" s="34" t="inlineStr">
        <is>
          <t>3</t>
        </is>
      </c>
      <c r="D24" s="32" t="inlineStr">
        <is>
          <t>Stock</t>
        </is>
      </c>
      <c r="E24" s="32" t="inlineStr">
        <is>
          <t>Débit</t>
        </is>
      </c>
      <c r="F24" s="31" t="inlineStr">
        <is>
          <t>Marchand biens/promotion</t>
        </is>
      </c>
      <c r="G24" s="30" t="inlineStr">
        <is>
          <t>Oui</t>
        </is>
      </c>
      <c r="H24" s="31" t="inlineStr">
        <is>
          <t>Stock final</t>
        </is>
      </c>
    </row>
    <row r="25">
      <c r="A25" s="23" t="inlineStr">
        <is>
          <t>401</t>
        </is>
      </c>
      <c r="B25" s="23" t="inlineStr">
        <is>
          <t>Fournisseurs</t>
        </is>
      </c>
      <c r="C25" s="35" t="inlineStr">
        <is>
          <t>4</t>
        </is>
      </c>
      <c r="D25" s="29" t="inlineStr">
        <is>
          <t>Tiers</t>
        </is>
      </c>
      <c r="E25" s="29" t="inlineStr">
        <is>
          <t>Crédit</t>
        </is>
      </c>
      <c r="F25" s="23" t="inlineStr">
        <is>
          <t>Artisans, syndics, assureurs</t>
        </is>
      </c>
      <c r="G25" s="30" t="inlineStr">
        <is>
          <t>Oui</t>
        </is>
      </c>
      <c r="H25" s="23" t="inlineStr">
        <is>
          <t>Dettes fournisseurs</t>
        </is>
      </c>
    </row>
    <row r="26">
      <c r="A26" s="31" t="inlineStr">
        <is>
          <t>408</t>
        </is>
      </c>
      <c r="B26" s="31" t="inlineStr">
        <is>
          <t>Fournisseurs factures non parvenues</t>
        </is>
      </c>
      <c r="C26" s="35" t="inlineStr">
        <is>
          <t>4</t>
        </is>
      </c>
      <c r="D26" s="32" t="inlineStr">
        <is>
          <t>Tiers</t>
        </is>
      </c>
      <c r="E26" s="32" t="inlineStr">
        <is>
          <t>Crédit</t>
        </is>
      </c>
      <c r="F26" s="31" t="inlineStr">
        <is>
          <t>Clôture</t>
        </is>
      </c>
      <c r="G26" s="30" t="inlineStr">
        <is>
          <t>Oui</t>
        </is>
      </c>
      <c r="H26" s="31" t="inlineStr">
        <is>
          <t>FNP</t>
        </is>
      </c>
    </row>
    <row r="27">
      <c r="A27" s="23" t="inlineStr">
        <is>
          <t>411</t>
        </is>
      </c>
      <c r="B27" s="23" t="inlineStr">
        <is>
          <t>Locataires / clients</t>
        </is>
      </c>
      <c r="C27" s="35" t="inlineStr">
        <is>
          <t>4</t>
        </is>
      </c>
      <c r="D27" s="29" t="inlineStr">
        <is>
          <t>Tiers</t>
        </is>
      </c>
      <c r="E27" s="29" t="inlineStr">
        <is>
          <t>Débit</t>
        </is>
      </c>
      <c r="F27" s="23" t="inlineStr">
        <is>
          <t>Loyers dus</t>
        </is>
      </c>
      <c r="G27" s="30" t="inlineStr">
        <is>
          <t>Oui</t>
        </is>
      </c>
      <c r="H27" s="23" t="inlineStr">
        <is>
          <t>Créances locataires</t>
        </is>
      </c>
    </row>
    <row r="28">
      <c r="A28" s="31" t="inlineStr">
        <is>
          <t>416</t>
        </is>
      </c>
      <c r="B28" s="31" t="inlineStr">
        <is>
          <t>Clients douteux</t>
        </is>
      </c>
      <c r="C28" s="35" t="inlineStr">
        <is>
          <t>4</t>
        </is>
      </c>
      <c r="D28" s="32" t="inlineStr">
        <is>
          <t>Tiers</t>
        </is>
      </c>
      <c r="E28" s="32" t="inlineStr">
        <is>
          <t>Débit</t>
        </is>
      </c>
      <c r="F28" s="31" t="inlineStr">
        <is>
          <t>Impayés risqués</t>
        </is>
      </c>
      <c r="G28" s="30" t="inlineStr">
        <is>
          <t>Oui</t>
        </is>
      </c>
      <c r="H28" s="31" t="inlineStr">
        <is>
          <t>Suivi contentieux</t>
        </is>
      </c>
    </row>
    <row r="29">
      <c r="A29" s="23" t="inlineStr">
        <is>
          <t>418</t>
        </is>
      </c>
      <c r="B29" s="23" t="inlineStr">
        <is>
          <t>Produits à recevoir</t>
        </is>
      </c>
      <c r="C29" s="35" t="inlineStr">
        <is>
          <t>4</t>
        </is>
      </c>
      <c r="D29" s="29" t="inlineStr">
        <is>
          <t>Tiers</t>
        </is>
      </c>
      <c r="E29" s="29" t="inlineStr">
        <is>
          <t>Débit</t>
        </is>
      </c>
      <c r="F29" s="23" t="inlineStr">
        <is>
          <t>Loyers à facturer</t>
        </is>
      </c>
      <c r="G29" s="30" t="inlineStr">
        <is>
          <t>Oui</t>
        </is>
      </c>
      <c r="H29" s="23" t="inlineStr">
        <is>
          <t>Clôture</t>
        </is>
      </c>
    </row>
    <row r="30">
      <c r="A30" s="31" t="inlineStr">
        <is>
          <t>421</t>
        </is>
      </c>
      <c r="B30" s="31" t="inlineStr">
        <is>
          <t>Personnel rémunérations dues</t>
        </is>
      </c>
      <c r="C30" s="35" t="inlineStr">
        <is>
          <t>4</t>
        </is>
      </c>
      <c r="D30" s="32" t="inlineStr">
        <is>
          <t>Tiers</t>
        </is>
      </c>
      <c r="E30" s="32" t="inlineStr">
        <is>
          <t>Crédit</t>
        </is>
      </c>
      <c r="F30" s="31" t="inlineStr">
        <is>
          <t>Gardien, personnel</t>
        </is>
      </c>
      <c r="G30" s="30" t="inlineStr">
        <is>
          <t>Oui</t>
        </is>
      </c>
      <c r="H30" s="31" t="inlineStr">
        <is>
          <t>Si applicable</t>
        </is>
      </c>
    </row>
    <row r="31">
      <c r="A31" s="23" t="inlineStr">
        <is>
          <t>431</t>
        </is>
      </c>
      <c r="B31" s="23" t="inlineStr">
        <is>
          <t>Sécurité sociale</t>
        </is>
      </c>
      <c r="C31" s="35" t="inlineStr">
        <is>
          <t>4</t>
        </is>
      </c>
      <c r="D31" s="29" t="inlineStr">
        <is>
          <t>Tiers</t>
        </is>
      </c>
      <c r="E31" s="29" t="inlineStr">
        <is>
          <t>Crédit</t>
        </is>
      </c>
      <c r="F31" s="23" t="inlineStr">
        <is>
          <t>Charges sociales</t>
        </is>
      </c>
      <c r="G31" s="30" t="inlineStr">
        <is>
          <t>Oui</t>
        </is>
      </c>
      <c r="H31" s="23" t="inlineStr">
        <is>
          <t>Si applicable</t>
        </is>
      </c>
    </row>
    <row r="32">
      <c r="A32" s="31" t="inlineStr">
        <is>
          <t>44566</t>
        </is>
      </c>
      <c r="B32" s="31" t="inlineStr">
        <is>
          <t>TVA déductible</t>
        </is>
      </c>
      <c r="C32" s="35" t="inlineStr">
        <is>
          <t>4</t>
        </is>
      </c>
      <c r="D32" s="32" t="inlineStr">
        <is>
          <t>TVA</t>
        </is>
      </c>
      <c r="E32" s="32" t="inlineStr">
        <is>
          <t>Débit</t>
        </is>
      </c>
      <c r="F32" s="31" t="inlineStr">
        <is>
          <t>Travaux récupérables TVA</t>
        </is>
      </c>
      <c r="G32" s="30" t="inlineStr">
        <is>
          <t>Oui</t>
        </is>
      </c>
      <c r="H32" s="31" t="inlineStr">
        <is>
          <t>Selon régime</t>
        </is>
      </c>
    </row>
    <row r="33">
      <c r="A33" s="23" t="inlineStr">
        <is>
          <t>44571</t>
        </is>
      </c>
      <c r="B33" s="23" t="inlineStr">
        <is>
          <t>TVA collectée</t>
        </is>
      </c>
      <c r="C33" s="35" t="inlineStr">
        <is>
          <t>4</t>
        </is>
      </c>
      <c r="D33" s="29" t="inlineStr">
        <is>
          <t>TVA</t>
        </is>
      </c>
      <c r="E33" s="29" t="inlineStr">
        <is>
          <t>Crédit</t>
        </is>
      </c>
      <c r="F33" s="23" t="inlineStr">
        <is>
          <t>Locations ou ventes taxées</t>
        </is>
      </c>
      <c r="G33" s="30" t="inlineStr">
        <is>
          <t>Oui</t>
        </is>
      </c>
      <c r="H33" s="23" t="inlineStr">
        <is>
          <t>Selon régime</t>
        </is>
      </c>
    </row>
    <row r="34">
      <c r="A34" s="31" t="inlineStr">
        <is>
          <t>447</t>
        </is>
      </c>
      <c r="B34" s="31" t="inlineStr">
        <is>
          <t>État impôts à payer</t>
        </is>
      </c>
      <c r="C34" s="35" t="inlineStr">
        <is>
          <t>4</t>
        </is>
      </c>
      <c r="D34" s="32" t="inlineStr">
        <is>
          <t>Tiers</t>
        </is>
      </c>
      <c r="E34" s="32" t="inlineStr">
        <is>
          <t>Crédit</t>
        </is>
      </c>
      <c r="F34" s="31" t="inlineStr">
        <is>
          <t>Taxe foncière, IS</t>
        </is>
      </c>
      <c r="G34" s="30" t="inlineStr">
        <is>
          <t>Oui</t>
        </is>
      </c>
      <c r="H34" s="31" t="inlineStr">
        <is>
          <t>Dette fiscale</t>
        </is>
      </c>
    </row>
    <row r="35">
      <c r="A35" s="23" t="inlineStr">
        <is>
          <t>455</t>
        </is>
      </c>
      <c r="B35" s="23" t="inlineStr">
        <is>
          <t>Comptes courants associés</t>
        </is>
      </c>
      <c r="C35" s="35" t="inlineStr">
        <is>
          <t>4</t>
        </is>
      </c>
      <c r="D35" s="29" t="inlineStr">
        <is>
          <t>Tiers</t>
        </is>
      </c>
      <c r="E35" s="29" t="inlineStr">
        <is>
          <t>Crédit</t>
        </is>
      </c>
      <c r="F35" s="23" t="inlineStr">
        <is>
          <t>Avances associés SCI</t>
        </is>
      </c>
      <c r="G35" s="30" t="inlineStr">
        <is>
          <t>Oui</t>
        </is>
      </c>
      <c r="H35" s="23" t="inlineStr">
        <is>
          <t>Dette SCI associé</t>
        </is>
      </c>
    </row>
    <row r="36">
      <c r="A36" s="31" t="inlineStr">
        <is>
          <t>467</t>
        </is>
      </c>
      <c r="B36" s="31" t="inlineStr">
        <is>
          <t>Autres comptes débiteurs/créditeurs</t>
        </is>
      </c>
      <c r="C36" s="35" t="inlineStr">
        <is>
          <t>4</t>
        </is>
      </c>
      <c r="D36" s="32" t="inlineStr">
        <is>
          <t>Tiers</t>
        </is>
      </c>
      <c r="E36" s="32" t="inlineStr">
        <is>
          <t>Mixte</t>
        </is>
      </c>
      <c r="F36" s="31" t="inlineStr">
        <is>
          <t>Divers opérations</t>
        </is>
      </c>
      <c r="G36" s="30" t="inlineStr">
        <is>
          <t>Oui</t>
        </is>
      </c>
      <c r="H36" s="31" t="inlineStr">
        <is>
          <t>À ventiler</t>
        </is>
      </c>
    </row>
    <row r="37">
      <c r="A37" s="23" t="inlineStr">
        <is>
          <t>486</t>
        </is>
      </c>
      <c r="B37" s="23" t="inlineStr">
        <is>
          <t>Charges constatées d’avance</t>
        </is>
      </c>
      <c r="C37" s="35" t="inlineStr">
        <is>
          <t>4</t>
        </is>
      </c>
      <c r="D37" s="29" t="inlineStr">
        <is>
          <t>Régularisation</t>
        </is>
      </c>
      <c r="E37" s="29" t="inlineStr">
        <is>
          <t>Débit</t>
        </is>
      </c>
      <c r="F37" s="23" t="inlineStr">
        <is>
          <t>Assurance payée d’avance</t>
        </is>
      </c>
      <c r="G37" s="30" t="inlineStr">
        <is>
          <t>Oui</t>
        </is>
      </c>
      <c r="H37" s="23" t="inlineStr">
        <is>
          <t>Clôture</t>
        </is>
      </c>
    </row>
    <row r="38">
      <c r="A38" s="31" t="inlineStr">
        <is>
          <t>487</t>
        </is>
      </c>
      <c r="B38" s="31" t="inlineStr">
        <is>
          <t>Produits constatés d’avance</t>
        </is>
      </c>
      <c r="C38" s="35" t="inlineStr">
        <is>
          <t>4</t>
        </is>
      </c>
      <c r="D38" s="32" t="inlineStr">
        <is>
          <t>Régularisation</t>
        </is>
      </c>
      <c r="E38" s="32" t="inlineStr">
        <is>
          <t>Crédit</t>
        </is>
      </c>
      <c r="F38" s="31" t="inlineStr">
        <is>
          <t>Loyer reçu d’avance</t>
        </is>
      </c>
      <c r="G38" s="30" t="inlineStr">
        <is>
          <t>Oui</t>
        </is>
      </c>
      <c r="H38" s="31" t="inlineStr">
        <is>
          <t>Clôture</t>
        </is>
      </c>
    </row>
    <row r="39">
      <c r="A39" s="23" t="inlineStr">
        <is>
          <t>512</t>
        </is>
      </c>
      <c r="B39" s="23" t="inlineStr">
        <is>
          <t>Banque</t>
        </is>
      </c>
      <c r="C39" s="36" t="inlineStr">
        <is>
          <t>5</t>
        </is>
      </c>
      <c r="D39" s="29" t="inlineStr">
        <is>
          <t>Trésorerie</t>
        </is>
      </c>
      <c r="E39" s="29" t="inlineStr">
        <is>
          <t>Débit</t>
        </is>
      </c>
      <c r="F39" s="23" t="inlineStr">
        <is>
          <t>Compte bancaire</t>
        </is>
      </c>
      <c r="G39" s="30" t="inlineStr">
        <is>
          <t>Oui</t>
        </is>
      </c>
      <c r="H39" s="23" t="inlineStr">
        <is>
          <t>Flux réels</t>
        </is>
      </c>
    </row>
    <row r="40">
      <c r="A40" s="31" t="inlineStr">
        <is>
          <t>531</t>
        </is>
      </c>
      <c r="B40" s="31" t="inlineStr">
        <is>
          <t>Caisse</t>
        </is>
      </c>
      <c r="C40" s="36" t="inlineStr">
        <is>
          <t>5</t>
        </is>
      </c>
      <c r="D40" s="32" t="inlineStr">
        <is>
          <t>Trésorerie</t>
        </is>
      </c>
      <c r="E40" s="32" t="inlineStr">
        <is>
          <t>Débit</t>
        </is>
      </c>
      <c r="F40" s="31" t="inlineStr">
        <is>
          <t>Espèces</t>
        </is>
      </c>
      <c r="G40" s="30" t="inlineStr">
        <is>
          <t>Oui</t>
        </is>
      </c>
      <c r="H40" s="31" t="inlineStr">
        <is>
          <t>Rare en immobilier</t>
        </is>
      </c>
    </row>
    <row r="41">
      <c r="A41" s="23" t="inlineStr">
        <is>
          <t>580</t>
        </is>
      </c>
      <c r="B41" s="23" t="inlineStr">
        <is>
          <t>Virements internes</t>
        </is>
      </c>
      <c r="C41" s="36" t="inlineStr">
        <is>
          <t>5</t>
        </is>
      </c>
      <c r="D41" s="29" t="inlineStr">
        <is>
          <t>Trésorerie</t>
        </is>
      </c>
      <c r="E41" s="29" t="inlineStr">
        <is>
          <t>Mixte</t>
        </is>
      </c>
      <c r="F41" s="23" t="inlineStr">
        <is>
          <t>Transferts bancaires</t>
        </is>
      </c>
      <c r="G41" s="30" t="inlineStr">
        <is>
          <t>Oui</t>
        </is>
      </c>
      <c r="H41" s="23" t="inlineStr">
        <is>
          <t>Entre comptes</t>
        </is>
      </c>
    </row>
    <row r="42">
      <c r="A42" s="31" t="inlineStr">
        <is>
          <t>606</t>
        </is>
      </c>
      <c r="B42" s="31" t="inlineStr">
        <is>
          <t>Achats non stockés</t>
        </is>
      </c>
      <c r="C42" s="37" t="inlineStr">
        <is>
          <t>6</t>
        </is>
      </c>
      <c r="D42" s="32" t="inlineStr">
        <is>
          <t>Charge</t>
        </is>
      </c>
      <c r="E42" s="32" t="inlineStr">
        <is>
          <t>Débit</t>
        </is>
      </c>
      <c r="F42" s="31" t="inlineStr">
        <is>
          <t>Petits achats</t>
        </is>
      </c>
      <c r="G42" s="30" t="inlineStr">
        <is>
          <t>Oui</t>
        </is>
      </c>
      <c r="H42" s="31" t="inlineStr">
        <is>
          <t>Fournitures</t>
        </is>
      </c>
    </row>
    <row r="43">
      <c r="A43" s="23" t="inlineStr">
        <is>
          <t>611</t>
        </is>
      </c>
      <c r="B43" s="23" t="inlineStr">
        <is>
          <t>Sous-traitance générale</t>
        </is>
      </c>
      <c r="C43" s="37" t="inlineStr">
        <is>
          <t>6</t>
        </is>
      </c>
      <c r="D43" s="29" t="inlineStr">
        <is>
          <t>Charge</t>
        </is>
      </c>
      <c r="E43" s="29" t="inlineStr">
        <is>
          <t>Débit</t>
        </is>
      </c>
      <c r="F43" s="23" t="inlineStr">
        <is>
          <t>Prestataires gestion</t>
        </is>
      </c>
      <c r="G43" s="30" t="inlineStr">
        <is>
          <t>Oui</t>
        </is>
      </c>
      <c r="H43" s="23" t="inlineStr">
        <is>
          <t>Externalisation</t>
        </is>
      </c>
    </row>
    <row r="44">
      <c r="A44" s="31" t="inlineStr">
        <is>
          <t>614</t>
        </is>
      </c>
      <c r="B44" s="31" t="inlineStr">
        <is>
          <t>Charges locatives et copropriété</t>
        </is>
      </c>
      <c r="C44" s="37" t="inlineStr">
        <is>
          <t>6</t>
        </is>
      </c>
      <c r="D44" s="32" t="inlineStr">
        <is>
          <t>Charge</t>
        </is>
      </c>
      <c r="E44" s="32" t="inlineStr">
        <is>
          <t>Débit</t>
        </is>
      </c>
      <c r="F44" s="31" t="inlineStr">
        <is>
          <t>Syndic/copropriété</t>
        </is>
      </c>
      <c r="G44" s="30" t="inlineStr">
        <is>
          <t>Oui</t>
        </is>
      </c>
      <c r="H44" s="31" t="inlineStr">
        <is>
          <t>À ventiler récupérable</t>
        </is>
      </c>
    </row>
    <row r="45">
      <c r="A45" s="23" t="inlineStr">
        <is>
          <t>615</t>
        </is>
      </c>
      <c r="B45" s="23" t="inlineStr">
        <is>
          <t>Entretien et réparations</t>
        </is>
      </c>
      <c r="C45" s="37" t="inlineStr">
        <is>
          <t>6</t>
        </is>
      </c>
      <c r="D45" s="29" t="inlineStr">
        <is>
          <t>Charge</t>
        </is>
      </c>
      <c r="E45" s="29" t="inlineStr">
        <is>
          <t>Débit</t>
        </is>
      </c>
      <c r="F45" s="23" t="inlineStr">
        <is>
          <t>Travaux entretien</t>
        </is>
      </c>
      <c r="G45" s="30" t="inlineStr">
        <is>
          <t>Oui</t>
        </is>
      </c>
      <c r="H45" s="23" t="inlineStr">
        <is>
          <t>Charge immédiate</t>
        </is>
      </c>
    </row>
    <row r="46">
      <c r="A46" s="31" t="inlineStr">
        <is>
          <t>616</t>
        </is>
      </c>
      <c r="B46" s="31" t="inlineStr">
        <is>
          <t>Primes d’assurance</t>
        </is>
      </c>
      <c r="C46" s="37" t="inlineStr">
        <is>
          <t>6</t>
        </is>
      </c>
      <c r="D46" s="32" t="inlineStr">
        <is>
          <t>Charge</t>
        </is>
      </c>
      <c r="E46" s="32" t="inlineStr">
        <is>
          <t>Débit</t>
        </is>
      </c>
      <c r="F46" s="31" t="inlineStr">
        <is>
          <t>PNO, immeuble</t>
        </is>
      </c>
      <c r="G46" s="30" t="inlineStr">
        <is>
          <t>Oui</t>
        </is>
      </c>
      <c r="H46" s="31" t="inlineStr">
        <is>
          <t>Rattachement période</t>
        </is>
      </c>
    </row>
    <row r="47">
      <c r="A47" s="23" t="inlineStr">
        <is>
          <t>6226</t>
        </is>
      </c>
      <c r="B47" s="23" t="inlineStr">
        <is>
          <t>Honoraires</t>
        </is>
      </c>
      <c r="C47" s="37" t="inlineStr">
        <is>
          <t>6</t>
        </is>
      </c>
      <c r="D47" s="29" t="inlineStr">
        <is>
          <t>Charge</t>
        </is>
      </c>
      <c r="E47" s="29" t="inlineStr">
        <is>
          <t>Débit</t>
        </is>
      </c>
      <c r="F47" s="23" t="inlineStr">
        <is>
          <t>Agence, expert-comptable</t>
        </is>
      </c>
      <c r="G47" s="30" t="inlineStr">
        <is>
          <t>Oui</t>
        </is>
      </c>
      <c r="H47" s="23" t="inlineStr">
        <is>
          <t>Frais gestion</t>
        </is>
      </c>
    </row>
    <row r="48">
      <c r="A48" s="31" t="inlineStr">
        <is>
          <t>623</t>
        </is>
      </c>
      <c r="B48" s="31" t="inlineStr">
        <is>
          <t>Publicité annonces</t>
        </is>
      </c>
      <c r="C48" s="37" t="inlineStr">
        <is>
          <t>6</t>
        </is>
      </c>
      <c r="D48" s="32" t="inlineStr">
        <is>
          <t>Charge</t>
        </is>
      </c>
      <c r="E48" s="32" t="inlineStr">
        <is>
          <t>Débit</t>
        </is>
      </c>
      <c r="F48" s="31" t="inlineStr">
        <is>
          <t>Recherche locataires</t>
        </is>
      </c>
      <c r="G48" s="30" t="inlineStr">
        <is>
          <t>Oui</t>
        </is>
      </c>
      <c r="H48" s="31" t="inlineStr">
        <is>
          <t>Commercialisation</t>
        </is>
      </c>
    </row>
    <row r="49">
      <c r="A49" s="23" t="inlineStr">
        <is>
          <t>625</t>
        </is>
      </c>
      <c r="B49" s="23" t="inlineStr">
        <is>
          <t>Déplacements missions</t>
        </is>
      </c>
      <c r="C49" s="37" t="inlineStr">
        <is>
          <t>6</t>
        </is>
      </c>
      <c r="D49" s="29" t="inlineStr">
        <is>
          <t>Charge</t>
        </is>
      </c>
      <c r="E49" s="29" t="inlineStr">
        <is>
          <t>Débit</t>
        </is>
      </c>
      <c r="F49" s="23" t="inlineStr">
        <is>
          <t>Visites, gestion</t>
        </is>
      </c>
      <c r="G49" s="30" t="inlineStr">
        <is>
          <t>Oui</t>
        </is>
      </c>
      <c r="H49" s="23" t="inlineStr">
        <is>
          <t>Justificatifs</t>
        </is>
      </c>
    </row>
    <row r="50">
      <c r="A50" s="31" t="inlineStr">
        <is>
          <t>626</t>
        </is>
      </c>
      <c r="B50" s="31" t="inlineStr">
        <is>
          <t>Frais postaux et télécom</t>
        </is>
      </c>
      <c r="C50" s="37" t="inlineStr">
        <is>
          <t>6</t>
        </is>
      </c>
      <c r="D50" s="32" t="inlineStr">
        <is>
          <t>Charge</t>
        </is>
      </c>
      <c r="E50" s="32" t="inlineStr">
        <is>
          <t>Débit</t>
        </is>
      </c>
      <c r="F50" s="31" t="inlineStr">
        <is>
          <t>Gestion administrative</t>
        </is>
      </c>
      <c r="G50" s="30" t="inlineStr">
        <is>
          <t>Oui</t>
        </is>
      </c>
      <c r="H50" s="31" t="inlineStr">
        <is>
          <t>Factures</t>
        </is>
      </c>
    </row>
    <row r="51">
      <c r="A51" s="23" t="inlineStr">
        <is>
          <t>627</t>
        </is>
      </c>
      <c r="B51" s="23" t="inlineStr">
        <is>
          <t>Services bancaires</t>
        </is>
      </c>
      <c r="C51" s="37" t="inlineStr">
        <is>
          <t>6</t>
        </is>
      </c>
      <c r="D51" s="29" t="inlineStr">
        <is>
          <t>Charge</t>
        </is>
      </c>
      <c r="E51" s="29" t="inlineStr">
        <is>
          <t>Débit</t>
        </is>
      </c>
      <c r="F51" s="23" t="inlineStr">
        <is>
          <t>Frais bancaires</t>
        </is>
      </c>
      <c r="G51" s="30" t="inlineStr">
        <is>
          <t>Oui</t>
        </is>
      </c>
      <c r="H51" s="23" t="inlineStr">
        <is>
          <t>Banque</t>
        </is>
      </c>
    </row>
    <row r="52">
      <c r="A52" s="31" t="inlineStr">
        <is>
          <t>635</t>
        </is>
      </c>
      <c r="B52" s="31" t="inlineStr">
        <is>
          <t>Impôts et taxes</t>
        </is>
      </c>
      <c r="C52" s="37" t="inlineStr">
        <is>
          <t>6</t>
        </is>
      </c>
      <c r="D52" s="32" t="inlineStr">
        <is>
          <t>Charge</t>
        </is>
      </c>
      <c r="E52" s="32" t="inlineStr">
        <is>
          <t>Débit</t>
        </is>
      </c>
      <c r="F52" s="31" t="inlineStr">
        <is>
          <t>Taxe foncière, CFE</t>
        </is>
      </c>
      <c r="G52" s="30" t="inlineStr">
        <is>
          <t>Oui</t>
        </is>
      </c>
      <c r="H52" s="31" t="inlineStr">
        <is>
          <t>Fiscalité</t>
        </is>
      </c>
    </row>
    <row r="53">
      <c r="A53" s="23" t="inlineStr">
        <is>
          <t>661</t>
        </is>
      </c>
      <c r="B53" s="23" t="inlineStr">
        <is>
          <t>Charges intérêts</t>
        </is>
      </c>
      <c r="C53" s="37" t="inlineStr">
        <is>
          <t>6</t>
        </is>
      </c>
      <c r="D53" s="29" t="inlineStr">
        <is>
          <t>Charge financière</t>
        </is>
      </c>
      <c r="E53" s="29" t="inlineStr">
        <is>
          <t>Débit</t>
        </is>
      </c>
      <c r="F53" s="23" t="inlineStr">
        <is>
          <t>Intérêts emprunt</t>
        </is>
      </c>
      <c r="G53" s="30" t="inlineStr">
        <is>
          <t>Oui</t>
        </is>
      </c>
      <c r="H53" s="23" t="inlineStr">
        <is>
          <t>Séparer capital/intérêts</t>
        </is>
      </c>
    </row>
    <row r="54">
      <c r="A54" s="31" t="inlineStr">
        <is>
          <t>6811</t>
        </is>
      </c>
      <c r="B54" s="31" t="inlineStr">
        <is>
          <t>Dotations amortissements</t>
        </is>
      </c>
      <c r="C54" s="37" t="inlineStr">
        <is>
          <t>6</t>
        </is>
      </c>
      <c r="D54" s="32" t="inlineStr">
        <is>
          <t>Charge calculée</t>
        </is>
      </c>
      <c r="E54" s="32" t="inlineStr">
        <is>
          <t>Débit</t>
        </is>
      </c>
      <c r="F54" s="31" t="inlineStr">
        <is>
          <t>LMNP/SCI IS</t>
        </is>
      </c>
      <c r="G54" s="30" t="inlineStr">
        <is>
          <t>Oui</t>
        </is>
      </c>
      <c r="H54" s="31" t="inlineStr">
        <is>
          <t>Non cash</t>
        </is>
      </c>
    </row>
    <row r="55">
      <c r="A55" s="23" t="inlineStr">
        <is>
          <t>6817</t>
        </is>
      </c>
      <c r="B55" s="23" t="inlineStr">
        <is>
          <t>Dotations provisions</t>
        </is>
      </c>
      <c r="C55" s="37" t="inlineStr">
        <is>
          <t>6</t>
        </is>
      </c>
      <c r="D55" s="29" t="inlineStr">
        <is>
          <t>Charge calculée</t>
        </is>
      </c>
      <c r="E55" s="29" t="inlineStr">
        <is>
          <t>Débit</t>
        </is>
      </c>
      <c r="F55" s="23" t="inlineStr">
        <is>
          <t>Risques impayés</t>
        </is>
      </c>
      <c r="G55" s="30" t="inlineStr">
        <is>
          <t>Oui</t>
        </is>
      </c>
      <c r="H55" s="23" t="inlineStr">
        <is>
          <t>À justifier</t>
        </is>
      </c>
    </row>
    <row r="56">
      <c r="A56" s="31" t="inlineStr">
        <is>
          <t>706</t>
        </is>
      </c>
      <c r="B56" s="31" t="inlineStr">
        <is>
          <t>Produits locatifs</t>
        </is>
      </c>
      <c r="C56" s="38" t="inlineStr">
        <is>
          <t>7</t>
        </is>
      </c>
      <c r="D56" s="32" t="inlineStr">
        <is>
          <t>Produit</t>
        </is>
      </c>
      <c r="E56" s="32" t="inlineStr">
        <is>
          <t>Crédit</t>
        </is>
      </c>
      <c r="F56" s="31" t="inlineStr">
        <is>
          <t>Loyers</t>
        </is>
      </c>
      <c r="G56" s="30" t="inlineStr">
        <is>
          <t>Oui</t>
        </is>
      </c>
      <c r="H56" s="31" t="inlineStr">
        <is>
          <t>Revenus récurrents</t>
        </is>
      </c>
    </row>
    <row r="57">
      <c r="A57" s="23" t="inlineStr">
        <is>
          <t>708</t>
        </is>
      </c>
      <c r="B57" s="23" t="inlineStr">
        <is>
          <t>Charges refacturées / récupérées</t>
        </is>
      </c>
      <c r="C57" s="38" t="inlineStr">
        <is>
          <t>7</t>
        </is>
      </c>
      <c r="D57" s="29" t="inlineStr">
        <is>
          <t>Produit</t>
        </is>
      </c>
      <c r="E57" s="29" t="inlineStr">
        <is>
          <t>Crédit</t>
        </is>
      </c>
      <c r="F57" s="23" t="inlineStr">
        <is>
          <t>Charges récupérables</t>
        </is>
      </c>
      <c r="G57" s="30" t="inlineStr">
        <is>
          <t>Oui</t>
        </is>
      </c>
      <c r="H57" s="23" t="inlineStr">
        <is>
          <t>Régularisations</t>
        </is>
      </c>
    </row>
    <row r="58">
      <c r="A58" s="31" t="inlineStr">
        <is>
          <t>713</t>
        </is>
      </c>
      <c r="B58" s="31" t="inlineStr">
        <is>
          <t>Variation stocks immeubles</t>
        </is>
      </c>
      <c r="C58" s="38" t="inlineStr">
        <is>
          <t>7</t>
        </is>
      </c>
      <c r="D58" s="32" t="inlineStr">
        <is>
          <t>Produit/stock</t>
        </is>
      </c>
      <c r="E58" s="32" t="inlineStr">
        <is>
          <t>Crédit</t>
        </is>
      </c>
      <c r="F58" s="31" t="inlineStr">
        <is>
          <t>Promotion/marchand biens</t>
        </is>
      </c>
      <c r="G58" s="30" t="inlineStr">
        <is>
          <t>Oui</t>
        </is>
      </c>
      <c r="H58" s="31" t="inlineStr">
        <is>
          <t>Selon activité</t>
        </is>
      </c>
    </row>
    <row r="59">
      <c r="A59" s="23" t="inlineStr">
        <is>
          <t>758</t>
        </is>
      </c>
      <c r="B59" s="23" t="inlineStr">
        <is>
          <t>Produits divers gestion courante</t>
        </is>
      </c>
      <c r="C59" s="38" t="inlineStr">
        <is>
          <t>7</t>
        </is>
      </c>
      <c r="D59" s="29" t="inlineStr">
        <is>
          <t>Produit</t>
        </is>
      </c>
      <c r="E59" s="29" t="inlineStr">
        <is>
          <t>Crédit</t>
        </is>
      </c>
      <c r="F59" s="23" t="inlineStr">
        <is>
          <t>Indemnités diverses</t>
        </is>
      </c>
      <c r="G59" s="30" t="inlineStr">
        <is>
          <t>Oui</t>
        </is>
      </c>
      <c r="H59" s="23" t="inlineStr">
        <is>
          <t>À documenter</t>
        </is>
      </c>
    </row>
    <row r="60">
      <c r="A60" s="31" t="inlineStr">
        <is>
          <t>762</t>
        </is>
      </c>
      <c r="B60" s="31" t="inlineStr">
        <is>
          <t>Produits financiers</t>
        </is>
      </c>
      <c r="C60" s="38" t="inlineStr">
        <is>
          <t>7</t>
        </is>
      </c>
      <c r="D60" s="32" t="inlineStr">
        <is>
          <t>Produit financier</t>
        </is>
      </c>
      <c r="E60" s="32" t="inlineStr">
        <is>
          <t>Crédit</t>
        </is>
      </c>
      <c r="F60" s="31" t="inlineStr">
        <is>
          <t>Intérêts reçus</t>
        </is>
      </c>
      <c r="G60" s="30" t="inlineStr">
        <is>
          <t>Oui</t>
        </is>
      </c>
      <c r="H60" s="31" t="inlineStr">
        <is>
          <t>Rare</t>
        </is>
      </c>
    </row>
    <row r="61">
      <c r="A61" s="23" t="inlineStr">
        <is>
          <t>775</t>
        </is>
      </c>
      <c r="B61" s="23" t="inlineStr">
        <is>
          <t>Produits cession immobilisations</t>
        </is>
      </c>
      <c r="C61" s="38" t="inlineStr">
        <is>
          <t>7</t>
        </is>
      </c>
      <c r="D61" s="29" t="inlineStr">
        <is>
          <t>Produit exceptionnel</t>
        </is>
      </c>
      <c r="E61" s="29" t="inlineStr">
        <is>
          <t>Crédit</t>
        </is>
      </c>
      <c r="F61" s="23" t="inlineStr">
        <is>
          <t>Vente actif immobilisé</t>
        </is>
      </c>
      <c r="G61" s="30" t="inlineStr">
        <is>
          <t>Oui</t>
        </is>
      </c>
      <c r="H61" s="23" t="inlineStr">
        <is>
          <t>Avec sortie actif</t>
        </is>
      </c>
    </row>
    <row r="62">
      <c r="A62" s="31" t="inlineStr">
        <is>
          <t>777</t>
        </is>
      </c>
      <c r="B62" s="31" t="inlineStr">
        <is>
          <t>Quote-part subventions</t>
        </is>
      </c>
      <c r="C62" s="38" t="inlineStr">
        <is>
          <t>7</t>
        </is>
      </c>
      <c r="D62" s="32" t="inlineStr">
        <is>
          <t>Produit</t>
        </is>
      </c>
      <c r="E62" s="32" t="inlineStr">
        <is>
          <t>Crédit</t>
        </is>
      </c>
      <c r="F62" s="31" t="inlineStr">
        <is>
          <t>Subventions travaux</t>
        </is>
      </c>
      <c r="G62" s="30" t="inlineStr">
        <is>
          <t>Oui</t>
        </is>
      </c>
      <c r="H62" s="31" t="inlineStr">
        <is>
          <t>Selon régime</t>
        </is>
      </c>
    </row>
    <row r="63">
      <c r="A63" s="23" t="inlineStr">
        <is>
          <t>781</t>
        </is>
      </c>
      <c r="B63" s="23" t="inlineStr">
        <is>
          <t>Reprises amortissements/provisions</t>
        </is>
      </c>
      <c r="C63" s="38" t="inlineStr">
        <is>
          <t>7</t>
        </is>
      </c>
      <c r="D63" s="29" t="inlineStr">
        <is>
          <t>Produit calculé</t>
        </is>
      </c>
      <c r="E63" s="29" t="inlineStr">
        <is>
          <t>Crédit</t>
        </is>
      </c>
      <c r="F63" s="23" t="inlineStr">
        <is>
          <t>Reprises</t>
        </is>
      </c>
      <c r="G63" s="30" t="inlineStr">
        <is>
          <t>Oui</t>
        </is>
      </c>
      <c r="H63" s="23" t="inlineStr">
        <is>
          <t>Clôture</t>
        </is>
      </c>
    </row>
    <row r="64">
      <c r="A64" s="31" t="inlineStr">
        <is>
          <t>861</t>
        </is>
      </c>
      <c r="B64" s="31" t="inlineStr">
        <is>
          <t>Engagements donnés</t>
        </is>
      </c>
      <c r="C64" s="39" t="inlineStr">
        <is>
          <t>8</t>
        </is>
      </c>
      <c r="D64" s="32" t="inlineStr">
        <is>
          <t>Hors bilan</t>
        </is>
      </c>
      <c r="E64" s="32" t="inlineStr">
        <is>
          <t>Débit</t>
        </is>
      </c>
      <c r="F64" s="31" t="inlineStr">
        <is>
          <t>Garanties données</t>
        </is>
      </c>
      <c r="G64" s="30" t="inlineStr">
        <is>
          <t>Oui</t>
        </is>
      </c>
      <c r="H64" s="31" t="inlineStr">
        <is>
          <t>Suivi hors bilan</t>
        </is>
      </c>
    </row>
    <row r="65">
      <c r="A65" s="23" t="inlineStr">
        <is>
          <t>862</t>
        </is>
      </c>
      <c r="B65" s="23" t="inlineStr">
        <is>
          <t>Engagements reçus</t>
        </is>
      </c>
      <c r="C65" s="39" t="inlineStr">
        <is>
          <t>8</t>
        </is>
      </c>
      <c r="D65" s="29" t="inlineStr">
        <is>
          <t>Hors bilan</t>
        </is>
      </c>
      <c r="E65" s="29" t="inlineStr">
        <is>
          <t>Crédit</t>
        </is>
      </c>
      <c r="F65" s="23" t="inlineStr">
        <is>
          <t>Garanties reçues</t>
        </is>
      </c>
      <c r="G65" s="30" t="inlineStr">
        <is>
          <t>Oui</t>
        </is>
      </c>
      <c r="H65" s="23" t="inlineStr">
        <is>
          <t>Suivi hors bilan</t>
        </is>
      </c>
    </row>
  </sheetData>
  <mergeCells count="1">
    <mergeCell ref="A1:H2"/>
  </mergeCells>
  <pageMargins left="0.25" right="0.25" top="0.5" bottom="0.5" header="0.5" footer="0.5"/>
  <pageSetup fitToHeight="0" fitToWidth="1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A1:J261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4" customWidth="1" min="1" max="1"/>
    <col width="12" customWidth="1" min="2" max="2"/>
    <col width="46" customWidth="1" min="3" max="3"/>
    <col width="16" customWidth="1" min="4" max="4"/>
    <col width="16" customWidth="1" min="5" max="5"/>
    <col width="16" customWidth="1" min="6" max="6"/>
    <col width="24" customWidth="1" min="7" max="7"/>
    <col width="18" customWidth="1" min="8" max="8"/>
    <col width="10" customWidth="1" min="9" max="9"/>
    <col width="16" customWidth="1" min="10" max="10"/>
  </cols>
  <sheetData>
    <row r="1" ht="28" customHeight="1">
      <c r="A1" s="1" t="inlineStr">
        <is>
          <t>JOURNAL COMPTABLE IMMOBILIER — SAISIE DES ÉCRITURES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</row>
    <row r="2" ht="28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</row>
    <row r="4">
      <c r="A4" s="11" t="inlineStr">
        <is>
          <t>Date</t>
        </is>
      </c>
      <c r="B4" s="11" t="inlineStr">
        <is>
          <t>Compte</t>
        </is>
      </c>
      <c r="C4" s="11" t="inlineStr">
        <is>
          <t>Libellé</t>
        </is>
      </c>
      <c r="D4" s="11" t="inlineStr">
        <is>
          <t>Débit (€)</t>
        </is>
      </c>
      <c r="E4" s="11" t="inlineStr">
        <is>
          <t>Crédit (€)</t>
        </is>
      </c>
      <c r="F4" s="11" t="inlineStr">
        <is>
          <t>Nature</t>
        </is>
      </c>
      <c r="G4" s="11" t="inlineStr">
        <is>
          <t>Bien</t>
        </is>
      </c>
      <c r="H4" s="11" t="inlineStr">
        <is>
          <t>Pièce</t>
        </is>
      </c>
      <c r="I4" s="11" t="inlineStr">
        <is>
          <t>Mois</t>
        </is>
      </c>
      <c r="J4" s="11" t="inlineStr">
        <is>
          <t>Contrôle</t>
        </is>
      </c>
    </row>
    <row r="5">
      <c r="A5" s="40" t="n">
        <v>46027</v>
      </c>
      <c r="B5" s="23" t="inlineStr">
        <is>
          <t>512</t>
        </is>
      </c>
      <c r="C5" s="23" t="inlineStr">
        <is>
          <t>Encaissement loyer Résidence Atlas - 01/2026</t>
        </is>
      </c>
      <c r="D5" s="41" t="n">
        <v>3200</v>
      </c>
      <c r="E5" s="41" t="inlineStr"/>
      <c r="F5" s="23" t="inlineStr">
        <is>
          <t>Produit</t>
        </is>
      </c>
      <c r="G5" s="23" t="inlineStr">
        <is>
          <t>Résidence Atlas</t>
        </is>
      </c>
      <c r="H5" s="23" t="inlineStr">
        <is>
          <t>LOY-01-Rés</t>
        </is>
      </c>
      <c r="I5" s="23" t="n">
        <v>1</v>
      </c>
      <c r="J5" s="18">
        <f>D5-E5</f>
        <v/>
      </c>
    </row>
    <row r="6">
      <c r="A6" s="42" t="n">
        <v>46027</v>
      </c>
      <c r="B6" s="31" t="inlineStr">
        <is>
          <t>706</t>
        </is>
      </c>
      <c r="C6" s="31" t="inlineStr">
        <is>
          <t>Produit locatif Résidence Atlas - 01/2026</t>
        </is>
      </c>
      <c r="D6" s="43" t="inlineStr"/>
      <c r="E6" s="43" t="n">
        <v>3200</v>
      </c>
      <c r="F6" s="31" t="inlineStr">
        <is>
          <t>Produit</t>
        </is>
      </c>
      <c r="G6" s="31" t="inlineStr">
        <is>
          <t>Résidence Atlas</t>
        </is>
      </c>
      <c r="H6" s="31" t="inlineStr">
        <is>
          <t>LOY-01-Rés</t>
        </is>
      </c>
      <c r="I6" s="31" t="n">
        <v>1</v>
      </c>
      <c r="J6" s="14">
        <f>D6-E6</f>
        <v/>
      </c>
    </row>
    <row r="7">
      <c r="A7" s="40" t="n">
        <v>46032</v>
      </c>
      <c r="B7" s="23" t="inlineStr">
        <is>
          <t>614</t>
        </is>
      </c>
      <c r="C7" s="23" t="inlineStr">
        <is>
          <t>Charges copropriété Résidence Atlas - 01/2026</t>
        </is>
      </c>
      <c r="D7" s="41" t="n">
        <v>650</v>
      </c>
      <c r="E7" s="41" t="inlineStr"/>
      <c r="F7" s="23" t="inlineStr">
        <is>
          <t>Charge</t>
        </is>
      </c>
      <c r="G7" s="23" t="inlineStr">
        <is>
          <t>Résidence Atlas</t>
        </is>
      </c>
      <c r="H7" s="23" t="inlineStr">
        <is>
          <t>CHG-01-Rés</t>
        </is>
      </c>
      <c r="I7" s="23" t="n">
        <v>1</v>
      </c>
      <c r="J7" s="18">
        <f>D7-E7</f>
        <v/>
      </c>
    </row>
    <row r="8">
      <c r="A8" s="42" t="n">
        <v>46032</v>
      </c>
      <c r="B8" s="31" t="inlineStr">
        <is>
          <t>512</t>
        </is>
      </c>
      <c r="C8" s="31" t="inlineStr">
        <is>
          <t>Paiement charges Résidence Atlas - 01/2026</t>
        </is>
      </c>
      <c r="D8" s="43" t="inlineStr"/>
      <c r="E8" s="43" t="n">
        <v>650</v>
      </c>
      <c r="F8" s="31" t="inlineStr">
        <is>
          <t>Charge</t>
        </is>
      </c>
      <c r="G8" s="31" t="inlineStr">
        <is>
          <t>Résidence Atlas</t>
        </is>
      </c>
      <c r="H8" s="31" t="inlineStr">
        <is>
          <t>CHG-01-Rés</t>
        </is>
      </c>
      <c r="I8" s="31" t="n">
        <v>1</v>
      </c>
      <c r="J8" s="14">
        <f>D8-E8</f>
        <v/>
      </c>
    </row>
    <row r="9">
      <c r="A9" s="40" t="n">
        <v>46027</v>
      </c>
      <c r="B9" s="23" t="inlineStr">
        <is>
          <t>512</t>
        </is>
      </c>
      <c r="C9" s="23" t="inlineStr">
        <is>
          <t>Encaissement loyer Immeuble Central - 01/2026</t>
        </is>
      </c>
      <c r="D9" s="41" t="n">
        <v>3800</v>
      </c>
      <c r="E9" s="41" t="inlineStr"/>
      <c r="F9" s="23" t="inlineStr">
        <is>
          <t>Produit</t>
        </is>
      </c>
      <c r="G9" s="23" t="inlineStr">
        <is>
          <t>Immeuble Central</t>
        </is>
      </c>
      <c r="H9" s="23" t="inlineStr">
        <is>
          <t>LOY-01-Imm</t>
        </is>
      </c>
      <c r="I9" s="23" t="n">
        <v>1</v>
      </c>
      <c r="J9" s="18">
        <f>D9-E9</f>
        <v/>
      </c>
    </row>
    <row r="10">
      <c r="A10" s="42" t="n">
        <v>46027</v>
      </c>
      <c r="B10" s="31" t="inlineStr">
        <is>
          <t>706</t>
        </is>
      </c>
      <c r="C10" s="31" t="inlineStr">
        <is>
          <t>Produit locatif Immeuble Central - 01/2026</t>
        </is>
      </c>
      <c r="D10" s="43" t="inlineStr"/>
      <c r="E10" s="43" t="n">
        <v>3800</v>
      </c>
      <c r="F10" s="31" t="inlineStr">
        <is>
          <t>Produit</t>
        </is>
      </c>
      <c r="G10" s="31" t="inlineStr">
        <is>
          <t>Immeuble Central</t>
        </is>
      </c>
      <c r="H10" s="31" t="inlineStr">
        <is>
          <t>LOY-01-Imm</t>
        </is>
      </c>
      <c r="I10" s="31" t="n">
        <v>1</v>
      </c>
      <c r="J10" s="14">
        <f>D10-E10</f>
        <v/>
      </c>
    </row>
    <row r="11">
      <c r="A11" s="40" t="n">
        <v>46032</v>
      </c>
      <c r="B11" s="23" t="inlineStr">
        <is>
          <t>614</t>
        </is>
      </c>
      <c r="C11" s="23" t="inlineStr">
        <is>
          <t>Charges copropriété Immeuble Central - 01/2026</t>
        </is>
      </c>
      <c r="D11" s="41" t="n">
        <v>720</v>
      </c>
      <c r="E11" s="41" t="inlineStr"/>
      <c r="F11" s="23" t="inlineStr">
        <is>
          <t>Charge</t>
        </is>
      </c>
      <c r="G11" s="23" t="inlineStr">
        <is>
          <t>Immeuble Central</t>
        </is>
      </c>
      <c r="H11" s="23" t="inlineStr">
        <is>
          <t>CHG-01-Imm</t>
        </is>
      </c>
      <c r="I11" s="23" t="n">
        <v>1</v>
      </c>
      <c r="J11" s="18">
        <f>D11-E11</f>
        <v/>
      </c>
    </row>
    <row r="12">
      <c r="A12" s="42" t="n">
        <v>46032</v>
      </c>
      <c r="B12" s="31" t="inlineStr">
        <is>
          <t>512</t>
        </is>
      </c>
      <c r="C12" s="31" t="inlineStr">
        <is>
          <t>Paiement charges Immeuble Central - 01/2026</t>
        </is>
      </c>
      <c r="D12" s="43" t="inlineStr"/>
      <c r="E12" s="43" t="n">
        <v>720</v>
      </c>
      <c r="F12" s="31" t="inlineStr">
        <is>
          <t>Charge</t>
        </is>
      </c>
      <c r="G12" s="31" t="inlineStr">
        <is>
          <t>Immeuble Central</t>
        </is>
      </c>
      <c r="H12" s="31" t="inlineStr">
        <is>
          <t>CHG-01-Imm</t>
        </is>
      </c>
      <c r="I12" s="31" t="n">
        <v>1</v>
      </c>
      <c r="J12" s="14">
        <f>D12-E12</f>
        <v/>
      </c>
    </row>
    <row r="13">
      <c r="A13" s="40" t="n">
        <v>46027</v>
      </c>
      <c r="B13" s="23" t="inlineStr">
        <is>
          <t>512</t>
        </is>
      </c>
      <c r="C13" s="23" t="inlineStr">
        <is>
          <t>Encaissement loyer Studio Riviera - 01/2026</t>
        </is>
      </c>
      <c r="D13" s="41" t="n">
        <v>980</v>
      </c>
      <c r="E13" s="41" t="inlineStr"/>
      <c r="F13" s="23" t="inlineStr">
        <is>
          <t>Produit</t>
        </is>
      </c>
      <c r="G13" s="23" t="inlineStr">
        <is>
          <t>Studio Riviera</t>
        </is>
      </c>
      <c r="H13" s="23" t="inlineStr">
        <is>
          <t>LOY-01-Stu</t>
        </is>
      </c>
      <c r="I13" s="23" t="n">
        <v>1</v>
      </c>
      <c r="J13" s="18">
        <f>D13-E13</f>
        <v/>
      </c>
    </row>
    <row r="14">
      <c r="A14" s="42" t="n">
        <v>46027</v>
      </c>
      <c r="B14" s="31" t="inlineStr">
        <is>
          <t>706</t>
        </is>
      </c>
      <c r="C14" s="31" t="inlineStr">
        <is>
          <t>Produit locatif Studio Riviera - 01/2026</t>
        </is>
      </c>
      <c r="D14" s="43" t="inlineStr"/>
      <c r="E14" s="43" t="n">
        <v>980</v>
      </c>
      <c r="F14" s="31" t="inlineStr">
        <is>
          <t>Produit</t>
        </is>
      </c>
      <c r="G14" s="31" t="inlineStr">
        <is>
          <t>Studio Riviera</t>
        </is>
      </c>
      <c r="H14" s="31" t="inlineStr">
        <is>
          <t>LOY-01-Stu</t>
        </is>
      </c>
      <c r="I14" s="31" t="n">
        <v>1</v>
      </c>
      <c r="J14" s="14">
        <f>D14-E14</f>
        <v/>
      </c>
    </row>
    <row r="15">
      <c r="A15" s="40" t="n">
        <v>46032</v>
      </c>
      <c r="B15" s="23" t="inlineStr">
        <is>
          <t>614</t>
        </is>
      </c>
      <c r="C15" s="23" t="inlineStr">
        <is>
          <t>Charges copropriété Studio Riviera - 01/2026</t>
        </is>
      </c>
      <c r="D15" s="41" t="n">
        <v>180</v>
      </c>
      <c r="E15" s="41" t="inlineStr"/>
      <c r="F15" s="23" t="inlineStr">
        <is>
          <t>Charge</t>
        </is>
      </c>
      <c r="G15" s="23" t="inlineStr">
        <is>
          <t>Studio Riviera</t>
        </is>
      </c>
      <c r="H15" s="23" t="inlineStr">
        <is>
          <t>CHG-01-Stu</t>
        </is>
      </c>
      <c r="I15" s="23" t="n">
        <v>1</v>
      </c>
      <c r="J15" s="18">
        <f>D15-E15</f>
        <v/>
      </c>
    </row>
    <row r="16">
      <c r="A16" s="42" t="n">
        <v>46032</v>
      </c>
      <c r="B16" s="31" t="inlineStr">
        <is>
          <t>512</t>
        </is>
      </c>
      <c r="C16" s="31" t="inlineStr">
        <is>
          <t>Paiement charges Studio Riviera - 01/2026</t>
        </is>
      </c>
      <c r="D16" s="43" t="inlineStr"/>
      <c r="E16" s="43" t="n">
        <v>180</v>
      </c>
      <c r="F16" s="31" t="inlineStr">
        <is>
          <t>Charge</t>
        </is>
      </c>
      <c r="G16" s="31" t="inlineStr">
        <is>
          <t>Studio Riviera</t>
        </is>
      </c>
      <c r="H16" s="31" t="inlineStr">
        <is>
          <t>CHG-01-Stu</t>
        </is>
      </c>
      <c r="I16" s="31" t="n">
        <v>1</v>
      </c>
      <c r="J16" s="14">
        <f>D16-E16</f>
        <v/>
      </c>
    </row>
    <row r="17">
      <c r="A17" s="40" t="n">
        <v>46027</v>
      </c>
      <c r="B17" s="23" t="inlineStr">
        <is>
          <t>512</t>
        </is>
      </c>
      <c r="C17" s="23" t="inlineStr">
        <is>
          <t>Encaissement loyer Local République - 01/2026</t>
        </is>
      </c>
      <c r="D17" s="41" t="n">
        <v>1450</v>
      </c>
      <c r="E17" s="41" t="inlineStr"/>
      <c r="F17" s="23" t="inlineStr">
        <is>
          <t>Produit</t>
        </is>
      </c>
      <c r="G17" s="23" t="inlineStr">
        <is>
          <t>Local République</t>
        </is>
      </c>
      <c r="H17" s="23" t="inlineStr">
        <is>
          <t>LOY-01-Loc</t>
        </is>
      </c>
      <c r="I17" s="23" t="n">
        <v>1</v>
      </c>
      <c r="J17" s="18">
        <f>D17-E17</f>
        <v/>
      </c>
    </row>
    <row r="18">
      <c r="A18" s="42" t="n">
        <v>46027</v>
      </c>
      <c r="B18" s="31" t="inlineStr">
        <is>
          <t>706</t>
        </is>
      </c>
      <c r="C18" s="31" t="inlineStr">
        <is>
          <t>Produit locatif Local République - 01/2026</t>
        </is>
      </c>
      <c r="D18" s="43" t="inlineStr"/>
      <c r="E18" s="43" t="n">
        <v>1450</v>
      </c>
      <c r="F18" s="31" t="inlineStr">
        <is>
          <t>Produit</t>
        </is>
      </c>
      <c r="G18" s="31" t="inlineStr">
        <is>
          <t>Local République</t>
        </is>
      </c>
      <c r="H18" s="31" t="inlineStr">
        <is>
          <t>LOY-01-Loc</t>
        </is>
      </c>
      <c r="I18" s="31" t="n">
        <v>1</v>
      </c>
      <c r="J18" s="14">
        <f>D18-E18</f>
        <v/>
      </c>
    </row>
    <row r="19">
      <c r="A19" s="40" t="n">
        <v>46032</v>
      </c>
      <c r="B19" s="23" t="inlineStr">
        <is>
          <t>614</t>
        </is>
      </c>
      <c r="C19" s="23" t="inlineStr">
        <is>
          <t>Charges copropriété Local République - 01/2026</t>
        </is>
      </c>
      <c r="D19" s="41" t="n">
        <v>310</v>
      </c>
      <c r="E19" s="41" t="inlineStr"/>
      <c r="F19" s="23" t="inlineStr">
        <is>
          <t>Charge</t>
        </is>
      </c>
      <c r="G19" s="23" t="inlineStr">
        <is>
          <t>Local République</t>
        </is>
      </c>
      <c r="H19" s="23" t="inlineStr">
        <is>
          <t>CHG-01-Loc</t>
        </is>
      </c>
      <c r="I19" s="23" t="n">
        <v>1</v>
      </c>
      <c r="J19" s="18">
        <f>D19-E19</f>
        <v/>
      </c>
    </row>
    <row r="20">
      <c r="A20" s="42" t="n">
        <v>46032</v>
      </c>
      <c r="B20" s="31" t="inlineStr">
        <is>
          <t>512</t>
        </is>
      </c>
      <c r="C20" s="31" t="inlineStr">
        <is>
          <t>Paiement charges Local République - 01/2026</t>
        </is>
      </c>
      <c r="D20" s="43" t="inlineStr"/>
      <c r="E20" s="43" t="n">
        <v>310</v>
      </c>
      <c r="F20" s="31" t="inlineStr">
        <is>
          <t>Charge</t>
        </is>
      </c>
      <c r="G20" s="31" t="inlineStr">
        <is>
          <t>Local République</t>
        </is>
      </c>
      <c r="H20" s="31" t="inlineStr">
        <is>
          <t>CHG-01-Loc</t>
        </is>
      </c>
      <c r="I20" s="31" t="n">
        <v>1</v>
      </c>
      <c r="J20" s="14">
        <f>D20-E20</f>
        <v/>
      </c>
    </row>
    <row r="21">
      <c r="A21" s="40" t="n">
        <v>46027</v>
      </c>
      <c r="B21" s="23" t="inlineStr">
        <is>
          <t>512</t>
        </is>
      </c>
      <c r="C21" s="23" t="inlineStr">
        <is>
          <t>Encaissement loyer Appartement Plage - 01/2026</t>
        </is>
      </c>
      <c r="D21" s="41" t="n">
        <v>1700</v>
      </c>
      <c r="E21" s="41" t="inlineStr"/>
      <c r="F21" s="23" t="inlineStr">
        <is>
          <t>Produit</t>
        </is>
      </c>
      <c r="G21" s="23" t="inlineStr">
        <is>
          <t>Appartement Plage</t>
        </is>
      </c>
      <c r="H21" s="23" t="inlineStr">
        <is>
          <t>LOY-01-App</t>
        </is>
      </c>
      <c r="I21" s="23" t="n">
        <v>1</v>
      </c>
      <c r="J21" s="18">
        <f>D21-E21</f>
        <v/>
      </c>
    </row>
    <row r="22">
      <c r="A22" s="42" t="n">
        <v>46027</v>
      </c>
      <c r="B22" s="31" t="inlineStr">
        <is>
          <t>706</t>
        </is>
      </c>
      <c r="C22" s="31" t="inlineStr">
        <is>
          <t>Produit locatif Appartement Plage - 01/2026</t>
        </is>
      </c>
      <c r="D22" s="43" t="inlineStr"/>
      <c r="E22" s="43" t="n">
        <v>1700</v>
      </c>
      <c r="F22" s="31" t="inlineStr">
        <is>
          <t>Produit</t>
        </is>
      </c>
      <c r="G22" s="31" t="inlineStr">
        <is>
          <t>Appartement Plage</t>
        </is>
      </c>
      <c r="H22" s="31" t="inlineStr">
        <is>
          <t>LOY-01-App</t>
        </is>
      </c>
      <c r="I22" s="31" t="n">
        <v>1</v>
      </c>
      <c r="J22" s="14">
        <f>D22-E22</f>
        <v/>
      </c>
    </row>
    <row r="23">
      <c r="A23" s="40" t="n">
        <v>46032</v>
      </c>
      <c r="B23" s="23" t="inlineStr">
        <is>
          <t>614</t>
        </is>
      </c>
      <c r="C23" s="23" t="inlineStr">
        <is>
          <t>Charges copropriété Appartement Plage - 01/2026</t>
        </is>
      </c>
      <c r="D23" s="41" t="n">
        <v>260</v>
      </c>
      <c r="E23" s="41" t="inlineStr"/>
      <c r="F23" s="23" t="inlineStr">
        <is>
          <t>Charge</t>
        </is>
      </c>
      <c r="G23" s="23" t="inlineStr">
        <is>
          <t>Appartement Plage</t>
        </is>
      </c>
      <c r="H23" s="23" t="inlineStr">
        <is>
          <t>CHG-01-App</t>
        </is>
      </c>
      <c r="I23" s="23" t="n">
        <v>1</v>
      </c>
      <c r="J23" s="18">
        <f>D23-E23</f>
        <v/>
      </c>
    </row>
    <row r="24">
      <c r="A24" s="42" t="n">
        <v>46032</v>
      </c>
      <c r="B24" s="31" t="inlineStr">
        <is>
          <t>512</t>
        </is>
      </c>
      <c r="C24" s="31" t="inlineStr">
        <is>
          <t>Paiement charges Appartement Plage - 01/2026</t>
        </is>
      </c>
      <c r="D24" s="43" t="inlineStr"/>
      <c r="E24" s="43" t="n">
        <v>260</v>
      </c>
      <c r="F24" s="31" t="inlineStr">
        <is>
          <t>Charge</t>
        </is>
      </c>
      <c r="G24" s="31" t="inlineStr">
        <is>
          <t>Appartement Plage</t>
        </is>
      </c>
      <c r="H24" s="31" t="inlineStr">
        <is>
          <t>CHG-01-App</t>
        </is>
      </c>
      <c r="I24" s="31" t="n">
        <v>1</v>
      </c>
      <c r="J24" s="14">
        <f>D24-E24</f>
        <v/>
      </c>
    </row>
    <row r="25">
      <c r="A25" s="40" t="n">
        <v>46058</v>
      </c>
      <c r="B25" s="23" t="inlineStr">
        <is>
          <t>512</t>
        </is>
      </c>
      <c r="C25" s="23" t="inlineStr">
        <is>
          <t>Encaissement loyer Résidence Atlas - 02/2026</t>
        </is>
      </c>
      <c r="D25" s="41" t="n">
        <v>3200</v>
      </c>
      <c r="E25" s="41" t="inlineStr"/>
      <c r="F25" s="23" t="inlineStr">
        <is>
          <t>Produit</t>
        </is>
      </c>
      <c r="G25" s="23" t="inlineStr">
        <is>
          <t>Résidence Atlas</t>
        </is>
      </c>
      <c r="H25" s="23" t="inlineStr">
        <is>
          <t>LOY-02-Rés</t>
        </is>
      </c>
      <c r="I25" s="23" t="n">
        <v>2</v>
      </c>
      <c r="J25" s="18">
        <f>D25-E25</f>
        <v/>
      </c>
    </row>
    <row r="26">
      <c r="A26" s="42" t="n">
        <v>46058</v>
      </c>
      <c r="B26" s="31" t="inlineStr">
        <is>
          <t>706</t>
        </is>
      </c>
      <c r="C26" s="31" t="inlineStr">
        <is>
          <t>Produit locatif Résidence Atlas - 02/2026</t>
        </is>
      </c>
      <c r="D26" s="43" t="inlineStr"/>
      <c r="E26" s="43" t="n">
        <v>3200</v>
      </c>
      <c r="F26" s="31" t="inlineStr">
        <is>
          <t>Produit</t>
        </is>
      </c>
      <c r="G26" s="31" t="inlineStr">
        <is>
          <t>Résidence Atlas</t>
        </is>
      </c>
      <c r="H26" s="31" t="inlineStr">
        <is>
          <t>LOY-02-Rés</t>
        </is>
      </c>
      <c r="I26" s="31" t="n">
        <v>2</v>
      </c>
      <c r="J26" s="14">
        <f>D26-E26</f>
        <v/>
      </c>
    </row>
    <row r="27">
      <c r="A27" s="40" t="n">
        <v>46063</v>
      </c>
      <c r="B27" s="23" t="inlineStr">
        <is>
          <t>614</t>
        </is>
      </c>
      <c r="C27" s="23" t="inlineStr">
        <is>
          <t>Charges copropriété Résidence Atlas - 02/2026</t>
        </is>
      </c>
      <c r="D27" s="41" t="n">
        <v>650</v>
      </c>
      <c r="E27" s="41" t="inlineStr"/>
      <c r="F27" s="23" t="inlineStr">
        <is>
          <t>Charge</t>
        </is>
      </c>
      <c r="G27" s="23" t="inlineStr">
        <is>
          <t>Résidence Atlas</t>
        </is>
      </c>
      <c r="H27" s="23" t="inlineStr">
        <is>
          <t>CHG-02-Rés</t>
        </is>
      </c>
      <c r="I27" s="23" t="n">
        <v>2</v>
      </c>
      <c r="J27" s="18">
        <f>D27-E27</f>
        <v/>
      </c>
    </row>
    <row r="28">
      <c r="A28" s="42" t="n">
        <v>46063</v>
      </c>
      <c r="B28" s="31" t="inlineStr">
        <is>
          <t>512</t>
        </is>
      </c>
      <c r="C28" s="31" t="inlineStr">
        <is>
          <t>Paiement charges Résidence Atlas - 02/2026</t>
        </is>
      </c>
      <c r="D28" s="43" t="inlineStr"/>
      <c r="E28" s="43" t="n">
        <v>650</v>
      </c>
      <c r="F28" s="31" t="inlineStr">
        <is>
          <t>Charge</t>
        </is>
      </c>
      <c r="G28" s="31" t="inlineStr">
        <is>
          <t>Résidence Atlas</t>
        </is>
      </c>
      <c r="H28" s="31" t="inlineStr">
        <is>
          <t>CHG-02-Rés</t>
        </is>
      </c>
      <c r="I28" s="31" t="n">
        <v>2</v>
      </c>
      <c r="J28" s="14">
        <f>D28-E28</f>
        <v/>
      </c>
    </row>
    <row r="29">
      <c r="A29" s="40" t="n">
        <v>46058</v>
      </c>
      <c r="B29" s="23" t="inlineStr">
        <is>
          <t>512</t>
        </is>
      </c>
      <c r="C29" s="23" t="inlineStr">
        <is>
          <t>Encaissement loyer Immeuble Central - 02/2026</t>
        </is>
      </c>
      <c r="D29" s="41" t="n">
        <v>3800</v>
      </c>
      <c r="E29" s="41" t="inlineStr"/>
      <c r="F29" s="23" t="inlineStr">
        <is>
          <t>Produit</t>
        </is>
      </c>
      <c r="G29" s="23" t="inlineStr">
        <is>
          <t>Immeuble Central</t>
        </is>
      </c>
      <c r="H29" s="23" t="inlineStr">
        <is>
          <t>LOY-02-Imm</t>
        </is>
      </c>
      <c r="I29" s="23" t="n">
        <v>2</v>
      </c>
      <c r="J29" s="18">
        <f>D29-E29</f>
        <v/>
      </c>
    </row>
    <row r="30">
      <c r="A30" s="42" t="n">
        <v>46058</v>
      </c>
      <c r="B30" s="31" t="inlineStr">
        <is>
          <t>706</t>
        </is>
      </c>
      <c r="C30" s="31" t="inlineStr">
        <is>
          <t>Produit locatif Immeuble Central - 02/2026</t>
        </is>
      </c>
      <c r="D30" s="43" t="inlineStr"/>
      <c r="E30" s="43" t="n">
        <v>3800</v>
      </c>
      <c r="F30" s="31" t="inlineStr">
        <is>
          <t>Produit</t>
        </is>
      </c>
      <c r="G30" s="31" t="inlineStr">
        <is>
          <t>Immeuble Central</t>
        </is>
      </c>
      <c r="H30" s="31" t="inlineStr">
        <is>
          <t>LOY-02-Imm</t>
        </is>
      </c>
      <c r="I30" s="31" t="n">
        <v>2</v>
      </c>
      <c r="J30" s="14">
        <f>D30-E30</f>
        <v/>
      </c>
    </row>
    <row r="31">
      <c r="A31" s="40" t="n">
        <v>46063</v>
      </c>
      <c r="B31" s="23" t="inlineStr">
        <is>
          <t>614</t>
        </is>
      </c>
      <c r="C31" s="23" t="inlineStr">
        <is>
          <t>Charges copropriété Immeuble Central - 02/2026</t>
        </is>
      </c>
      <c r="D31" s="41" t="n">
        <v>720</v>
      </c>
      <c r="E31" s="41" t="inlineStr"/>
      <c r="F31" s="23" t="inlineStr">
        <is>
          <t>Charge</t>
        </is>
      </c>
      <c r="G31" s="23" t="inlineStr">
        <is>
          <t>Immeuble Central</t>
        </is>
      </c>
      <c r="H31" s="23" t="inlineStr">
        <is>
          <t>CHG-02-Imm</t>
        </is>
      </c>
      <c r="I31" s="23" t="n">
        <v>2</v>
      </c>
      <c r="J31" s="18">
        <f>D31-E31</f>
        <v/>
      </c>
    </row>
    <row r="32">
      <c r="A32" s="42" t="n">
        <v>46063</v>
      </c>
      <c r="B32" s="31" t="inlineStr">
        <is>
          <t>512</t>
        </is>
      </c>
      <c r="C32" s="31" t="inlineStr">
        <is>
          <t>Paiement charges Immeuble Central - 02/2026</t>
        </is>
      </c>
      <c r="D32" s="43" t="inlineStr"/>
      <c r="E32" s="43" t="n">
        <v>720</v>
      </c>
      <c r="F32" s="31" t="inlineStr">
        <is>
          <t>Charge</t>
        </is>
      </c>
      <c r="G32" s="31" t="inlineStr">
        <is>
          <t>Immeuble Central</t>
        </is>
      </c>
      <c r="H32" s="31" t="inlineStr">
        <is>
          <t>CHG-02-Imm</t>
        </is>
      </c>
      <c r="I32" s="31" t="n">
        <v>2</v>
      </c>
      <c r="J32" s="14">
        <f>D32-E32</f>
        <v/>
      </c>
    </row>
    <row r="33">
      <c r="A33" s="40" t="n">
        <v>46058</v>
      </c>
      <c r="B33" s="23" t="inlineStr">
        <is>
          <t>512</t>
        </is>
      </c>
      <c r="C33" s="23" t="inlineStr">
        <is>
          <t>Encaissement loyer Studio Riviera - 02/2026</t>
        </is>
      </c>
      <c r="D33" s="41" t="n">
        <v>980</v>
      </c>
      <c r="E33" s="41" t="inlineStr"/>
      <c r="F33" s="23" t="inlineStr">
        <is>
          <t>Produit</t>
        </is>
      </c>
      <c r="G33" s="23" t="inlineStr">
        <is>
          <t>Studio Riviera</t>
        </is>
      </c>
      <c r="H33" s="23" t="inlineStr">
        <is>
          <t>LOY-02-Stu</t>
        </is>
      </c>
      <c r="I33" s="23" t="n">
        <v>2</v>
      </c>
      <c r="J33" s="18">
        <f>D33-E33</f>
        <v/>
      </c>
    </row>
    <row r="34">
      <c r="A34" s="42" t="n">
        <v>46058</v>
      </c>
      <c r="B34" s="31" t="inlineStr">
        <is>
          <t>706</t>
        </is>
      </c>
      <c r="C34" s="31" t="inlineStr">
        <is>
          <t>Produit locatif Studio Riviera - 02/2026</t>
        </is>
      </c>
      <c r="D34" s="43" t="inlineStr"/>
      <c r="E34" s="43" t="n">
        <v>980</v>
      </c>
      <c r="F34" s="31" t="inlineStr">
        <is>
          <t>Produit</t>
        </is>
      </c>
      <c r="G34" s="31" t="inlineStr">
        <is>
          <t>Studio Riviera</t>
        </is>
      </c>
      <c r="H34" s="31" t="inlineStr">
        <is>
          <t>LOY-02-Stu</t>
        </is>
      </c>
      <c r="I34" s="31" t="n">
        <v>2</v>
      </c>
      <c r="J34" s="14">
        <f>D34-E34</f>
        <v/>
      </c>
    </row>
    <row r="35">
      <c r="A35" s="40" t="n">
        <v>46063</v>
      </c>
      <c r="B35" s="23" t="inlineStr">
        <is>
          <t>614</t>
        </is>
      </c>
      <c r="C35" s="23" t="inlineStr">
        <is>
          <t>Charges copropriété Studio Riviera - 02/2026</t>
        </is>
      </c>
      <c r="D35" s="41" t="n">
        <v>180</v>
      </c>
      <c r="E35" s="41" t="inlineStr"/>
      <c r="F35" s="23" t="inlineStr">
        <is>
          <t>Charge</t>
        </is>
      </c>
      <c r="G35" s="23" t="inlineStr">
        <is>
          <t>Studio Riviera</t>
        </is>
      </c>
      <c r="H35" s="23" t="inlineStr">
        <is>
          <t>CHG-02-Stu</t>
        </is>
      </c>
      <c r="I35" s="23" t="n">
        <v>2</v>
      </c>
      <c r="J35" s="18">
        <f>D35-E35</f>
        <v/>
      </c>
    </row>
    <row r="36">
      <c r="A36" s="42" t="n">
        <v>46063</v>
      </c>
      <c r="B36" s="31" t="inlineStr">
        <is>
          <t>512</t>
        </is>
      </c>
      <c r="C36" s="31" t="inlineStr">
        <is>
          <t>Paiement charges Studio Riviera - 02/2026</t>
        </is>
      </c>
      <c r="D36" s="43" t="inlineStr"/>
      <c r="E36" s="43" t="n">
        <v>180</v>
      </c>
      <c r="F36" s="31" t="inlineStr">
        <is>
          <t>Charge</t>
        </is>
      </c>
      <c r="G36" s="31" t="inlineStr">
        <is>
          <t>Studio Riviera</t>
        </is>
      </c>
      <c r="H36" s="31" t="inlineStr">
        <is>
          <t>CHG-02-Stu</t>
        </is>
      </c>
      <c r="I36" s="31" t="n">
        <v>2</v>
      </c>
      <c r="J36" s="14">
        <f>D36-E36</f>
        <v/>
      </c>
    </row>
    <row r="37">
      <c r="A37" s="40" t="n">
        <v>46058</v>
      </c>
      <c r="B37" s="23" t="inlineStr">
        <is>
          <t>512</t>
        </is>
      </c>
      <c r="C37" s="23" t="inlineStr">
        <is>
          <t>Encaissement loyer Local République - 02/2026</t>
        </is>
      </c>
      <c r="D37" s="41" t="n">
        <v>1450</v>
      </c>
      <c r="E37" s="41" t="inlineStr"/>
      <c r="F37" s="23" t="inlineStr">
        <is>
          <t>Produit</t>
        </is>
      </c>
      <c r="G37" s="23" t="inlineStr">
        <is>
          <t>Local République</t>
        </is>
      </c>
      <c r="H37" s="23" t="inlineStr">
        <is>
          <t>LOY-02-Loc</t>
        </is>
      </c>
      <c r="I37" s="23" t="n">
        <v>2</v>
      </c>
      <c r="J37" s="18">
        <f>D37-E37</f>
        <v/>
      </c>
    </row>
    <row r="38">
      <c r="A38" s="42" t="n">
        <v>46058</v>
      </c>
      <c r="B38" s="31" t="inlineStr">
        <is>
          <t>706</t>
        </is>
      </c>
      <c r="C38" s="31" t="inlineStr">
        <is>
          <t>Produit locatif Local République - 02/2026</t>
        </is>
      </c>
      <c r="D38" s="43" t="inlineStr"/>
      <c r="E38" s="43" t="n">
        <v>1450</v>
      </c>
      <c r="F38" s="31" t="inlineStr">
        <is>
          <t>Produit</t>
        </is>
      </c>
      <c r="G38" s="31" t="inlineStr">
        <is>
          <t>Local République</t>
        </is>
      </c>
      <c r="H38" s="31" t="inlineStr">
        <is>
          <t>LOY-02-Loc</t>
        </is>
      </c>
      <c r="I38" s="31" t="n">
        <v>2</v>
      </c>
      <c r="J38" s="14">
        <f>D38-E38</f>
        <v/>
      </c>
    </row>
    <row r="39">
      <c r="A39" s="40" t="n">
        <v>46063</v>
      </c>
      <c r="B39" s="23" t="inlineStr">
        <is>
          <t>614</t>
        </is>
      </c>
      <c r="C39" s="23" t="inlineStr">
        <is>
          <t>Charges copropriété Local République - 02/2026</t>
        </is>
      </c>
      <c r="D39" s="41" t="n">
        <v>310</v>
      </c>
      <c r="E39" s="41" t="inlineStr"/>
      <c r="F39" s="23" t="inlineStr">
        <is>
          <t>Charge</t>
        </is>
      </c>
      <c r="G39" s="23" t="inlineStr">
        <is>
          <t>Local République</t>
        </is>
      </c>
      <c r="H39" s="23" t="inlineStr">
        <is>
          <t>CHG-02-Loc</t>
        </is>
      </c>
      <c r="I39" s="23" t="n">
        <v>2</v>
      </c>
      <c r="J39" s="18">
        <f>D39-E39</f>
        <v/>
      </c>
    </row>
    <row r="40">
      <c r="A40" s="42" t="n">
        <v>46063</v>
      </c>
      <c r="B40" s="31" t="inlineStr">
        <is>
          <t>512</t>
        </is>
      </c>
      <c r="C40" s="31" t="inlineStr">
        <is>
          <t>Paiement charges Local République - 02/2026</t>
        </is>
      </c>
      <c r="D40" s="43" t="inlineStr"/>
      <c r="E40" s="43" t="n">
        <v>310</v>
      </c>
      <c r="F40" s="31" t="inlineStr">
        <is>
          <t>Charge</t>
        </is>
      </c>
      <c r="G40" s="31" t="inlineStr">
        <is>
          <t>Local République</t>
        </is>
      </c>
      <c r="H40" s="31" t="inlineStr">
        <is>
          <t>CHG-02-Loc</t>
        </is>
      </c>
      <c r="I40" s="31" t="n">
        <v>2</v>
      </c>
      <c r="J40" s="14">
        <f>D40-E40</f>
        <v/>
      </c>
    </row>
    <row r="41">
      <c r="A41" s="40" t="n">
        <v>46058</v>
      </c>
      <c r="B41" s="23" t="inlineStr">
        <is>
          <t>512</t>
        </is>
      </c>
      <c r="C41" s="23" t="inlineStr">
        <is>
          <t>Encaissement loyer Appartement Plage - 02/2026</t>
        </is>
      </c>
      <c r="D41" s="41" t="n">
        <v>1700</v>
      </c>
      <c r="E41" s="41" t="inlineStr"/>
      <c r="F41" s="23" t="inlineStr">
        <is>
          <t>Produit</t>
        </is>
      </c>
      <c r="G41" s="23" t="inlineStr">
        <is>
          <t>Appartement Plage</t>
        </is>
      </c>
      <c r="H41" s="23" t="inlineStr">
        <is>
          <t>LOY-02-App</t>
        </is>
      </c>
      <c r="I41" s="23" t="n">
        <v>2</v>
      </c>
      <c r="J41" s="18">
        <f>D41-E41</f>
        <v/>
      </c>
    </row>
    <row r="42">
      <c r="A42" s="42" t="n">
        <v>46058</v>
      </c>
      <c r="B42" s="31" t="inlineStr">
        <is>
          <t>706</t>
        </is>
      </c>
      <c r="C42" s="31" t="inlineStr">
        <is>
          <t>Produit locatif Appartement Plage - 02/2026</t>
        </is>
      </c>
      <c r="D42" s="43" t="inlineStr"/>
      <c r="E42" s="43" t="n">
        <v>1700</v>
      </c>
      <c r="F42" s="31" t="inlineStr">
        <is>
          <t>Produit</t>
        </is>
      </c>
      <c r="G42" s="31" t="inlineStr">
        <is>
          <t>Appartement Plage</t>
        </is>
      </c>
      <c r="H42" s="31" t="inlineStr">
        <is>
          <t>LOY-02-App</t>
        </is>
      </c>
      <c r="I42" s="31" t="n">
        <v>2</v>
      </c>
      <c r="J42" s="14">
        <f>D42-E42</f>
        <v/>
      </c>
    </row>
    <row r="43">
      <c r="A43" s="40" t="n">
        <v>46063</v>
      </c>
      <c r="B43" s="23" t="inlineStr">
        <is>
          <t>614</t>
        </is>
      </c>
      <c r="C43" s="23" t="inlineStr">
        <is>
          <t>Charges copropriété Appartement Plage - 02/2026</t>
        </is>
      </c>
      <c r="D43" s="41" t="n">
        <v>260</v>
      </c>
      <c r="E43" s="41" t="inlineStr"/>
      <c r="F43" s="23" t="inlineStr">
        <is>
          <t>Charge</t>
        </is>
      </c>
      <c r="G43" s="23" t="inlineStr">
        <is>
          <t>Appartement Plage</t>
        </is>
      </c>
      <c r="H43" s="23" t="inlineStr">
        <is>
          <t>CHG-02-App</t>
        </is>
      </c>
      <c r="I43" s="23" t="n">
        <v>2</v>
      </c>
      <c r="J43" s="18">
        <f>D43-E43</f>
        <v/>
      </c>
    </row>
    <row r="44">
      <c r="A44" s="42" t="n">
        <v>46063</v>
      </c>
      <c r="B44" s="31" t="inlineStr">
        <is>
          <t>512</t>
        </is>
      </c>
      <c r="C44" s="31" t="inlineStr">
        <is>
          <t>Paiement charges Appartement Plage - 02/2026</t>
        </is>
      </c>
      <c r="D44" s="43" t="inlineStr"/>
      <c r="E44" s="43" t="n">
        <v>260</v>
      </c>
      <c r="F44" s="31" t="inlineStr">
        <is>
          <t>Charge</t>
        </is>
      </c>
      <c r="G44" s="31" t="inlineStr">
        <is>
          <t>Appartement Plage</t>
        </is>
      </c>
      <c r="H44" s="31" t="inlineStr">
        <is>
          <t>CHG-02-App</t>
        </is>
      </c>
      <c r="I44" s="31" t="n">
        <v>2</v>
      </c>
      <c r="J44" s="14">
        <f>D44-E44</f>
        <v/>
      </c>
    </row>
    <row r="45">
      <c r="A45" s="40" t="n">
        <v>46086</v>
      </c>
      <c r="B45" s="23" t="inlineStr">
        <is>
          <t>512</t>
        </is>
      </c>
      <c r="C45" s="23" t="inlineStr">
        <is>
          <t>Encaissement loyer Résidence Atlas - 03/2026</t>
        </is>
      </c>
      <c r="D45" s="41" t="n">
        <v>3200</v>
      </c>
      <c r="E45" s="41" t="inlineStr"/>
      <c r="F45" s="23" t="inlineStr">
        <is>
          <t>Produit</t>
        </is>
      </c>
      <c r="G45" s="23" t="inlineStr">
        <is>
          <t>Résidence Atlas</t>
        </is>
      </c>
      <c r="H45" s="23" t="inlineStr">
        <is>
          <t>LOY-03-Rés</t>
        </is>
      </c>
      <c r="I45" s="23" t="n">
        <v>3</v>
      </c>
      <c r="J45" s="18">
        <f>D45-E45</f>
        <v/>
      </c>
    </row>
    <row r="46">
      <c r="A46" s="42" t="n">
        <v>46086</v>
      </c>
      <c r="B46" s="31" t="inlineStr">
        <is>
          <t>706</t>
        </is>
      </c>
      <c r="C46" s="31" t="inlineStr">
        <is>
          <t>Produit locatif Résidence Atlas - 03/2026</t>
        </is>
      </c>
      <c r="D46" s="43" t="inlineStr"/>
      <c r="E46" s="43" t="n">
        <v>3200</v>
      </c>
      <c r="F46" s="31" t="inlineStr">
        <is>
          <t>Produit</t>
        </is>
      </c>
      <c r="G46" s="31" t="inlineStr">
        <is>
          <t>Résidence Atlas</t>
        </is>
      </c>
      <c r="H46" s="31" t="inlineStr">
        <is>
          <t>LOY-03-Rés</t>
        </is>
      </c>
      <c r="I46" s="31" t="n">
        <v>3</v>
      </c>
      <c r="J46" s="14">
        <f>D46-E46</f>
        <v/>
      </c>
    </row>
    <row r="47">
      <c r="A47" s="40" t="n">
        <v>46091</v>
      </c>
      <c r="B47" s="23" t="inlineStr">
        <is>
          <t>614</t>
        </is>
      </c>
      <c r="C47" s="23" t="inlineStr">
        <is>
          <t>Charges copropriété Résidence Atlas - 03/2026</t>
        </is>
      </c>
      <c r="D47" s="41" t="n">
        <v>650</v>
      </c>
      <c r="E47" s="41" t="inlineStr"/>
      <c r="F47" s="23" t="inlineStr">
        <is>
          <t>Charge</t>
        </is>
      </c>
      <c r="G47" s="23" t="inlineStr">
        <is>
          <t>Résidence Atlas</t>
        </is>
      </c>
      <c r="H47" s="23" t="inlineStr">
        <is>
          <t>CHG-03-Rés</t>
        </is>
      </c>
      <c r="I47" s="23" t="n">
        <v>3</v>
      </c>
      <c r="J47" s="18">
        <f>D47-E47</f>
        <v/>
      </c>
    </row>
    <row r="48">
      <c r="A48" s="42" t="n">
        <v>46091</v>
      </c>
      <c r="B48" s="31" t="inlineStr">
        <is>
          <t>512</t>
        </is>
      </c>
      <c r="C48" s="31" t="inlineStr">
        <is>
          <t>Paiement charges Résidence Atlas - 03/2026</t>
        </is>
      </c>
      <c r="D48" s="43" t="inlineStr"/>
      <c r="E48" s="43" t="n">
        <v>650</v>
      </c>
      <c r="F48" s="31" t="inlineStr">
        <is>
          <t>Charge</t>
        </is>
      </c>
      <c r="G48" s="31" t="inlineStr">
        <is>
          <t>Résidence Atlas</t>
        </is>
      </c>
      <c r="H48" s="31" t="inlineStr">
        <is>
          <t>CHG-03-Rés</t>
        </is>
      </c>
      <c r="I48" s="31" t="n">
        <v>3</v>
      </c>
      <c r="J48" s="14">
        <f>D48-E48</f>
        <v/>
      </c>
    </row>
    <row r="49">
      <c r="A49" s="40" t="n">
        <v>46086</v>
      </c>
      <c r="B49" s="23" t="inlineStr">
        <is>
          <t>512</t>
        </is>
      </c>
      <c r="C49" s="23" t="inlineStr">
        <is>
          <t>Encaissement loyer Immeuble Central - 03/2026</t>
        </is>
      </c>
      <c r="D49" s="41" t="n">
        <v>3800</v>
      </c>
      <c r="E49" s="41" t="inlineStr"/>
      <c r="F49" s="23" t="inlineStr">
        <is>
          <t>Produit</t>
        </is>
      </c>
      <c r="G49" s="23" t="inlineStr">
        <is>
          <t>Immeuble Central</t>
        </is>
      </c>
      <c r="H49" s="23" t="inlineStr">
        <is>
          <t>LOY-03-Imm</t>
        </is>
      </c>
      <c r="I49" s="23" t="n">
        <v>3</v>
      </c>
      <c r="J49" s="18">
        <f>D49-E49</f>
        <v/>
      </c>
    </row>
    <row r="50">
      <c r="A50" s="42" t="n">
        <v>46086</v>
      </c>
      <c r="B50" s="31" t="inlineStr">
        <is>
          <t>706</t>
        </is>
      </c>
      <c r="C50" s="31" t="inlineStr">
        <is>
          <t>Produit locatif Immeuble Central - 03/2026</t>
        </is>
      </c>
      <c r="D50" s="43" t="inlineStr"/>
      <c r="E50" s="43" t="n">
        <v>3800</v>
      </c>
      <c r="F50" s="31" t="inlineStr">
        <is>
          <t>Produit</t>
        </is>
      </c>
      <c r="G50" s="31" t="inlineStr">
        <is>
          <t>Immeuble Central</t>
        </is>
      </c>
      <c r="H50" s="31" t="inlineStr">
        <is>
          <t>LOY-03-Imm</t>
        </is>
      </c>
      <c r="I50" s="31" t="n">
        <v>3</v>
      </c>
      <c r="J50" s="14">
        <f>D50-E50</f>
        <v/>
      </c>
    </row>
    <row r="51">
      <c r="A51" s="40" t="n">
        <v>46091</v>
      </c>
      <c r="B51" s="23" t="inlineStr">
        <is>
          <t>614</t>
        </is>
      </c>
      <c r="C51" s="23" t="inlineStr">
        <is>
          <t>Charges copropriété Immeuble Central - 03/2026</t>
        </is>
      </c>
      <c r="D51" s="41" t="n">
        <v>720</v>
      </c>
      <c r="E51" s="41" t="inlineStr"/>
      <c r="F51" s="23" t="inlineStr">
        <is>
          <t>Charge</t>
        </is>
      </c>
      <c r="G51" s="23" t="inlineStr">
        <is>
          <t>Immeuble Central</t>
        </is>
      </c>
      <c r="H51" s="23" t="inlineStr">
        <is>
          <t>CHG-03-Imm</t>
        </is>
      </c>
      <c r="I51" s="23" t="n">
        <v>3</v>
      </c>
      <c r="J51" s="18">
        <f>D51-E51</f>
        <v/>
      </c>
    </row>
    <row r="52">
      <c r="A52" s="42" t="n">
        <v>46091</v>
      </c>
      <c r="B52" s="31" t="inlineStr">
        <is>
          <t>512</t>
        </is>
      </c>
      <c r="C52" s="31" t="inlineStr">
        <is>
          <t>Paiement charges Immeuble Central - 03/2026</t>
        </is>
      </c>
      <c r="D52" s="43" t="inlineStr"/>
      <c r="E52" s="43" t="n">
        <v>720</v>
      </c>
      <c r="F52" s="31" t="inlineStr">
        <is>
          <t>Charge</t>
        </is>
      </c>
      <c r="G52" s="31" t="inlineStr">
        <is>
          <t>Immeuble Central</t>
        </is>
      </c>
      <c r="H52" s="31" t="inlineStr">
        <is>
          <t>CHG-03-Imm</t>
        </is>
      </c>
      <c r="I52" s="31" t="n">
        <v>3</v>
      </c>
      <c r="J52" s="14">
        <f>D52-E52</f>
        <v/>
      </c>
    </row>
    <row r="53">
      <c r="A53" s="40" t="n">
        <v>46086</v>
      </c>
      <c r="B53" s="23" t="inlineStr">
        <is>
          <t>512</t>
        </is>
      </c>
      <c r="C53" s="23" t="inlineStr">
        <is>
          <t>Encaissement loyer Studio Riviera - 03/2026</t>
        </is>
      </c>
      <c r="D53" s="41" t="n">
        <v>980</v>
      </c>
      <c r="E53" s="41" t="inlineStr"/>
      <c r="F53" s="23" t="inlineStr">
        <is>
          <t>Produit</t>
        </is>
      </c>
      <c r="G53" s="23" t="inlineStr">
        <is>
          <t>Studio Riviera</t>
        </is>
      </c>
      <c r="H53" s="23" t="inlineStr">
        <is>
          <t>LOY-03-Stu</t>
        </is>
      </c>
      <c r="I53" s="23" t="n">
        <v>3</v>
      </c>
      <c r="J53" s="18">
        <f>D53-E53</f>
        <v/>
      </c>
    </row>
    <row r="54">
      <c r="A54" s="42" t="n">
        <v>46086</v>
      </c>
      <c r="B54" s="31" t="inlineStr">
        <is>
          <t>706</t>
        </is>
      </c>
      <c r="C54" s="31" t="inlineStr">
        <is>
          <t>Produit locatif Studio Riviera - 03/2026</t>
        </is>
      </c>
      <c r="D54" s="43" t="inlineStr"/>
      <c r="E54" s="43" t="n">
        <v>980</v>
      </c>
      <c r="F54" s="31" t="inlineStr">
        <is>
          <t>Produit</t>
        </is>
      </c>
      <c r="G54" s="31" t="inlineStr">
        <is>
          <t>Studio Riviera</t>
        </is>
      </c>
      <c r="H54" s="31" t="inlineStr">
        <is>
          <t>LOY-03-Stu</t>
        </is>
      </c>
      <c r="I54" s="31" t="n">
        <v>3</v>
      </c>
      <c r="J54" s="14">
        <f>D54-E54</f>
        <v/>
      </c>
    </row>
    <row r="55">
      <c r="A55" s="40" t="n">
        <v>46091</v>
      </c>
      <c r="B55" s="23" t="inlineStr">
        <is>
          <t>614</t>
        </is>
      </c>
      <c r="C55" s="23" t="inlineStr">
        <is>
          <t>Charges copropriété Studio Riviera - 03/2026</t>
        </is>
      </c>
      <c r="D55" s="41" t="n">
        <v>180</v>
      </c>
      <c r="E55" s="41" t="inlineStr"/>
      <c r="F55" s="23" t="inlineStr">
        <is>
          <t>Charge</t>
        </is>
      </c>
      <c r="G55" s="23" t="inlineStr">
        <is>
          <t>Studio Riviera</t>
        </is>
      </c>
      <c r="H55" s="23" t="inlineStr">
        <is>
          <t>CHG-03-Stu</t>
        </is>
      </c>
      <c r="I55" s="23" t="n">
        <v>3</v>
      </c>
      <c r="J55" s="18">
        <f>D55-E55</f>
        <v/>
      </c>
    </row>
    <row r="56">
      <c r="A56" s="42" t="n">
        <v>46091</v>
      </c>
      <c r="B56" s="31" t="inlineStr">
        <is>
          <t>512</t>
        </is>
      </c>
      <c r="C56" s="31" t="inlineStr">
        <is>
          <t>Paiement charges Studio Riviera - 03/2026</t>
        </is>
      </c>
      <c r="D56" s="43" t="inlineStr"/>
      <c r="E56" s="43" t="n">
        <v>180</v>
      </c>
      <c r="F56" s="31" t="inlineStr">
        <is>
          <t>Charge</t>
        </is>
      </c>
      <c r="G56" s="31" t="inlineStr">
        <is>
          <t>Studio Riviera</t>
        </is>
      </c>
      <c r="H56" s="31" t="inlineStr">
        <is>
          <t>CHG-03-Stu</t>
        </is>
      </c>
      <c r="I56" s="31" t="n">
        <v>3</v>
      </c>
      <c r="J56" s="14">
        <f>D56-E56</f>
        <v/>
      </c>
    </row>
    <row r="57">
      <c r="A57" s="40" t="n">
        <v>46086</v>
      </c>
      <c r="B57" s="23" t="inlineStr">
        <is>
          <t>512</t>
        </is>
      </c>
      <c r="C57" s="23" t="inlineStr">
        <is>
          <t>Encaissement loyer Local République - 03/2026</t>
        </is>
      </c>
      <c r="D57" s="41" t="n">
        <v>1450</v>
      </c>
      <c r="E57" s="41" t="inlineStr"/>
      <c r="F57" s="23" t="inlineStr">
        <is>
          <t>Produit</t>
        </is>
      </c>
      <c r="G57" s="23" t="inlineStr">
        <is>
          <t>Local République</t>
        </is>
      </c>
      <c r="H57" s="23" t="inlineStr">
        <is>
          <t>LOY-03-Loc</t>
        </is>
      </c>
      <c r="I57" s="23" t="n">
        <v>3</v>
      </c>
      <c r="J57" s="18">
        <f>D57-E57</f>
        <v/>
      </c>
    </row>
    <row r="58">
      <c r="A58" s="42" t="n">
        <v>46086</v>
      </c>
      <c r="B58" s="31" t="inlineStr">
        <is>
          <t>706</t>
        </is>
      </c>
      <c r="C58" s="31" t="inlineStr">
        <is>
          <t>Produit locatif Local République - 03/2026</t>
        </is>
      </c>
      <c r="D58" s="43" t="inlineStr"/>
      <c r="E58" s="43" t="n">
        <v>1450</v>
      </c>
      <c r="F58" s="31" t="inlineStr">
        <is>
          <t>Produit</t>
        </is>
      </c>
      <c r="G58" s="31" t="inlineStr">
        <is>
          <t>Local République</t>
        </is>
      </c>
      <c r="H58" s="31" t="inlineStr">
        <is>
          <t>LOY-03-Loc</t>
        </is>
      </c>
      <c r="I58" s="31" t="n">
        <v>3</v>
      </c>
      <c r="J58" s="14">
        <f>D58-E58</f>
        <v/>
      </c>
    </row>
    <row r="59">
      <c r="A59" s="40" t="n">
        <v>46091</v>
      </c>
      <c r="B59" s="23" t="inlineStr">
        <is>
          <t>614</t>
        </is>
      </c>
      <c r="C59" s="23" t="inlineStr">
        <is>
          <t>Charges copropriété Local République - 03/2026</t>
        </is>
      </c>
      <c r="D59" s="41" t="n">
        <v>310</v>
      </c>
      <c r="E59" s="41" t="inlineStr"/>
      <c r="F59" s="23" t="inlineStr">
        <is>
          <t>Charge</t>
        </is>
      </c>
      <c r="G59" s="23" t="inlineStr">
        <is>
          <t>Local République</t>
        </is>
      </c>
      <c r="H59" s="23" t="inlineStr">
        <is>
          <t>CHG-03-Loc</t>
        </is>
      </c>
      <c r="I59" s="23" t="n">
        <v>3</v>
      </c>
      <c r="J59" s="18">
        <f>D59-E59</f>
        <v/>
      </c>
    </row>
    <row r="60">
      <c r="A60" s="42" t="n">
        <v>46091</v>
      </c>
      <c r="B60" s="31" t="inlineStr">
        <is>
          <t>512</t>
        </is>
      </c>
      <c r="C60" s="31" t="inlineStr">
        <is>
          <t>Paiement charges Local République - 03/2026</t>
        </is>
      </c>
      <c r="D60" s="43" t="inlineStr"/>
      <c r="E60" s="43" t="n">
        <v>310</v>
      </c>
      <c r="F60" s="31" t="inlineStr">
        <is>
          <t>Charge</t>
        </is>
      </c>
      <c r="G60" s="31" t="inlineStr">
        <is>
          <t>Local République</t>
        </is>
      </c>
      <c r="H60" s="31" t="inlineStr">
        <is>
          <t>CHG-03-Loc</t>
        </is>
      </c>
      <c r="I60" s="31" t="n">
        <v>3</v>
      </c>
      <c r="J60" s="14">
        <f>D60-E60</f>
        <v/>
      </c>
    </row>
    <row r="61">
      <c r="A61" s="40" t="n">
        <v>46086</v>
      </c>
      <c r="B61" s="23" t="inlineStr">
        <is>
          <t>512</t>
        </is>
      </c>
      <c r="C61" s="23" t="inlineStr">
        <is>
          <t>Encaissement loyer Appartement Plage - 03/2026</t>
        </is>
      </c>
      <c r="D61" s="41" t="n">
        <v>1700</v>
      </c>
      <c r="E61" s="41" t="inlineStr"/>
      <c r="F61" s="23" t="inlineStr">
        <is>
          <t>Produit</t>
        </is>
      </c>
      <c r="G61" s="23" t="inlineStr">
        <is>
          <t>Appartement Plage</t>
        </is>
      </c>
      <c r="H61" s="23" t="inlineStr">
        <is>
          <t>LOY-03-App</t>
        </is>
      </c>
      <c r="I61" s="23" t="n">
        <v>3</v>
      </c>
      <c r="J61" s="18">
        <f>D61-E61</f>
        <v/>
      </c>
    </row>
    <row r="62">
      <c r="A62" s="42" t="n">
        <v>46086</v>
      </c>
      <c r="B62" s="31" t="inlineStr">
        <is>
          <t>706</t>
        </is>
      </c>
      <c r="C62" s="31" t="inlineStr">
        <is>
          <t>Produit locatif Appartement Plage - 03/2026</t>
        </is>
      </c>
      <c r="D62" s="43" t="inlineStr"/>
      <c r="E62" s="43" t="n">
        <v>1700</v>
      </c>
      <c r="F62" s="31" t="inlineStr">
        <is>
          <t>Produit</t>
        </is>
      </c>
      <c r="G62" s="31" t="inlineStr">
        <is>
          <t>Appartement Plage</t>
        </is>
      </c>
      <c r="H62" s="31" t="inlineStr">
        <is>
          <t>LOY-03-App</t>
        </is>
      </c>
      <c r="I62" s="31" t="n">
        <v>3</v>
      </c>
      <c r="J62" s="14">
        <f>D62-E62</f>
        <v/>
      </c>
    </row>
    <row r="63">
      <c r="A63" s="40" t="n">
        <v>46091</v>
      </c>
      <c r="B63" s="23" t="inlineStr">
        <is>
          <t>614</t>
        </is>
      </c>
      <c r="C63" s="23" t="inlineStr">
        <is>
          <t>Charges copropriété Appartement Plage - 03/2026</t>
        </is>
      </c>
      <c r="D63" s="41" t="n">
        <v>260</v>
      </c>
      <c r="E63" s="41" t="inlineStr"/>
      <c r="F63" s="23" t="inlineStr">
        <is>
          <t>Charge</t>
        </is>
      </c>
      <c r="G63" s="23" t="inlineStr">
        <is>
          <t>Appartement Plage</t>
        </is>
      </c>
      <c r="H63" s="23" t="inlineStr">
        <is>
          <t>CHG-03-App</t>
        </is>
      </c>
      <c r="I63" s="23" t="n">
        <v>3</v>
      </c>
      <c r="J63" s="18">
        <f>D63-E63</f>
        <v/>
      </c>
    </row>
    <row r="64">
      <c r="A64" s="42" t="n">
        <v>46091</v>
      </c>
      <c r="B64" s="31" t="inlineStr">
        <is>
          <t>512</t>
        </is>
      </c>
      <c r="C64" s="31" t="inlineStr">
        <is>
          <t>Paiement charges Appartement Plage - 03/2026</t>
        </is>
      </c>
      <c r="D64" s="43" t="inlineStr"/>
      <c r="E64" s="43" t="n">
        <v>260</v>
      </c>
      <c r="F64" s="31" t="inlineStr">
        <is>
          <t>Charge</t>
        </is>
      </c>
      <c r="G64" s="31" t="inlineStr">
        <is>
          <t>Appartement Plage</t>
        </is>
      </c>
      <c r="H64" s="31" t="inlineStr">
        <is>
          <t>CHG-03-App</t>
        </is>
      </c>
      <c r="I64" s="31" t="n">
        <v>3</v>
      </c>
      <c r="J64" s="14">
        <f>D64-E64</f>
        <v/>
      </c>
    </row>
    <row r="65">
      <c r="A65" s="40" t="n">
        <v>46117</v>
      </c>
      <c r="B65" s="23" t="inlineStr">
        <is>
          <t>512</t>
        </is>
      </c>
      <c r="C65" s="23" t="inlineStr">
        <is>
          <t>Encaissement loyer Résidence Atlas - 04/2026</t>
        </is>
      </c>
      <c r="D65" s="41" t="n">
        <v>3200</v>
      </c>
      <c r="E65" s="41" t="inlineStr"/>
      <c r="F65" s="23" t="inlineStr">
        <is>
          <t>Produit</t>
        </is>
      </c>
      <c r="G65" s="23" t="inlineStr">
        <is>
          <t>Résidence Atlas</t>
        </is>
      </c>
      <c r="H65" s="23" t="inlineStr">
        <is>
          <t>LOY-04-Rés</t>
        </is>
      </c>
      <c r="I65" s="23" t="n">
        <v>4</v>
      </c>
      <c r="J65" s="18">
        <f>D65-E65</f>
        <v/>
      </c>
    </row>
    <row r="66">
      <c r="A66" s="42" t="n">
        <v>46117</v>
      </c>
      <c r="B66" s="31" t="inlineStr">
        <is>
          <t>706</t>
        </is>
      </c>
      <c r="C66" s="31" t="inlineStr">
        <is>
          <t>Produit locatif Résidence Atlas - 04/2026</t>
        </is>
      </c>
      <c r="D66" s="43" t="inlineStr"/>
      <c r="E66" s="43" t="n">
        <v>3200</v>
      </c>
      <c r="F66" s="31" t="inlineStr">
        <is>
          <t>Produit</t>
        </is>
      </c>
      <c r="G66" s="31" t="inlineStr">
        <is>
          <t>Résidence Atlas</t>
        </is>
      </c>
      <c r="H66" s="31" t="inlineStr">
        <is>
          <t>LOY-04-Rés</t>
        </is>
      </c>
      <c r="I66" s="31" t="n">
        <v>4</v>
      </c>
      <c r="J66" s="14">
        <f>D66-E66</f>
        <v/>
      </c>
    </row>
    <row r="67">
      <c r="A67" s="40" t="n">
        <v>46122</v>
      </c>
      <c r="B67" s="23" t="inlineStr">
        <is>
          <t>614</t>
        </is>
      </c>
      <c r="C67" s="23" t="inlineStr">
        <is>
          <t>Charges copropriété Résidence Atlas - 04/2026</t>
        </is>
      </c>
      <c r="D67" s="41" t="n">
        <v>650</v>
      </c>
      <c r="E67" s="41" t="inlineStr"/>
      <c r="F67" s="23" t="inlineStr">
        <is>
          <t>Charge</t>
        </is>
      </c>
      <c r="G67" s="23" t="inlineStr">
        <is>
          <t>Résidence Atlas</t>
        </is>
      </c>
      <c r="H67" s="23" t="inlineStr">
        <is>
          <t>CHG-04-Rés</t>
        </is>
      </c>
      <c r="I67" s="23" t="n">
        <v>4</v>
      </c>
      <c r="J67" s="18">
        <f>D67-E67</f>
        <v/>
      </c>
    </row>
    <row r="68">
      <c r="A68" s="42" t="n">
        <v>46122</v>
      </c>
      <c r="B68" s="31" t="inlineStr">
        <is>
          <t>512</t>
        </is>
      </c>
      <c r="C68" s="31" t="inlineStr">
        <is>
          <t>Paiement charges Résidence Atlas - 04/2026</t>
        </is>
      </c>
      <c r="D68" s="43" t="inlineStr"/>
      <c r="E68" s="43" t="n">
        <v>650</v>
      </c>
      <c r="F68" s="31" t="inlineStr">
        <is>
          <t>Charge</t>
        </is>
      </c>
      <c r="G68" s="31" t="inlineStr">
        <is>
          <t>Résidence Atlas</t>
        </is>
      </c>
      <c r="H68" s="31" t="inlineStr">
        <is>
          <t>CHG-04-Rés</t>
        </is>
      </c>
      <c r="I68" s="31" t="n">
        <v>4</v>
      </c>
      <c r="J68" s="14">
        <f>D68-E68</f>
        <v/>
      </c>
    </row>
    <row r="69">
      <c r="A69" s="40" t="n">
        <v>46117</v>
      </c>
      <c r="B69" s="23" t="inlineStr">
        <is>
          <t>512</t>
        </is>
      </c>
      <c r="C69" s="23" t="inlineStr">
        <is>
          <t>Encaissement loyer Immeuble Central - 04/2026</t>
        </is>
      </c>
      <c r="D69" s="41" t="n">
        <v>3800</v>
      </c>
      <c r="E69" s="41" t="inlineStr"/>
      <c r="F69" s="23" t="inlineStr">
        <is>
          <t>Produit</t>
        </is>
      </c>
      <c r="G69" s="23" t="inlineStr">
        <is>
          <t>Immeuble Central</t>
        </is>
      </c>
      <c r="H69" s="23" t="inlineStr">
        <is>
          <t>LOY-04-Imm</t>
        </is>
      </c>
      <c r="I69" s="23" t="n">
        <v>4</v>
      </c>
      <c r="J69" s="18">
        <f>D69-E69</f>
        <v/>
      </c>
    </row>
    <row r="70">
      <c r="A70" s="42" t="n">
        <v>46117</v>
      </c>
      <c r="B70" s="31" t="inlineStr">
        <is>
          <t>706</t>
        </is>
      </c>
      <c r="C70" s="31" t="inlineStr">
        <is>
          <t>Produit locatif Immeuble Central - 04/2026</t>
        </is>
      </c>
      <c r="D70" s="43" t="inlineStr"/>
      <c r="E70" s="43" t="n">
        <v>3800</v>
      </c>
      <c r="F70" s="31" t="inlineStr">
        <is>
          <t>Produit</t>
        </is>
      </c>
      <c r="G70" s="31" t="inlineStr">
        <is>
          <t>Immeuble Central</t>
        </is>
      </c>
      <c r="H70" s="31" t="inlineStr">
        <is>
          <t>LOY-04-Imm</t>
        </is>
      </c>
      <c r="I70" s="31" t="n">
        <v>4</v>
      </c>
      <c r="J70" s="14">
        <f>D70-E70</f>
        <v/>
      </c>
    </row>
    <row r="71">
      <c r="A71" s="40" t="n">
        <v>46122</v>
      </c>
      <c r="B71" s="23" t="inlineStr">
        <is>
          <t>614</t>
        </is>
      </c>
      <c r="C71" s="23" t="inlineStr">
        <is>
          <t>Charges copropriété Immeuble Central - 04/2026</t>
        </is>
      </c>
      <c r="D71" s="41" t="n">
        <v>720</v>
      </c>
      <c r="E71" s="41" t="inlineStr"/>
      <c r="F71" s="23" t="inlineStr">
        <is>
          <t>Charge</t>
        </is>
      </c>
      <c r="G71" s="23" t="inlineStr">
        <is>
          <t>Immeuble Central</t>
        </is>
      </c>
      <c r="H71" s="23" t="inlineStr">
        <is>
          <t>CHG-04-Imm</t>
        </is>
      </c>
      <c r="I71" s="23" t="n">
        <v>4</v>
      </c>
      <c r="J71" s="18">
        <f>D71-E71</f>
        <v/>
      </c>
    </row>
    <row r="72">
      <c r="A72" s="42" t="n">
        <v>46122</v>
      </c>
      <c r="B72" s="31" t="inlineStr">
        <is>
          <t>512</t>
        </is>
      </c>
      <c r="C72" s="31" t="inlineStr">
        <is>
          <t>Paiement charges Immeuble Central - 04/2026</t>
        </is>
      </c>
      <c r="D72" s="43" t="inlineStr"/>
      <c r="E72" s="43" t="n">
        <v>720</v>
      </c>
      <c r="F72" s="31" t="inlineStr">
        <is>
          <t>Charge</t>
        </is>
      </c>
      <c r="G72" s="31" t="inlineStr">
        <is>
          <t>Immeuble Central</t>
        </is>
      </c>
      <c r="H72" s="31" t="inlineStr">
        <is>
          <t>CHG-04-Imm</t>
        </is>
      </c>
      <c r="I72" s="31" t="n">
        <v>4</v>
      </c>
      <c r="J72" s="14">
        <f>D72-E72</f>
        <v/>
      </c>
    </row>
    <row r="73">
      <c r="A73" s="40" t="n">
        <v>46117</v>
      </c>
      <c r="B73" s="23" t="inlineStr">
        <is>
          <t>512</t>
        </is>
      </c>
      <c r="C73" s="23" t="inlineStr">
        <is>
          <t>Encaissement loyer Studio Riviera - 04/2026</t>
        </is>
      </c>
      <c r="D73" s="41" t="n">
        <v>980</v>
      </c>
      <c r="E73" s="41" t="inlineStr"/>
      <c r="F73" s="23" t="inlineStr">
        <is>
          <t>Produit</t>
        </is>
      </c>
      <c r="G73" s="23" t="inlineStr">
        <is>
          <t>Studio Riviera</t>
        </is>
      </c>
      <c r="H73" s="23" t="inlineStr">
        <is>
          <t>LOY-04-Stu</t>
        </is>
      </c>
      <c r="I73" s="23" t="n">
        <v>4</v>
      </c>
      <c r="J73" s="18">
        <f>D73-E73</f>
        <v/>
      </c>
    </row>
    <row r="74">
      <c r="A74" s="42" t="n">
        <v>46117</v>
      </c>
      <c r="B74" s="31" t="inlineStr">
        <is>
          <t>706</t>
        </is>
      </c>
      <c r="C74" s="31" t="inlineStr">
        <is>
          <t>Produit locatif Studio Riviera - 04/2026</t>
        </is>
      </c>
      <c r="D74" s="43" t="inlineStr"/>
      <c r="E74" s="43" t="n">
        <v>980</v>
      </c>
      <c r="F74" s="31" t="inlineStr">
        <is>
          <t>Produit</t>
        </is>
      </c>
      <c r="G74" s="31" t="inlineStr">
        <is>
          <t>Studio Riviera</t>
        </is>
      </c>
      <c r="H74" s="31" t="inlineStr">
        <is>
          <t>LOY-04-Stu</t>
        </is>
      </c>
      <c r="I74" s="31" t="n">
        <v>4</v>
      </c>
      <c r="J74" s="14">
        <f>D74-E74</f>
        <v/>
      </c>
    </row>
    <row r="75">
      <c r="A75" s="40" t="n">
        <v>46122</v>
      </c>
      <c r="B75" s="23" t="inlineStr">
        <is>
          <t>614</t>
        </is>
      </c>
      <c r="C75" s="23" t="inlineStr">
        <is>
          <t>Charges copropriété Studio Riviera - 04/2026</t>
        </is>
      </c>
      <c r="D75" s="41" t="n">
        <v>180</v>
      </c>
      <c r="E75" s="41" t="inlineStr"/>
      <c r="F75" s="23" t="inlineStr">
        <is>
          <t>Charge</t>
        </is>
      </c>
      <c r="G75" s="23" t="inlineStr">
        <is>
          <t>Studio Riviera</t>
        </is>
      </c>
      <c r="H75" s="23" t="inlineStr">
        <is>
          <t>CHG-04-Stu</t>
        </is>
      </c>
      <c r="I75" s="23" t="n">
        <v>4</v>
      </c>
      <c r="J75" s="18">
        <f>D75-E75</f>
        <v/>
      </c>
    </row>
    <row r="76">
      <c r="A76" s="42" t="n">
        <v>46122</v>
      </c>
      <c r="B76" s="31" t="inlineStr">
        <is>
          <t>512</t>
        </is>
      </c>
      <c r="C76" s="31" t="inlineStr">
        <is>
          <t>Paiement charges Studio Riviera - 04/2026</t>
        </is>
      </c>
      <c r="D76" s="43" t="inlineStr"/>
      <c r="E76" s="43" t="n">
        <v>180</v>
      </c>
      <c r="F76" s="31" t="inlineStr">
        <is>
          <t>Charge</t>
        </is>
      </c>
      <c r="G76" s="31" t="inlineStr">
        <is>
          <t>Studio Riviera</t>
        </is>
      </c>
      <c r="H76" s="31" t="inlineStr">
        <is>
          <t>CHG-04-Stu</t>
        </is>
      </c>
      <c r="I76" s="31" t="n">
        <v>4</v>
      </c>
      <c r="J76" s="14">
        <f>D76-E76</f>
        <v/>
      </c>
    </row>
    <row r="77">
      <c r="A77" s="40" t="n">
        <v>46117</v>
      </c>
      <c r="B77" s="23" t="inlineStr">
        <is>
          <t>512</t>
        </is>
      </c>
      <c r="C77" s="23" t="inlineStr">
        <is>
          <t>Encaissement loyer Local République - 04/2026</t>
        </is>
      </c>
      <c r="D77" s="41" t="n">
        <v>1450</v>
      </c>
      <c r="E77" s="41" t="inlineStr"/>
      <c r="F77" s="23" t="inlineStr">
        <is>
          <t>Produit</t>
        </is>
      </c>
      <c r="G77" s="23" t="inlineStr">
        <is>
          <t>Local République</t>
        </is>
      </c>
      <c r="H77" s="23" t="inlineStr">
        <is>
          <t>LOY-04-Loc</t>
        </is>
      </c>
      <c r="I77" s="23" t="n">
        <v>4</v>
      </c>
      <c r="J77" s="18">
        <f>D77-E77</f>
        <v/>
      </c>
    </row>
    <row r="78">
      <c r="A78" s="42" t="n">
        <v>46117</v>
      </c>
      <c r="B78" s="31" t="inlineStr">
        <is>
          <t>706</t>
        </is>
      </c>
      <c r="C78" s="31" t="inlineStr">
        <is>
          <t>Produit locatif Local République - 04/2026</t>
        </is>
      </c>
      <c r="D78" s="43" t="inlineStr"/>
      <c r="E78" s="43" t="n">
        <v>1450</v>
      </c>
      <c r="F78" s="31" t="inlineStr">
        <is>
          <t>Produit</t>
        </is>
      </c>
      <c r="G78" s="31" t="inlineStr">
        <is>
          <t>Local République</t>
        </is>
      </c>
      <c r="H78" s="31" t="inlineStr">
        <is>
          <t>LOY-04-Loc</t>
        </is>
      </c>
      <c r="I78" s="31" t="n">
        <v>4</v>
      </c>
      <c r="J78" s="14">
        <f>D78-E78</f>
        <v/>
      </c>
    </row>
    <row r="79">
      <c r="A79" s="40" t="n">
        <v>46122</v>
      </c>
      <c r="B79" s="23" t="inlineStr">
        <is>
          <t>614</t>
        </is>
      </c>
      <c r="C79" s="23" t="inlineStr">
        <is>
          <t>Charges copropriété Local République - 04/2026</t>
        </is>
      </c>
      <c r="D79" s="41" t="n">
        <v>310</v>
      </c>
      <c r="E79" s="41" t="inlineStr"/>
      <c r="F79" s="23" t="inlineStr">
        <is>
          <t>Charge</t>
        </is>
      </c>
      <c r="G79" s="23" t="inlineStr">
        <is>
          <t>Local République</t>
        </is>
      </c>
      <c r="H79" s="23" t="inlineStr">
        <is>
          <t>CHG-04-Loc</t>
        </is>
      </c>
      <c r="I79" s="23" t="n">
        <v>4</v>
      </c>
      <c r="J79" s="18">
        <f>D79-E79</f>
        <v/>
      </c>
    </row>
    <row r="80">
      <c r="A80" s="42" t="n">
        <v>46122</v>
      </c>
      <c r="B80" s="31" t="inlineStr">
        <is>
          <t>512</t>
        </is>
      </c>
      <c r="C80" s="31" t="inlineStr">
        <is>
          <t>Paiement charges Local République - 04/2026</t>
        </is>
      </c>
      <c r="D80" s="43" t="inlineStr"/>
      <c r="E80" s="43" t="n">
        <v>310</v>
      </c>
      <c r="F80" s="31" t="inlineStr">
        <is>
          <t>Charge</t>
        </is>
      </c>
      <c r="G80" s="31" t="inlineStr">
        <is>
          <t>Local République</t>
        </is>
      </c>
      <c r="H80" s="31" t="inlineStr">
        <is>
          <t>CHG-04-Loc</t>
        </is>
      </c>
      <c r="I80" s="31" t="n">
        <v>4</v>
      </c>
      <c r="J80" s="14">
        <f>D80-E80</f>
        <v/>
      </c>
    </row>
    <row r="81">
      <c r="A81" s="40" t="n">
        <v>46117</v>
      </c>
      <c r="B81" s="23" t="inlineStr">
        <is>
          <t>512</t>
        </is>
      </c>
      <c r="C81" s="23" t="inlineStr">
        <is>
          <t>Encaissement loyer Appartement Plage - 04/2026</t>
        </is>
      </c>
      <c r="D81" s="41" t="n">
        <v>1700</v>
      </c>
      <c r="E81" s="41" t="inlineStr"/>
      <c r="F81" s="23" t="inlineStr">
        <is>
          <t>Produit</t>
        </is>
      </c>
      <c r="G81" s="23" t="inlineStr">
        <is>
          <t>Appartement Plage</t>
        </is>
      </c>
      <c r="H81" s="23" t="inlineStr">
        <is>
          <t>LOY-04-App</t>
        </is>
      </c>
      <c r="I81" s="23" t="n">
        <v>4</v>
      </c>
      <c r="J81" s="18">
        <f>D81-E81</f>
        <v/>
      </c>
    </row>
    <row r="82">
      <c r="A82" s="42" t="n">
        <v>46117</v>
      </c>
      <c r="B82" s="31" t="inlineStr">
        <is>
          <t>706</t>
        </is>
      </c>
      <c r="C82" s="31" t="inlineStr">
        <is>
          <t>Produit locatif Appartement Plage - 04/2026</t>
        </is>
      </c>
      <c r="D82" s="43" t="inlineStr"/>
      <c r="E82" s="43" t="n">
        <v>1700</v>
      </c>
      <c r="F82" s="31" t="inlineStr">
        <is>
          <t>Produit</t>
        </is>
      </c>
      <c r="G82" s="31" t="inlineStr">
        <is>
          <t>Appartement Plage</t>
        </is>
      </c>
      <c r="H82" s="31" t="inlineStr">
        <is>
          <t>LOY-04-App</t>
        </is>
      </c>
      <c r="I82" s="31" t="n">
        <v>4</v>
      </c>
      <c r="J82" s="14">
        <f>D82-E82</f>
        <v/>
      </c>
    </row>
    <row r="83">
      <c r="A83" s="40" t="n">
        <v>46122</v>
      </c>
      <c r="B83" s="23" t="inlineStr">
        <is>
          <t>614</t>
        </is>
      </c>
      <c r="C83" s="23" t="inlineStr">
        <is>
          <t>Charges copropriété Appartement Plage - 04/2026</t>
        </is>
      </c>
      <c r="D83" s="41" t="n">
        <v>260</v>
      </c>
      <c r="E83" s="41" t="inlineStr"/>
      <c r="F83" s="23" t="inlineStr">
        <is>
          <t>Charge</t>
        </is>
      </c>
      <c r="G83" s="23" t="inlineStr">
        <is>
          <t>Appartement Plage</t>
        </is>
      </c>
      <c r="H83" s="23" t="inlineStr">
        <is>
          <t>CHG-04-App</t>
        </is>
      </c>
      <c r="I83" s="23" t="n">
        <v>4</v>
      </c>
      <c r="J83" s="18">
        <f>D83-E83</f>
        <v/>
      </c>
    </row>
    <row r="84">
      <c r="A84" s="42" t="n">
        <v>46122</v>
      </c>
      <c r="B84" s="31" t="inlineStr">
        <is>
          <t>512</t>
        </is>
      </c>
      <c r="C84" s="31" t="inlineStr">
        <is>
          <t>Paiement charges Appartement Plage - 04/2026</t>
        </is>
      </c>
      <c r="D84" s="43" t="inlineStr"/>
      <c r="E84" s="43" t="n">
        <v>260</v>
      </c>
      <c r="F84" s="31" t="inlineStr">
        <is>
          <t>Charge</t>
        </is>
      </c>
      <c r="G84" s="31" t="inlineStr">
        <is>
          <t>Appartement Plage</t>
        </is>
      </c>
      <c r="H84" s="31" t="inlineStr">
        <is>
          <t>CHG-04-App</t>
        </is>
      </c>
      <c r="I84" s="31" t="n">
        <v>4</v>
      </c>
      <c r="J84" s="14">
        <f>D84-E84</f>
        <v/>
      </c>
    </row>
    <row r="85">
      <c r="A85" s="40" t="n">
        <v>46147</v>
      </c>
      <c r="B85" s="23" t="inlineStr">
        <is>
          <t>512</t>
        </is>
      </c>
      <c r="C85" s="23" t="inlineStr">
        <is>
          <t>Encaissement loyer Résidence Atlas - 05/2026</t>
        </is>
      </c>
      <c r="D85" s="41" t="n">
        <v>3200</v>
      </c>
      <c r="E85" s="41" t="inlineStr"/>
      <c r="F85" s="23" t="inlineStr">
        <is>
          <t>Produit</t>
        </is>
      </c>
      <c r="G85" s="23" t="inlineStr">
        <is>
          <t>Résidence Atlas</t>
        </is>
      </c>
      <c r="H85" s="23" t="inlineStr">
        <is>
          <t>LOY-05-Rés</t>
        </is>
      </c>
      <c r="I85" s="23" t="n">
        <v>5</v>
      </c>
      <c r="J85" s="18">
        <f>D85-E85</f>
        <v/>
      </c>
    </row>
    <row r="86">
      <c r="A86" s="42" t="n">
        <v>46147</v>
      </c>
      <c r="B86" s="31" t="inlineStr">
        <is>
          <t>706</t>
        </is>
      </c>
      <c r="C86" s="31" t="inlineStr">
        <is>
          <t>Produit locatif Résidence Atlas - 05/2026</t>
        </is>
      </c>
      <c r="D86" s="43" t="inlineStr"/>
      <c r="E86" s="43" t="n">
        <v>3200</v>
      </c>
      <c r="F86" s="31" t="inlineStr">
        <is>
          <t>Produit</t>
        </is>
      </c>
      <c r="G86" s="31" t="inlineStr">
        <is>
          <t>Résidence Atlas</t>
        </is>
      </c>
      <c r="H86" s="31" t="inlineStr">
        <is>
          <t>LOY-05-Rés</t>
        </is>
      </c>
      <c r="I86" s="31" t="n">
        <v>5</v>
      </c>
      <c r="J86" s="14">
        <f>D86-E86</f>
        <v/>
      </c>
    </row>
    <row r="87">
      <c r="A87" s="40" t="n">
        <v>46152</v>
      </c>
      <c r="B87" s="23" t="inlineStr">
        <is>
          <t>614</t>
        </is>
      </c>
      <c r="C87" s="23" t="inlineStr">
        <is>
          <t>Charges copropriété Résidence Atlas - 05/2026</t>
        </is>
      </c>
      <c r="D87" s="41" t="n">
        <v>650</v>
      </c>
      <c r="E87" s="41" t="inlineStr"/>
      <c r="F87" s="23" t="inlineStr">
        <is>
          <t>Charge</t>
        </is>
      </c>
      <c r="G87" s="23" t="inlineStr">
        <is>
          <t>Résidence Atlas</t>
        </is>
      </c>
      <c r="H87" s="23" t="inlineStr">
        <is>
          <t>CHG-05-Rés</t>
        </is>
      </c>
      <c r="I87" s="23" t="n">
        <v>5</v>
      </c>
      <c r="J87" s="18">
        <f>D87-E87</f>
        <v/>
      </c>
    </row>
    <row r="88">
      <c r="A88" s="42" t="n">
        <v>46152</v>
      </c>
      <c r="B88" s="31" t="inlineStr">
        <is>
          <t>512</t>
        </is>
      </c>
      <c r="C88" s="31" t="inlineStr">
        <is>
          <t>Paiement charges Résidence Atlas - 05/2026</t>
        </is>
      </c>
      <c r="D88" s="43" t="inlineStr"/>
      <c r="E88" s="43" t="n">
        <v>650</v>
      </c>
      <c r="F88" s="31" t="inlineStr">
        <is>
          <t>Charge</t>
        </is>
      </c>
      <c r="G88" s="31" t="inlineStr">
        <is>
          <t>Résidence Atlas</t>
        </is>
      </c>
      <c r="H88" s="31" t="inlineStr">
        <is>
          <t>CHG-05-Rés</t>
        </is>
      </c>
      <c r="I88" s="31" t="n">
        <v>5</v>
      </c>
      <c r="J88" s="14">
        <f>D88-E88</f>
        <v/>
      </c>
    </row>
    <row r="89">
      <c r="A89" s="40" t="n">
        <v>46147</v>
      </c>
      <c r="B89" s="23" t="inlineStr">
        <is>
          <t>512</t>
        </is>
      </c>
      <c r="C89" s="23" t="inlineStr">
        <is>
          <t>Encaissement loyer Immeuble Central - 05/2026</t>
        </is>
      </c>
      <c r="D89" s="41" t="n">
        <v>3800</v>
      </c>
      <c r="E89" s="41" t="inlineStr"/>
      <c r="F89" s="23" t="inlineStr">
        <is>
          <t>Produit</t>
        </is>
      </c>
      <c r="G89" s="23" t="inlineStr">
        <is>
          <t>Immeuble Central</t>
        </is>
      </c>
      <c r="H89" s="23" t="inlineStr">
        <is>
          <t>LOY-05-Imm</t>
        </is>
      </c>
      <c r="I89" s="23" t="n">
        <v>5</v>
      </c>
      <c r="J89" s="18">
        <f>D89-E89</f>
        <v/>
      </c>
    </row>
    <row r="90">
      <c r="A90" s="42" t="n">
        <v>46147</v>
      </c>
      <c r="B90" s="31" t="inlineStr">
        <is>
          <t>706</t>
        </is>
      </c>
      <c r="C90" s="31" t="inlineStr">
        <is>
          <t>Produit locatif Immeuble Central - 05/2026</t>
        </is>
      </c>
      <c r="D90" s="43" t="inlineStr"/>
      <c r="E90" s="43" t="n">
        <v>3800</v>
      </c>
      <c r="F90" s="31" t="inlineStr">
        <is>
          <t>Produit</t>
        </is>
      </c>
      <c r="G90" s="31" t="inlineStr">
        <is>
          <t>Immeuble Central</t>
        </is>
      </c>
      <c r="H90" s="31" t="inlineStr">
        <is>
          <t>LOY-05-Imm</t>
        </is>
      </c>
      <c r="I90" s="31" t="n">
        <v>5</v>
      </c>
      <c r="J90" s="14">
        <f>D90-E90</f>
        <v/>
      </c>
    </row>
    <row r="91">
      <c r="A91" s="40" t="n">
        <v>46152</v>
      </c>
      <c r="B91" s="23" t="inlineStr">
        <is>
          <t>614</t>
        </is>
      </c>
      <c r="C91" s="23" t="inlineStr">
        <is>
          <t>Charges copropriété Immeuble Central - 05/2026</t>
        </is>
      </c>
      <c r="D91" s="41" t="n">
        <v>720</v>
      </c>
      <c r="E91" s="41" t="inlineStr"/>
      <c r="F91" s="23" t="inlineStr">
        <is>
          <t>Charge</t>
        </is>
      </c>
      <c r="G91" s="23" t="inlineStr">
        <is>
          <t>Immeuble Central</t>
        </is>
      </c>
      <c r="H91" s="23" t="inlineStr">
        <is>
          <t>CHG-05-Imm</t>
        </is>
      </c>
      <c r="I91" s="23" t="n">
        <v>5</v>
      </c>
      <c r="J91" s="18">
        <f>D91-E91</f>
        <v/>
      </c>
    </row>
    <row r="92">
      <c r="A92" s="42" t="n">
        <v>46152</v>
      </c>
      <c r="B92" s="31" t="inlineStr">
        <is>
          <t>512</t>
        </is>
      </c>
      <c r="C92" s="31" t="inlineStr">
        <is>
          <t>Paiement charges Immeuble Central - 05/2026</t>
        </is>
      </c>
      <c r="D92" s="43" t="inlineStr"/>
      <c r="E92" s="43" t="n">
        <v>720</v>
      </c>
      <c r="F92" s="31" t="inlineStr">
        <is>
          <t>Charge</t>
        </is>
      </c>
      <c r="G92" s="31" t="inlineStr">
        <is>
          <t>Immeuble Central</t>
        </is>
      </c>
      <c r="H92" s="31" t="inlineStr">
        <is>
          <t>CHG-05-Imm</t>
        </is>
      </c>
      <c r="I92" s="31" t="n">
        <v>5</v>
      </c>
      <c r="J92" s="14">
        <f>D92-E92</f>
        <v/>
      </c>
    </row>
    <row r="93">
      <c r="A93" s="40" t="n">
        <v>46147</v>
      </c>
      <c r="B93" s="23" t="inlineStr">
        <is>
          <t>512</t>
        </is>
      </c>
      <c r="C93" s="23" t="inlineStr">
        <is>
          <t>Encaissement loyer Studio Riviera - 05/2026</t>
        </is>
      </c>
      <c r="D93" s="41" t="n">
        <v>980</v>
      </c>
      <c r="E93" s="41" t="inlineStr"/>
      <c r="F93" s="23" t="inlineStr">
        <is>
          <t>Produit</t>
        </is>
      </c>
      <c r="G93" s="23" t="inlineStr">
        <is>
          <t>Studio Riviera</t>
        </is>
      </c>
      <c r="H93" s="23" t="inlineStr">
        <is>
          <t>LOY-05-Stu</t>
        </is>
      </c>
      <c r="I93" s="23" t="n">
        <v>5</v>
      </c>
      <c r="J93" s="18">
        <f>D93-E93</f>
        <v/>
      </c>
    </row>
    <row r="94">
      <c r="A94" s="42" t="n">
        <v>46147</v>
      </c>
      <c r="B94" s="31" t="inlineStr">
        <is>
          <t>706</t>
        </is>
      </c>
      <c r="C94" s="31" t="inlineStr">
        <is>
          <t>Produit locatif Studio Riviera - 05/2026</t>
        </is>
      </c>
      <c r="D94" s="43" t="inlineStr"/>
      <c r="E94" s="43" t="n">
        <v>980</v>
      </c>
      <c r="F94" s="31" t="inlineStr">
        <is>
          <t>Produit</t>
        </is>
      </c>
      <c r="G94" s="31" t="inlineStr">
        <is>
          <t>Studio Riviera</t>
        </is>
      </c>
      <c r="H94" s="31" t="inlineStr">
        <is>
          <t>LOY-05-Stu</t>
        </is>
      </c>
      <c r="I94" s="31" t="n">
        <v>5</v>
      </c>
      <c r="J94" s="14">
        <f>D94-E94</f>
        <v/>
      </c>
    </row>
    <row r="95">
      <c r="A95" s="40" t="n">
        <v>46152</v>
      </c>
      <c r="B95" s="23" t="inlineStr">
        <is>
          <t>614</t>
        </is>
      </c>
      <c r="C95" s="23" t="inlineStr">
        <is>
          <t>Charges copropriété Studio Riviera - 05/2026</t>
        </is>
      </c>
      <c r="D95" s="41" t="n">
        <v>180</v>
      </c>
      <c r="E95" s="41" t="inlineStr"/>
      <c r="F95" s="23" t="inlineStr">
        <is>
          <t>Charge</t>
        </is>
      </c>
      <c r="G95" s="23" t="inlineStr">
        <is>
          <t>Studio Riviera</t>
        </is>
      </c>
      <c r="H95" s="23" t="inlineStr">
        <is>
          <t>CHG-05-Stu</t>
        </is>
      </c>
      <c r="I95" s="23" t="n">
        <v>5</v>
      </c>
      <c r="J95" s="18">
        <f>D95-E95</f>
        <v/>
      </c>
    </row>
    <row r="96">
      <c r="A96" s="42" t="n">
        <v>46152</v>
      </c>
      <c r="B96" s="31" t="inlineStr">
        <is>
          <t>512</t>
        </is>
      </c>
      <c r="C96" s="31" t="inlineStr">
        <is>
          <t>Paiement charges Studio Riviera - 05/2026</t>
        </is>
      </c>
      <c r="D96" s="43" t="inlineStr"/>
      <c r="E96" s="43" t="n">
        <v>180</v>
      </c>
      <c r="F96" s="31" t="inlineStr">
        <is>
          <t>Charge</t>
        </is>
      </c>
      <c r="G96" s="31" t="inlineStr">
        <is>
          <t>Studio Riviera</t>
        </is>
      </c>
      <c r="H96" s="31" t="inlineStr">
        <is>
          <t>CHG-05-Stu</t>
        </is>
      </c>
      <c r="I96" s="31" t="n">
        <v>5</v>
      </c>
      <c r="J96" s="14">
        <f>D96-E96</f>
        <v/>
      </c>
    </row>
    <row r="97">
      <c r="A97" s="40" t="n">
        <v>46147</v>
      </c>
      <c r="B97" s="23" t="inlineStr">
        <is>
          <t>512</t>
        </is>
      </c>
      <c r="C97" s="23" t="inlineStr">
        <is>
          <t>Encaissement loyer Local République - 05/2026</t>
        </is>
      </c>
      <c r="D97" s="41" t="n">
        <v>1450</v>
      </c>
      <c r="E97" s="41" t="inlineStr"/>
      <c r="F97" s="23" t="inlineStr">
        <is>
          <t>Produit</t>
        </is>
      </c>
      <c r="G97" s="23" t="inlineStr">
        <is>
          <t>Local République</t>
        </is>
      </c>
      <c r="H97" s="23" t="inlineStr">
        <is>
          <t>LOY-05-Loc</t>
        </is>
      </c>
      <c r="I97" s="23" t="n">
        <v>5</v>
      </c>
      <c r="J97" s="18">
        <f>D97-E97</f>
        <v/>
      </c>
    </row>
    <row r="98">
      <c r="A98" s="42" t="n">
        <v>46147</v>
      </c>
      <c r="B98" s="31" t="inlineStr">
        <is>
          <t>706</t>
        </is>
      </c>
      <c r="C98" s="31" t="inlineStr">
        <is>
          <t>Produit locatif Local République - 05/2026</t>
        </is>
      </c>
      <c r="D98" s="43" t="inlineStr"/>
      <c r="E98" s="43" t="n">
        <v>1450</v>
      </c>
      <c r="F98" s="31" t="inlineStr">
        <is>
          <t>Produit</t>
        </is>
      </c>
      <c r="G98" s="31" t="inlineStr">
        <is>
          <t>Local République</t>
        </is>
      </c>
      <c r="H98" s="31" t="inlineStr">
        <is>
          <t>LOY-05-Loc</t>
        </is>
      </c>
      <c r="I98" s="31" t="n">
        <v>5</v>
      </c>
      <c r="J98" s="14">
        <f>D98-E98</f>
        <v/>
      </c>
    </row>
    <row r="99">
      <c r="A99" s="40" t="n">
        <v>46152</v>
      </c>
      <c r="B99" s="23" t="inlineStr">
        <is>
          <t>614</t>
        </is>
      </c>
      <c r="C99" s="23" t="inlineStr">
        <is>
          <t>Charges copropriété Local République - 05/2026</t>
        </is>
      </c>
      <c r="D99" s="41" t="n">
        <v>310</v>
      </c>
      <c r="E99" s="41" t="inlineStr"/>
      <c r="F99" s="23" t="inlineStr">
        <is>
          <t>Charge</t>
        </is>
      </c>
      <c r="G99" s="23" t="inlineStr">
        <is>
          <t>Local République</t>
        </is>
      </c>
      <c r="H99" s="23" t="inlineStr">
        <is>
          <t>CHG-05-Loc</t>
        </is>
      </c>
      <c r="I99" s="23" t="n">
        <v>5</v>
      </c>
      <c r="J99" s="18">
        <f>D99-E99</f>
        <v/>
      </c>
    </row>
    <row r="100">
      <c r="A100" s="42" t="n">
        <v>46152</v>
      </c>
      <c r="B100" s="31" t="inlineStr">
        <is>
          <t>512</t>
        </is>
      </c>
      <c r="C100" s="31" t="inlineStr">
        <is>
          <t>Paiement charges Local République - 05/2026</t>
        </is>
      </c>
      <c r="D100" s="43" t="inlineStr"/>
      <c r="E100" s="43" t="n">
        <v>310</v>
      </c>
      <c r="F100" s="31" t="inlineStr">
        <is>
          <t>Charge</t>
        </is>
      </c>
      <c r="G100" s="31" t="inlineStr">
        <is>
          <t>Local République</t>
        </is>
      </c>
      <c r="H100" s="31" t="inlineStr">
        <is>
          <t>CHG-05-Loc</t>
        </is>
      </c>
      <c r="I100" s="31" t="n">
        <v>5</v>
      </c>
      <c r="J100" s="14">
        <f>D100-E100</f>
        <v/>
      </c>
    </row>
    <row r="101">
      <c r="A101" s="40" t="n">
        <v>46147</v>
      </c>
      <c r="B101" s="23" t="inlineStr">
        <is>
          <t>512</t>
        </is>
      </c>
      <c r="C101" s="23" t="inlineStr">
        <is>
          <t>Encaissement loyer Appartement Plage - 05/2026</t>
        </is>
      </c>
      <c r="D101" s="41" t="n">
        <v>1700</v>
      </c>
      <c r="E101" s="41" t="inlineStr"/>
      <c r="F101" s="23" t="inlineStr">
        <is>
          <t>Produit</t>
        </is>
      </c>
      <c r="G101" s="23" t="inlineStr">
        <is>
          <t>Appartement Plage</t>
        </is>
      </c>
      <c r="H101" s="23" t="inlineStr">
        <is>
          <t>LOY-05-App</t>
        </is>
      </c>
      <c r="I101" s="23" t="n">
        <v>5</v>
      </c>
      <c r="J101" s="18">
        <f>D101-E101</f>
        <v/>
      </c>
    </row>
    <row r="102">
      <c r="A102" s="42" t="n">
        <v>46147</v>
      </c>
      <c r="B102" s="31" t="inlineStr">
        <is>
          <t>706</t>
        </is>
      </c>
      <c r="C102" s="31" t="inlineStr">
        <is>
          <t>Produit locatif Appartement Plage - 05/2026</t>
        </is>
      </c>
      <c r="D102" s="43" t="inlineStr"/>
      <c r="E102" s="43" t="n">
        <v>1700</v>
      </c>
      <c r="F102" s="31" t="inlineStr">
        <is>
          <t>Produit</t>
        </is>
      </c>
      <c r="G102" s="31" t="inlineStr">
        <is>
          <t>Appartement Plage</t>
        </is>
      </c>
      <c r="H102" s="31" t="inlineStr">
        <is>
          <t>LOY-05-App</t>
        </is>
      </c>
      <c r="I102" s="31" t="n">
        <v>5</v>
      </c>
      <c r="J102" s="14">
        <f>D102-E102</f>
        <v/>
      </c>
    </row>
    <row r="103">
      <c r="A103" s="40" t="n">
        <v>46152</v>
      </c>
      <c r="B103" s="23" t="inlineStr">
        <is>
          <t>614</t>
        </is>
      </c>
      <c r="C103" s="23" t="inlineStr">
        <is>
          <t>Charges copropriété Appartement Plage - 05/2026</t>
        </is>
      </c>
      <c r="D103" s="41" t="n">
        <v>260</v>
      </c>
      <c r="E103" s="41" t="inlineStr"/>
      <c r="F103" s="23" t="inlineStr">
        <is>
          <t>Charge</t>
        </is>
      </c>
      <c r="G103" s="23" t="inlineStr">
        <is>
          <t>Appartement Plage</t>
        </is>
      </c>
      <c r="H103" s="23" t="inlineStr">
        <is>
          <t>CHG-05-App</t>
        </is>
      </c>
      <c r="I103" s="23" t="n">
        <v>5</v>
      </c>
      <c r="J103" s="18">
        <f>D103-E103</f>
        <v/>
      </c>
    </row>
    <row r="104">
      <c r="A104" s="42" t="n">
        <v>46152</v>
      </c>
      <c r="B104" s="31" t="inlineStr">
        <is>
          <t>512</t>
        </is>
      </c>
      <c r="C104" s="31" t="inlineStr">
        <is>
          <t>Paiement charges Appartement Plage - 05/2026</t>
        </is>
      </c>
      <c r="D104" s="43" t="inlineStr"/>
      <c r="E104" s="43" t="n">
        <v>260</v>
      </c>
      <c r="F104" s="31" t="inlineStr">
        <is>
          <t>Charge</t>
        </is>
      </c>
      <c r="G104" s="31" t="inlineStr">
        <is>
          <t>Appartement Plage</t>
        </is>
      </c>
      <c r="H104" s="31" t="inlineStr">
        <is>
          <t>CHG-05-App</t>
        </is>
      </c>
      <c r="I104" s="31" t="n">
        <v>5</v>
      </c>
      <c r="J104" s="14">
        <f>D104-E104</f>
        <v/>
      </c>
    </row>
    <row r="105">
      <c r="A105" s="40" t="n">
        <v>46178</v>
      </c>
      <c r="B105" s="23" t="inlineStr">
        <is>
          <t>512</t>
        </is>
      </c>
      <c r="C105" s="23" t="inlineStr">
        <is>
          <t>Encaissement loyer Résidence Atlas - 06/2026</t>
        </is>
      </c>
      <c r="D105" s="41" t="n">
        <v>3200</v>
      </c>
      <c r="E105" s="41" t="inlineStr"/>
      <c r="F105" s="23" t="inlineStr">
        <is>
          <t>Produit</t>
        </is>
      </c>
      <c r="G105" s="23" t="inlineStr">
        <is>
          <t>Résidence Atlas</t>
        </is>
      </c>
      <c r="H105" s="23" t="inlineStr">
        <is>
          <t>LOY-06-Rés</t>
        </is>
      </c>
      <c r="I105" s="23" t="n">
        <v>6</v>
      </c>
      <c r="J105" s="18">
        <f>D105-E105</f>
        <v/>
      </c>
    </row>
    <row r="106">
      <c r="A106" s="42" t="n">
        <v>46178</v>
      </c>
      <c r="B106" s="31" t="inlineStr">
        <is>
          <t>706</t>
        </is>
      </c>
      <c r="C106" s="31" t="inlineStr">
        <is>
          <t>Produit locatif Résidence Atlas - 06/2026</t>
        </is>
      </c>
      <c r="D106" s="43" t="inlineStr"/>
      <c r="E106" s="43" t="n">
        <v>3200</v>
      </c>
      <c r="F106" s="31" t="inlineStr">
        <is>
          <t>Produit</t>
        </is>
      </c>
      <c r="G106" s="31" t="inlineStr">
        <is>
          <t>Résidence Atlas</t>
        </is>
      </c>
      <c r="H106" s="31" t="inlineStr">
        <is>
          <t>LOY-06-Rés</t>
        </is>
      </c>
      <c r="I106" s="31" t="n">
        <v>6</v>
      </c>
      <c r="J106" s="14">
        <f>D106-E106</f>
        <v/>
      </c>
    </row>
    <row r="107">
      <c r="A107" s="40" t="n">
        <v>46183</v>
      </c>
      <c r="B107" s="23" t="inlineStr">
        <is>
          <t>614</t>
        </is>
      </c>
      <c r="C107" s="23" t="inlineStr">
        <is>
          <t>Charges copropriété Résidence Atlas - 06/2026</t>
        </is>
      </c>
      <c r="D107" s="41" t="n">
        <v>650</v>
      </c>
      <c r="E107" s="41" t="inlineStr"/>
      <c r="F107" s="23" t="inlineStr">
        <is>
          <t>Charge</t>
        </is>
      </c>
      <c r="G107" s="23" t="inlineStr">
        <is>
          <t>Résidence Atlas</t>
        </is>
      </c>
      <c r="H107" s="23" t="inlineStr">
        <is>
          <t>CHG-06-Rés</t>
        </is>
      </c>
      <c r="I107" s="23" t="n">
        <v>6</v>
      </c>
      <c r="J107" s="18">
        <f>D107-E107</f>
        <v/>
      </c>
    </row>
    <row r="108">
      <c r="A108" s="42" t="n">
        <v>46183</v>
      </c>
      <c r="B108" s="31" t="inlineStr">
        <is>
          <t>512</t>
        </is>
      </c>
      <c r="C108" s="31" t="inlineStr">
        <is>
          <t>Paiement charges Résidence Atlas - 06/2026</t>
        </is>
      </c>
      <c r="D108" s="43" t="inlineStr"/>
      <c r="E108" s="43" t="n">
        <v>650</v>
      </c>
      <c r="F108" s="31" t="inlineStr">
        <is>
          <t>Charge</t>
        </is>
      </c>
      <c r="G108" s="31" t="inlineStr">
        <is>
          <t>Résidence Atlas</t>
        </is>
      </c>
      <c r="H108" s="31" t="inlineStr">
        <is>
          <t>CHG-06-Rés</t>
        </is>
      </c>
      <c r="I108" s="31" t="n">
        <v>6</v>
      </c>
      <c r="J108" s="14">
        <f>D108-E108</f>
        <v/>
      </c>
    </row>
    <row r="109">
      <c r="A109" s="40" t="n">
        <v>46178</v>
      </c>
      <c r="B109" s="23" t="inlineStr">
        <is>
          <t>512</t>
        </is>
      </c>
      <c r="C109" s="23" t="inlineStr">
        <is>
          <t>Encaissement loyer Immeuble Central - 06/2026</t>
        </is>
      </c>
      <c r="D109" s="41" t="n">
        <v>3800</v>
      </c>
      <c r="E109" s="41" t="inlineStr"/>
      <c r="F109" s="23" t="inlineStr">
        <is>
          <t>Produit</t>
        </is>
      </c>
      <c r="G109" s="23" t="inlineStr">
        <is>
          <t>Immeuble Central</t>
        </is>
      </c>
      <c r="H109" s="23" t="inlineStr">
        <is>
          <t>LOY-06-Imm</t>
        </is>
      </c>
      <c r="I109" s="23" t="n">
        <v>6</v>
      </c>
      <c r="J109" s="18">
        <f>D109-E109</f>
        <v/>
      </c>
    </row>
    <row r="110">
      <c r="A110" s="42" t="n">
        <v>46178</v>
      </c>
      <c r="B110" s="31" t="inlineStr">
        <is>
          <t>706</t>
        </is>
      </c>
      <c r="C110" s="31" t="inlineStr">
        <is>
          <t>Produit locatif Immeuble Central - 06/2026</t>
        </is>
      </c>
      <c r="D110" s="43" t="inlineStr"/>
      <c r="E110" s="43" t="n">
        <v>3800</v>
      </c>
      <c r="F110" s="31" t="inlineStr">
        <is>
          <t>Produit</t>
        </is>
      </c>
      <c r="G110" s="31" t="inlineStr">
        <is>
          <t>Immeuble Central</t>
        </is>
      </c>
      <c r="H110" s="31" t="inlineStr">
        <is>
          <t>LOY-06-Imm</t>
        </is>
      </c>
      <c r="I110" s="31" t="n">
        <v>6</v>
      </c>
      <c r="J110" s="14">
        <f>D110-E110</f>
        <v/>
      </c>
    </row>
    <row r="111">
      <c r="A111" s="40" t="n">
        <v>46183</v>
      </c>
      <c r="B111" s="23" t="inlineStr">
        <is>
          <t>614</t>
        </is>
      </c>
      <c r="C111" s="23" t="inlineStr">
        <is>
          <t>Charges copropriété Immeuble Central - 06/2026</t>
        </is>
      </c>
      <c r="D111" s="41" t="n">
        <v>720</v>
      </c>
      <c r="E111" s="41" t="inlineStr"/>
      <c r="F111" s="23" t="inlineStr">
        <is>
          <t>Charge</t>
        </is>
      </c>
      <c r="G111" s="23" t="inlineStr">
        <is>
          <t>Immeuble Central</t>
        </is>
      </c>
      <c r="H111" s="23" t="inlineStr">
        <is>
          <t>CHG-06-Imm</t>
        </is>
      </c>
      <c r="I111" s="23" t="n">
        <v>6</v>
      </c>
      <c r="J111" s="18">
        <f>D111-E111</f>
        <v/>
      </c>
    </row>
    <row r="112">
      <c r="A112" s="42" t="n">
        <v>46183</v>
      </c>
      <c r="B112" s="31" t="inlineStr">
        <is>
          <t>512</t>
        </is>
      </c>
      <c r="C112" s="31" t="inlineStr">
        <is>
          <t>Paiement charges Immeuble Central - 06/2026</t>
        </is>
      </c>
      <c r="D112" s="43" t="inlineStr"/>
      <c r="E112" s="43" t="n">
        <v>720</v>
      </c>
      <c r="F112" s="31" t="inlineStr">
        <is>
          <t>Charge</t>
        </is>
      </c>
      <c r="G112" s="31" t="inlineStr">
        <is>
          <t>Immeuble Central</t>
        </is>
      </c>
      <c r="H112" s="31" t="inlineStr">
        <is>
          <t>CHG-06-Imm</t>
        </is>
      </c>
      <c r="I112" s="31" t="n">
        <v>6</v>
      </c>
      <c r="J112" s="14">
        <f>D112-E112</f>
        <v/>
      </c>
    </row>
    <row r="113">
      <c r="A113" s="40" t="n">
        <v>46178</v>
      </c>
      <c r="B113" s="23" t="inlineStr">
        <is>
          <t>512</t>
        </is>
      </c>
      <c r="C113" s="23" t="inlineStr">
        <is>
          <t>Encaissement loyer Studio Riviera - 06/2026</t>
        </is>
      </c>
      <c r="D113" s="41" t="n">
        <v>980</v>
      </c>
      <c r="E113" s="41" t="inlineStr"/>
      <c r="F113" s="23" t="inlineStr">
        <is>
          <t>Produit</t>
        </is>
      </c>
      <c r="G113" s="23" t="inlineStr">
        <is>
          <t>Studio Riviera</t>
        </is>
      </c>
      <c r="H113" s="23" t="inlineStr">
        <is>
          <t>LOY-06-Stu</t>
        </is>
      </c>
      <c r="I113" s="23" t="n">
        <v>6</v>
      </c>
      <c r="J113" s="18">
        <f>D113-E113</f>
        <v/>
      </c>
    </row>
    <row r="114">
      <c r="A114" s="42" t="n">
        <v>46178</v>
      </c>
      <c r="B114" s="31" t="inlineStr">
        <is>
          <t>706</t>
        </is>
      </c>
      <c r="C114" s="31" t="inlineStr">
        <is>
          <t>Produit locatif Studio Riviera - 06/2026</t>
        </is>
      </c>
      <c r="D114" s="43" t="inlineStr"/>
      <c r="E114" s="43" t="n">
        <v>980</v>
      </c>
      <c r="F114" s="31" t="inlineStr">
        <is>
          <t>Produit</t>
        </is>
      </c>
      <c r="G114" s="31" t="inlineStr">
        <is>
          <t>Studio Riviera</t>
        </is>
      </c>
      <c r="H114" s="31" t="inlineStr">
        <is>
          <t>LOY-06-Stu</t>
        </is>
      </c>
      <c r="I114" s="31" t="n">
        <v>6</v>
      </c>
      <c r="J114" s="14">
        <f>D114-E114</f>
        <v/>
      </c>
    </row>
    <row r="115">
      <c r="A115" s="40" t="n">
        <v>46183</v>
      </c>
      <c r="B115" s="23" t="inlineStr">
        <is>
          <t>614</t>
        </is>
      </c>
      <c r="C115" s="23" t="inlineStr">
        <is>
          <t>Charges copropriété Studio Riviera - 06/2026</t>
        </is>
      </c>
      <c r="D115" s="41" t="n">
        <v>180</v>
      </c>
      <c r="E115" s="41" t="inlineStr"/>
      <c r="F115" s="23" t="inlineStr">
        <is>
          <t>Charge</t>
        </is>
      </c>
      <c r="G115" s="23" t="inlineStr">
        <is>
          <t>Studio Riviera</t>
        </is>
      </c>
      <c r="H115" s="23" t="inlineStr">
        <is>
          <t>CHG-06-Stu</t>
        </is>
      </c>
      <c r="I115" s="23" t="n">
        <v>6</v>
      </c>
      <c r="J115" s="18">
        <f>D115-E115</f>
        <v/>
      </c>
    </row>
    <row r="116">
      <c r="A116" s="42" t="n">
        <v>46183</v>
      </c>
      <c r="B116" s="31" t="inlineStr">
        <is>
          <t>512</t>
        </is>
      </c>
      <c r="C116" s="31" t="inlineStr">
        <is>
          <t>Paiement charges Studio Riviera - 06/2026</t>
        </is>
      </c>
      <c r="D116" s="43" t="inlineStr"/>
      <c r="E116" s="43" t="n">
        <v>180</v>
      </c>
      <c r="F116" s="31" t="inlineStr">
        <is>
          <t>Charge</t>
        </is>
      </c>
      <c r="G116" s="31" t="inlineStr">
        <is>
          <t>Studio Riviera</t>
        </is>
      </c>
      <c r="H116" s="31" t="inlineStr">
        <is>
          <t>CHG-06-Stu</t>
        </is>
      </c>
      <c r="I116" s="31" t="n">
        <v>6</v>
      </c>
      <c r="J116" s="14">
        <f>D116-E116</f>
        <v/>
      </c>
    </row>
    <row r="117">
      <c r="A117" s="40" t="n">
        <v>46178</v>
      </c>
      <c r="B117" s="23" t="inlineStr">
        <is>
          <t>512</t>
        </is>
      </c>
      <c r="C117" s="23" t="inlineStr">
        <is>
          <t>Encaissement loyer Local République - 06/2026</t>
        </is>
      </c>
      <c r="D117" s="41" t="n">
        <v>1450</v>
      </c>
      <c r="E117" s="41" t="inlineStr"/>
      <c r="F117" s="23" t="inlineStr">
        <is>
          <t>Produit</t>
        </is>
      </c>
      <c r="G117" s="23" t="inlineStr">
        <is>
          <t>Local République</t>
        </is>
      </c>
      <c r="H117" s="23" t="inlineStr">
        <is>
          <t>LOY-06-Loc</t>
        </is>
      </c>
      <c r="I117" s="23" t="n">
        <v>6</v>
      </c>
      <c r="J117" s="18">
        <f>D117-E117</f>
        <v/>
      </c>
    </row>
    <row r="118">
      <c r="A118" s="42" t="n">
        <v>46178</v>
      </c>
      <c r="B118" s="31" t="inlineStr">
        <is>
          <t>706</t>
        </is>
      </c>
      <c r="C118" s="31" t="inlineStr">
        <is>
          <t>Produit locatif Local République - 06/2026</t>
        </is>
      </c>
      <c r="D118" s="43" t="inlineStr"/>
      <c r="E118" s="43" t="n">
        <v>1450</v>
      </c>
      <c r="F118" s="31" t="inlineStr">
        <is>
          <t>Produit</t>
        </is>
      </c>
      <c r="G118" s="31" t="inlineStr">
        <is>
          <t>Local République</t>
        </is>
      </c>
      <c r="H118" s="31" t="inlineStr">
        <is>
          <t>LOY-06-Loc</t>
        </is>
      </c>
      <c r="I118" s="31" t="n">
        <v>6</v>
      </c>
      <c r="J118" s="14">
        <f>D118-E118</f>
        <v/>
      </c>
    </row>
    <row r="119">
      <c r="A119" s="40" t="n">
        <v>46183</v>
      </c>
      <c r="B119" s="23" t="inlineStr">
        <is>
          <t>614</t>
        </is>
      </c>
      <c r="C119" s="23" t="inlineStr">
        <is>
          <t>Charges copropriété Local République - 06/2026</t>
        </is>
      </c>
      <c r="D119" s="41" t="n">
        <v>310</v>
      </c>
      <c r="E119" s="41" t="inlineStr"/>
      <c r="F119" s="23" t="inlineStr">
        <is>
          <t>Charge</t>
        </is>
      </c>
      <c r="G119" s="23" t="inlineStr">
        <is>
          <t>Local République</t>
        </is>
      </c>
      <c r="H119" s="23" t="inlineStr">
        <is>
          <t>CHG-06-Loc</t>
        </is>
      </c>
      <c r="I119" s="23" t="n">
        <v>6</v>
      </c>
      <c r="J119" s="18">
        <f>D119-E119</f>
        <v/>
      </c>
    </row>
    <row r="120">
      <c r="A120" s="42" t="n">
        <v>46183</v>
      </c>
      <c r="B120" s="31" t="inlineStr">
        <is>
          <t>512</t>
        </is>
      </c>
      <c r="C120" s="31" t="inlineStr">
        <is>
          <t>Paiement charges Local République - 06/2026</t>
        </is>
      </c>
      <c r="D120" s="43" t="inlineStr"/>
      <c r="E120" s="43" t="n">
        <v>310</v>
      </c>
      <c r="F120" s="31" t="inlineStr">
        <is>
          <t>Charge</t>
        </is>
      </c>
      <c r="G120" s="31" t="inlineStr">
        <is>
          <t>Local République</t>
        </is>
      </c>
      <c r="H120" s="31" t="inlineStr">
        <is>
          <t>CHG-06-Loc</t>
        </is>
      </c>
      <c r="I120" s="31" t="n">
        <v>6</v>
      </c>
      <c r="J120" s="14">
        <f>D120-E120</f>
        <v/>
      </c>
    </row>
    <row r="121">
      <c r="A121" s="40" t="n">
        <v>46178</v>
      </c>
      <c r="B121" s="23" t="inlineStr">
        <is>
          <t>512</t>
        </is>
      </c>
      <c r="C121" s="23" t="inlineStr">
        <is>
          <t>Encaissement loyer Appartement Plage - 06/2026</t>
        </is>
      </c>
      <c r="D121" s="41" t="n">
        <v>1700</v>
      </c>
      <c r="E121" s="41" t="inlineStr"/>
      <c r="F121" s="23" t="inlineStr">
        <is>
          <t>Produit</t>
        </is>
      </c>
      <c r="G121" s="23" t="inlineStr">
        <is>
          <t>Appartement Plage</t>
        </is>
      </c>
      <c r="H121" s="23" t="inlineStr">
        <is>
          <t>LOY-06-App</t>
        </is>
      </c>
      <c r="I121" s="23" t="n">
        <v>6</v>
      </c>
      <c r="J121" s="18">
        <f>D121-E121</f>
        <v/>
      </c>
    </row>
    <row r="122">
      <c r="A122" s="42" t="n">
        <v>46178</v>
      </c>
      <c r="B122" s="31" t="inlineStr">
        <is>
          <t>706</t>
        </is>
      </c>
      <c r="C122" s="31" t="inlineStr">
        <is>
          <t>Produit locatif Appartement Plage - 06/2026</t>
        </is>
      </c>
      <c r="D122" s="43" t="inlineStr"/>
      <c r="E122" s="43" t="n">
        <v>1700</v>
      </c>
      <c r="F122" s="31" t="inlineStr">
        <is>
          <t>Produit</t>
        </is>
      </c>
      <c r="G122" s="31" t="inlineStr">
        <is>
          <t>Appartement Plage</t>
        </is>
      </c>
      <c r="H122" s="31" t="inlineStr">
        <is>
          <t>LOY-06-App</t>
        </is>
      </c>
      <c r="I122" s="31" t="n">
        <v>6</v>
      </c>
      <c r="J122" s="14">
        <f>D122-E122</f>
        <v/>
      </c>
    </row>
    <row r="123">
      <c r="A123" s="40" t="n">
        <v>46183</v>
      </c>
      <c r="B123" s="23" t="inlineStr">
        <is>
          <t>614</t>
        </is>
      </c>
      <c r="C123" s="23" t="inlineStr">
        <is>
          <t>Charges copropriété Appartement Plage - 06/2026</t>
        </is>
      </c>
      <c r="D123" s="41" t="n">
        <v>260</v>
      </c>
      <c r="E123" s="41" t="inlineStr"/>
      <c r="F123" s="23" t="inlineStr">
        <is>
          <t>Charge</t>
        </is>
      </c>
      <c r="G123" s="23" t="inlineStr">
        <is>
          <t>Appartement Plage</t>
        </is>
      </c>
      <c r="H123" s="23" t="inlineStr">
        <is>
          <t>CHG-06-App</t>
        </is>
      </c>
      <c r="I123" s="23" t="n">
        <v>6</v>
      </c>
      <c r="J123" s="18">
        <f>D123-E123</f>
        <v/>
      </c>
    </row>
    <row r="124">
      <c r="A124" s="42" t="n">
        <v>46183</v>
      </c>
      <c r="B124" s="31" t="inlineStr">
        <is>
          <t>512</t>
        </is>
      </c>
      <c r="C124" s="31" t="inlineStr">
        <is>
          <t>Paiement charges Appartement Plage - 06/2026</t>
        </is>
      </c>
      <c r="D124" s="43" t="inlineStr"/>
      <c r="E124" s="43" t="n">
        <v>260</v>
      </c>
      <c r="F124" s="31" t="inlineStr">
        <is>
          <t>Charge</t>
        </is>
      </c>
      <c r="G124" s="31" t="inlineStr">
        <is>
          <t>Appartement Plage</t>
        </is>
      </c>
      <c r="H124" s="31" t="inlineStr">
        <is>
          <t>CHG-06-App</t>
        </is>
      </c>
      <c r="I124" s="31" t="n">
        <v>6</v>
      </c>
      <c r="J124" s="14">
        <f>D124-E124</f>
        <v/>
      </c>
    </row>
    <row r="125">
      <c r="A125" s="40" t="n">
        <v>46208</v>
      </c>
      <c r="B125" s="23" t="inlineStr">
        <is>
          <t>512</t>
        </is>
      </c>
      <c r="C125" s="23" t="inlineStr">
        <is>
          <t>Encaissement loyer Résidence Atlas - 07/2026</t>
        </is>
      </c>
      <c r="D125" s="41" t="n">
        <v>3200</v>
      </c>
      <c r="E125" s="41" t="inlineStr"/>
      <c r="F125" s="23" t="inlineStr">
        <is>
          <t>Produit</t>
        </is>
      </c>
      <c r="G125" s="23" t="inlineStr">
        <is>
          <t>Résidence Atlas</t>
        </is>
      </c>
      <c r="H125" s="23" t="inlineStr">
        <is>
          <t>LOY-07-Rés</t>
        </is>
      </c>
      <c r="I125" s="23" t="n">
        <v>7</v>
      </c>
      <c r="J125" s="18">
        <f>D125-E125</f>
        <v/>
      </c>
    </row>
    <row r="126">
      <c r="A126" s="42" t="n">
        <v>46208</v>
      </c>
      <c r="B126" s="31" t="inlineStr">
        <is>
          <t>706</t>
        </is>
      </c>
      <c r="C126" s="31" t="inlineStr">
        <is>
          <t>Produit locatif Résidence Atlas - 07/2026</t>
        </is>
      </c>
      <c r="D126" s="43" t="inlineStr"/>
      <c r="E126" s="43" t="n">
        <v>3200</v>
      </c>
      <c r="F126" s="31" t="inlineStr">
        <is>
          <t>Produit</t>
        </is>
      </c>
      <c r="G126" s="31" t="inlineStr">
        <is>
          <t>Résidence Atlas</t>
        </is>
      </c>
      <c r="H126" s="31" t="inlineStr">
        <is>
          <t>LOY-07-Rés</t>
        </is>
      </c>
      <c r="I126" s="31" t="n">
        <v>7</v>
      </c>
      <c r="J126" s="14">
        <f>D126-E126</f>
        <v/>
      </c>
    </row>
    <row r="127">
      <c r="A127" s="40" t="n">
        <v>46213</v>
      </c>
      <c r="B127" s="23" t="inlineStr">
        <is>
          <t>614</t>
        </is>
      </c>
      <c r="C127" s="23" t="inlineStr">
        <is>
          <t>Charges copropriété Résidence Atlas - 07/2026</t>
        </is>
      </c>
      <c r="D127" s="41" t="n">
        <v>650</v>
      </c>
      <c r="E127" s="41" t="inlineStr"/>
      <c r="F127" s="23" t="inlineStr">
        <is>
          <t>Charge</t>
        </is>
      </c>
      <c r="G127" s="23" t="inlineStr">
        <is>
          <t>Résidence Atlas</t>
        </is>
      </c>
      <c r="H127" s="23" t="inlineStr">
        <is>
          <t>CHG-07-Rés</t>
        </is>
      </c>
      <c r="I127" s="23" t="n">
        <v>7</v>
      </c>
      <c r="J127" s="18">
        <f>D127-E127</f>
        <v/>
      </c>
    </row>
    <row r="128">
      <c r="A128" s="42" t="n">
        <v>46213</v>
      </c>
      <c r="B128" s="31" t="inlineStr">
        <is>
          <t>512</t>
        </is>
      </c>
      <c r="C128" s="31" t="inlineStr">
        <is>
          <t>Paiement charges Résidence Atlas - 07/2026</t>
        </is>
      </c>
      <c r="D128" s="43" t="inlineStr"/>
      <c r="E128" s="43" t="n">
        <v>650</v>
      </c>
      <c r="F128" s="31" t="inlineStr">
        <is>
          <t>Charge</t>
        </is>
      </c>
      <c r="G128" s="31" t="inlineStr">
        <is>
          <t>Résidence Atlas</t>
        </is>
      </c>
      <c r="H128" s="31" t="inlineStr">
        <is>
          <t>CHG-07-Rés</t>
        </is>
      </c>
      <c r="I128" s="31" t="n">
        <v>7</v>
      </c>
      <c r="J128" s="14">
        <f>D128-E128</f>
        <v/>
      </c>
    </row>
    <row r="129">
      <c r="A129" s="40" t="n">
        <v>46208</v>
      </c>
      <c r="B129" s="23" t="inlineStr">
        <is>
          <t>512</t>
        </is>
      </c>
      <c r="C129" s="23" t="inlineStr">
        <is>
          <t>Encaissement loyer Immeuble Central - 07/2026</t>
        </is>
      </c>
      <c r="D129" s="41" t="n">
        <v>3800</v>
      </c>
      <c r="E129" s="41" t="inlineStr"/>
      <c r="F129" s="23" t="inlineStr">
        <is>
          <t>Produit</t>
        </is>
      </c>
      <c r="G129" s="23" t="inlineStr">
        <is>
          <t>Immeuble Central</t>
        </is>
      </c>
      <c r="H129" s="23" t="inlineStr">
        <is>
          <t>LOY-07-Imm</t>
        </is>
      </c>
      <c r="I129" s="23" t="n">
        <v>7</v>
      </c>
      <c r="J129" s="18">
        <f>D129-E129</f>
        <v/>
      </c>
    </row>
    <row r="130">
      <c r="A130" s="42" t="n">
        <v>46208</v>
      </c>
      <c r="B130" s="31" t="inlineStr">
        <is>
          <t>706</t>
        </is>
      </c>
      <c r="C130" s="31" t="inlineStr">
        <is>
          <t>Produit locatif Immeuble Central - 07/2026</t>
        </is>
      </c>
      <c r="D130" s="43" t="inlineStr"/>
      <c r="E130" s="43" t="n">
        <v>3800</v>
      </c>
      <c r="F130" s="31" t="inlineStr">
        <is>
          <t>Produit</t>
        </is>
      </c>
      <c r="G130" s="31" t="inlineStr">
        <is>
          <t>Immeuble Central</t>
        </is>
      </c>
      <c r="H130" s="31" t="inlineStr">
        <is>
          <t>LOY-07-Imm</t>
        </is>
      </c>
      <c r="I130" s="31" t="n">
        <v>7</v>
      </c>
      <c r="J130" s="14">
        <f>D130-E130</f>
        <v/>
      </c>
    </row>
    <row r="131">
      <c r="A131" s="40" t="n">
        <v>46213</v>
      </c>
      <c r="B131" s="23" t="inlineStr">
        <is>
          <t>614</t>
        </is>
      </c>
      <c r="C131" s="23" t="inlineStr">
        <is>
          <t>Charges copropriété Immeuble Central - 07/2026</t>
        </is>
      </c>
      <c r="D131" s="41" t="n">
        <v>720</v>
      </c>
      <c r="E131" s="41" t="inlineStr"/>
      <c r="F131" s="23" t="inlineStr">
        <is>
          <t>Charge</t>
        </is>
      </c>
      <c r="G131" s="23" t="inlineStr">
        <is>
          <t>Immeuble Central</t>
        </is>
      </c>
      <c r="H131" s="23" t="inlineStr">
        <is>
          <t>CHG-07-Imm</t>
        </is>
      </c>
      <c r="I131" s="23" t="n">
        <v>7</v>
      </c>
      <c r="J131" s="18">
        <f>D131-E131</f>
        <v/>
      </c>
    </row>
    <row r="132">
      <c r="A132" s="42" t="n">
        <v>46213</v>
      </c>
      <c r="B132" s="31" t="inlineStr">
        <is>
          <t>512</t>
        </is>
      </c>
      <c r="C132" s="31" t="inlineStr">
        <is>
          <t>Paiement charges Immeuble Central - 07/2026</t>
        </is>
      </c>
      <c r="D132" s="43" t="inlineStr"/>
      <c r="E132" s="43" t="n">
        <v>720</v>
      </c>
      <c r="F132" s="31" t="inlineStr">
        <is>
          <t>Charge</t>
        </is>
      </c>
      <c r="G132" s="31" t="inlineStr">
        <is>
          <t>Immeuble Central</t>
        </is>
      </c>
      <c r="H132" s="31" t="inlineStr">
        <is>
          <t>CHG-07-Imm</t>
        </is>
      </c>
      <c r="I132" s="31" t="n">
        <v>7</v>
      </c>
      <c r="J132" s="14">
        <f>D132-E132</f>
        <v/>
      </c>
    </row>
    <row r="133">
      <c r="A133" s="40" t="n">
        <v>46208</v>
      </c>
      <c r="B133" s="23" t="inlineStr">
        <is>
          <t>512</t>
        </is>
      </c>
      <c r="C133" s="23" t="inlineStr">
        <is>
          <t>Encaissement loyer Studio Riviera - 07/2026</t>
        </is>
      </c>
      <c r="D133" s="41" t="n">
        <v>980</v>
      </c>
      <c r="E133" s="41" t="inlineStr"/>
      <c r="F133" s="23" t="inlineStr">
        <is>
          <t>Produit</t>
        </is>
      </c>
      <c r="G133" s="23" t="inlineStr">
        <is>
          <t>Studio Riviera</t>
        </is>
      </c>
      <c r="H133" s="23" t="inlineStr">
        <is>
          <t>LOY-07-Stu</t>
        </is>
      </c>
      <c r="I133" s="23" t="n">
        <v>7</v>
      </c>
      <c r="J133" s="18">
        <f>D133-E133</f>
        <v/>
      </c>
    </row>
    <row r="134">
      <c r="A134" s="42" t="n">
        <v>46208</v>
      </c>
      <c r="B134" s="31" t="inlineStr">
        <is>
          <t>706</t>
        </is>
      </c>
      <c r="C134" s="31" t="inlineStr">
        <is>
          <t>Produit locatif Studio Riviera - 07/2026</t>
        </is>
      </c>
      <c r="D134" s="43" t="inlineStr"/>
      <c r="E134" s="43" t="n">
        <v>980</v>
      </c>
      <c r="F134" s="31" t="inlineStr">
        <is>
          <t>Produit</t>
        </is>
      </c>
      <c r="G134" s="31" t="inlineStr">
        <is>
          <t>Studio Riviera</t>
        </is>
      </c>
      <c r="H134" s="31" t="inlineStr">
        <is>
          <t>LOY-07-Stu</t>
        </is>
      </c>
      <c r="I134" s="31" t="n">
        <v>7</v>
      </c>
      <c r="J134" s="14">
        <f>D134-E134</f>
        <v/>
      </c>
    </row>
    <row r="135">
      <c r="A135" s="40" t="n">
        <v>46213</v>
      </c>
      <c r="B135" s="23" t="inlineStr">
        <is>
          <t>614</t>
        </is>
      </c>
      <c r="C135" s="23" t="inlineStr">
        <is>
          <t>Charges copropriété Studio Riviera - 07/2026</t>
        </is>
      </c>
      <c r="D135" s="41" t="n">
        <v>180</v>
      </c>
      <c r="E135" s="41" t="inlineStr"/>
      <c r="F135" s="23" t="inlineStr">
        <is>
          <t>Charge</t>
        </is>
      </c>
      <c r="G135" s="23" t="inlineStr">
        <is>
          <t>Studio Riviera</t>
        </is>
      </c>
      <c r="H135" s="23" t="inlineStr">
        <is>
          <t>CHG-07-Stu</t>
        </is>
      </c>
      <c r="I135" s="23" t="n">
        <v>7</v>
      </c>
      <c r="J135" s="18">
        <f>D135-E135</f>
        <v/>
      </c>
    </row>
    <row r="136">
      <c r="A136" s="42" t="n">
        <v>46213</v>
      </c>
      <c r="B136" s="31" t="inlineStr">
        <is>
          <t>512</t>
        </is>
      </c>
      <c r="C136" s="31" t="inlineStr">
        <is>
          <t>Paiement charges Studio Riviera - 07/2026</t>
        </is>
      </c>
      <c r="D136" s="43" t="inlineStr"/>
      <c r="E136" s="43" t="n">
        <v>180</v>
      </c>
      <c r="F136" s="31" t="inlineStr">
        <is>
          <t>Charge</t>
        </is>
      </c>
      <c r="G136" s="31" t="inlineStr">
        <is>
          <t>Studio Riviera</t>
        </is>
      </c>
      <c r="H136" s="31" t="inlineStr">
        <is>
          <t>CHG-07-Stu</t>
        </is>
      </c>
      <c r="I136" s="31" t="n">
        <v>7</v>
      </c>
      <c r="J136" s="14">
        <f>D136-E136</f>
        <v/>
      </c>
    </row>
    <row r="137">
      <c r="A137" s="40" t="n">
        <v>46208</v>
      </c>
      <c r="B137" s="23" t="inlineStr">
        <is>
          <t>512</t>
        </is>
      </c>
      <c r="C137" s="23" t="inlineStr">
        <is>
          <t>Encaissement loyer Local République - 07/2026</t>
        </is>
      </c>
      <c r="D137" s="41" t="n">
        <v>1450</v>
      </c>
      <c r="E137" s="41" t="inlineStr"/>
      <c r="F137" s="23" t="inlineStr">
        <is>
          <t>Produit</t>
        </is>
      </c>
      <c r="G137" s="23" t="inlineStr">
        <is>
          <t>Local République</t>
        </is>
      </c>
      <c r="H137" s="23" t="inlineStr">
        <is>
          <t>LOY-07-Loc</t>
        </is>
      </c>
      <c r="I137" s="23" t="n">
        <v>7</v>
      </c>
      <c r="J137" s="18">
        <f>D137-E137</f>
        <v/>
      </c>
    </row>
    <row r="138">
      <c r="A138" s="42" t="n">
        <v>46208</v>
      </c>
      <c r="B138" s="31" t="inlineStr">
        <is>
          <t>706</t>
        </is>
      </c>
      <c r="C138" s="31" t="inlineStr">
        <is>
          <t>Produit locatif Local République - 07/2026</t>
        </is>
      </c>
      <c r="D138" s="43" t="inlineStr"/>
      <c r="E138" s="43" t="n">
        <v>1450</v>
      </c>
      <c r="F138" s="31" t="inlineStr">
        <is>
          <t>Produit</t>
        </is>
      </c>
      <c r="G138" s="31" t="inlineStr">
        <is>
          <t>Local République</t>
        </is>
      </c>
      <c r="H138" s="31" t="inlineStr">
        <is>
          <t>LOY-07-Loc</t>
        </is>
      </c>
      <c r="I138" s="31" t="n">
        <v>7</v>
      </c>
      <c r="J138" s="14">
        <f>D138-E138</f>
        <v/>
      </c>
    </row>
    <row r="139">
      <c r="A139" s="40" t="n">
        <v>46213</v>
      </c>
      <c r="B139" s="23" t="inlineStr">
        <is>
          <t>614</t>
        </is>
      </c>
      <c r="C139" s="23" t="inlineStr">
        <is>
          <t>Charges copropriété Local République - 07/2026</t>
        </is>
      </c>
      <c r="D139" s="41" t="n">
        <v>310</v>
      </c>
      <c r="E139" s="41" t="inlineStr"/>
      <c r="F139" s="23" t="inlineStr">
        <is>
          <t>Charge</t>
        </is>
      </c>
      <c r="G139" s="23" t="inlineStr">
        <is>
          <t>Local République</t>
        </is>
      </c>
      <c r="H139" s="23" t="inlineStr">
        <is>
          <t>CHG-07-Loc</t>
        </is>
      </c>
      <c r="I139" s="23" t="n">
        <v>7</v>
      </c>
      <c r="J139" s="18">
        <f>D139-E139</f>
        <v/>
      </c>
    </row>
    <row r="140">
      <c r="A140" s="42" t="n">
        <v>46213</v>
      </c>
      <c r="B140" s="31" t="inlineStr">
        <is>
          <t>512</t>
        </is>
      </c>
      <c r="C140" s="31" t="inlineStr">
        <is>
          <t>Paiement charges Local République - 07/2026</t>
        </is>
      </c>
      <c r="D140" s="43" t="inlineStr"/>
      <c r="E140" s="43" t="n">
        <v>310</v>
      </c>
      <c r="F140" s="31" t="inlineStr">
        <is>
          <t>Charge</t>
        </is>
      </c>
      <c r="G140" s="31" t="inlineStr">
        <is>
          <t>Local République</t>
        </is>
      </c>
      <c r="H140" s="31" t="inlineStr">
        <is>
          <t>CHG-07-Loc</t>
        </is>
      </c>
      <c r="I140" s="31" t="n">
        <v>7</v>
      </c>
      <c r="J140" s="14">
        <f>D140-E140</f>
        <v/>
      </c>
    </row>
    <row r="141">
      <c r="A141" s="40" t="n">
        <v>46208</v>
      </c>
      <c r="B141" s="23" t="inlineStr">
        <is>
          <t>512</t>
        </is>
      </c>
      <c r="C141" s="23" t="inlineStr">
        <is>
          <t>Encaissement loyer Appartement Plage - 07/2026</t>
        </is>
      </c>
      <c r="D141" s="41" t="n">
        <v>1700</v>
      </c>
      <c r="E141" s="41" t="inlineStr"/>
      <c r="F141" s="23" t="inlineStr">
        <is>
          <t>Produit</t>
        </is>
      </c>
      <c r="G141" s="23" t="inlineStr">
        <is>
          <t>Appartement Plage</t>
        </is>
      </c>
      <c r="H141" s="23" t="inlineStr">
        <is>
          <t>LOY-07-App</t>
        </is>
      </c>
      <c r="I141" s="23" t="n">
        <v>7</v>
      </c>
      <c r="J141" s="18">
        <f>D141-E141</f>
        <v/>
      </c>
    </row>
    <row r="142">
      <c r="A142" s="42" t="n">
        <v>46208</v>
      </c>
      <c r="B142" s="31" t="inlineStr">
        <is>
          <t>706</t>
        </is>
      </c>
      <c r="C142" s="31" t="inlineStr">
        <is>
          <t>Produit locatif Appartement Plage - 07/2026</t>
        </is>
      </c>
      <c r="D142" s="43" t="inlineStr"/>
      <c r="E142" s="43" t="n">
        <v>1700</v>
      </c>
      <c r="F142" s="31" t="inlineStr">
        <is>
          <t>Produit</t>
        </is>
      </c>
      <c r="G142" s="31" t="inlineStr">
        <is>
          <t>Appartement Plage</t>
        </is>
      </c>
      <c r="H142" s="31" t="inlineStr">
        <is>
          <t>LOY-07-App</t>
        </is>
      </c>
      <c r="I142" s="31" t="n">
        <v>7</v>
      </c>
      <c r="J142" s="14">
        <f>D142-E142</f>
        <v/>
      </c>
    </row>
    <row r="143">
      <c r="A143" s="40" t="n">
        <v>46213</v>
      </c>
      <c r="B143" s="23" t="inlineStr">
        <is>
          <t>614</t>
        </is>
      </c>
      <c r="C143" s="23" t="inlineStr">
        <is>
          <t>Charges copropriété Appartement Plage - 07/2026</t>
        </is>
      </c>
      <c r="D143" s="41" t="n">
        <v>260</v>
      </c>
      <c r="E143" s="41" t="inlineStr"/>
      <c r="F143" s="23" t="inlineStr">
        <is>
          <t>Charge</t>
        </is>
      </c>
      <c r="G143" s="23" t="inlineStr">
        <is>
          <t>Appartement Plage</t>
        </is>
      </c>
      <c r="H143" s="23" t="inlineStr">
        <is>
          <t>CHG-07-App</t>
        </is>
      </c>
      <c r="I143" s="23" t="n">
        <v>7</v>
      </c>
      <c r="J143" s="18">
        <f>D143-E143</f>
        <v/>
      </c>
    </row>
    <row r="144">
      <c r="A144" s="42" t="n">
        <v>46213</v>
      </c>
      <c r="B144" s="31" t="inlineStr">
        <is>
          <t>512</t>
        </is>
      </c>
      <c r="C144" s="31" t="inlineStr">
        <is>
          <t>Paiement charges Appartement Plage - 07/2026</t>
        </is>
      </c>
      <c r="D144" s="43" t="inlineStr"/>
      <c r="E144" s="43" t="n">
        <v>260</v>
      </c>
      <c r="F144" s="31" t="inlineStr">
        <is>
          <t>Charge</t>
        </is>
      </c>
      <c r="G144" s="31" t="inlineStr">
        <is>
          <t>Appartement Plage</t>
        </is>
      </c>
      <c r="H144" s="31" t="inlineStr">
        <is>
          <t>CHG-07-App</t>
        </is>
      </c>
      <c r="I144" s="31" t="n">
        <v>7</v>
      </c>
      <c r="J144" s="14">
        <f>D144-E144</f>
        <v/>
      </c>
    </row>
    <row r="145">
      <c r="A145" s="40" t="n">
        <v>46239</v>
      </c>
      <c r="B145" s="23" t="inlineStr">
        <is>
          <t>512</t>
        </is>
      </c>
      <c r="C145" s="23" t="inlineStr">
        <is>
          <t>Encaissement loyer Résidence Atlas - 08/2026</t>
        </is>
      </c>
      <c r="D145" s="41" t="n">
        <v>3200</v>
      </c>
      <c r="E145" s="41" t="inlineStr"/>
      <c r="F145" s="23" t="inlineStr">
        <is>
          <t>Produit</t>
        </is>
      </c>
      <c r="G145" s="23" t="inlineStr">
        <is>
          <t>Résidence Atlas</t>
        </is>
      </c>
      <c r="H145" s="23" t="inlineStr">
        <is>
          <t>LOY-08-Rés</t>
        </is>
      </c>
      <c r="I145" s="23" t="n">
        <v>8</v>
      </c>
      <c r="J145" s="18">
        <f>D145-E145</f>
        <v/>
      </c>
    </row>
    <row r="146">
      <c r="A146" s="42" t="n">
        <v>46239</v>
      </c>
      <c r="B146" s="31" t="inlineStr">
        <is>
          <t>706</t>
        </is>
      </c>
      <c r="C146" s="31" t="inlineStr">
        <is>
          <t>Produit locatif Résidence Atlas - 08/2026</t>
        </is>
      </c>
      <c r="D146" s="43" t="inlineStr"/>
      <c r="E146" s="43" t="n">
        <v>3200</v>
      </c>
      <c r="F146" s="31" t="inlineStr">
        <is>
          <t>Produit</t>
        </is>
      </c>
      <c r="G146" s="31" t="inlineStr">
        <is>
          <t>Résidence Atlas</t>
        </is>
      </c>
      <c r="H146" s="31" t="inlineStr">
        <is>
          <t>LOY-08-Rés</t>
        </is>
      </c>
      <c r="I146" s="31" t="n">
        <v>8</v>
      </c>
      <c r="J146" s="14">
        <f>D146-E146</f>
        <v/>
      </c>
    </row>
    <row r="147">
      <c r="A147" s="40" t="n">
        <v>46244</v>
      </c>
      <c r="B147" s="23" t="inlineStr">
        <is>
          <t>614</t>
        </is>
      </c>
      <c r="C147" s="23" t="inlineStr">
        <is>
          <t>Charges copropriété Résidence Atlas - 08/2026</t>
        </is>
      </c>
      <c r="D147" s="41" t="n">
        <v>650</v>
      </c>
      <c r="E147" s="41" t="inlineStr"/>
      <c r="F147" s="23" t="inlineStr">
        <is>
          <t>Charge</t>
        </is>
      </c>
      <c r="G147" s="23" t="inlineStr">
        <is>
          <t>Résidence Atlas</t>
        </is>
      </c>
      <c r="H147" s="23" t="inlineStr">
        <is>
          <t>CHG-08-Rés</t>
        </is>
      </c>
      <c r="I147" s="23" t="n">
        <v>8</v>
      </c>
      <c r="J147" s="18">
        <f>D147-E147</f>
        <v/>
      </c>
    </row>
    <row r="148">
      <c r="A148" s="42" t="n">
        <v>46244</v>
      </c>
      <c r="B148" s="31" t="inlineStr">
        <is>
          <t>512</t>
        </is>
      </c>
      <c r="C148" s="31" t="inlineStr">
        <is>
          <t>Paiement charges Résidence Atlas - 08/2026</t>
        </is>
      </c>
      <c r="D148" s="43" t="inlineStr"/>
      <c r="E148" s="43" t="n">
        <v>650</v>
      </c>
      <c r="F148" s="31" t="inlineStr">
        <is>
          <t>Charge</t>
        </is>
      </c>
      <c r="G148" s="31" t="inlineStr">
        <is>
          <t>Résidence Atlas</t>
        </is>
      </c>
      <c r="H148" s="31" t="inlineStr">
        <is>
          <t>CHG-08-Rés</t>
        </is>
      </c>
      <c r="I148" s="31" t="n">
        <v>8</v>
      </c>
      <c r="J148" s="14">
        <f>D148-E148</f>
        <v/>
      </c>
    </row>
    <row r="149">
      <c r="A149" s="40" t="n">
        <v>46239</v>
      </c>
      <c r="B149" s="23" t="inlineStr">
        <is>
          <t>512</t>
        </is>
      </c>
      <c r="C149" s="23" t="inlineStr">
        <is>
          <t>Encaissement loyer Immeuble Central - 08/2026</t>
        </is>
      </c>
      <c r="D149" s="41" t="n">
        <v>3800</v>
      </c>
      <c r="E149" s="41" t="inlineStr"/>
      <c r="F149" s="23" t="inlineStr">
        <is>
          <t>Produit</t>
        </is>
      </c>
      <c r="G149" s="23" t="inlineStr">
        <is>
          <t>Immeuble Central</t>
        </is>
      </c>
      <c r="H149" s="23" t="inlineStr">
        <is>
          <t>LOY-08-Imm</t>
        </is>
      </c>
      <c r="I149" s="23" t="n">
        <v>8</v>
      </c>
      <c r="J149" s="18">
        <f>D149-E149</f>
        <v/>
      </c>
    </row>
    <row r="150">
      <c r="A150" s="42" t="n">
        <v>46239</v>
      </c>
      <c r="B150" s="31" t="inlineStr">
        <is>
          <t>706</t>
        </is>
      </c>
      <c r="C150" s="31" t="inlineStr">
        <is>
          <t>Produit locatif Immeuble Central - 08/2026</t>
        </is>
      </c>
      <c r="D150" s="43" t="inlineStr"/>
      <c r="E150" s="43" t="n">
        <v>3800</v>
      </c>
      <c r="F150" s="31" t="inlineStr">
        <is>
          <t>Produit</t>
        </is>
      </c>
      <c r="G150" s="31" t="inlineStr">
        <is>
          <t>Immeuble Central</t>
        </is>
      </c>
      <c r="H150" s="31" t="inlineStr">
        <is>
          <t>LOY-08-Imm</t>
        </is>
      </c>
      <c r="I150" s="31" t="n">
        <v>8</v>
      </c>
      <c r="J150" s="14">
        <f>D150-E150</f>
        <v/>
      </c>
    </row>
    <row r="151">
      <c r="A151" s="40" t="n">
        <v>46244</v>
      </c>
      <c r="B151" s="23" t="inlineStr">
        <is>
          <t>614</t>
        </is>
      </c>
      <c r="C151" s="23" t="inlineStr">
        <is>
          <t>Charges copropriété Immeuble Central - 08/2026</t>
        </is>
      </c>
      <c r="D151" s="41" t="n">
        <v>720</v>
      </c>
      <c r="E151" s="41" t="inlineStr"/>
      <c r="F151" s="23" t="inlineStr">
        <is>
          <t>Charge</t>
        </is>
      </c>
      <c r="G151" s="23" t="inlineStr">
        <is>
          <t>Immeuble Central</t>
        </is>
      </c>
      <c r="H151" s="23" t="inlineStr">
        <is>
          <t>CHG-08-Imm</t>
        </is>
      </c>
      <c r="I151" s="23" t="n">
        <v>8</v>
      </c>
      <c r="J151" s="18">
        <f>D151-E151</f>
        <v/>
      </c>
    </row>
    <row r="152">
      <c r="A152" s="42" t="n">
        <v>46244</v>
      </c>
      <c r="B152" s="31" t="inlineStr">
        <is>
          <t>512</t>
        </is>
      </c>
      <c r="C152" s="31" t="inlineStr">
        <is>
          <t>Paiement charges Immeuble Central - 08/2026</t>
        </is>
      </c>
      <c r="D152" s="43" t="inlineStr"/>
      <c r="E152" s="43" t="n">
        <v>720</v>
      </c>
      <c r="F152" s="31" t="inlineStr">
        <is>
          <t>Charge</t>
        </is>
      </c>
      <c r="G152" s="31" t="inlineStr">
        <is>
          <t>Immeuble Central</t>
        </is>
      </c>
      <c r="H152" s="31" t="inlineStr">
        <is>
          <t>CHG-08-Imm</t>
        </is>
      </c>
      <c r="I152" s="31" t="n">
        <v>8</v>
      </c>
      <c r="J152" s="14">
        <f>D152-E152</f>
        <v/>
      </c>
    </row>
    <row r="153">
      <c r="A153" s="40" t="n">
        <v>46239</v>
      </c>
      <c r="B153" s="23" t="inlineStr">
        <is>
          <t>512</t>
        </is>
      </c>
      <c r="C153" s="23" t="inlineStr">
        <is>
          <t>Encaissement loyer Studio Riviera - 08/2026</t>
        </is>
      </c>
      <c r="D153" s="41" t="n">
        <v>980</v>
      </c>
      <c r="E153" s="41" t="inlineStr"/>
      <c r="F153" s="23" t="inlineStr">
        <is>
          <t>Produit</t>
        </is>
      </c>
      <c r="G153" s="23" t="inlineStr">
        <is>
          <t>Studio Riviera</t>
        </is>
      </c>
      <c r="H153" s="23" t="inlineStr">
        <is>
          <t>LOY-08-Stu</t>
        </is>
      </c>
      <c r="I153" s="23" t="n">
        <v>8</v>
      </c>
      <c r="J153" s="18">
        <f>D153-E153</f>
        <v/>
      </c>
    </row>
    <row r="154">
      <c r="A154" s="42" t="n">
        <v>46239</v>
      </c>
      <c r="B154" s="31" t="inlineStr">
        <is>
          <t>706</t>
        </is>
      </c>
      <c r="C154" s="31" t="inlineStr">
        <is>
          <t>Produit locatif Studio Riviera - 08/2026</t>
        </is>
      </c>
      <c r="D154" s="43" t="inlineStr"/>
      <c r="E154" s="43" t="n">
        <v>980</v>
      </c>
      <c r="F154" s="31" t="inlineStr">
        <is>
          <t>Produit</t>
        </is>
      </c>
      <c r="G154" s="31" t="inlineStr">
        <is>
          <t>Studio Riviera</t>
        </is>
      </c>
      <c r="H154" s="31" t="inlineStr">
        <is>
          <t>LOY-08-Stu</t>
        </is>
      </c>
      <c r="I154" s="31" t="n">
        <v>8</v>
      </c>
      <c r="J154" s="14">
        <f>D154-E154</f>
        <v/>
      </c>
    </row>
    <row r="155">
      <c r="A155" s="40" t="n">
        <v>46244</v>
      </c>
      <c r="B155" s="23" t="inlineStr">
        <is>
          <t>614</t>
        </is>
      </c>
      <c r="C155" s="23" t="inlineStr">
        <is>
          <t>Charges copropriété Studio Riviera - 08/2026</t>
        </is>
      </c>
      <c r="D155" s="41" t="n">
        <v>180</v>
      </c>
      <c r="E155" s="41" t="inlineStr"/>
      <c r="F155" s="23" t="inlineStr">
        <is>
          <t>Charge</t>
        </is>
      </c>
      <c r="G155" s="23" t="inlineStr">
        <is>
          <t>Studio Riviera</t>
        </is>
      </c>
      <c r="H155" s="23" t="inlineStr">
        <is>
          <t>CHG-08-Stu</t>
        </is>
      </c>
      <c r="I155" s="23" t="n">
        <v>8</v>
      </c>
      <c r="J155" s="18">
        <f>D155-E155</f>
        <v/>
      </c>
    </row>
    <row r="156">
      <c r="A156" s="42" t="n">
        <v>46244</v>
      </c>
      <c r="B156" s="31" t="inlineStr">
        <is>
          <t>512</t>
        </is>
      </c>
      <c r="C156" s="31" t="inlineStr">
        <is>
          <t>Paiement charges Studio Riviera - 08/2026</t>
        </is>
      </c>
      <c r="D156" s="43" t="inlineStr"/>
      <c r="E156" s="43" t="n">
        <v>180</v>
      </c>
      <c r="F156" s="31" t="inlineStr">
        <is>
          <t>Charge</t>
        </is>
      </c>
      <c r="G156" s="31" t="inlineStr">
        <is>
          <t>Studio Riviera</t>
        </is>
      </c>
      <c r="H156" s="31" t="inlineStr">
        <is>
          <t>CHG-08-Stu</t>
        </is>
      </c>
      <c r="I156" s="31" t="n">
        <v>8</v>
      </c>
      <c r="J156" s="14">
        <f>D156-E156</f>
        <v/>
      </c>
    </row>
    <row r="157">
      <c r="A157" s="40" t="n">
        <v>46239</v>
      </c>
      <c r="B157" s="23" t="inlineStr">
        <is>
          <t>512</t>
        </is>
      </c>
      <c r="C157" s="23" t="inlineStr">
        <is>
          <t>Encaissement loyer Local République - 08/2026</t>
        </is>
      </c>
      <c r="D157" s="41" t="n">
        <v>1450</v>
      </c>
      <c r="E157" s="41" t="inlineStr"/>
      <c r="F157" s="23" t="inlineStr">
        <is>
          <t>Produit</t>
        </is>
      </c>
      <c r="G157" s="23" t="inlineStr">
        <is>
          <t>Local République</t>
        </is>
      </c>
      <c r="H157" s="23" t="inlineStr">
        <is>
          <t>LOY-08-Loc</t>
        </is>
      </c>
      <c r="I157" s="23" t="n">
        <v>8</v>
      </c>
      <c r="J157" s="18">
        <f>D157-E157</f>
        <v/>
      </c>
    </row>
    <row r="158">
      <c r="A158" s="42" t="n">
        <v>46239</v>
      </c>
      <c r="B158" s="31" t="inlineStr">
        <is>
          <t>706</t>
        </is>
      </c>
      <c r="C158" s="31" t="inlineStr">
        <is>
          <t>Produit locatif Local République - 08/2026</t>
        </is>
      </c>
      <c r="D158" s="43" t="inlineStr"/>
      <c r="E158" s="43" t="n">
        <v>1450</v>
      </c>
      <c r="F158" s="31" t="inlineStr">
        <is>
          <t>Produit</t>
        </is>
      </c>
      <c r="G158" s="31" t="inlineStr">
        <is>
          <t>Local République</t>
        </is>
      </c>
      <c r="H158" s="31" t="inlineStr">
        <is>
          <t>LOY-08-Loc</t>
        </is>
      </c>
      <c r="I158" s="31" t="n">
        <v>8</v>
      </c>
      <c r="J158" s="14">
        <f>D158-E158</f>
        <v/>
      </c>
    </row>
    <row r="159">
      <c r="A159" s="40" t="n">
        <v>46244</v>
      </c>
      <c r="B159" s="23" t="inlineStr">
        <is>
          <t>614</t>
        </is>
      </c>
      <c r="C159" s="23" t="inlineStr">
        <is>
          <t>Charges copropriété Local République - 08/2026</t>
        </is>
      </c>
      <c r="D159" s="41" t="n">
        <v>310</v>
      </c>
      <c r="E159" s="41" t="inlineStr"/>
      <c r="F159" s="23" t="inlineStr">
        <is>
          <t>Charge</t>
        </is>
      </c>
      <c r="G159" s="23" t="inlineStr">
        <is>
          <t>Local République</t>
        </is>
      </c>
      <c r="H159" s="23" t="inlineStr">
        <is>
          <t>CHG-08-Loc</t>
        </is>
      </c>
      <c r="I159" s="23" t="n">
        <v>8</v>
      </c>
      <c r="J159" s="18">
        <f>D159-E159</f>
        <v/>
      </c>
    </row>
    <row r="160">
      <c r="A160" s="42" t="n">
        <v>46244</v>
      </c>
      <c r="B160" s="31" t="inlineStr">
        <is>
          <t>512</t>
        </is>
      </c>
      <c r="C160" s="31" t="inlineStr">
        <is>
          <t>Paiement charges Local République - 08/2026</t>
        </is>
      </c>
      <c r="D160" s="43" t="inlineStr"/>
      <c r="E160" s="43" t="n">
        <v>310</v>
      </c>
      <c r="F160" s="31" t="inlineStr">
        <is>
          <t>Charge</t>
        </is>
      </c>
      <c r="G160" s="31" t="inlineStr">
        <is>
          <t>Local République</t>
        </is>
      </c>
      <c r="H160" s="31" t="inlineStr">
        <is>
          <t>CHG-08-Loc</t>
        </is>
      </c>
      <c r="I160" s="31" t="n">
        <v>8</v>
      </c>
      <c r="J160" s="14">
        <f>D160-E160</f>
        <v/>
      </c>
    </row>
    <row r="161">
      <c r="A161" s="40" t="n">
        <v>46239</v>
      </c>
      <c r="B161" s="23" t="inlineStr">
        <is>
          <t>512</t>
        </is>
      </c>
      <c r="C161" s="23" t="inlineStr">
        <is>
          <t>Encaissement loyer Appartement Plage - 08/2026</t>
        </is>
      </c>
      <c r="D161" s="41" t="n">
        <v>1700</v>
      </c>
      <c r="E161" s="41" t="inlineStr"/>
      <c r="F161" s="23" t="inlineStr">
        <is>
          <t>Produit</t>
        </is>
      </c>
      <c r="G161" s="23" t="inlineStr">
        <is>
          <t>Appartement Plage</t>
        </is>
      </c>
      <c r="H161" s="23" t="inlineStr">
        <is>
          <t>LOY-08-App</t>
        </is>
      </c>
      <c r="I161" s="23" t="n">
        <v>8</v>
      </c>
      <c r="J161" s="18">
        <f>D161-E161</f>
        <v/>
      </c>
    </row>
    <row r="162">
      <c r="A162" s="42" t="n">
        <v>46239</v>
      </c>
      <c r="B162" s="31" t="inlineStr">
        <is>
          <t>706</t>
        </is>
      </c>
      <c r="C162" s="31" t="inlineStr">
        <is>
          <t>Produit locatif Appartement Plage - 08/2026</t>
        </is>
      </c>
      <c r="D162" s="43" t="inlineStr"/>
      <c r="E162" s="43" t="n">
        <v>1700</v>
      </c>
      <c r="F162" s="31" t="inlineStr">
        <is>
          <t>Produit</t>
        </is>
      </c>
      <c r="G162" s="31" t="inlineStr">
        <is>
          <t>Appartement Plage</t>
        </is>
      </c>
      <c r="H162" s="31" t="inlineStr">
        <is>
          <t>LOY-08-App</t>
        </is>
      </c>
      <c r="I162" s="31" t="n">
        <v>8</v>
      </c>
      <c r="J162" s="14">
        <f>D162-E162</f>
        <v/>
      </c>
    </row>
    <row r="163">
      <c r="A163" s="40" t="n">
        <v>46244</v>
      </c>
      <c r="B163" s="23" t="inlineStr">
        <is>
          <t>614</t>
        </is>
      </c>
      <c r="C163" s="23" t="inlineStr">
        <is>
          <t>Charges copropriété Appartement Plage - 08/2026</t>
        </is>
      </c>
      <c r="D163" s="41" t="n">
        <v>260</v>
      </c>
      <c r="E163" s="41" t="inlineStr"/>
      <c r="F163" s="23" t="inlineStr">
        <is>
          <t>Charge</t>
        </is>
      </c>
      <c r="G163" s="23" t="inlineStr">
        <is>
          <t>Appartement Plage</t>
        </is>
      </c>
      <c r="H163" s="23" t="inlineStr">
        <is>
          <t>CHG-08-App</t>
        </is>
      </c>
      <c r="I163" s="23" t="n">
        <v>8</v>
      </c>
      <c r="J163" s="18">
        <f>D163-E163</f>
        <v/>
      </c>
    </row>
    <row r="164">
      <c r="A164" s="42" t="n">
        <v>46244</v>
      </c>
      <c r="B164" s="31" t="inlineStr">
        <is>
          <t>512</t>
        </is>
      </c>
      <c r="C164" s="31" t="inlineStr">
        <is>
          <t>Paiement charges Appartement Plage - 08/2026</t>
        </is>
      </c>
      <c r="D164" s="43" t="inlineStr"/>
      <c r="E164" s="43" t="n">
        <v>260</v>
      </c>
      <c r="F164" s="31" t="inlineStr">
        <is>
          <t>Charge</t>
        </is>
      </c>
      <c r="G164" s="31" t="inlineStr">
        <is>
          <t>Appartement Plage</t>
        </is>
      </c>
      <c r="H164" s="31" t="inlineStr">
        <is>
          <t>CHG-08-App</t>
        </is>
      </c>
      <c r="I164" s="31" t="n">
        <v>8</v>
      </c>
      <c r="J164" s="14">
        <f>D164-E164</f>
        <v/>
      </c>
    </row>
    <row r="165">
      <c r="A165" s="40" t="n">
        <v>46270</v>
      </c>
      <c r="B165" s="23" t="inlineStr">
        <is>
          <t>512</t>
        </is>
      </c>
      <c r="C165" s="23" t="inlineStr">
        <is>
          <t>Encaissement loyer Résidence Atlas - 09/2026</t>
        </is>
      </c>
      <c r="D165" s="41" t="n">
        <v>3200</v>
      </c>
      <c r="E165" s="41" t="inlineStr"/>
      <c r="F165" s="23" t="inlineStr">
        <is>
          <t>Produit</t>
        </is>
      </c>
      <c r="G165" s="23" t="inlineStr">
        <is>
          <t>Résidence Atlas</t>
        </is>
      </c>
      <c r="H165" s="23" t="inlineStr">
        <is>
          <t>LOY-09-Rés</t>
        </is>
      </c>
      <c r="I165" s="23" t="n">
        <v>9</v>
      </c>
      <c r="J165" s="18">
        <f>D165-E165</f>
        <v/>
      </c>
    </row>
    <row r="166">
      <c r="A166" s="42" t="n">
        <v>46270</v>
      </c>
      <c r="B166" s="31" t="inlineStr">
        <is>
          <t>706</t>
        </is>
      </c>
      <c r="C166" s="31" t="inlineStr">
        <is>
          <t>Produit locatif Résidence Atlas - 09/2026</t>
        </is>
      </c>
      <c r="D166" s="43" t="inlineStr"/>
      <c r="E166" s="43" t="n">
        <v>3200</v>
      </c>
      <c r="F166" s="31" t="inlineStr">
        <is>
          <t>Produit</t>
        </is>
      </c>
      <c r="G166" s="31" t="inlineStr">
        <is>
          <t>Résidence Atlas</t>
        </is>
      </c>
      <c r="H166" s="31" t="inlineStr">
        <is>
          <t>LOY-09-Rés</t>
        </is>
      </c>
      <c r="I166" s="31" t="n">
        <v>9</v>
      </c>
      <c r="J166" s="14">
        <f>D166-E166</f>
        <v/>
      </c>
    </row>
    <row r="167">
      <c r="A167" s="40" t="n">
        <v>46275</v>
      </c>
      <c r="B167" s="23" t="inlineStr">
        <is>
          <t>614</t>
        </is>
      </c>
      <c r="C167" s="23" t="inlineStr">
        <is>
          <t>Charges copropriété Résidence Atlas - 09/2026</t>
        </is>
      </c>
      <c r="D167" s="41" t="n">
        <v>650</v>
      </c>
      <c r="E167" s="41" t="inlineStr"/>
      <c r="F167" s="23" t="inlineStr">
        <is>
          <t>Charge</t>
        </is>
      </c>
      <c r="G167" s="23" t="inlineStr">
        <is>
          <t>Résidence Atlas</t>
        </is>
      </c>
      <c r="H167" s="23" t="inlineStr">
        <is>
          <t>CHG-09-Rés</t>
        </is>
      </c>
      <c r="I167" s="23" t="n">
        <v>9</v>
      </c>
      <c r="J167" s="18">
        <f>D167-E167</f>
        <v/>
      </c>
    </row>
    <row r="168">
      <c r="A168" s="42" t="n">
        <v>46275</v>
      </c>
      <c r="B168" s="31" t="inlineStr">
        <is>
          <t>512</t>
        </is>
      </c>
      <c r="C168" s="31" t="inlineStr">
        <is>
          <t>Paiement charges Résidence Atlas - 09/2026</t>
        </is>
      </c>
      <c r="D168" s="43" t="inlineStr"/>
      <c r="E168" s="43" t="n">
        <v>650</v>
      </c>
      <c r="F168" s="31" t="inlineStr">
        <is>
          <t>Charge</t>
        </is>
      </c>
      <c r="G168" s="31" t="inlineStr">
        <is>
          <t>Résidence Atlas</t>
        </is>
      </c>
      <c r="H168" s="31" t="inlineStr">
        <is>
          <t>CHG-09-Rés</t>
        </is>
      </c>
      <c r="I168" s="31" t="n">
        <v>9</v>
      </c>
      <c r="J168" s="14">
        <f>D168-E168</f>
        <v/>
      </c>
    </row>
    <row r="169">
      <c r="A169" s="40" t="n">
        <v>46270</v>
      </c>
      <c r="B169" s="23" t="inlineStr">
        <is>
          <t>512</t>
        </is>
      </c>
      <c r="C169" s="23" t="inlineStr">
        <is>
          <t>Encaissement loyer Immeuble Central - 09/2026</t>
        </is>
      </c>
      <c r="D169" s="41" t="n">
        <v>3800</v>
      </c>
      <c r="E169" s="41" t="inlineStr"/>
      <c r="F169" s="23" t="inlineStr">
        <is>
          <t>Produit</t>
        </is>
      </c>
      <c r="G169" s="23" t="inlineStr">
        <is>
          <t>Immeuble Central</t>
        </is>
      </c>
      <c r="H169" s="23" t="inlineStr">
        <is>
          <t>LOY-09-Imm</t>
        </is>
      </c>
      <c r="I169" s="23" t="n">
        <v>9</v>
      </c>
      <c r="J169" s="18">
        <f>D169-E169</f>
        <v/>
      </c>
    </row>
    <row r="170">
      <c r="A170" s="42" t="n">
        <v>46270</v>
      </c>
      <c r="B170" s="31" t="inlineStr">
        <is>
          <t>706</t>
        </is>
      </c>
      <c r="C170" s="31" t="inlineStr">
        <is>
          <t>Produit locatif Immeuble Central - 09/2026</t>
        </is>
      </c>
      <c r="D170" s="43" t="inlineStr"/>
      <c r="E170" s="43" t="n">
        <v>3800</v>
      </c>
      <c r="F170" s="31" t="inlineStr">
        <is>
          <t>Produit</t>
        </is>
      </c>
      <c r="G170" s="31" t="inlineStr">
        <is>
          <t>Immeuble Central</t>
        </is>
      </c>
      <c r="H170" s="31" t="inlineStr">
        <is>
          <t>LOY-09-Imm</t>
        </is>
      </c>
      <c r="I170" s="31" t="n">
        <v>9</v>
      </c>
      <c r="J170" s="14">
        <f>D170-E170</f>
        <v/>
      </c>
    </row>
    <row r="171">
      <c r="A171" s="40" t="n">
        <v>46275</v>
      </c>
      <c r="B171" s="23" t="inlineStr">
        <is>
          <t>614</t>
        </is>
      </c>
      <c r="C171" s="23" t="inlineStr">
        <is>
          <t>Charges copropriété Immeuble Central - 09/2026</t>
        </is>
      </c>
      <c r="D171" s="41" t="n">
        <v>720</v>
      </c>
      <c r="E171" s="41" t="inlineStr"/>
      <c r="F171" s="23" t="inlineStr">
        <is>
          <t>Charge</t>
        </is>
      </c>
      <c r="G171" s="23" t="inlineStr">
        <is>
          <t>Immeuble Central</t>
        </is>
      </c>
      <c r="H171" s="23" t="inlineStr">
        <is>
          <t>CHG-09-Imm</t>
        </is>
      </c>
      <c r="I171" s="23" t="n">
        <v>9</v>
      </c>
      <c r="J171" s="18">
        <f>D171-E171</f>
        <v/>
      </c>
    </row>
    <row r="172">
      <c r="A172" s="42" t="n">
        <v>46275</v>
      </c>
      <c r="B172" s="31" t="inlineStr">
        <is>
          <t>512</t>
        </is>
      </c>
      <c r="C172" s="31" t="inlineStr">
        <is>
          <t>Paiement charges Immeuble Central - 09/2026</t>
        </is>
      </c>
      <c r="D172" s="43" t="inlineStr"/>
      <c r="E172" s="43" t="n">
        <v>720</v>
      </c>
      <c r="F172" s="31" t="inlineStr">
        <is>
          <t>Charge</t>
        </is>
      </c>
      <c r="G172" s="31" t="inlineStr">
        <is>
          <t>Immeuble Central</t>
        </is>
      </c>
      <c r="H172" s="31" t="inlineStr">
        <is>
          <t>CHG-09-Imm</t>
        </is>
      </c>
      <c r="I172" s="31" t="n">
        <v>9</v>
      </c>
      <c r="J172" s="14">
        <f>D172-E172</f>
        <v/>
      </c>
    </row>
    <row r="173">
      <c r="A173" s="40" t="n">
        <v>46270</v>
      </c>
      <c r="B173" s="23" t="inlineStr">
        <is>
          <t>512</t>
        </is>
      </c>
      <c r="C173" s="23" t="inlineStr">
        <is>
          <t>Encaissement loyer Studio Riviera - 09/2026</t>
        </is>
      </c>
      <c r="D173" s="41" t="n">
        <v>980</v>
      </c>
      <c r="E173" s="41" t="inlineStr"/>
      <c r="F173" s="23" t="inlineStr">
        <is>
          <t>Produit</t>
        </is>
      </c>
      <c r="G173" s="23" t="inlineStr">
        <is>
          <t>Studio Riviera</t>
        </is>
      </c>
      <c r="H173" s="23" t="inlineStr">
        <is>
          <t>LOY-09-Stu</t>
        </is>
      </c>
      <c r="I173" s="23" t="n">
        <v>9</v>
      </c>
      <c r="J173" s="18">
        <f>D173-E173</f>
        <v/>
      </c>
    </row>
    <row r="174">
      <c r="A174" s="42" t="n">
        <v>46270</v>
      </c>
      <c r="B174" s="31" t="inlineStr">
        <is>
          <t>706</t>
        </is>
      </c>
      <c r="C174" s="31" t="inlineStr">
        <is>
          <t>Produit locatif Studio Riviera - 09/2026</t>
        </is>
      </c>
      <c r="D174" s="43" t="inlineStr"/>
      <c r="E174" s="43" t="n">
        <v>980</v>
      </c>
      <c r="F174" s="31" t="inlineStr">
        <is>
          <t>Produit</t>
        </is>
      </c>
      <c r="G174" s="31" t="inlineStr">
        <is>
          <t>Studio Riviera</t>
        </is>
      </c>
      <c r="H174" s="31" t="inlineStr">
        <is>
          <t>LOY-09-Stu</t>
        </is>
      </c>
      <c r="I174" s="31" t="n">
        <v>9</v>
      </c>
      <c r="J174" s="14">
        <f>D174-E174</f>
        <v/>
      </c>
    </row>
    <row r="175">
      <c r="A175" s="40" t="n">
        <v>46275</v>
      </c>
      <c r="B175" s="23" t="inlineStr">
        <is>
          <t>614</t>
        </is>
      </c>
      <c r="C175" s="23" t="inlineStr">
        <is>
          <t>Charges copropriété Studio Riviera - 09/2026</t>
        </is>
      </c>
      <c r="D175" s="41" t="n">
        <v>180</v>
      </c>
      <c r="E175" s="41" t="inlineStr"/>
      <c r="F175" s="23" t="inlineStr">
        <is>
          <t>Charge</t>
        </is>
      </c>
      <c r="G175" s="23" t="inlineStr">
        <is>
          <t>Studio Riviera</t>
        </is>
      </c>
      <c r="H175" s="23" t="inlineStr">
        <is>
          <t>CHG-09-Stu</t>
        </is>
      </c>
      <c r="I175" s="23" t="n">
        <v>9</v>
      </c>
      <c r="J175" s="18">
        <f>D175-E175</f>
        <v/>
      </c>
    </row>
    <row r="176">
      <c r="A176" s="42" t="n">
        <v>46275</v>
      </c>
      <c r="B176" s="31" t="inlineStr">
        <is>
          <t>512</t>
        </is>
      </c>
      <c r="C176" s="31" t="inlineStr">
        <is>
          <t>Paiement charges Studio Riviera - 09/2026</t>
        </is>
      </c>
      <c r="D176" s="43" t="inlineStr"/>
      <c r="E176" s="43" t="n">
        <v>180</v>
      </c>
      <c r="F176" s="31" t="inlineStr">
        <is>
          <t>Charge</t>
        </is>
      </c>
      <c r="G176" s="31" t="inlineStr">
        <is>
          <t>Studio Riviera</t>
        </is>
      </c>
      <c r="H176" s="31" t="inlineStr">
        <is>
          <t>CHG-09-Stu</t>
        </is>
      </c>
      <c r="I176" s="31" t="n">
        <v>9</v>
      </c>
      <c r="J176" s="14">
        <f>D176-E176</f>
        <v/>
      </c>
    </row>
    <row r="177">
      <c r="A177" s="40" t="n">
        <v>46270</v>
      </c>
      <c r="B177" s="23" t="inlineStr">
        <is>
          <t>512</t>
        </is>
      </c>
      <c r="C177" s="23" t="inlineStr">
        <is>
          <t>Encaissement loyer Local République - 09/2026</t>
        </is>
      </c>
      <c r="D177" s="41" t="n">
        <v>1450</v>
      </c>
      <c r="E177" s="41" t="inlineStr"/>
      <c r="F177" s="23" t="inlineStr">
        <is>
          <t>Produit</t>
        </is>
      </c>
      <c r="G177" s="23" t="inlineStr">
        <is>
          <t>Local République</t>
        </is>
      </c>
      <c r="H177" s="23" t="inlineStr">
        <is>
          <t>LOY-09-Loc</t>
        </is>
      </c>
      <c r="I177" s="23" t="n">
        <v>9</v>
      </c>
      <c r="J177" s="18">
        <f>D177-E177</f>
        <v/>
      </c>
    </row>
    <row r="178">
      <c r="A178" s="42" t="n">
        <v>46270</v>
      </c>
      <c r="B178" s="31" t="inlineStr">
        <is>
          <t>706</t>
        </is>
      </c>
      <c r="C178" s="31" t="inlineStr">
        <is>
          <t>Produit locatif Local République - 09/2026</t>
        </is>
      </c>
      <c r="D178" s="43" t="inlineStr"/>
      <c r="E178" s="43" t="n">
        <v>1450</v>
      </c>
      <c r="F178" s="31" t="inlineStr">
        <is>
          <t>Produit</t>
        </is>
      </c>
      <c r="G178" s="31" t="inlineStr">
        <is>
          <t>Local République</t>
        </is>
      </c>
      <c r="H178" s="31" t="inlineStr">
        <is>
          <t>LOY-09-Loc</t>
        </is>
      </c>
      <c r="I178" s="31" t="n">
        <v>9</v>
      </c>
      <c r="J178" s="14">
        <f>D178-E178</f>
        <v/>
      </c>
    </row>
    <row r="179">
      <c r="A179" s="40" t="n">
        <v>46275</v>
      </c>
      <c r="B179" s="23" t="inlineStr">
        <is>
          <t>614</t>
        </is>
      </c>
      <c r="C179" s="23" t="inlineStr">
        <is>
          <t>Charges copropriété Local République - 09/2026</t>
        </is>
      </c>
      <c r="D179" s="41" t="n">
        <v>310</v>
      </c>
      <c r="E179" s="41" t="inlineStr"/>
      <c r="F179" s="23" t="inlineStr">
        <is>
          <t>Charge</t>
        </is>
      </c>
      <c r="G179" s="23" t="inlineStr">
        <is>
          <t>Local République</t>
        </is>
      </c>
      <c r="H179" s="23" t="inlineStr">
        <is>
          <t>CHG-09-Loc</t>
        </is>
      </c>
      <c r="I179" s="23" t="n">
        <v>9</v>
      </c>
      <c r="J179" s="18">
        <f>D179-E179</f>
        <v/>
      </c>
    </row>
    <row r="180">
      <c r="A180" s="42" t="n">
        <v>46275</v>
      </c>
      <c r="B180" s="31" t="inlineStr">
        <is>
          <t>512</t>
        </is>
      </c>
      <c r="C180" s="31" t="inlineStr">
        <is>
          <t>Paiement charges Local République - 09/2026</t>
        </is>
      </c>
      <c r="D180" s="43" t="inlineStr"/>
      <c r="E180" s="43" t="n">
        <v>310</v>
      </c>
      <c r="F180" s="31" t="inlineStr">
        <is>
          <t>Charge</t>
        </is>
      </c>
      <c r="G180" s="31" t="inlineStr">
        <is>
          <t>Local République</t>
        </is>
      </c>
      <c r="H180" s="31" t="inlineStr">
        <is>
          <t>CHG-09-Loc</t>
        </is>
      </c>
      <c r="I180" s="31" t="n">
        <v>9</v>
      </c>
      <c r="J180" s="14">
        <f>D180-E180</f>
        <v/>
      </c>
    </row>
    <row r="181">
      <c r="A181" s="40" t="n">
        <v>46270</v>
      </c>
      <c r="B181" s="23" t="inlineStr">
        <is>
          <t>512</t>
        </is>
      </c>
      <c r="C181" s="23" t="inlineStr">
        <is>
          <t>Encaissement loyer Appartement Plage - 09/2026</t>
        </is>
      </c>
      <c r="D181" s="41" t="n">
        <v>1700</v>
      </c>
      <c r="E181" s="41" t="inlineStr"/>
      <c r="F181" s="23" t="inlineStr">
        <is>
          <t>Produit</t>
        </is>
      </c>
      <c r="G181" s="23" t="inlineStr">
        <is>
          <t>Appartement Plage</t>
        </is>
      </c>
      <c r="H181" s="23" t="inlineStr">
        <is>
          <t>LOY-09-App</t>
        </is>
      </c>
      <c r="I181" s="23" t="n">
        <v>9</v>
      </c>
      <c r="J181" s="18">
        <f>D181-E181</f>
        <v/>
      </c>
    </row>
    <row r="182">
      <c r="A182" s="42" t="n">
        <v>46270</v>
      </c>
      <c r="B182" s="31" t="inlineStr">
        <is>
          <t>706</t>
        </is>
      </c>
      <c r="C182" s="31" t="inlineStr">
        <is>
          <t>Produit locatif Appartement Plage - 09/2026</t>
        </is>
      </c>
      <c r="D182" s="43" t="inlineStr"/>
      <c r="E182" s="43" t="n">
        <v>1700</v>
      </c>
      <c r="F182" s="31" t="inlineStr">
        <is>
          <t>Produit</t>
        </is>
      </c>
      <c r="G182" s="31" t="inlineStr">
        <is>
          <t>Appartement Plage</t>
        </is>
      </c>
      <c r="H182" s="31" t="inlineStr">
        <is>
          <t>LOY-09-App</t>
        </is>
      </c>
      <c r="I182" s="31" t="n">
        <v>9</v>
      </c>
      <c r="J182" s="14">
        <f>D182-E182</f>
        <v/>
      </c>
    </row>
    <row r="183">
      <c r="A183" s="40" t="n">
        <v>46275</v>
      </c>
      <c r="B183" s="23" t="inlineStr">
        <is>
          <t>614</t>
        </is>
      </c>
      <c r="C183" s="23" t="inlineStr">
        <is>
          <t>Charges copropriété Appartement Plage - 09/2026</t>
        </is>
      </c>
      <c r="D183" s="41" t="n">
        <v>260</v>
      </c>
      <c r="E183" s="41" t="inlineStr"/>
      <c r="F183" s="23" t="inlineStr">
        <is>
          <t>Charge</t>
        </is>
      </c>
      <c r="G183" s="23" t="inlineStr">
        <is>
          <t>Appartement Plage</t>
        </is>
      </c>
      <c r="H183" s="23" t="inlineStr">
        <is>
          <t>CHG-09-App</t>
        </is>
      </c>
      <c r="I183" s="23" t="n">
        <v>9</v>
      </c>
      <c r="J183" s="18">
        <f>D183-E183</f>
        <v/>
      </c>
    </row>
    <row r="184">
      <c r="A184" s="42" t="n">
        <v>46275</v>
      </c>
      <c r="B184" s="31" t="inlineStr">
        <is>
          <t>512</t>
        </is>
      </c>
      <c r="C184" s="31" t="inlineStr">
        <is>
          <t>Paiement charges Appartement Plage - 09/2026</t>
        </is>
      </c>
      <c r="D184" s="43" t="inlineStr"/>
      <c r="E184" s="43" t="n">
        <v>260</v>
      </c>
      <c r="F184" s="31" t="inlineStr">
        <is>
          <t>Charge</t>
        </is>
      </c>
      <c r="G184" s="31" t="inlineStr">
        <is>
          <t>Appartement Plage</t>
        </is>
      </c>
      <c r="H184" s="31" t="inlineStr">
        <is>
          <t>CHG-09-App</t>
        </is>
      </c>
      <c r="I184" s="31" t="n">
        <v>9</v>
      </c>
      <c r="J184" s="14">
        <f>D184-E184</f>
        <v/>
      </c>
    </row>
    <row r="185">
      <c r="A185" s="40" t="n">
        <v>46300</v>
      </c>
      <c r="B185" s="23" t="inlineStr">
        <is>
          <t>512</t>
        </is>
      </c>
      <c r="C185" s="23" t="inlineStr">
        <is>
          <t>Encaissement loyer Résidence Atlas - 10/2026</t>
        </is>
      </c>
      <c r="D185" s="41" t="n">
        <v>3200</v>
      </c>
      <c r="E185" s="41" t="inlineStr"/>
      <c r="F185" s="23" t="inlineStr">
        <is>
          <t>Produit</t>
        </is>
      </c>
      <c r="G185" s="23" t="inlineStr">
        <is>
          <t>Résidence Atlas</t>
        </is>
      </c>
      <c r="H185" s="23" t="inlineStr">
        <is>
          <t>LOY-10-Rés</t>
        </is>
      </c>
      <c r="I185" s="23" t="n">
        <v>10</v>
      </c>
      <c r="J185" s="18">
        <f>D185-E185</f>
        <v/>
      </c>
    </row>
    <row r="186">
      <c r="A186" s="42" t="n">
        <v>46300</v>
      </c>
      <c r="B186" s="31" t="inlineStr">
        <is>
          <t>706</t>
        </is>
      </c>
      <c r="C186" s="31" t="inlineStr">
        <is>
          <t>Produit locatif Résidence Atlas - 10/2026</t>
        </is>
      </c>
      <c r="D186" s="43" t="inlineStr"/>
      <c r="E186" s="43" t="n">
        <v>3200</v>
      </c>
      <c r="F186" s="31" t="inlineStr">
        <is>
          <t>Produit</t>
        </is>
      </c>
      <c r="G186" s="31" t="inlineStr">
        <is>
          <t>Résidence Atlas</t>
        </is>
      </c>
      <c r="H186" s="31" t="inlineStr">
        <is>
          <t>LOY-10-Rés</t>
        </is>
      </c>
      <c r="I186" s="31" t="n">
        <v>10</v>
      </c>
      <c r="J186" s="14">
        <f>D186-E186</f>
        <v/>
      </c>
    </row>
    <row r="187">
      <c r="A187" s="40" t="n">
        <v>46305</v>
      </c>
      <c r="B187" s="23" t="inlineStr">
        <is>
          <t>614</t>
        </is>
      </c>
      <c r="C187" s="23" t="inlineStr">
        <is>
          <t>Charges copropriété Résidence Atlas - 10/2026</t>
        </is>
      </c>
      <c r="D187" s="41" t="n">
        <v>650</v>
      </c>
      <c r="E187" s="41" t="inlineStr"/>
      <c r="F187" s="23" t="inlineStr">
        <is>
          <t>Charge</t>
        </is>
      </c>
      <c r="G187" s="23" t="inlineStr">
        <is>
          <t>Résidence Atlas</t>
        </is>
      </c>
      <c r="H187" s="23" t="inlineStr">
        <is>
          <t>CHG-10-Rés</t>
        </is>
      </c>
      <c r="I187" s="23" t="n">
        <v>10</v>
      </c>
      <c r="J187" s="18">
        <f>D187-E187</f>
        <v/>
      </c>
    </row>
    <row r="188">
      <c r="A188" s="42" t="n">
        <v>46305</v>
      </c>
      <c r="B188" s="31" t="inlineStr">
        <is>
          <t>512</t>
        </is>
      </c>
      <c r="C188" s="31" t="inlineStr">
        <is>
          <t>Paiement charges Résidence Atlas - 10/2026</t>
        </is>
      </c>
      <c r="D188" s="43" t="inlineStr"/>
      <c r="E188" s="43" t="n">
        <v>650</v>
      </c>
      <c r="F188" s="31" t="inlineStr">
        <is>
          <t>Charge</t>
        </is>
      </c>
      <c r="G188" s="31" t="inlineStr">
        <is>
          <t>Résidence Atlas</t>
        </is>
      </c>
      <c r="H188" s="31" t="inlineStr">
        <is>
          <t>CHG-10-Rés</t>
        </is>
      </c>
      <c r="I188" s="31" t="n">
        <v>10</v>
      </c>
      <c r="J188" s="14">
        <f>D188-E188</f>
        <v/>
      </c>
    </row>
    <row r="189">
      <c r="A189" s="40" t="n">
        <v>46300</v>
      </c>
      <c r="B189" s="23" t="inlineStr">
        <is>
          <t>512</t>
        </is>
      </c>
      <c r="C189" s="23" t="inlineStr">
        <is>
          <t>Encaissement loyer Immeuble Central - 10/2026</t>
        </is>
      </c>
      <c r="D189" s="41" t="n">
        <v>3800</v>
      </c>
      <c r="E189" s="41" t="inlineStr"/>
      <c r="F189" s="23" t="inlineStr">
        <is>
          <t>Produit</t>
        </is>
      </c>
      <c r="G189" s="23" t="inlineStr">
        <is>
          <t>Immeuble Central</t>
        </is>
      </c>
      <c r="H189" s="23" t="inlineStr">
        <is>
          <t>LOY-10-Imm</t>
        </is>
      </c>
      <c r="I189" s="23" t="n">
        <v>10</v>
      </c>
      <c r="J189" s="18">
        <f>D189-E189</f>
        <v/>
      </c>
    </row>
    <row r="190">
      <c r="A190" s="42" t="n">
        <v>46300</v>
      </c>
      <c r="B190" s="31" t="inlineStr">
        <is>
          <t>706</t>
        </is>
      </c>
      <c r="C190" s="31" t="inlineStr">
        <is>
          <t>Produit locatif Immeuble Central - 10/2026</t>
        </is>
      </c>
      <c r="D190" s="43" t="inlineStr"/>
      <c r="E190" s="43" t="n">
        <v>3800</v>
      </c>
      <c r="F190" s="31" t="inlineStr">
        <is>
          <t>Produit</t>
        </is>
      </c>
      <c r="G190" s="31" t="inlineStr">
        <is>
          <t>Immeuble Central</t>
        </is>
      </c>
      <c r="H190" s="31" t="inlineStr">
        <is>
          <t>LOY-10-Imm</t>
        </is>
      </c>
      <c r="I190" s="31" t="n">
        <v>10</v>
      </c>
      <c r="J190" s="14">
        <f>D190-E190</f>
        <v/>
      </c>
    </row>
    <row r="191">
      <c r="A191" s="40" t="n">
        <v>46305</v>
      </c>
      <c r="B191" s="23" t="inlineStr">
        <is>
          <t>614</t>
        </is>
      </c>
      <c r="C191" s="23" t="inlineStr">
        <is>
          <t>Charges copropriété Immeuble Central - 10/2026</t>
        </is>
      </c>
      <c r="D191" s="41" t="n">
        <v>720</v>
      </c>
      <c r="E191" s="41" t="inlineStr"/>
      <c r="F191" s="23" t="inlineStr">
        <is>
          <t>Charge</t>
        </is>
      </c>
      <c r="G191" s="23" t="inlineStr">
        <is>
          <t>Immeuble Central</t>
        </is>
      </c>
      <c r="H191" s="23" t="inlineStr">
        <is>
          <t>CHG-10-Imm</t>
        </is>
      </c>
      <c r="I191" s="23" t="n">
        <v>10</v>
      </c>
      <c r="J191" s="18">
        <f>D191-E191</f>
        <v/>
      </c>
    </row>
    <row r="192">
      <c r="A192" s="42" t="n">
        <v>46305</v>
      </c>
      <c r="B192" s="31" t="inlineStr">
        <is>
          <t>512</t>
        </is>
      </c>
      <c r="C192" s="31" t="inlineStr">
        <is>
          <t>Paiement charges Immeuble Central - 10/2026</t>
        </is>
      </c>
      <c r="D192" s="43" t="inlineStr"/>
      <c r="E192" s="43" t="n">
        <v>720</v>
      </c>
      <c r="F192" s="31" t="inlineStr">
        <is>
          <t>Charge</t>
        </is>
      </c>
      <c r="G192" s="31" t="inlineStr">
        <is>
          <t>Immeuble Central</t>
        </is>
      </c>
      <c r="H192" s="31" t="inlineStr">
        <is>
          <t>CHG-10-Imm</t>
        </is>
      </c>
      <c r="I192" s="31" t="n">
        <v>10</v>
      </c>
      <c r="J192" s="14">
        <f>D192-E192</f>
        <v/>
      </c>
    </row>
    <row r="193">
      <c r="A193" s="40" t="n">
        <v>46300</v>
      </c>
      <c r="B193" s="23" t="inlineStr">
        <is>
          <t>512</t>
        </is>
      </c>
      <c r="C193" s="23" t="inlineStr">
        <is>
          <t>Encaissement loyer Studio Riviera - 10/2026</t>
        </is>
      </c>
      <c r="D193" s="41" t="n">
        <v>980</v>
      </c>
      <c r="E193" s="41" t="inlineStr"/>
      <c r="F193" s="23" t="inlineStr">
        <is>
          <t>Produit</t>
        </is>
      </c>
      <c r="G193" s="23" t="inlineStr">
        <is>
          <t>Studio Riviera</t>
        </is>
      </c>
      <c r="H193" s="23" t="inlineStr">
        <is>
          <t>LOY-10-Stu</t>
        </is>
      </c>
      <c r="I193" s="23" t="n">
        <v>10</v>
      </c>
      <c r="J193" s="18">
        <f>D193-E193</f>
        <v/>
      </c>
    </row>
    <row r="194">
      <c r="A194" s="42" t="n">
        <v>46300</v>
      </c>
      <c r="B194" s="31" t="inlineStr">
        <is>
          <t>706</t>
        </is>
      </c>
      <c r="C194" s="31" t="inlineStr">
        <is>
          <t>Produit locatif Studio Riviera - 10/2026</t>
        </is>
      </c>
      <c r="D194" s="43" t="inlineStr"/>
      <c r="E194" s="43" t="n">
        <v>980</v>
      </c>
      <c r="F194" s="31" t="inlineStr">
        <is>
          <t>Produit</t>
        </is>
      </c>
      <c r="G194" s="31" t="inlineStr">
        <is>
          <t>Studio Riviera</t>
        </is>
      </c>
      <c r="H194" s="31" t="inlineStr">
        <is>
          <t>LOY-10-Stu</t>
        </is>
      </c>
      <c r="I194" s="31" t="n">
        <v>10</v>
      </c>
      <c r="J194" s="14">
        <f>D194-E194</f>
        <v/>
      </c>
    </row>
    <row r="195">
      <c r="A195" s="40" t="n">
        <v>46305</v>
      </c>
      <c r="B195" s="23" t="inlineStr">
        <is>
          <t>614</t>
        </is>
      </c>
      <c r="C195" s="23" t="inlineStr">
        <is>
          <t>Charges copropriété Studio Riviera - 10/2026</t>
        </is>
      </c>
      <c r="D195" s="41" t="n">
        <v>180</v>
      </c>
      <c r="E195" s="41" t="inlineStr"/>
      <c r="F195" s="23" t="inlineStr">
        <is>
          <t>Charge</t>
        </is>
      </c>
      <c r="G195" s="23" t="inlineStr">
        <is>
          <t>Studio Riviera</t>
        </is>
      </c>
      <c r="H195" s="23" t="inlineStr">
        <is>
          <t>CHG-10-Stu</t>
        </is>
      </c>
      <c r="I195" s="23" t="n">
        <v>10</v>
      </c>
      <c r="J195" s="18">
        <f>D195-E195</f>
        <v/>
      </c>
    </row>
    <row r="196">
      <c r="A196" s="42" t="n">
        <v>46305</v>
      </c>
      <c r="B196" s="31" t="inlineStr">
        <is>
          <t>512</t>
        </is>
      </c>
      <c r="C196" s="31" t="inlineStr">
        <is>
          <t>Paiement charges Studio Riviera - 10/2026</t>
        </is>
      </c>
      <c r="D196" s="43" t="inlineStr"/>
      <c r="E196" s="43" t="n">
        <v>180</v>
      </c>
      <c r="F196" s="31" t="inlineStr">
        <is>
          <t>Charge</t>
        </is>
      </c>
      <c r="G196" s="31" t="inlineStr">
        <is>
          <t>Studio Riviera</t>
        </is>
      </c>
      <c r="H196" s="31" t="inlineStr">
        <is>
          <t>CHG-10-Stu</t>
        </is>
      </c>
      <c r="I196" s="31" t="n">
        <v>10</v>
      </c>
      <c r="J196" s="14">
        <f>D196-E196</f>
        <v/>
      </c>
    </row>
    <row r="197">
      <c r="A197" s="40" t="n">
        <v>46300</v>
      </c>
      <c r="B197" s="23" t="inlineStr">
        <is>
          <t>512</t>
        </is>
      </c>
      <c r="C197" s="23" t="inlineStr">
        <is>
          <t>Encaissement loyer Local République - 10/2026</t>
        </is>
      </c>
      <c r="D197" s="41" t="n">
        <v>1450</v>
      </c>
      <c r="E197" s="41" t="inlineStr"/>
      <c r="F197" s="23" t="inlineStr">
        <is>
          <t>Produit</t>
        </is>
      </c>
      <c r="G197" s="23" t="inlineStr">
        <is>
          <t>Local République</t>
        </is>
      </c>
      <c r="H197" s="23" t="inlineStr">
        <is>
          <t>LOY-10-Loc</t>
        </is>
      </c>
      <c r="I197" s="23" t="n">
        <v>10</v>
      </c>
      <c r="J197" s="18">
        <f>D197-E197</f>
        <v/>
      </c>
    </row>
    <row r="198">
      <c r="A198" s="42" t="n">
        <v>46300</v>
      </c>
      <c r="B198" s="31" t="inlineStr">
        <is>
          <t>706</t>
        </is>
      </c>
      <c r="C198" s="31" t="inlineStr">
        <is>
          <t>Produit locatif Local République - 10/2026</t>
        </is>
      </c>
      <c r="D198" s="43" t="inlineStr"/>
      <c r="E198" s="43" t="n">
        <v>1450</v>
      </c>
      <c r="F198" s="31" t="inlineStr">
        <is>
          <t>Produit</t>
        </is>
      </c>
      <c r="G198" s="31" t="inlineStr">
        <is>
          <t>Local République</t>
        </is>
      </c>
      <c r="H198" s="31" t="inlineStr">
        <is>
          <t>LOY-10-Loc</t>
        </is>
      </c>
      <c r="I198" s="31" t="n">
        <v>10</v>
      </c>
      <c r="J198" s="14">
        <f>D198-E198</f>
        <v/>
      </c>
    </row>
    <row r="199">
      <c r="A199" s="40" t="n">
        <v>46305</v>
      </c>
      <c r="B199" s="23" t="inlineStr">
        <is>
          <t>614</t>
        </is>
      </c>
      <c r="C199" s="23" t="inlineStr">
        <is>
          <t>Charges copropriété Local République - 10/2026</t>
        </is>
      </c>
      <c r="D199" s="41" t="n">
        <v>310</v>
      </c>
      <c r="E199" s="41" t="inlineStr"/>
      <c r="F199" s="23" t="inlineStr">
        <is>
          <t>Charge</t>
        </is>
      </c>
      <c r="G199" s="23" t="inlineStr">
        <is>
          <t>Local République</t>
        </is>
      </c>
      <c r="H199" s="23" t="inlineStr">
        <is>
          <t>CHG-10-Loc</t>
        </is>
      </c>
      <c r="I199" s="23" t="n">
        <v>10</v>
      </c>
      <c r="J199" s="18">
        <f>D199-E199</f>
        <v/>
      </c>
    </row>
    <row r="200">
      <c r="A200" s="42" t="n">
        <v>46305</v>
      </c>
      <c r="B200" s="31" t="inlineStr">
        <is>
          <t>512</t>
        </is>
      </c>
      <c r="C200" s="31" t="inlineStr">
        <is>
          <t>Paiement charges Local République - 10/2026</t>
        </is>
      </c>
      <c r="D200" s="43" t="inlineStr"/>
      <c r="E200" s="43" t="n">
        <v>310</v>
      </c>
      <c r="F200" s="31" t="inlineStr">
        <is>
          <t>Charge</t>
        </is>
      </c>
      <c r="G200" s="31" t="inlineStr">
        <is>
          <t>Local République</t>
        </is>
      </c>
      <c r="H200" s="31" t="inlineStr">
        <is>
          <t>CHG-10-Loc</t>
        </is>
      </c>
      <c r="I200" s="31" t="n">
        <v>10</v>
      </c>
      <c r="J200" s="14">
        <f>D200-E200</f>
        <v/>
      </c>
    </row>
    <row r="201">
      <c r="A201" s="40" t="n">
        <v>46300</v>
      </c>
      <c r="B201" s="23" t="inlineStr">
        <is>
          <t>512</t>
        </is>
      </c>
      <c r="C201" s="23" t="inlineStr">
        <is>
          <t>Encaissement loyer Appartement Plage - 10/2026</t>
        </is>
      </c>
      <c r="D201" s="41" t="n">
        <v>1700</v>
      </c>
      <c r="E201" s="41" t="inlineStr"/>
      <c r="F201" s="23" t="inlineStr">
        <is>
          <t>Produit</t>
        </is>
      </c>
      <c r="G201" s="23" t="inlineStr">
        <is>
          <t>Appartement Plage</t>
        </is>
      </c>
      <c r="H201" s="23" t="inlineStr">
        <is>
          <t>LOY-10-App</t>
        </is>
      </c>
      <c r="I201" s="23" t="n">
        <v>10</v>
      </c>
      <c r="J201" s="18">
        <f>D201-E201</f>
        <v/>
      </c>
    </row>
    <row r="202">
      <c r="A202" s="42" t="n">
        <v>46300</v>
      </c>
      <c r="B202" s="31" t="inlineStr">
        <is>
          <t>706</t>
        </is>
      </c>
      <c r="C202" s="31" t="inlineStr">
        <is>
          <t>Produit locatif Appartement Plage - 10/2026</t>
        </is>
      </c>
      <c r="D202" s="43" t="inlineStr"/>
      <c r="E202" s="43" t="n">
        <v>1700</v>
      </c>
      <c r="F202" s="31" t="inlineStr">
        <is>
          <t>Produit</t>
        </is>
      </c>
      <c r="G202" s="31" t="inlineStr">
        <is>
          <t>Appartement Plage</t>
        </is>
      </c>
      <c r="H202" s="31" t="inlineStr">
        <is>
          <t>LOY-10-App</t>
        </is>
      </c>
      <c r="I202" s="31" t="n">
        <v>10</v>
      </c>
      <c r="J202" s="14">
        <f>D202-E202</f>
        <v/>
      </c>
    </row>
    <row r="203">
      <c r="A203" s="40" t="n">
        <v>46305</v>
      </c>
      <c r="B203" s="23" t="inlineStr">
        <is>
          <t>614</t>
        </is>
      </c>
      <c r="C203" s="23" t="inlineStr">
        <is>
          <t>Charges copropriété Appartement Plage - 10/2026</t>
        </is>
      </c>
      <c r="D203" s="41" t="n">
        <v>260</v>
      </c>
      <c r="E203" s="41" t="inlineStr"/>
      <c r="F203" s="23" t="inlineStr">
        <is>
          <t>Charge</t>
        </is>
      </c>
      <c r="G203" s="23" t="inlineStr">
        <is>
          <t>Appartement Plage</t>
        </is>
      </c>
      <c r="H203" s="23" t="inlineStr">
        <is>
          <t>CHG-10-App</t>
        </is>
      </c>
      <c r="I203" s="23" t="n">
        <v>10</v>
      </c>
      <c r="J203" s="18">
        <f>D203-E203</f>
        <v/>
      </c>
    </row>
    <row r="204">
      <c r="A204" s="42" t="n">
        <v>46305</v>
      </c>
      <c r="B204" s="31" t="inlineStr">
        <is>
          <t>512</t>
        </is>
      </c>
      <c r="C204" s="31" t="inlineStr">
        <is>
          <t>Paiement charges Appartement Plage - 10/2026</t>
        </is>
      </c>
      <c r="D204" s="43" t="inlineStr"/>
      <c r="E204" s="43" t="n">
        <v>260</v>
      </c>
      <c r="F204" s="31" t="inlineStr">
        <is>
          <t>Charge</t>
        </is>
      </c>
      <c r="G204" s="31" t="inlineStr">
        <is>
          <t>Appartement Plage</t>
        </is>
      </c>
      <c r="H204" s="31" t="inlineStr">
        <is>
          <t>CHG-10-App</t>
        </is>
      </c>
      <c r="I204" s="31" t="n">
        <v>10</v>
      </c>
      <c r="J204" s="14">
        <f>D204-E204</f>
        <v/>
      </c>
    </row>
    <row r="205">
      <c r="A205" s="40" t="n">
        <v>46331</v>
      </c>
      <c r="B205" s="23" t="inlineStr">
        <is>
          <t>512</t>
        </is>
      </c>
      <c r="C205" s="23" t="inlineStr">
        <is>
          <t>Encaissement loyer Résidence Atlas - 11/2026</t>
        </is>
      </c>
      <c r="D205" s="41" t="n">
        <v>3200</v>
      </c>
      <c r="E205" s="41" t="inlineStr"/>
      <c r="F205" s="23" t="inlineStr">
        <is>
          <t>Produit</t>
        </is>
      </c>
      <c r="G205" s="23" t="inlineStr">
        <is>
          <t>Résidence Atlas</t>
        </is>
      </c>
      <c r="H205" s="23" t="inlineStr">
        <is>
          <t>LOY-11-Rés</t>
        </is>
      </c>
      <c r="I205" s="23" t="n">
        <v>11</v>
      </c>
      <c r="J205" s="18">
        <f>D205-E205</f>
        <v/>
      </c>
    </row>
    <row r="206">
      <c r="A206" s="42" t="n">
        <v>46331</v>
      </c>
      <c r="B206" s="31" t="inlineStr">
        <is>
          <t>706</t>
        </is>
      </c>
      <c r="C206" s="31" t="inlineStr">
        <is>
          <t>Produit locatif Résidence Atlas - 11/2026</t>
        </is>
      </c>
      <c r="D206" s="43" t="inlineStr"/>
      <c r="E206" s="43" t="n">
        <v>3200</v>
      </c>
      <c r="F206" s="31" t="inlineStr">
        <is>
          <t>Produit</t>
        </is>
      </c>
      <c r="G206" s="31" t="inlineStr">
        <is>
          <t>Résidence Atlas</t>
        </is>
      </c>
      <c r="H206" s="31" t="inlineStr">
        <is>
          <t>LOY-11-Rés</t>
        </is>
      </c>
      <c r="I206" s="31" t="n">
        <v>11</v>
      </c>
      <c r="J206" s="14">
        <f>D206-E206</f>
        <v/>
      </c>
    </row>
    <row r="207">
      <c r="A207" s="40" t="n">
        <v>46336</v>
      </c>
      <c r="B207" s="23" t="inlineStr">
        <is>
          <t>614</t>
        </is>
      </c>
      <c r="C207" s="23" t="inlineStr">
        <is>
          <t>Charges copropriété Résidence Atlas - 11/2026</t>
        </is>
      </c>
      <c r="D207" s="41" t="n">
        <v>650</v>
      </c>
      <c r="E207" s="41" t="inlineStr"/>
      <c r="F207" s="23" t="inlineStr">
        <is>
          <t>Charge</t>
        </is>
      </c>
      <c r="G207" s="23" t="inlineStr">
        <is>
          <t>Résidence Atlas</t>
        </is>
      </c>
      <c r="H207" s="23" t="inlineStr">
        <is>
          <t>CHG-11-Rés</t>
        </is>
      </c>
      <c r="I207" s="23" t="n">
        <v>11</v>
      </c>
      <c r="J207" s="18">
        <f>D207-E207</f>
        <v/>
      </c>
    </row>
    <row r="208">
      <c r="A208" s="42" t="n">
        <v>46336</v>
      </c>
      <c r="B208" s="31" t="inlineStr">
        <is>
          <t>512</t>
        </is>
      </c>
      <c r="C208" s="31" t="inlineStr">
        <is>
          <t>Paiement charges Résidence Atlas - 11/2026</t>
        </is>
      </c>
      <c r="D208" s="43" t="inlineStr"/>
      <c r="E208" s="43" t="n">
        <v>650</v>
      </c>
      <c r="F208" s="31" t="inlineStr">
        <is>
          <t>Charge</t>
        </is>
      </c>
      <c r="G208" s="31" t="inlineStr">
        <is>
          <t>Résidence Atlas</t>
        </is>
      </c>
      <c r="H208" s="31" t="inlineStr">
        <is>
          <t>CHG-11-Rés</t>
        </is>
      </c>
      <c r="I208" s="31" t="n">
        <v>11</v>
      </c>
      <c r="J208" s="14">
        <f>D208-E208</f>
        <v/>
      </c>
    </row>
    <row r="209">
      <c r="A209" s="40" t="n">
        <v>46331</v>
      </c>
      <c r="B209" s="23" t="inlineStr">
        <is>
          <t>512</t>
        </is>
      </c>
      <c r="C209" s="23" t="inlineStr">
        <is>
          <t>Encaissement loyer Immeuble Central - 11/2026</t>
        </is>
      </c>
      <c r="D209" s="41" t="n">
        <v>3800</v>
      </c>
      <c r="E209" s="41" t="inlineStr"/>
      <c r="F209" s="23" t="inlineStr">
        <is>
          <t>Produit</t>
        </is>
      </c>
      <c r="G209" s="23" t="inlineStr">
        <is>
          <t>Immeuble Central</t>
        </is>
      </c>
      <c r="H209" s="23" t="inlineStr">
        <is>
          <t>LOY-11-Imm</t>
        </is>
      </c>
      <c r="I209" s="23" t="n">
        <v>11</v>
      </c>
      <c r="J209" s="18">
        <f>D209-E209</f>
        <v/>
      </c>
    </row>
    <row r="210">
      <c r="A210" s="42" t="n">
        <v>46331</v>
      </c>
      <c r="B210" s="31" t="inlineStr">
        <is>
          <t>706</t>
        </is>
      </c>
      <c r="C210" s="31" t="inlineStr">
        <is>
          <t>Produit locatif Immeuble Central - 11/2026</t>
        </is>
      </c>
      <c r="D210" s="43" t="inlineStr"/>
      <c r="E210" s="43" t="n">
        <v>3800</v>
      </c>
      <c r="F210" s="31" t="inlineStr">
        <is>
          <t>Produit</t>
        </is>
      </c>
      <c r="G210" s="31" t="inlineStr">
        <is>
          <t>Immeuble Central</t>
        </is>
      </c>
      <c r="H210" s="31" t="inlineStr">
        <is>
          <t>LOY-11-Imm</t>
        </is>
      </c>
      <c r="I210" s="31" t="n">
        <v>11</v>
      </c>
      <c r="J210" s="14">
        <f>D210-E210</f>
        <v/>
      </c>
    </row>
    <row r="211">
      <c r="A211" s="40" t="n">
        <v>46336</v>
      </c>
      <c r="B211" s="23" t="inlineStr">
        <is>
          <t>614</t>
        </is>
      </c>
      <c r="C211" s="23" t="inlineStr">
        <is>
          <t>Charges copropriété Immeuble Central - 11/2026</t>
        </is>
      </c>
      <c r="D211" s="41" t="n">
        <v>720</v>
      </c>
      <c r="E211" s="41" t="inlineStr"/>
      <c r="F211" s="23" t="inlineStr">
        <is>
          <t>Charge</t>
        </is>
      </c>
      <c r="G211" s="23" t="inlineStr">
        <is>
          <t>Immeuble Central</t>
        </is>
      </c>
      <c r="H211" s="23" t="inlineStr">
        <is>
          <t>CHG-11-Imm</t>
        </is>
      </c>
      <c r="I211" s="23" t="n">
        <v>11</v>
      </c>
      <c r="J211" s="18">
        <f>D211-E211</f>
        <v/>
      </c>
    </row>
    <row r="212">
      <c r="A212" s="42" t="n">
        <v>46336</v>
      </c>
      <c r="B212" s="31" t="inlineStr">
        <is>
          <t>512</t>
        </is>
      </c>
      <c r="C212" s="31" t="inlineStr">
        <is>
          <t>Paiement charges Immeuble Central - 11/2026</t>
        </is>
      </c>
      <c r="D212" s="43" t="inlineStr"/>
      <c r="E212" s="43" t="n">
        <v>720</v>
      </c>
      <c r="F212" s="31" t="inlineStr">
        <is>
          <t>Charge</t>
        </is>
      </c>
      <c r="G212" s="31" t="inlineStr">
        <is>
          <t>Immeuble Central</t>
        </is>
      </c>
      <c r="H212" s="31" t="inlineStr">
        <is>
          <t>CHG-11-Imm</t>
        </is>
      </c>
      <c r="I212" s="31" t="n">
        <v>11</v>
      </c>
      <c r="J212" s="14">
        <f>D212-E212</f>
        <v/>
      </c>
    </row>
    <row r="213">
      <c r="A213" s="40" t="n">
        <v>46331</v>
      </c>
      <c r="B213" s="23" t="inlineStr">
        <is>
          <t>512</t>
        </is>
      </c>
      <c r="C213" s="23" t="inlineStr">
        <is>
          <t>Encaissement loyer Studio Riviera - 11/2026</t>
        </is>
      </c>
      <c r="D213" s="41" t="n">
        <v>980</v>
      </c>
      <c r="E213" s="41" t="inlineStr"/>
      <c r="F213" s="23" t="inlineStr">
        <is>
          <t>Produit</t>
        </is>
      </c>
      <c r="G213" s="23" t="inlineStr">
        <is>
          <t>Studio Riviera</t>
        </is>
      </c>
      <c r="H213" s="23" t="inlineStr">
        <is>
          <t>LOY-11-Stu</t>
        </is>
      </c>
      <c r="I213" s="23" t="n">
        <v>11</v>
      </c>
      <c r="J213" s="18">
        <f>D213-E213</f>
        <v/>
      </c>
    </row>
    <row r="214">
      <c r="A214" s="42" t="n">
        <v>46331</v>
      </c>
      <c r="B214" s="31" t="inlineStr">
        <is>
          <t>706</t>
        </is>
      </c>
      <c r="C214" s="31" t="inlineStr">
        <is>
          <t>Produit locatif Studio Riviera - 11/2026</t>
        </is>
      </c>
      <c r="D214" s="43" t="inlineStr"/>
      <c r="E214" s="43" t="n">
        <v>980</v>
      </c>
      <c r="F214" s="31" t="inlineStr">
        <is>
          <t>Produit</t>
        </is>
      </c>
      <c r="G214" s="31" t="inlineStr">
        <is>
          <t>Studio Riviera</t>
        </is>
      </c>
      <c r="H214" s="31" t="inlineStr">
        <is>
          <t>LOY-11-Stu</t>
        </is>
      </c>
      <c r="I214" s="31" t="n">
        <v>11</v>
      </c>
      <c r="J214" s="14">
        <f>D214-E214</f>
        <v/>
      </c>
    </row>
    <row r="215">
      <c r="A215" s="40" t="n">
        <v>46336</v>
      </c>
      <c r="B215" s="23" t="inlineStr">
        <is>
          <t>614</t>
        </is>
      </c>
      <c r="C215" s="23" t="inlineStr">
        <is>
          <t>Charges copropriété Studio Riviera - 11/2026</t>
        </is>
      </c>
      <c r="D215" s="41" t="n">
        <v>180</v>
      </c>
      <c r="E215" s="41" t="inlineStr"/>
      <c r="F215" s="23" t="inlineStr">
        <is>
          <t>Charge</t>
        </is>
      </c>
      <c r="G215" s="23" t="inlineStr">
        <is>
          <t>Studio Riviera</t>
        </is>
      </c>
      <c r="H215" s="23" t="inlineStr">
        <is>
          <t>CHG-11-Stu</t>
        </is>
      </c>
      <c r="I215" s="23" t="n">
        <v>11</v>
      </c>
      <c r="J215" s="18">
        <f>D215-E215</f>
        <v/>
      </c>
    </row>
    <row r="216">
      <c r="A216" s="42" t="n">
        <v>46336</v>
      </c>
      <c r="B216" s="31" t="inlineStr">
        <is>
          <t>512</t>
        </is>
      </c>
      <c r="C216" s="31" t="inlineStr">
        <is>
          <t>Paiement charges Studio Riviera - 11/2026</t>
        </is>
      </c>
      <c r="D216" s="43" t="inlineStr"/>
      <c r="E216" s="43" t="n">
        <v>180</v>
      </c>
      <c r="F216" s="31" t="inlineStr">
        <is>
          <t>Charge</t>
        </is>
      </c>
      <c r="G216" s="31" t="inlineStr">
        <is>
          <t>Studio Riviera</t>
        </is>
      </c>
      <c r="H216" s="31" t="inlineStr">
        <is>
          <t>CHG-11-Stu</t>
        </is>
      </c>
      <c r="I216" s="31" t="n">
        <v>11</v>
      </c>
      <c r="J216" s="14">
        <f>D216-E216</f>
        <v/>
      </c>
    </row>
    <row r="217">
      <c r="A217" s="40" t="n">
        <v>46331</v>
      </c>
      <c r="B217" s="23" t="inlineStr">
        <is>
          <t>512</t>
        </is>
      </c>
      <c r="C217" s="23" t="inlineStr">
        <is>
          <t>Encaissement loyer Local République - 11/2026</t>
        </is>
      </c>
      <c r="D217" s="41" t="n">
        <v>1450</v>
      </c>
      <c r="E217" s="41" t="inlineStr"/>
      <c r="F217" s="23" t="inlineStr">
        <is>
          <t>Produit</t>
        </is>
      </c>
      <c r="G217" s="23" t="inlineStr">
        <is>
          <t>Local République</t>
        </is>
      </c>
      <c r="H217" s="23" t="inlineStr">
        <is>
          <t>LOY-11-Loc</t>
        </is>
      </c>
      <c r="I217" s="23" t="n">
        <v>11</v>
      </c>
      <c r="J217" s="18">
        <f>D217-E217</f>
        <v/>
      </c>
    </row>
    <row r="218">
      <c r="A218" s="42" t="n">
        <v>46331</v>
      </c>
      <c r="B218" s="31" t="inlineStr">
        <is>
          <t>706</t>
        </is>
      </c>
      <c r="C218" s="31" t="inlineStr">
        <is>
          <t>Produit locatif Local République - 11/2026</t>
        </is>
      </c>
      <c r="D218" s="43" t="inlineStr"/>
      <c r="E218" s="43" t="n">
        <v>1450</v>
      </c>
      <c r="F218" s="31" t="inlineStr">
        <is>
          <t>Produit</t>
        </is>
      </c>
      <c r="G218" s="31" t="inlineStr">
        <is>
          <t>Local République</t>
        </is>
      </c>
      <c r="H218" s="31" t="inlineStr">
        <is>
          <t>LOY-11-Loc</t>
        </is>
      </c>
      <c r="I218" s="31" t="n">
        <v>11</v>
      </c>
      <c r="J218" s="14">
        <f>D218-E218</f>
        <v/>
      </c>
    </row>
    <row r="219">
      <c r="A219" s="40" t="n">
        <v>46336</v>
      </c>
      <c r="B219" s="23" t="inlineStr">
        <is>
          <t>614</t>
        </is>
      </c>
      <c r="C219" s="23" t="inlineStr">
        <is>
          <t>Charges copropriété Local République - 11/2026</t>
        </is>
      </c>
      <c r="D219" s="41" t="n">
        <v>310</v>
      </c>
      <c r="E219" s="41" t="inlineStr"/>
      <c r="F219" s="23" t="inlineStr">
        <is>
          <t>Charge</t>
        </is>
      </c>
      <c r="G219" s="23" t="inlineStr">
        <is>
          <t>Local République</t>
        </is>
      </c>
      <c r="H219" s="23" t="inlineStr">
        <is>
          <t>CHG-11-Loc</t>
        </is>
      </c>
      <c r="I219" s="23" t="n">
        <v>11</v>
      </c>
      <c r="J219" s="18">
        <f>D219-E219</f>
        <v/>
      </c>
    </row>
    <row r="220">
      <c r="A220" s="42" t="n">
        <v>46336</v>
      </c>
      <c r="B220" s="31" t="inlineStr">
        <is>
          <t>512</t>
        </is>
      </c>
      <c r="C220" s="31" t="inlineStr">
        <is>
          <t>Paiement charges Local République - 11/2026</t>
        </is>
      </c>
      <c r="D220" s="43" t="inlineStr"/>
      <c r="E220" s="43" t="n">
        <v>310</v>
      </c>
      <c r="F220" s="31" t="inlineStr">
        <is>
          <t>Charge</t>
        </is>
      </c>
      <c r="G220" s="31" t="inlineStr">
        <is>
          <t>Local République</t>
        </is>
      </c>
      <c r="H220" s="31" t="inlineStr">
        <is>
          <t>CHG-11-Loc</t>
        </is>
      </c>
      <c r="I220" s="31" t="n">
        <v>11</v>
      </c>
      <c r="J220" s="14">
        <f>D220-E220</f>
        <v/>
      </c>
    </row>
    <row r="221">
      <c r="A221" s="40" t="n">
        <v>46331</v>
      </c>
      <c r="B221" s="23" t="inlineStr">
        <is>
          <t>512</t>
        </is>
      </c>
      <c r="C221" s="23" t="inlineStr">
        <is>
          <t>Encaissement loyer Appartement Plage - 11/2026</t>
        </is>
      </c>
      <c r="D221" s="41" t="n">
        <v>1700</v>
      </c>
      <c r="E221" s="41" t="inlineStr"/>
      <c r="F221" s="23" t="inlineStr">
        <is>
          <t>Produit</t>
        </is>
      </c>
      <c r="G221" s="23" t="inlineStr">
        <is>
          <t>Appartement Plage</t>
        </is>
      </c>
      <c r="H221" s="23" t="inlineStr">
        <is>
          <t>LOY-11-App</t>
        </is>
      </c>
      <c r="I221" s="23" t="n">
        <v>11</v>
      </c>
      <c r="J221" s="18">
        <f>D221-E221</f>
        <v/>
      </c>
    </row>
    <row r="222">
      <c r="A222" s="42" t="n">
        <v>46331</v>
      </c>
      <c r="B222" s="31" t="inlineStr">
        <is>
          <t>706</t>
        </is>
      </c>
      <c r="C222" s="31" t="inlineStr">
        <is>
          <t>Produit locatif Appartement Plage - 11/2026</t>
        </is>
      </c>
      <c r="D222" s="43" t="inlineStr"/>
      <c r="E222" s="43" t="n">
        <v>1700</v>
      </c>
      <c r="F222" s="31" t="inlineStr">
        <is>
          <t>Produit</t>
        </is>
      </c>
      <c r="G222" s="31" t="inlineStr">
        <is>
          <t>Appartement Plage</t>
        </is>
      </c>
      <c r="H222" s="31" t="inlineStr">
        <is>
          <t>LOY-11-App</t>
        </is>
      </c>
      <c r="I222" s="31" t="n">
        <v>11</v>
      </c>
      <c r="J222" s="14">
        <f>D222-E222</f>
        <v/>
      </c>
    </row>
    <row r="223">
      <c r="A223" s="40" t="n">
        <v>46336</v>
      </c>
      <c r="B223" s="23" t="inlineStr">
        <is>
          <t>614</t>
        </is>
      </c>
      <c r="C223" s="23" t="inlineStr">
        <is>
          <t>Charges copropriété Appartement Plage - 11/2026</t>
        </is>
      </c>
      <c r="D223" s="41" t="n">
        <v>260</v>
      </c>
      <c r="E223" s="41" t="inlineStr"/>
      <c r="F223" s="23" t="inlineStr">
        <is>
          <t>Charge</t>
        </is>
      </c>
      <c r="G223" s="23" t="inlineStr">
        <is>
          <t>Appartement Plage</t>
        </is>
      </c>
      <c r="H223" s="23" t="inlineStr">
        <is>
          <t>CHG-11-App</t>
        </is>
      </c>
      <c r="I223" s="23" t="n">
        <v>11</v>
      </c>
      <c r="J223" s="18">
        <f>D223-E223</f>
        <v/>
      </c>
    </row>
    <row r="224">
      <c r="A224" s="42" t="n">
        <v>46336</v>
      </c>
      <c r="B224" s="31" t="inlineStr">
        <is>
          <t>512</t>
        </is>
      </c>
      <c r="C224" s="31" t="inlineStr">
        <is>
          <t>Paiement charges Appartement Plage - 11/2026</t>
        </is>
      </c>
      <c r="D224" s="43" t="inlineStr"/>
      <c r="E224" s="43" t="n">
        <v>260</v>
      </c>
      <c r="F224" s="31" t="inlineStr">
        <is>
          <t>Charge</t>
        </is>
      </c>
      <c r="G224" s="31" t="inlineStr">
        <is>
          <t>Appartement Plage</t>
        </is>
      </c>
      <c r="H224" s="31" t="inlineStr">
        <is>
          <t>CHG-11-App</t>
        </is>
      </c>
      <c r="I224" s="31" t="n">
        <v>11</v>
      </c>
      <c r="J224" s="14">
        <f>D224-E224</f>
        <v/>
      </c>
    </row>
    <row r="225">
      <c r="A225" s="40" t="n">
        <v>46361</v>
      </c>
      <c r="B225" s="23" t="inlineStr">
        <is>
          <t>512</t>
        </is>
      </c>
      <c r="C225" s="23" t="inlineStr">
        <is>
          <t>Encaissement loyer Résidence Atlas - 12/2026</t>
        </is>
      </c>
      <c r="D225" s="41" t="n">
        <v>3200</v>
      </c>
      <c r="E225" s="41" t="inlineStr"/>
      <c r="F225" s="23" t="inlineStr">
        <is>
          <t>Produit</t>
        </is>
      </c>
      <c r="G225" s="23" t="inlineStr">
        <is>
          <t>Résidence Atlas</t>
        </is>
      </c>
      <c r="H225" s="23" t="inlineStr">
        <is>
          <t>LOY-12-Rés</t>
        </is>
      </c>
      <c r="I225" s="23" t="n">
        <v>12</v>
      </c>
      <c r="J225" s="18">
        <f>D225-E225</f>
        <v/>
      </c>
    </row>
    <row r="226">
      <c r="A226" s="42" t="n">
        <v>46361</v>
      </c>
      <c r="B226" s="31" t="inlineStr">
        <is>
          <t>706</t>
        </is>
      </c>
      <c r="C226" s="31" t="inlineStr">
        <is>
          <t>Produit locatif Résidence Atlas - 12/2026</t>
        </is>
      </c>
      <c r="D226" s="43" t="inlineStr"/>
      <c r="E226" s="43" t="n">
        <v>3200</v>
      </c>
      <c r="F226" s="31" t="inlineStr">
        <is>
          <t>Produit</t>
        </is>
      </c>
      <c r="G226" s="31" t="inlineStr">
        <is>
          <t>Résidence Atlas</t>
        </is>
      </c>
      <c r="H226" s="31" t="inlineStr">
        <is>
          <t>LOY-12-Rés</t>
        </is>
      </c>
      <c r="I226" s="31" t="n">
        <v>12</v>
      </c>
      <c r="J226" s="14">
        <f>D226-E226</f>
        <v/>
      </c>
    </row>
    <row r="227">
      <c r="A227" s="40" t="n">
        <v>46366</v>
      </c>
      <c r="B227" s="23" t="inlineStr">
        <is>
          <t>614</t>
        </is>
      </c>
      <c r="C227" s="23" t="inlineStr">
        <is>
          <t>Charges copropriété Résidence Atlas - 12/2026</t>
        </is>
      </c>
      <c r="D227" s="41" t="n">
        <v>650</v>
      </c>
      <c r="E227" s="41" t="inlineStr"/>
      <c r="F227" s="23" t="inlineStr">
        <is>
          <t>Charge</t>
        </is>
      </c>
      <c r="G227" s="23" t="inlineStr">
        <is>
          <t>Résidence Atlas</t>
        </is>
      </c>
      <c r="H227" s="23" t="inlineStr">
        <is>
          <t>CHG-12-Rés</t>
        </is>
      </c>
      <c r="I227" s="23" t="n">
        <v>12</v>
      </c>
      <c r="J227" s="18">
        <f>D227-E227</f>
        <v/>
      </c>
    </row>
    <row r="228">
      <c r="A228" s="42" t="n">
        <v>46366</v>
      </c>
      <c r="B228" s="31" t="inlineStr">
        <is>
          <t>512</t>
        </is>
      </c>
      <c r="C228" s="31" t="inlineStr">
        <is>
          <t>Paiement charges Résidence Atlas - 12/2026</t>
        </is>
      </c>
      <c r="D228" s="43" t="inlineStr"/>
      <c r="E228" s="43" t="n">
        <v>650</v>
      </c>
      <c r="F228" s="31" t="inlineStr">
        <is>
          <t>Charge</t>
        </is>
      </c>
      <c r="G228" s="31" t="inlineStr">
        <is>
          <t>Résidence Atlas</t>
        </is>
      </c>
      <c r="H228" s="31" t="inlineStr">
        <is>
          <t>CHG-12-Rés</t>
        </is>
      </c>
      <c r="I228" s="31" t="n">
        <v>12</v>
      </c>
      <c r="J228" s="14">
        <f>D228-E228</f>
        <v/>
      </c>
    </row>
    <row r="229">
      <c r="A229" s="40" t="n">
        <v>46361</v>
      </c>
      <c r="B229" s="23" t="inlineStr">
        <is>
          <t>512</t>
        </is>
      </c>
      <c r="C229" s="23" t="inlineStr">
        <is>
          <t>Encaissement loyer Immeuble Central - 12/2026</t>
        </is>
      </c>
      <c r="D229" s="41" t="n">
        <v>3800</v>
      </c>
      <c r="E229" s="41" t="inlineStr"/>
      <c r="F229" s="23" t="inlineStr">
        <is>
          <t>Produit</t>
        </is>
      </c>
      <c r="G229" s="23" t="inlineStr">
        <is>
          <t>Immeuble Central</t>
        </is>
      </c>
      <c r="H229" s="23" t="inlineStr">
        <is>
          <t>LOY-12-Imm</t>
        </is>
      </c>
      <c r="I229" s="23" t="n">
        <v>12</v>
      </c>
      <c r="J229" s="18">
        <f>D229-E229</f>
        <v/>
      </c>
    </row>
    <row r="230">
      <c r="A230" s="42" t="n">
        <v>46361</v>
      </c>
      <c r="B230" s="31" t="inlineStr">
        <is>
          <t>706</t>
        </is>
      </c>
      <c r="C230" s="31" t="inlineStr">
        <is>
          <t>Produit locatif Immeuble Central - 12/2026</t>
        </is>
      </c>
      <c r="D230" s="43" t="inlineStr"/>
      <c r="E230" s="43" t="n">
        <v>3800</v>
      </c>
      <c r="F230" s="31" t="inlineStr">
        <is>
          <t>Produit</t>
        </is>
      </c>
      <c r="G230" s="31" t="inlineStr">
        <is>
          <t>Immeuble Central</t>
        </is>
      </c>
      <c r="H230" s="31" t="inlineStr">
        <is>
          <t>LOY-12-Imm</t>
        </is>
      </c>
      <c r="I230" s="31" t="n">
        <v>12</v>
      </c>
      <c r="J230" s="14">
        <f>D230-E230</f>
        <v/>
      </c>
    </row>
    <row r="231">
      <c r="A231" s="40" t="n">
        <v>46366</v>
      </c>
      <c r="B231" s="23" t="inlineStr">
        <is>
          <t>614</t>
        </is>
      </c>
      <c r="C231" s="23" t="inlineStr">
        <is>
          <t>Charges copropriété Immeuble Central - 12/2026</t>
        </is>
      </c>
      <c r="D231" s="41" t="n">
        <v>720</v>
      </c>
      <c r="E231" s="41" t="inlineStr"/>
      <c r="F231" s="23" t="inlineStr">
        <is>
          <t>Charge</t>
        </is>
      </c>
      <c r="G231" s="23" t="inlineStr">
        <is>
          <t>Immeuble Central</t>
        </is>
      </c>
      <c r="H231" s="23" t="inlineStr">
        <is>
          <t>CHG-12-Imm</t>
        </is>
      </c>
      <c r="I231" s="23" t="n">
        <v>12</v>
      </c>
      <c r="J231" s="18">
        <f>D231-E231</f>
        <v/>
      </c>
    </row>
    <row r="232">
      <c r="A232" s="42" t="n">
        <v>46366</v>
      </c>
      <c r="B232" s="31" t="inlineStr">
        <is>
          <t>512</t>
        </is>
      </c>
      <c r="C232" s="31" t="inlineStr">
        <is>
          <t>Paiement charges Immeuble Central - 12/2026</t>
        </is>
      </c>
      <c r="D232" s="43" t="inlineStr"/>
      <c r="E232" s="43" t="n">
        <v>720</v>
      </c>
      <c r="F232" s="31" t="inlineStr">
        <is>
          <t>Charge</t>
        </is>
      </c>
      <c r="G232" s="31" t="inlineStr">
        <is>
          <t>Immeuble Central</t>
        </is>
      </c>
      <c r="H232" s="31" t="inlineStr">
        <is>
          <t>CHG-12-Imm</t>
        </is>
      </c>
      <c r="I232" s="31" t="n">
        <v>12</v>
      </c>
      <c r="J232" s="14">
        <f>D232-E232</f>
        <v/>
      </c>
    </row>
    <row r="233">
      <c r="A233" s="40" t="n">
        <v>46361</v>
      </c>
      <c r="B233" s="23" t="inlineStr">
        <is>
          <t>512</t>
        </is>
      </c>
      <c r="C233" s="23" t="inlineStr">
        <is>
          <t>Encaissement loyer Studio Riviera - 12/2026</t>
        </is>
      </c>
      <c r="D233" s="41" t="n">
        <v>980</v>
      </c>
      <c r="E233" s="41" t="inlineStr"/>
      <c r="F233" s="23" t="inlineStr">
        <is>
          <t>Produit</t>
        </is>
      </c>
      <c r="G233" s="23" t="inlineStr">
        <is>
          <t>Studio Riviera</t>
        </is>
      </c>
      <c r="H233" s="23" t="inlineStr">
        <is>
          <t>LOY-12-Stu</t>
        </is>
      </c>
      <c r="I233" s="23" t="n">
        <v>12</v>
      </c>
      <c r="J233" s="18">
        <f>D233-E233</f>
        <v/>
      </c>
    </row>
    <row r="234">
      <c r="A234" s="42" t="n">
        <v>46361</v>
      </c>
      <c r="B234" s="31" t="inlineStr">
        <is>
          <t>706</t>
        </is>
      </c>
      <c r="C234" s="31" t="inlineStr">
        <is>
          <t>Produit locatif Studio Riviera - 12/2026</t>
        </is>
      </c>
      <c r="D234" s="43" t="inlineStr"/>
      <c r="E234" s="43" t="n">
        <v>980</v>
      </c>
      <c r="F234" s="31" t="inlineStr">
        <is>
          <t>Produit</t>
        </is>
      </c>
      <c r="G234" s="31" t="inlineStr">
        <is>
          <t>Studio Riviera</t>
        </is>
      </c>
      <c r="H234" s="31" t="inlineStr">
        <is>
          <t>LOY-12-Stu</t>
        </is>
      </c>
      <c r="I234" s="31" t="n">
        <v>12</v>
      </c>
      <c r="J234" s="14">
        <f>D234-E234</f>
        <v/>
      </c>
    </row>
    <row r="235">
      <c r="A235" s="40" t="n">
        <v>46366</v>
      </c>
      <c r="B235" s="23" t="inlineStr">
        <is>
          <t>614</t>
        </is>
      </c>
      <c r="C235" s="23" t="inlineStr">
        <is>
          <t>Charges copropriété Studio Riviera - 12/2026</t>
        </is>
      </c>
      <c r="D235" s="41" t="n">
        <v>180</v>
      </c>
      <c r="E235" s="41" t="inlineStr"/>
      <c r="F235" s="23" t="inlineStr">
        <is>
          <t>Charge</t>
        </is>
      </c>
      <c r="G235" s="23" t="inlineStr">
        <is>
          <t>Studio Riviera</t>
        </is>
      </c>
      <c r="H235" s="23" t="inlineStr">
        <is>
          <t>CHG-12-Stu</t>
        </is>
      </c>
      <c r="I235" s="23" t="n">
        <v>12</v>
      </c>
      <c r="J235" s="18">
        <f>D235-E235</f>
        <v/>
      </c>
    </row>
    <row r="236">
      <c r="A236" s="42" t="n">
        <v>46366</v>
      </c>
      <c r="B236" s="31" t="inlineStr">
        <is>
          <t>512</t>
        </is>
      </c>
      <c r="C236" s="31" t="inlineStr">
        <is>
          <t>Paiement charges Studio Riviera - 12/2026</t>
        </is>
      </c>
      <c r="D236" s="43" t="inlineStr"/>
      <c r="E236" s="43" t="n">
        <v>180</v>
      </c>
      <c r="F236" s="31" t="inlineStr">
        <is>
          <t>Charge</t>
        </is>
      </c>
      <c r="G236" s="31" t="inlineStr">
        <is>
          <t>Studio Riviera</t>
        </is>
      </c>
      <c r="H236" s="31" t="inlineStr">
        <is>
          <t>CHG-12-Stu</t>
        </is>
      </c>
      <c r="I236" s="31" t="n">
        <v>12</v>
      </c>
      <c r="J236" s="14">
        <f>D236-E236</f>
        <v/>
      </c>
    </row>
    <row r="237">
      <c r="A237" s="40" t="n">
        <v>46361</v>
      </c>
      <c r="B237" s="23" t="inlineStr">
        <is>
          <t>512</t>
        </is>
      </c>
      <c r="C237" s="23" t="inlineStr">
        <is>
          <t>Encaissement loyer Local République - 12/2026</t>
        </is>
      </c>
      <c r="D237" s="41" t="n">
        <v>1450</v>
      </c>
      <c r="E237" s="41" t="inlineStr"/>
      <c r="F237" s="23" t="inlineStr">
        <is>
          <t>Produit</t>
        </is>
      </c>
      <c r="G237" s="23" t="inlineStr">
        <is>
          <t>Local République</t>
        </is>
      </c>
      <c r="H237" s="23" t="inlineStr">
        <is>
          <t>LOY-12-Loc</t>
        </is>
      </c>
      <c r="I237" s="23" t="n">
        <v>12</v>
      </c>
      <c r="J237" s="18">
        <f>D237-E237</f>
        <v/>
      </c>
    </row>
    <row r="238">
      <c r="A238" s="42" t="n">
        <v>46361</v>
      </c>
      <c r="B238" s="31" t="inlineStr">
        <is>
          <t>706</t>
        </is>
      </c>
      <c r="C238" s="31" t="inlineStr">
        <is>
          <t>Produit locatif Local République - 12/2026</t>
        </is>
      </c>
      <c r="D238" s="43" t="inlineStr"/>
      <c r="E238" s="43" t="n">
        <v>1450</v>
      </c>
      <c r="F238" s="31" t="inlineStr">
        <is>
          <t>Produit</t>
        </is>
      </c>
      <c r="G238" s="31" t="inlineStr">
        <is>
          <t>Local République</t>
        </is>
      </c>
      <c r="H238" s="31" t="inlineStr">
        <is>
          <t>LOY-12-Loc</t>
        </is>
      </c>
      <c r="I238" s="31" t="n">
        <v>12</v>
      </c>
      <c r="J238" s="14">
        <f>D238-E238</f>
        <v/>
      </c>
    </row>
    <row r="239">
      <c r="A239" s="40" t="n">
        <v>46366</v>
      </c>
      <c r="B239" s="23" t="inlineStr">
        <is>
          <t>614</t>
        </is>
      </c>
      <c r="C239" s="23" t="inlineStr">
        <is>
          <t>Charges copropriété Local République - 12/2026</t>
        </is>
      </c>
      <c r="D239" s="41" t="n">
        <v>310</v>
      </c>
      <c r="E239" s="41" t="inlineStr"/>
      <c r="F239" s="23" t="inlineStr">
        <is>
          <t>Charge</t>
        </is>
      </c>
      <c r="G239" s="23" t="inlineStr">
        <is>
          <t>Local République</t>
        </is>
      </c>
      <c r="H239" s="23" t="inlineStr">
        <is>
          <t>CHG-12-Loc</t>
        </is>
      </c>
      <c r="I239" s="23" t="n">
        <v>12</v>
      </c>
      <c r="J239" s="18">
        <f>D239-E239</f>
        <v/>
      </c>
    </row>
    <row r="240">
      <c r="A240" s="42" t="n">
        <v>46366</v>
      </c>
      <c r="B240" s="31" t="inlineStr">
        <is>
          <t>512</t>
        </is>
      </c>
      <c r="C240" s="31" t="inlineStr">
        <is>
          <t>Paiement charges Local République - 12/2026</t>
        </is>
      </c>
      <c r="D240" s="43" t="inlineStr"/>
      <c r="E240" s="43" t="n">
        <v>310</v>
      </c>
      <c r="F240" s="31" t="inlineStr">
        <is>
          <t>Charge</t>
        </is>
      </c>
      <c r="G240" s="31" t="inlineStr">
        <is>
          <t>Local République</t>
        </is>
      </c>
      <c r="H240" s="31" t="inlineStr">
        <is>
          <t>CHG-12-Loc</t>
        </is>
      </c>
      <c r="I240" s="31" t="n">
        <v>12</v>
      </c>
      <c r="J240" s="14">
        <f>D240-E240</f>
        <v/>
      </c>
    </row>
    <row r="241">
      <c r="A241" s="40" t="n">
        <v>46361</v>
      </c>
      <c r="B241" s="23" t="inlineStr">
        <is>
          <t>512</t>
        </is>
      </c>
      <c r="C241" s="23" t="inlineStr">
        <is>
          <t>Encaissement loyer Appartement Plage - 12/2026</t>
        </is>
      </c>
      <c r="D241" s="41" t="n">
        <v>1700</v>
      </c>
      <c r="E241" s="41" t="inlineStr"/>
      <c r="F241" s="23" t="inlineStr">
        <is>
          <t>Produit</t>
        </is>
      </c>
      <c r="G241" s="23" t="inlineStr">
        <is>
          <t>Appartement Plage</t>
        </is>
      </c>
      <c r="H241" s="23" t="inlineStr">
        <is>
          <t>LOY-12-App</t>
        </is>
      </c>
      <c r="I241" s="23" t="n">
        <v>12</v>
      </c>
      <c r="J241" s="18">
        <f>D241-E241</f>
        <v/>
      </c>
    </row>
    <row r="242">
      <c r="A242" s="42" t="n">
        <v>46361</v>
      </c>
      <c r="B242" s="31" t="inlineStr">
        <is>
          <t>706</t>
        </is>
      </c>
      <c r="C242" s="31" t="inlineStr">
        <is>
          <t>Produit locatif Appartement Plage - 12/2026</t>
        </is>
      </c>
      <c r="D242" s="43" t="inlineStr"/>
      <c r="E242" s="43" t="n">
        <v>1700</v>
      </c>
      <c r="F242" s="31" t="inlineStr">
        <is>
          <t>Produit</t>
        </is>
      </c>
      <c r="G242" s="31" t="inlineStr">
        <is>
          <t>Appartement Plage</t>
        </is>
      </c>
      <c r="H242" s="31" t="inlineStr">
        <is>
          <t>LOY-12-App</t>
        </is>
      </c>
      <c r="I242" s="31" t="n">
        <v>12</v>
      </c>
      <c r="J242" s="14">
        <f>D242-E242</f>
        <v/>
      </c>
    </row>
    <row r="243">
      <c r="A243" s="40" t="n">
        <v>46366</v>
      </c>
      <c r="B243" s="23" t="inlineStr">
        <is>
          <t>614</t>
        </is>
      </c>
      <c r="C243" s="23" t="inlineStr">
        <is>
          <t>Charges copropriété Appartement Plage - 12/2026</t>
        </is>
      </c>
      <c r="D243" s="41" t="n">
        <v>260</v>
      </c>
      <c r="E243" s="41" t="inlineStr"/>
      <c r="F243" s="23" t="inlineStr">
        <is>
          <t>Charge</t>
        </is>
      </c>
      <c r="G243" s="23" t="inlineStr">
        <is>
          <t>Appartement Plage</t>
        </is>
      </c>
      <c r="H243" s="23" t="inlineStr">
        <is>
          <t>CHG-12-App</t>
        </is>
      </c>
      <c r="I243" s="23" t="n">
        <v>12</v>
      </c>
      <c r="J243" s="18">
        <f>D243-E243</f>
        <v/>
      </c>
    </row>
    <row r="244">
      <c r="A244" s="42" t="n">
        <v>46366</v>
      </c>
      <c r="B244" s="31" t="inlineStr">
        <is>
          <t>512</t>
        </is>
      </c>
      <c r="C244" s="31" t="inlineStr">
        <is>
          <t>Paiement charges Appartement Plage - 12/2026</t>
        </is>
      </c>
      <c r="D244" s="43" t="inlineStr"/>
      <c r="E244" s="43" t="n">
        <v>260</v>
      </c>
      <c r="F244" s="31" t="inlineStr">
        <is>
          <t>Charge</t>
        </is>
      </c>
      <c r="G244" s="31" t="inlineStr">
        <is>
          <t>Appartement Plage</t>
        </is>
      </c>
      <c r="H244" s="31" t="inlineStr">
        <is>
          <t>CHG-12-App</t>
        </is>
      </c>
      <c r="I244" s="31" t="n">
        <v>12</v>
      </c>
      <c r="J244" s="14">
        <f>D244-E244</f>
        <v/>
      </c>
    </row>
    <row r="245">
      <c r="A245" s="40" t="n">
        <v>46037</v>
      </c>
      <c r="B245" s="23" t="inlineStr">
        <is>
          <t>615</t>
        </is>
      </c>
      <c r="C245" s="23" t="inlineStr">
        <is>
          <t>Réparation plomberie Immeuble Central</t>
        </is>
      </c>
      <c r="D245" s="41" t="n">
        <v>780</v>
      </c>
      <c r="E245" s="41" t="inlineStr"/>
      <c r="F245" s="23" t="inlineStr">
        <is>
          <t>Charge</t>
        </is>
      </c>
      <c r="G245" s="23" t="inlineStr">
        <is>
          <t>Immeuble Central</t>
        </is>
      </c>
      <c r="H245" s="23" t="inlineStr">
        <is>
          <t>FAC-PLB-001</t>
        </is>
      </c>
      <c r="I245" s="23" t="n">
        <v>1</v>
      </c>
      <c r="J245" s="18">
        <f>D245-E245</f>
        <v/>
      </c>
    </row>
    <row r="246">
      <c r="A246" s="42" t="n">
        <v>46037</v>
      </c>
      <c r="B246" s="31" t="inlineStr">
        <is>
          <t>401</t>
        </is>
      </c>
      <c r="C246" s="31" t="inlineStr">
        <is>
          <t>Facture fournisseur plomberie</t>
        </is>
      </c>
      <c r="D246" s="43" t="inlineStr"/>
      <c r="E246" s="43" t="n">
        <v>780</v>
      </c>
      <c r="F246" s="31" t="inlineStr">
        <is>
          <t>Charge</t>
        </is>
      </c>
      <c r="G246" s="31" t="inlineStr">
        <is>
          <t>Immeuble Central</t>
        </is>
      </c>
      <c r="H246" s="31" t="inlineStr">
        <is>
          <t>FAC-PLB-001</t>
        </is>
      </c>
      <c r="I246" s="31" t="n">
        <v>1</v>
      </c>
      <c r="J246" s="14">
        <f>D246-E246</f>
        <v/>
      </c>
    </row>
    <row r="247">
      <c r="A247" s="40" t="n">
        <v>46047</v>
      </c>
      <c r="B247" s="23" t="inlineStr">
        <is>
          <t>401</t>
        </is>
      </c>
      <c r="C247" s="23" t="inlineStr">
        <is>
          <t>Paiement facture plomberie</t>
        </is>
      </c>
      <c r="D247" s="41" t="n">
        <v>780</v>
      </c>
      <c r="E247" s="41" t="inlineStr"/>
      <c r="F247" s="23" t="inlineStr">
        <is>
          <t>Charge</t>
        </is>
      </c>
      <c r="G247" s="23" t="inlineStr">
        <is>
          <t>Immeuble Central</t>
        </is>
      </c>
      <c r="H247" s="23" t="inlineStr">
        <is>
          <t>REG-PLB-001</t>
        </is>
      </c>
      <c r="I247" s="23" t="n">
        <v>1</v>
      </c>
      <c r="J247" s="18">
        <f>D247-E247</f>
        <v/>
      </c>
    </row>
    <row r="248">
      <c r="A248" s="42" t="n">
        <v>46047</v>
      </c>
      <c r="B248" s="31" t="inlineStr">
        <is>
          <t>512</t>
        </is>
      </c>
      <c r="C248" s="31" t="inlineStr">
        <is>
          <t>Sortie banque facture plomberie</t>
        </is>
      </c>
      <c r="D248" s="43" t="inlineStr"/>
      <c r="E248" s="43" t="n">
        <v>780</v>
      </c>
      <c r="F248" s="31" t="inlineStr">
        <is>
          <t>Charge</t>
        </is>
      </c>
      <c r="G248" s="31" t="inlineStr">
        <is>
          <t>Immeuble Central</t>
        </is>
      </c>
      <c r="H248" s="31" t="inlineStr">
        <is>
          <t>REG-PLB-001</t>
        </is>
      </c>
      <c r="I248" s="31" t="n">
        <v>1</v>
      </c>
      <c r="J248" s="14">
        <f>D248-E248</f>
        <v/>
      </c>
    </row>
    <row r="249">
      <c r="A249" s="40" t="n">
        <v>46054</v>
      </c>
      <c r="B249" s="23" t="inlineStr">
        <is>
          <t>165</t>
        </is>
      </c>
      <c r="C249" s="23" t="inlineStr">
        <is>
          <t>Dépôt garantie restitué locataire Studio Riviera</t>
        </is>
      </c>
      <c r="D249" s="41" t="n">
        <v>600</v>
      </c>
      <c r="E249" s="41" t="inlineStr"/>
      <c r="F249" s="23" t="inlineStr">
        <is>
          <t>Tiers</t>
        </is>
      </c>
      <c r="G249" s="23" t="inlineStr">
        <is>
          <t>Studio Riviera</t>
        </is>
      </c>
      <c r="H249" s="23" t="inlineStr">
        <is>
          <t>DG-SR-001</t>
        </is>
      </c>
      <c r="I249" s="23" t="n">
        <v>2</v>
      </c>
      <c r="J249" s="18">
        <f>D249-E249</f>
        <v/>
      </c>
    </row>
    <row r="250">
      <c r="A250" s="42" t="n">
        <v>46054</v>
      </c>
      <c r="B250" s="31" t="inlineStr">
        <is>
          <t>512</t>
        </is>
      </c>
      <c r="C250" s="31" t="inlineStr">
        <is>
          <t>Restitution dépôt garantie</t>
        </is>
      </c>
      <c r="D250" s="43" t="inlineStr"/>
      <c r="E250" s="43" t="n">
        <v>600</v>
      </c>
      <c r="F250" s="31" t="inlineStr">
        <is>
          <t>Tiers</t>
        </is>
      </c>
      <c r="G250" s="31" t="inlineStr">
        <is>
          <t>Studio Riviera</t>
        </is>
      </c>
      <c r="H250" s="31" t="inlineStr">
        <is>
          <t>DG-SR-001</t>
        </is>
      </c>
      <c r="I250" s="31" t="n">
        <v>2</v>
      </c>
      <c r="J250" s="14">
        <f>D250-E250</f>
        <v/>
      </c>
    </row>
    <row r="251">
      <c r="A251" s="40" t="n">
        <v>46093</v>
      </c>
      <c r="B251" s="23" t="inlineStr">
        <is>
          <t>635</t>
        </is>
      </c>
      <c r="C251" s="23" t="inlineStr">
        <is>
          <t>Taxe foncière provision annuelle</t>
        </is>
      </c>
      <c r="D251" s="41" t="n">
        <v>9250</v>
      </c>
      <c r="E251" s="41" t="inlineStr"/>
      <c r="F251" s="23" t="inlineStr">
        <is>
          <t>Charge</t>
        </is>
      </c>
      <c r="G251" s="23" t="inlineStr">
        <is>
          <t>Portefeuille</t>
        </is>
      </c>
      <c r="H251" s="23" t="inlineStr">
        <is>
          <t>TF-2026</t>
        </is>
      </c>
      <c r="I251" s="23" t="n">
        <v>3</v>
      </c>
      <c r="J251" s="18">
        <f>D251-E251</f>
        <v/>
      </c>
    </row>
    <row r="252">
      <c r="A252" s="42" t="n">
        <v>46093</v>
      </c>
      <c r="B252" s="31" t="inlineStr">
        <is>
          <t>447</t>
        </is>
      </c>
      <c r="C252" s="31" t="inlineStr">
        <is>
          <t>Dette taxe foncière</t>
        </is>
      </c>
      <c r="D252" s="43" t="inlineStr"/>
      <c r="E252" s="43" t="n">
        <v>9250</v>
      </c>
      <c r="F252" s="31" t="inlineStr">
        <is>
          <t>Charge</t>
        </is>
      </c>
      <c r="G252" s="31" t="inlineStr">
        <is>
          <t>Portefeuille</t>
        </is>
      </c>
      <c r="H252" s="31" t="inlineStr">
        <is>
          <t>TF-2026</t>
        </is>
      </c>
      <c r="I252" s="31" t="n">
        <v>3</v>
      </c>
      <c r="J252" s="14">
        <f>D252-E252</f>
        <v/>
      </c>
    </row>
    <row r="253">
      <c r="A253" s="40" t="n">
        <v>46117</v>
      </c>
      <c r="B253" s="23" t="inlineStr">
        <is>
          <t>661</t>
        </is>
      </c>
      <c r="C253" s="23" t="inlineStr">
        <is>
          <t>Intérêts emprunts T1</t>
        </is>
      </c>
      <c r="D253" s="41" t="n">
        <v>5200</v>
      </c>
      <c r="E253" s="41" t="inlineStr"/>
      <c r="F253" s="23" t="inlineStr">
        <is>
          <t>Charge</t>
        </is>
      </c>
      <c r="G253" s="23" t="inlineStr">
        <is>
          <t>Portefeuille</t>
        </is>
      </c>
      <c r="H253" s="23" t="inlineStr">
        <is>
          <t>EMP-T1</t>
        </is>
      </c>
      <c r="I253" s="23" t="n">
        <v>4</v>
      </c>
      <c r="J253" s="18">
        <f>D253-E253</f>
        <v/>
      </c>
    </row>
    <row r="254">
      <c r="A254" s="42" t="n">
        <v>46117</v>
      </c>
      <c r="B254" s="31" t="inlineStr">
        <is>
          <t>164</t>
        </is>
      </c>
      <c r="C254" s="31" t="inlineStr">
        <is>
          <t>Remboursement capital emprunt</t>
        </is>
      </c>
      <c r="D254" s="43" t="n">
        <v>14800</v>
      </c>
      <c r="E254" s="43" t="inlineStr"/>
      <c r="F254" s="31" t="inlineStr">
        <is>
          <t>Passif</t>
        </is>
      </c>
      <c r="G254" s="31" t="inlineStr">
        <is>
          <t>Portefeuille</t>
        </is>
      </c>
      <c r="H254" s="31" t="inlineStr">
        <is>
          <t>EMP-T1</t>
        </is>
      </c>
      <c r="I254" s="31" t="n">
        <v>4</v>
      </c>
      <c r="J254" s="14">
        <f>D254-E254</f>
        <v/>
      </c>
    </row>
    <row r="255">
      <c r="A255" s="40" t="n">
        <v>46117</v>
      </c>
      <c r="B255" s="23" t="inlineStr">
        <is>
          <t>512</t>
        </is>
      </c>
      <c r="C255" s="23" t="inlineStr">
        <is>
          <t>Paiement échéance emprunt</t>
        </is>
      </c>
      <c r="D255" s="41" t="inlineStr"/>
      <c r="E255" s="41" t="n">
        <v>20000</v>
      </c>
      <c r="F255" s="23" t="inlineStr">
        <is>
          <t>Passif</t>
        </is>
      </c>
      <c r="G255" s="23" t="inlineStr">
        <is>
          <t>Portefeuille</t>
        </is>
      </c>
      <c r="H255" s="23" t="inlineStr">
        <is>
          <t>EMP-T1</t>
        </is>
      </c>
      <c r="I255" s="23" t="n">
        <v>4</v>
      </c>
      <c r="J255" s="18">
        <f>D255-E255</f>
        <v/>
      </c>
    </row>
    <row r="256">
      <c r="A256" s="42" t="n">
        <v>46203</v>
      </c>
      <c r="B256" s="31" t="inlineStr">
        <is>
          <t>6811</t>
        </is>
      </c>
      <c r="C256" s="31" t="inlineStr">
        <is>
          <t>Dotation amortissements semestre</t>
        </is>
      </c>
      <c r="D256" s="43" t="n">
        <v>18500</v>
      </c>
      <c r="E256" s="43" t="inlineStr"/>
      <c r="F256" s="31" t="inlineStr">
        <is>
          <t>Charge</t>
        </is>
      </c>
      <c r="G256" s="31" t="inlineStr">
        <is>
          <t>Portefeuille</t>
        </is>
      </c>
      <c r="H256" s="31" t="inlineStr">
        <is>
          <t>AMORT-S1</t>
        </is>
      </c>
      <c r="I256" s="31" t="n">
        <v>6</v>
      </c>
      <c r="J256" s="14">
        <f>D256-E256</f>
        <v/>
      </c>
    </row>
    <row r="257">
      <c r="A257" s="40" t="n">
        <v>46203</v>
      </c>
      <c r="B257" s="23" t="inlineStr">
        <is>
          <t>2813</t>
        </is>
      </c>
      <c r="C257" s="23" t="inlineStr">
        <is>
          <t>Amortissements constructions</t>
        </is>
      </c>
      <c r="D257" s="41" t="inlineStr"/>
      <c r="E257" s="41" t="n">
        <v>18500</v>
      </c>
      <c r="F257" s="23" t="inlineStr">
        <is>
          <t>Actif</t>
        </is>
      </c>
      <c r="G257" s="23" t="inlineStr">
        <is>
          <t>Portefeuille</t>
        </is>
      </c>
      <c r="H257" s="23" t="inlineStr">
        <is>
          <t>AMORT-S1</t>
        </is>
      </c>
      <c r="I257" s="23" t="n">
        <v>6</v>
      </c>
      <c r="J257" s="18">
        <f>D257-E257</f>
        <v/>
      </c>
    </row>
    <row r="258">
      <c r="A258" s="42" t="n">
        <v>46213</v>
      </c>
      <c r="B258" s="31" t="inlineStr">
        <is>
          <t>455</t>
        </is>
      </c>
      <c r="C258" s="31" t="inlineStr">
        <is>
          <t>Avance associé travaux</t>
        </is>
      </c>
      <c r="D258" s="43" t="inlineStr"/>
      <c r="E258" s="43" t="n">
        <v>10000</v>
      </c>
      <c r="F258" s="31" t="inlineStr">
        <is>
          <t>Tiers</t>
        </is>
      </c>
      <c r="G258" s="31" t="inlineStr">
        <is>
          <t>Résidence Atlas</t>
        </is>
      </c>
      <c r="H258" s="31" t="inlineStr">
        <is>
          <t>CCA-001</t>
        </is>
      </c>
      <c r="I258" s="31" t="n">
        <v>7</v>
      </c>
      <c r="J258" s="14">
        <f>D258-E258</f>
        <v/>
      </c>
    </row>
    <row r="259">
      <c r="A259" s="40" t="n">
        <v>46213</v>
      </c>
      <c r="B259" s="23" t="inlineStr">
        <is>
          <t>512</t>
        </is>
      </c>
      <c r="C259" s="23" t="inlineStr">
        <is>
          <t>Encaissement avance associé</t>
        </is>
      </c>
      <c r="D259" s="41" t="n">
        <v>10000</v>
      </c>
      <c r="E259" s="41" t="inlineStr"/>
      <c r="F259" s="23" t="inlineStr">
        <is>
          <t>Tiers</t>
        </is>
      </c>
      <c r="G259" s="23" t="inlineStr">
        <is>
          <t>Résidence Atlas</t>
        </is>
      </c>
      <c r="H259" s="23" t="inlineStr">
        <is>
          <t>CCA-001</t>
        </is>
      </c>
      <c r="I259" s="23" t="n">
        <v>7</v>
      </c>
      <c r="J259" s="18">
        <f>D259-E259</f>
        <v/>
      </c>
    </row>
    <row r="260">
      <c r="A260" s="42" t="n">
        <v>46285</v>
      </c>
      <c r="B260" s="31" t="inlineStr">
        <is>
          <t>2135</t>
        </is>
      </c>
      <c r="C260" s="31" t="inlineStr">
        <is>
          <t>Rénovation cuisine immobilisée</t>
        </is>
      </c>
      <c r="D260" s="43" t="n">
        <v>12500</v>
      </c>
      <c r="E260" s="43" t="inlineStr"/>
      <c r="F260" s="31" t="inlineStr">
        <is>
          <t>Actif</t>
        </is>
      </c>
      <c r="G260" s="31" t="inlineStr">
        <is>
          <t>Appartement Plage</t>
        </is>
      </c>
      <c r="H260" s="31" t="inlineStr">
        <is>
          <t>IMMO-CUIS-001</t>
        </is>
      </c>
      <c r="I260" s="31" t="n">
        <v>9</v>
      </c>
      <c r="J260" s="14">
        <f>D260-E260</f>
        <v/>
      </c>
    </row>
    <row r="261">
      <c r="A261" s="40" t="n">
        <v>46285</v>
      </c>
      <c r="B261" s="23" t="inlineStr">
        <is>
          <t>401</t>
        </is>
      </c>
      <c r="C261" s="23" t="inlineStr">
        <is>
          <t>Fournisseur rénovation cuisine</t>
        </is>
      </c>
      <c r="D261" s="41" t="inlineStr"/>
      <c r="E261" s="41" t="n">
        <v>12500</v>
      </c>
      <c r="F261" s="23" t="inlineStr">
        <is>
          <t>Actif</t>
        </is>
      </c>
      <c r="G261" s="23" t="inlineStr">
        <is>
          <t>Appartement Plage</t>
        </is>
      </c>
      <c r="H261" s="23" t="inlineStr">
        <is>
          <t>IMMO-CUIS-001</t>
        </is>
      </c>
      <c r="I261" s="23" t="n">
        <v>9</v>
      </c>
      <c r="J261" s="18">
        <f>D261-E261</f>
        <v/>
      </c>
    </row>
  </sheetData>
  <mergeCells count="1">
    <mergeCell ref="A1:J2"/>
  </mergeCells>
  <dataValidations count="1">
    <dataValidation sqref="F5:F400" showDropDown="0" showInputMessage="0" showErrorMessage="0" allowBlank="1" type="list">
      <formula1>"Produit,Charge,Actif,Passif,Tiers,TVA,Trésorerie"</formula1>
    </dataValidation>
  </dataValidations>
  <pageMargins left="0.25" right="0.25" top="0.5" bottom="0.5" header="0.5" footer="0.5"/>
  <pageSetup fitToHeight="0" fitToWidth="1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 fitToPage="1"/>
  </sheetPr>
  <dimension ref="A1:F67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2" customWidth="1" min="1" max="1"/>
    <col width="42" customWidth="1" min="2" max="2"/>
    <col width="18" customWidth="1" min="3" max="3"/>
    <col width="18" customWidth="1" min="4" max="4"/>
    <col width="20" customWidth="1" min="5" max="5"/>
    <col width="18" customWidth="1" min="6" max="6"/>
  </cols>
  <sheetData>
    <row r="1" ht="28" customHeight="1">
      <c r="A1" s="44" t="inlineStr">
        <is>
          <t>BALANCE GÉNÉRALE AUTOMATISÉE</t>
        </is>
      </c>
      <c r="B1" s="2" t="n"/>
      <c r="C1" s="2" t="n"/>
      <c r="D1" s="2" t="n"/>
      <c r="E1" s="2" t="n"/>
      <c r="F1" s="2" t="n"/>
    </row>
    <row r="2" ht="28" customHeight="1">
      <c r="A2" s="2" t="n"/>
      <c r="B2" s="2" t="n"/>
      <c r="C2" s="2" t="n"/>
      <c r="D2" s="2" t="n"/>
      <c r="E2" s="2" t="n"/>
      <c r="F2" s="2" t="n"/>
    </row>
    <row r="3">
      <c r="A3" s="2" t="n"/>
      <c r="B3" s="2" t="n"/>
      <c r="C3" s="2" t="n"/>
      <c r="D3" s="2" t="n"/>
      <c r="E3" s="2" t="n"/>
      <c r="F3" s="2" t="n"/>
    </row>
    <row r="4">
      <c r="A4" s="45" t="inlineStr">
        <is>
          <t>Compte</t>
        </is>
      </c>
      <c r="B4" s="45" t="inlineStr">
        <is>
          <t>Libellé</t>
        </is>
      </c>
      <c r="C4" s="45" t="inlineStr">
        <is>
          <t>Total débit</t>
        </is>
      </c>
      <c r="D4" s="45" t="inlineStr">
        <is>
          <t>Total crédit</t>
        </is>
      </c>
      <c r="E4" s="45" t="inlineStr">
        <is>
          <t>Solde débit-crédit</t>
        </is>
      </c>
      <c r="F4" s="45" t="inlineStr">
        <is>
          <t>Contrôle</t>
        </is>
      </c>
    </row>
    <row r="5">
      <c r="A5" s="17" t="inlineStr">
        <is>
          <t>101</t>
        </is>
      </c>
      <c r="B5" s="17" t="inlineStr">
        <is>
          <t>Capital social</t>
        </is>
      </c>
      <c r="C5" s="18">
        <f>SUMIF(Journal!$B:$B,A5,Journal!$D:$D)</f>
        <v/>
      </c>
      <c r="D5" s="18">
        <f>SUMIF(Journal!$B:$B,A5,Journal!$E:$E)</f>
        <v/>
      </c>
      <c r="E5" s="18">
        <f>C5-D5</f>
        <v/>
      </c>
      <c r="F5" s="20">
        <f>IF(ABS(E5)&gt;0,"Mouvement","-")</f>
        <v/>
      </c>
    </row>
    <row r="6">
      <c r="A6" s="17" t="inlineStr">
        <is>
          <t>106</t>
        </is>
      </c>
      <c r="B6" s="17" t="inlineStr">
        <is>
          <t>Réserves</t>
        </is>
      </c>
      <c r="C6" s="18">
        <f>SUMIF(Journal!$B:$B,A6,Journal!$D:$D)</f>
        <v/>
      </c>
      <c r="D6" s="18">
        <f>SUMIF(Journal!$B:$B,A6,Journal!$E:$E)</f>
        <v/>
      </c>
      <c r="E6" s="18">
        <f>C6-D6</f>
        <v/>
      </c>
      <c r="F6" s="20">
        <f>IF(ABS(E6)&gt;0,"Mouvement","-")</f>
        <v/>
      </c>
    </row>
    <row r="7">
      <c r="A7" s="17" t="inlineStr">
        <is>
          <t>110</t>
        </is>
      </c>
      <c r="B7" s="17" t="inlineStr">
        <is>
          <t>Report à nouveau créditeur</t>
        </is>
      </c>
      <c r="C7" s="18">
        <f>SUMIF(Journal!$B:$B,A7,Journal!$D:$D)</f>
        <v/>
      </c>
      <c r="D7" s="18">
        <f>SUMIF(Journal!$B:$B,A7,Journal!$E:$E)</f>
        <v/>
      </c>
      <c r="E7" s="18">
        <f>C7-D7</f>
        <v/>
      </c>
      <c r="F7" s="20">
        <f>IF(ABS(E7)&gt;0,"Mouvement","-")</f>
        <v/>
      </c>
    </row>
    <row r="8">
      <c r="A8" s="17" t="inlineStr">
        <is>
          <t>119</t>
        </is>
      </c>
      <c r="B8" s="17" t="inlineStr">
        <is>
          <t>Report à nouveau débiteur</t>
        </is>
      </c>
      <c r="C8" s="18">
        <f>SUMIF(Journal!$B:$B,A8,Journal!$D:$D)</f>
        <v/>
      </c>
      <c r="D8" s="18">
        <f>SUMIF(Journal!$B:$B,A8,Journal!$E:$E)</f>
        <v/>
      </c>
      <c r="E8" s="18">
        <f>C8-D8</f>
        <v/>
      </c>
      <c r="F8" s="20">
        <f>IF(ABS(E8)&gt;0,"Mouvement","-")</f>
        <v/>
      </c>
    </row>
    <row r="9">
      <c r="A9" s="17" t="inlineStr">
        <is>
          <t>120</t>
        </is>
      </c>
      <c r="B9" s="17" t="inlineStr">
        <is>
          <t>Résultat de l’exercice</t>
        </is>
      </c>
      <c r="C9" s="18">
        <f>SUMIF(Journal!$B:$B,A9,Journal!$D:$D)</f>
        <v/>
      </c>
      <c r="D9" s="18">
        <f>SUMIF(Journal!$B:$B,A9,Journal!$E:$E)</f>
        <v/>
      </c>
      <c r="E9" s="18">
        <f>C9-D9</f>
        <v/>
      </c>
      <c r="F9" s="20">
        <f>IF(ABS(E9)&gt;0,"Mouvement","-")</f>
        <v/>
      </c>
    </row>
    <row r="10">
      <c r="A10" s="17" t="inlineStr">
        <is>
          <t>129</t>
        </is>
      </c>
      <c r="B10" s="17" t="inlineStr">
        <is>
          <t>Perte de l’exercice</t>
        </is>
      </c>
      <c r="C10" s="18">
        <f>SUMIF(Journal!$B:$B,A10,Journal!$D:$D)</f>
        <v/>
      </c>
      <c r="D10" s="18">
        <f>SUMIF(Journal!$B:$B,A10,Journal!$E:$E)</f>
        <v/>
      </c>
      <c r="E10" s="18">
        <f>C10-D10</f>
        <v/>
      </c>
      <c r="F10" s="20">
        <f>IF(ABS(E10)&gt;0,"Mouvement","-")</f>
        <v/>
      </c>
    </row>
    <row r="11">
      <c r="A11" s="17" t="inlineStr">
        <is>
          <t>164</t>
        </is>
      </c>
      <c r="B11" s="17" t="inlineStr">
        <is>
          <t>Emprunts auprès établissements de crédit</t>
        </is>
      </c>
      <c r="C11" s="18">
        <f>SUMIF(Journal!$B:$B,A11,Journal!$D:$D)</f>
        <v/>
      </c>
      <c r="D11" s="18">
        <f>SUMIF(Journal!$B:$B,A11,Journal!$E:$E)</f>
        <v/>
      </c>
      <c r="E11" s="18">
        <f>C11-D11</f>
        <v/>
      </c>
      <c r="F11" s="20">
        <f>IF(ABS(E11)&gt;0,"Mouvement","-")</f>
        <v/>
      </c>
    </row>
    <row r="12">
      <c r="A12" s="17" t="inlineStr">
        <is>
          <t>165</t>
        </is>
      </c>
      <c r="B12" s="17" t="inlineStr">
        <is>
          <t>Dépôts et cautionnements reçus</t>
        </is>
      </c>
      <c r="C12" s="18">
        <f>SUMIF(Journal!$B:$B,A12,Journal!$D:$D)</f>
        <v/>
      </c>
      <c r="D12" s="18">
        <f>SUMIF(Journal!$B:$B,A12,Journal!$E:$E)</f>
        <v/>
      </c>
      <c r="E12" s="18">
        <f>C12-D12</f>
        <v/>
      </c>
      <c r="F12" s="20">
        <f>IF(ABS(E12)&gt;0,"Mouvement","-")</f>
        <v/>
      </c>
    </row>
    <row r="13">
      <c r="A13" s="17" t="inlineStr">
        <is>
          <t>1688</t>
        </is>
      </c>
      <c r="B13" s="17" t="inlineStr">
        <is>
          <t>Intérêts courus sur emprunts</t>
        </is>
      </c>
      <c r="C13" s="18">
        <f>SUMIF(Journal!$B:$B,A13,Journal!$D:$D)</f>
        <v/>
      </c>
      <c r="D13" s="18">
        <f>SUMIF(Journal!$B:$B,A13,Journal!$E:$E)</f>
        <v/>
      </c>
      <c r="E13" s="18">
        <f>C13-D13</f>
        <v/>
      </c>
      <c r="F13" s="20">
        <f>IF(ABS(E13)&gt;0,"Mouvement","-")</f>
        <v/>
      </c>
    </row>
    <row r="14">
      <c r="A14" s="17" t="inlineStr">
        <is>
          <t>211</t>
        </is>
      </c>
      <c r="B14" s="17" t="inlineStr">
        <is>
          <t>Terrains</t>
        </is>
      </c>
      <c r="C14" s="18">
        <f>SUMIF(Journal!$B:$B,A14,Journal!$D:$D)</f>
        <v/>
      </c>
      <c r="D14" s="18">
        <f>SUMIF(Journal!$B:$B,A14,Journal!$E:$E)</f>
        <v/>
      </c>
      <c r="E14" s="18">
        <f>C14-D14</f>
        <v/>
      </c>
      <c r="F14" s="20">
        <f>IF(ABS(E14)&gt;0,"Mouvement","-")</f>
        <v/>
      </c>
    </row>
    <row r="15">
      <c r="A15" s="17" t="inlineStr">
        <is>
          <t>213</t>
        </is>
      </c>
      <c r="B15" s="17" t="inlineStr">
        <is>
          <t>Constructions</t>
        </is>
      </c>
      <c r="C15" s="18">
        <f>SUMIF(Journal!$B:$B,A15,Journal!$D:$D)</f>
        <v/>
      </c>
      <c r="D15" s="18">
        <f>SUMIF(Journal!$B:$B,A15,Journal!$E:$E)</f>
        <v/>
      </c>
      <c r="E15" s="18">
        <f>C15-D15</f>
        <v/>
      </c>
      <c r="F15" s="20">
        <f>IF(ABS(E15)&gt;0,"Mouvement","-")</f>
        <v/>
      </c>
    </row>
    <row r="16">
      <c r="A16" s="17" t="inlineStr">
        <is>
          <t>2135</t>
        </is>
      </c>
      <c r="B16" s="17" t="inlineStr">
        <is>
          <t>Installations générales</t>
        </is>
      </c>
      <c r="C16" s="18">
        <f>SUMIF(Journal!$B:$B,A16,Journal!$D:$D)</f>
        <v/>
      </c>
      <c r="D16" s="18">
        <f>SUMIF(Journal!$B:$B,A16,Journal!$E:$E)</f>
        <v/>
      </c>
      <c r="E16" s="18">
        <f>C16-D16</f>
        <v/>
      </c>
      <c r="F16" s="20">
        <f>IF(ABS(E16)&gt;0,"Mouvement","-")</f>
        <v/>
      </c>
    </row>
    <row r="17">
      <c r="A17" s="17" t="inlineStr">
        <is>
          <t>215</t>
        </is>
      </c>
      <c r="B17" s="17" t="inlineStr">
        <is>
          <t>Installations techniques</t>
        </is>
      </c>
      <c r="C17" s="18">
        <f>SUMIF(Journal!$B:$B,A17,Journal!$D:$D)</f>
        <v/>
      </c>
      <c r="D17" s="18">
        <f>SUMIF(Journal!$B:$B,A17,Journal!$E:$E)</f>
        <v/>
      </c>
      <c r="E17" s="18">
        <f>C17-D17</f>
        <v/>
      </c>
      <c r="F17" s="20">
        <f>IF(ABS(E17)&gt;0,"Mouvement","-")</f>
        <v/>
      </c>
    </row>
    <row r="18">
      <c r="A18" s="17" t="inlineStr">
        <is>
          <t>2181</t>
        </is>
      </c>
      <c r="B18" s="17" t="inlineStr">
        <is>
          <t>Installations diverses</t>
        </is>
      </c>
      <c r="C18" s="18">
        <f>SUMIF(Journal!$B:$B,A18,Journal!$D:$D)</f>
        <v/>
      </c>
      <c r="D18" s="18">
        <f>SUMIF(Journal!$B:$B,A18,Journal!$E:$E)</f>
        <v/>
      </c>
      <c r="E18" s="18">
        <f>C18-D18</f>
        <v/>
      </c>
      <c r="F18" s="20">
        <f>IF(ABS(E18)&gt;0,"Mouvement","-")</f>
        <v/>
      </c>
    </row>
    <row r="19">
      <c r="A19" s="17" t="inlineStr">
        <is>
          <t>2184</t>
        </is>
      </c>
      <c r="B19" s="17" t="inlineStr">
        <is>
          <t>Mobilier</t>
        </is>
      </c>
      <c r="C19" s="18">
        <f>SUMIF(Journal!$B:$B,A19,Journal!$D:$D)</f>
        <v/>
      </c>
      <c r="D19" s="18">
        <f>SUMIF(Journal!$B:$B,A19,Journal!$E:$E)</f>
        <v/>
      </c>
      <c r="E19" s="18">
        <f>C19-D19</f>
        <v/>
      </c>
      <c r="F19" s="20">
        <f>IF(ABS(E19)&gt;0,"Mouvement","-")</f>
        <v/>
      </c>
    </row>
    <row r="20">
      <c r="A20" s="17" t="inlineStr">
        <is>
          <t>2813</t>
        </is>
      </c>
      <c r="B20" s="17" t="inlineStr">
        <is>
          <t>Amortissements constructions</t>
        </is>
      </c>
      <c r="C20" s="18">
        <f>SUMIF(Journal!$B:$B,A20,Journal!$D:$D)</f>
        <v/>
      </c>
      <c r="D20" s="18">
        <f>SUMIF(Journal!$B:$B,A20,Journal!$E:$E)</f>
        <v/>
      </c>
      <c r="E20" s="18">
        <f>C20-D20</f>
        <v/>
      </c>
      <c r="F20" s="20">
        <f>IF(ABS(E20)&gt;0,"Mouvement","-")</f>
        <v/>
      </c>
    </row>
    <row r="21">
      <c r="A21" s="17" t="inlineStr">
        <is>
          <t>2818</t>
        </is>
      </c>
      <c r="B21" s="17" t="inlineStr">
        <is>
          <t>Amortissements autres immobilisations</t>
        </is>
      </c>
      <c r="C21" s="18">
        <f>SUMIF(Journal!$B:$B,A21,Journal!$D:$D)</f>
        <v/>
      </c>
      <c r="D21" s="18">
        <f>SUMIF(Journal!$B:$B,A21,Journal!$E:$E)</f>
        <v/>
      </c>
      <c r="E21" s="18">
        <f>C21-D21</f>
        <v/>
      </c>
      <c r="F21" s="20">
        <f>IF(ABS(E21)&gt;0,"Mouvement","-")</f>
        <v/>
      </c>
    </row>
    <row r="22">
      <c r="A22" s="17" t="inlineStr">
        <is>
          <t>301</t>
        </is>
      </c>
      <c r="B22" s="17" t="inlineStr">
        <is>
          <t>Terrains en stock</t>
        </is>
      </c>
      <c r="C22" s="18">
        <f>SUMIF(Journal!$B:$B,A22,Journal!$D:$D)</f>
        <v/>
      </c>
      <c r="D22" s="18">
        <f>SUMIF(Journal!$B:$B,A22,Journal!$E:$E)</f>
        <v/>
      </c>
      <c r="E22" s="18">
        <f>C22-D22</f>
        <v/>
      </c>
      <c r="F22" s="20">
        <f>IF(ABS(E22)&gt;0,"Mouvement","-")</f>
        <v/>
      </c>
    </row>
    <row r="23">
      <c r="A23" s="17" t="inlineStr">
        <is>
          <t>335</t>
        </is>
      </c>
      <c r="B23" s="17" t="inlineStr">
        <is>
          <t>Travaux en cours</t>
        </is>
      </c>
      <c r="C23" s="18">
        <f>SUMIF(Journal!$B:$B,A23,Journal!$D:$D)</f>
        <v/>
      </c>
      <c r="D23" s="18">
        <f>SUMIF(Journal!$B:$B,A23,Journal!$E:$E)</f>
        <v/>
      </c>
      <c r="E23" s="18">
        <f>C23-D23</f>
        <v/>
      </c>
      <c r="F23" s="20">
        <f>IF(ABS(E23)&gt;0,"Mouvement","-")</f>
        <v/>
      </c>
    </row>
    <row r="24">
      <c r="A24" s="17" t="inlineStr">
        <is>
          <t>371</t>
        </is>
      </c>
      <c r="B24" s="17" t="inlineStr">
        <is>
          <t>Immeubles destinés à la vente</t>
        </is>
      </c>
      <c r="C24" s="18">
        <f>SUMIF(Journal!$B:$B,A24,Journal!$D:$D)</f>
        <v/>
      </c>
      <c r="D24" s="18">
        <f>SUMIF(Journal!$B:$B,A24,Journal!$E:$E)</f>
        <v/>
      </c>
      <c r="E24" s="18">
        <f>C24-D24</f>
        <v/>
      </c>
      <c r="F24" s="20">
        <f>IF(ABS(E24)&gt;0,"Mouvement","-")</f>
        <v/>
      </c>
    </row>
    <row r="25">
      <c r="A25" s="17" t="inlineStr">
        <is>
          <t>401</t>
        </is>
      </c>
      <c r="B25" s="17" t="inlineStr">
        <is>
          <t>Fournisseurs</t>
        </is>
      </c>
      <c r="C25" s="18">
        <f>SUMIF(Journal!$B:$B,A25,Journal!$D:$D)</f>
        <v/>
      </c>
      <c r="D25" s="18">
        <f>SUMIF(Journal!$B:$B,A25,Journal!$E:$E)</f>
        <v/>
      </c>
      <c r="E25" s="18">
        <f>C25-D25</f>
        <v/>
      </c>
      <c r="F25" s="20">
        <f>IF(ABS(E25)&gt;0,"Mouvement","-")</f>
        <v/>
      </c>
    </row>
    <row r="26">
      <c r="A26" s="17" t="inlineStr">
        <is>
          <t>408</t>
        </is>
      </c>
      <c r="B26" s="17" t="inlineStr">
        <is>
          <t>Fournisseurs factures non parvenues</t>
        </is>
      </c>
      <c r="C26" s="18">
        <f>SUMIF(Journal!$B:$B,A26,Journal!$D:$D)</f>
        <v/>
      </c>
      <c r="D26" s="18">
        <f>SUMIF(Journal!$B:$B,A26,Journal!$E:$E)</f>
        <v/>
      </c>
      <c r="E26" s="18">
        <f>C26-D26</f>
        <v/>
      </c>
      <c r="F26" s="20">
        <f>IF(ABS(E26)&gt;0,"Mouvement","-")</f>
        <v/>
      </c>
    </row>
    <row r="27">
      <c r="A27" s="17" t="inlineStr">
        <is>
          <t>411</t>
        </is>
      </c>
      <c r="B27" s="17" t="inlineStr">
        <is>
          <t>Locataires / clients</t>
        </is>
      </c>
      <c r="C27" s="18">
        <f>SUMIF(Journal!$B:$B,A27,Journal!$D:$D)</f>
        <v/>
      </c>
      <c r="D27" s="18">
        <f>SUMIF(Journal!$B:$B,A27,Journal!$E:$E)</f>
        <v/>
      </c>
      <c r="E27" s="18">
        <f>C27-D27</f>
        <v/>
      </c>
      <c r="F27" s="20">
        <f>IF(ABS(E27)&gt;0,"Mouvement","-")</f>
        <v/>
      </c>
    </row>
    <row r="28">
      <c r="A28" s="17" t="inlineStr">
        <is>
          <t>416</t>
        </is>
      </c>
      <c r="B28" s="17" t="inlineStr">
        <is>
          <t>Clients douteux</t>
        </is>
      </c>
      <c r="C28" s="18">
        <f>SUMIF(Journal!$B:$B,A28,Journal!$D:$D)</f>
        <v/>
      </c>
      <c r="D28" s="18">
        <f>SUMIF(Journal!$B:$B,A28,Journal!$E:$E)</f>
        <v/>
      </c>
      <c r="E28" s="18">
        <f>C28-D28</f>
        <v/>
      </c>
      <c r="F28" s="20">
        <f>IF(ABS(E28)&gt;0,"Mouvement","-")</f>
        <v/>
      </c>
    </row>
    <row r="29">
      <c r="A29" s="17" t="inlineStr">
        <is>
          <t>418</t>
        </is>
      </c>
      <c r="B29" s="17" t="inlineStr">
        <is>
          <t>Produits à recevoir</t>
        </is>
      </c>
      <c r="C29" s="18">
        <f>SUMIF(Journal!$B:$B,A29,Journal!$D:$D)</f>
        <v/>
      </c>
      <c r="D29" s="18">
        <f>SUMIF(Journal!$B:$B,A29,Journal!$E:$E)</f>
        <v/>
      </c>
      <c r="E29" s="18">
        <f>C29-D29</f>
        <v/>
      </c>
      <c r="F29" s="20">
        <f>IF(ABS(E29)&gt;0,"Mouvement","-")</f>
        <v/>
      </c>
    </row>
    <row r="30">
      <c r="A30" s="17" t="inlineStr">
        <is>
          <t>421</t>
        </is>
      </c>
      <c r="B30" s="17" t="inlineStr">
        <is>
          <t>Personnel rémunérations dues</t>
        </is>
      </c>
      <c r="C30" s="18">
        <f>SUMIF(Journal!$B:$B,A30,Journal!$D:$D)</f>
        <v/>
      </c>
      <c r="D30" s="18">
        <f>SUMIF(Journal!$B:$B,A30,Journal!$E:$E)</f>
        <v/>
      </c>
      <c r="E30" s="18">
        <f>C30-D30</f>
        <v/>
      </c>
      <c r="F30" s="20">
        <f>IF(ABS(E30)&gt;0,"Mouvement","-")</f>
        <v/>
      </c>
    </row>
    <row r="31">
      <c r="A31" s="17" t="inlineStr">
        <is>
          <t>431</t>
        </is>
      </c>
      <c r="B31" s="17" t="inlineStr">
        <is>
          <t>Sécurité sociale</t>
        </is>
      </c>
      <c r="C31" s="18">
        <f>SUMIF(Journal!$B:$B,A31,Journal!$D:$D)</f>
        <v/>
      </c>
      <c r="D31" s="18">
        <f>SUMIF(Journal!$B:$B,A31,Journal!$E:$E)</f>
        <v/>
      </c>
      <c r="E31" s="18">
        <f>C31-D31</f>
        <v/>
      </c>
      <c r="F31" s="20">
        <f>IF(ABS(E31)&gt;0,"Mouvement","-")</f>
        <v/>
      </c>
    </row>
    <row r="32">
      <c r="A32" s="17" t="inlineStr">
        <is>
          <t>44566</t>
        </is>
      </c>
      <c r="B32" s="17" t="inlineStr">
        <is>
          <t>TVA déductible</t>
        </is>
      </c>
      <c r="C32" s="18">
        <f>SUMIF(Journal!$B:$B,A32,Journal!$D:$D)</f>
        <v/>
      </c>
      <c r="D32" s="18">
        <f>SUMIF(Journal!$B:$B,A32,Journal!$E:$E)</f>
        <v/>
      </c>
      <c r="E32" s="18">
        <f>C32-D32</f>
        <v/>
      </c>
      <c r="F32" s="20">
        <f>IF(ABS(E32)&gt;0,"Mouvement","-")</f>
        <v/>
      </c>
    </row>
    <row r="33">
      <c r="A33" s="17" t="inlineStr">
        <is>
          <t>44571</t>
        </is>
      </c>
      <c r="B33" s="17" t="inlineStr">
        <is>
          <t>TVA collectée</t>
        </is>
      </c>
      <c r="C33" s="18">
        <f>SUMIF(Journal!$B:$B,A33,Journal!$D:$D)</f>
        <v/>
      </c>
      <c r="D33" s="18">
        <f>SUMIF(Journal!$B:$B,A33,Journal!$E:$E)</f>
        <v/>
      </c>
      <c r="E33" s="18">
        <f>C33-D33</f>
        <v/>
      </c>
      <c r="F33" s="20">
        <f>IF(ABS(E33)&gt;0,"Mouvement","-")</f>
        <v/>
      </c>
    </row>
    <row r="34">
      <c r="A34" s="17" t="inlineStr">
        <is>
          <t>447</t>
        </is>
      </c>
      <c r="B34" s="17" t="inlineStr">
        <is>
          <t>État impôts à payer</t>
        </is>
      </c>
      <c r="C34" s="18">
        <f>SUMIF(Journal!$B:$B,A34,Journal!$D:$D)</f>
        <v/>
      </c>
      <c r="D34" s="18">
        <f>SUMIF(Journal!$B:$B,A34,Journal!$E:$E)</f>
        <v/>
      </c>
      <c r="E34" s="18">
        <f>C34-D34</f>
        <v/>
      </c>
      <c r="F34" s="20">
        <f>IF(ABS(E34)&gt;0,"Mouvement","-")</f>
        <v/>
      </c>
    </row>
    <row r="35">
      <c r="A35" s="17" t="inlineStr">
        <is>
          <t>455</t>
        </is>
      </c>
      <c r="B35" s="17" t="inlineStr">
        <is>
          <t>Comptes courants associés</t>
        </is>
      </c>
      <c r="C35" s="18">
        <f>SUMIF(Journal!$B:$B,A35,Journal!$D:$D)</f>
        <v/>
      </c>
      <c r="D35" s="18">
        <f>SUMIF(Journal!$B:$B,A35,Journal!$E:$E)</f>
        <v/>
      </c>
      <c r="E35" s="18">
        <f>C35-D35</f>
        <v/>
      </c>
      <c r="F35" s="20">
        <f>IF(ABS(E35)&gt;0,"Mouvement","-")</f>
        <v/>
      </c>
    </row>
    <row r="36">
      <c r="A36" s="17" t="inlineStr">
        <is>
          <t>467</t>
        </is>
      </c>
      <c r="B36" s="17" t="inlineStr">
        <is>
          <t>Autres comptes débiteurs/créditeurs</t>
        </is>
      </c>
      <c r="C36" s="18">
        <f>SUMIF(Journal!$B:$B,A36,Journal!$D:$D)</f>
        <v/>
      </c>
      <c r="D36" s="18">
        <f>SUMIF(Journal!$B:$B,A36,Journal!$E:$E)</f>
        <v/>
      </c>
      <c r="E36" s="18">
        <f>C36-D36</f>
        <v/>
      </c>
      <c r="F36" s="20">
        <f>IF(ABS(E36)&gt;0,"Mouvement","-")</f>
        <v/>
      </c>
    </row>
    <row r="37">
      <c r="A37" s="17" t="inlineStr">
        <is>
          <t>486</t>
        </is>
      </c>
      <c r="B37" s="17" t="inlineStr">
        <is>
          <t>Charges constatées d’avance</t>
        </is>
      </c>
      <c r="C37" s="18">
        <f>SUMIF(Journal!$B:$B,A37,Journal!$D:$D)</f>
        <v/>
      </c>
      <c r="D37" s="18">
        <f>SUMIF(Journal!$B:$B,A37,Journal!$E:$E)</f>
        <v/>
      </c>
      <c r="E37" s="18">
        <f>C37-D37</f>
        <v/>
      </c>
      <c r="F37" s="20">
        <f>IF(ABS(E37)&gt;0,"Mouvement","-")</f>
        <v/>
      </c>
    </row>
    <row r="38">
      <c r="A38" s="17" t="inlineStr">
        <is>
          <t>487</t>
        </is>
      </c>
      <c r="B38" s="17" t="inlineStr">
        <is>
          <t>Produits constatés d’avance</t>
        </is>
      </c>
      <c r="C38" s="18">
        <f>SUMIF(Journal!$B:$B,A38,Journal!$D:$D)</f>
        <v/>
      </c>
      <c r="D38" s="18">
        <f>SUMIF(Journal!$B:$B,A38,Journal!$E:$E)</f>
        <v/>
      </c>
      <c r="E38" s="18">
        <f>C38-D38</f>
        <v/>
      </c>
      <c r="F38" s="20">
        <f>IF(ABS(E38)&gt;0,"Mouvement","-")</f>
        <v/>
      </c>
    </row>
    <row r="39">
      <c r="A39" s="17" t="inlineStr">
        <is>
          <t>512</t>
        </is>
      </c>
      <c r="B39" s="17" t="inlineStr">
        <is>
          <t>Banque</t>
        </is>
      </c>
      <c r="C39" s="18">
        <f>SUMIF(Journal!$B:$B,A39,Journal!$D:$D)</f>
        <v/>
      </c>
      <c r="D39" s="18">
        <f>SUMIF(Journal!$B:$B,A39,Journal!$E:$E)</f>
        <v/>
      </c>
      <c r="E39" s="18">
        <f>C39-D39</f>
        <v/>
      </c>
      <c r="F39" s="20">
        <f>IF(ABS(E39)&gt;0,"Mouvement","-")</f>
        <v/>
      </c>
    </row>
    <row r="40">
      <c r="A40" s="17" t="inlineStr">
        <is>
          <t>531</t>
        </is>
      </c>
      <c r="B40" s="17" t="inlineStr">
        <is>
          <t>Caisse</t>
        </is>
      </c>
      <c r="C40" s="18">
        <f>SUMIF(Journal!$B:$B,A40,Journal!$D:$D)</f>
        <v/>
      </c>
      <c r="D40" s="18">
        <f>SUMIF(Journal!$B:$B,A40,Journal!$E:$E)</f>
        <v/>
      </c>
      <c r="E40" s="18">
        <f>C40-D40</f>
        <v/>
      </c>
      <c r="F40" s="20">
        <f>IF(ABS(E40)&gt;0,"Mouvement","-")</f>
        <v/>
      </c>
    </row>
    <row r="41">
      <c r="A41" s="17" t="inlineStr">
        <is>
          <t>580</t>
        </is>
      </c>
      <c r="B41" s="17" t="inlineStr">
        <is>
          <t>Virements internes</t>
        </is>
      </c>
      <c r="C41" s="18">
        <f>SUMIF(Journal!$B:$B,A41,Journal!$D:$D)</f>
        <v/>
      </c>
      <c r="D41" s="18">
        <f>SUMIF(Journal!$B:$B,A41,Journal!$E:$E)</f>
        <v/>
      </c>
      <c r="E41" s="18">
        <f>C41-D41</f>
        <v/>
      </c>
      <c r="F41" s="20">
        <f>IF(ABS(E41)&gt;0,"Mouvement","-")</f>
        <v/>
      </c>
    </row>
    <row r="42">
      <c r="A42" s="17" t="inlineStr">
        <is>
          <t>606</t>
        </is>
      </c>
      <c r="B42" s="17" t="inlineStr">
        <is>
          <t>Achats non stockés</t>
        </is>
      </c>
      <c r="C42" s="18">
        <f>SUMIF(Journal!$B:$B,A42,Journal!$D:$D)</f>
        <v/>
      </c>
      <c r="D42" s="18">
        <f>SUMIF(Journal!$B:$B,A42,Journal!$E:$E)</f>
        <v/>
      </c>
      <c r="E42" s="18">
        <f>C42-D42</f>
        <v/>
      </c>
      <c r="F42" s="20">
        <f>IF(ABS(E42)&gt;0,"Mouvement","-")</f>
        <v/>
      </c>
    </row>
    <row r="43">
      <c r="A43" s="17" t="inlineStr">
        <is>
          <t>611</t>
        </is>
      </c>
      <c r="B43" s="17" t="inlineStr">
        <is>
          <t>Sous-traitance générale</t>
        </is>
      </c>
      <c r="C43" s="18">
        <f>SUMIF(Journal!$B:$B,A43,Journal!$D:$D)</f>
        <v/>
      </c>
      <c r="D43" s="18">
        <f>SUMIF(Journal!$B:$B,A43,Journal!$E:$E)</f>
        <v/>
      </c>
      <c r="E43" s="18">
        <f>C43-D43</f>
        <v/>
      </c>
      <c r="F43" s="20">
        <f>IF(ABS(E43)&gt;0,"Mouvement","-")</f>
        <v/>
      </c>
    </row>
    <row r="44">
      <c r="A44" s="17" t="inlineStr">
        <is>
          <t>614</t>
        </is>
      </c>
      <c r="B44" s="17" t="inlineStr">
        <is>
          <t>Charges locatives et copropriété</t>
        </is>
      </c>
      <c r="C44" s="18">
        <f>SUMIF(Journal!$B:$B,A44,Journal!$D:$D)</f>
        <v/>
      </c>
      <c r="D44" s="18">
        <f>SUMIF(Journal!$B:$B,A44,Journal!$E:$E)</f>
        <v/>
      </c>
      <c r="E44" s="18">
        <f>C44-D44</f>
        <v/>
      </c>
      <c r="F44" s="20">
        <f>IF(ABS(E44)&gt;0,"Mouvement","-")</f>
        <v/>
      </c>
    </row>
    <row r="45">
      <c r="A45" s="17" t="inlineStr">
        <is>
          <t>615</t>
        </is>
      </c>
      <c r="B45" s="17" t="inlineStr">
        <is>
          <t>Entretien et réparations</t>
        </is>
      </c>
      <c r="C45" s="18">
        <f>SUMIF(Journal!$B:$B,A45,Journal!$D:$D)</f>
        <v/>
      </c>
      <c r="D45" s="18">
        <f>SUMIF(Journal!$B:$B,A45,Journal!$E:$E)</f>
        <v/>
      </c>
      <c r="E45" s="18">
        <f>C45-D45</f>
        <v/>
      </c>
      <c r="F45" s="20">
        <f>IF(ABS(E45)&gt;0,"Mouvement","-")</f>
        <v/>
      </c>
    </row>
    <row r="46">
      <c r="A46" s="17" t="inlineStr">
        <is>
          <t>616</t>
        </is>
      </c>
      <c r="B46" s="17" t="inlineStr">
        <is>
          <t>Primes d’assurance</t>
        </is>
      </c>
      <c r="C46" s="18">
        <f>SUMIF(Journal!$B:$B,A46,Journal!$D:$D)</f>
        <v/>
      </c>
      <c r="D46" s="18">
        <f>SUMIF(Journal!$B:$B,A46,Journal!$E:$E)</f>
        <v/>
      </c>
      <c r="E46" s="18">
        <f>C46-D46</f>
        <v/>
      </c>
      <c r="F46" s="20">
        <f>IF(ABS(E46)&gt;0,"Mouvement","-")</f>
        <v/>
      </c>
    </row>
    <row r="47">
      <c r="A47" s="17" t="inlineStr">
        <is>
          <t>6226</t>
        </is>
      </c>
      <c r="B47" s="17" t="inlineStr">
        <is>
          <t>Honoraires</t>
        </is>
      </c>
      <c r="C47" s="18">
        <f>SUMIF(Journal!$B:$B,A47,Journal!$D:$D)</f>
        <v/>
      </c>
      <c r="D47" s="18">
        <f>SUMIF(Journal!$B:$B,A47,Journal!$E:$E)</f>
        <v/>
      </c>
      <c r="E47" s="18">
        <f>C47-D47</f>
        <v/>
      </c>
      <c r="F47" s="20">
        <f>IF(ABS(E47)&gt;0,"Mouvement","-")</f>
        <v/>
      </c>
    </row>
    <row r="48">
      <c r="A48" s="17" t="inlineStr">
        <is>
          <t>623</t>
        </is>
      </c>
      <c r="B48" s="17" t="inlineStr">
        <is>
          <t>Publicité annonces</t>
        </is>
      </c>
      <c r="C48" s="18">
        <f>SUMIF(Journal!$B:$B,A48,Journal!$D:$D)</f>
        <v/>
      </c>
      <c r="D48" s="18">
        <f>SUMIF(Journal!$B:$B,A48,Journal!$E:$E)</f>
        <v/>
      </c>
      <c r="E48" s="18">
        <f>C48-D48</f>
        <v/>
      </c>
      <c r="F48" s="20">
        <f>IF(ABS(E48)&gt;0,"Mouvement","-")</f>
        <v/>
      </c>
    </row>
    <row r="49">
      <c r="A49" s="17" t="inlineStr">
        <is>
          <t>625</t>
        </is>
      </c>
      <c r="B49" s="17" t="inlineStr">
        <is>
          <t>Déplacements missions</t>
        </is>
      </c>
      <c r="C49" s="18">
        <f>SUMIF(Journal!$B:$B,A49,Journal!$D:$D)</f>
        <v/>
      </c>
      <c r="D49" s="18">
        <f>SUMIF(Journal!$B:$B,A49,Journal!$E:$E)</f>
        <v/>
      </c>
      <c r="E49" s="18">
        <f>C49-D49</f>
        <v/>
      </c>
      <c r="F49" s="20">
        <f>IF(ABS(E49)&gt;0,"Mouvement","-")</f>
        <v/>
      </c>
    </row>
    <row r="50">
      <c r="A50" s="17" t="inlineStr">
        <is>
          <t>626</t>
        </is>
      </c>
      <c r="B50" s="17" t="inlineStr">
        <is>
          <t>Frais postaux et télécom</t>
        </is>
      </c>
      <c r="C50" s="18">
        <f>SUMIF(Journal!$B:$B,A50,Journal!$D:$D)</f>
        <v/>
      </c>
      <c r="D50" s="18">
        <f>SUMIF(Journal!$B:$B,A50,Journal!$E:$E)</f>
        <v/>
      </c>
      <c r="E50" s="18">
        <f>C50-D50</f>
        <v/>
      </c>
      <c r="F50" s="20">
        <f>IF(ABS(E50)&gt;0,"Mouvement","-")</f>
        <v/>
      </c>
    </row>
    <row r="51">
      <c r="A51" s="17" t="inlineStr">
        <is>
          <t>627</t>
        </is>
      </c>
      <c r="B51" s="17" t="inlineStr">
        <is>
          <t>Services bancaires</t>
        </is>
      </c>
      <c r="C51" s="18">
        <f>SUMIF(Journal!$B:$B,A51,Journal!$D:$D)</f>
        <v/>
      </c>
      <c r="D51" s="18">
        <f>SUMIF(Journal!$B:$B,A51,Journal!$E:$E)</f>
        <v/>
      </c>
      <c r="E51" s="18">
        <f>C51-D51</f>
        <v/>
      </c>
      <c r="F51" s="20">
        <f>IF(ABS(E51)&gt;0,"Mouvement","-")</f>
        <v/>
      </c>
    </row>
    <row r="52">
      <c r="A52" s="17" t="inlineStr">
        <is>
          <t>635</t>
        </is>
      </c>
      <c r="B52" s="17" t="inlineStr">
        <is>
          <t>Impôts et taxes</t>
        </is>
      </c>
      <c r="C52" s="18">
        <f>SUMIF(Journal!$B:$B,A52,Journal!$D:$D)</f>
        <v/>
      </c>
      <c r="D52" s="18">
        <f>SUMIF(Journal!$B:$B,A52,Journal!$E:$E)</f>
        <v/>
      </c>
      <c r="E52" s="18">
        <f>C52-D52</f>
        <v/>
      </c>
      <c r="F52" s="20">
        <f>IF(ABS(E52)&gt;0,"Mouvement","-")</f>
        <v/>
      </c>
    </row>
    <row r="53">
      <c r="A53" s="17" t="inlineStr">
        <is>
          <t>661</t>
        </is>
      </c>
      <c r="B53" s="17" t="inlineStr">
        <is>
          <t>Charges intérêts</t>
        </is>
      </c>
      <c r="C53" s="18">
        <f>SUMIF(Journal!$B:$B,A53,Journal!$D:$D)</f>
        <v/>
      </c>
      <c r="D53" s="18">
        <f>SUMIF(Journal!$B:$B,A53,Journal!$E:$E)</f>
        <v/>
      </c>
      <c r="E53" s="18">
        <f>C53-D53</f>
        <v/>
      </c>
      <c r="F53" s="20">
        <f>IF(ABS(E53)&gt;0,"Mouvement","-")</f>
        <v/>
      </c>
    </row>
    <row r="54">
      <c r="A54" s="17" t="inlineStr">
        <is>
          <t>6811</t>
        </is>
      </c>
      <c r="B54" s="17" t="inlineStr">
        <is>
          <t>Dotations amortissements</t>
        </is>
      </c>
      <c r="C54" s="18">
        <f>SUMIF(Journal!$B:$B,A54,Journal!$D:$D)</f>
        <v/>
      </c>
      <c r="D54" s="18">
        <f>SUMIF(Journal!$B:$B,A54,Journal!$E:$E)</f>
        <v/>
      </c>
      <c r="E54" s="18">
        <f>C54-D54</f>
        <v/>
      </c>
      <c r="F54" s="20">
        <f>IF(ABS(E54)&gt;0,"Mouvement","-")</f>
        <v/>
      </c>
    </row>
    <row r="55">
      <c r="A55" s="17" t="inlineStr">
        <is>
          <t>6817</t>
        </is>
      </c>
      <c r="B55" s="17" t="inlineStr">
        <is>
          <t>Dotations provisions</t>
        </is>
      </c>
      <c r="C55" s="18">
        <f>SUMIF(Journal!$B:$B,A55,Journal!$D:$D)</f>
        <v/>
      </c>
      <c r="D55" s="18">
        <f>SUMIF(Journal!$B:$B,A55,Journal!$E:$E)</f>
        <v/>
      </c>
      <c r="E55" s="18">
        <f>C55-D55</f>
        <v/>
      </c>
      <c r="F55" s="20">
        <f>IF(ABS(E55)&gt;0,"Mouvement","-")</f>
        <v/>
      </c>
    </row>
    <row r="56">
      <c r="A56" s="17" t="inlineStr">
        <is>
          <t>706</t>
        </is>
      </c>
      <c r="B56" s="17" t="inlineStr">
        <is>
          <t>Produits locatifs</t>
        </is>
      </c>
      <c r="C56" s="18">
        <f>SUMIF(Journal!$B:$B,A56,Journal!$D:$D)</f>
        <v/>
      </c>
      <c r="D56" s="18">
        <f>SUMIF(Journal!$B:$B,A56,Journal!$E:$E)</f>
        <v/>
      </c>
      <c r="E56" s="18">
        <f>C56-D56</f>
        <v/>
      </c>
      <c r="F56" s="20">
        <f>IF(ABS(E56)&gt;0,"Mouvement","-")</f>
        <v/>
      </c>
    </row>
    <row r="57">
      <c r="A57" s="17" t="inlineStr">
        <is>
          <t>708</t>
        </is>
      </c>
      <c r="B57" s="17" t="inlineStr">
        <is>
          <t>Charges refacturées / récupérées</t>
        </is>
      </c>
      <c r="C57" s="18">
        <f>SUMIF(Journal!$B:$B,A57,Journal!$D:$D)</f>
        <v/>
      </c>
      <c r="D57" s="18">
        <f>SUMIF(Journal!$B:$B,A57,Journal!$E:$E)</f>
        <v/>
      </c>
      <c r="E57" s="18">
        <f>C57-D57</f>
        <v/>
      </c>
      <c r="F57" s="20">
        <f>IF(ABS(E57)&gt;0,"Mouvement","-")</f>
        <v/>
      </c>
    </row>
    <row r="58">
      <c r="A58" s="17" t="inlineStr">
        <is>
          <t>713</t>
        </is>
      </c>
      <c r="B58" s="17" t="inlineStr">
        <is>
          <t>Variation stocks immeubles</t>
        </is>
      </c>
      <c r="C58" s="18">
        <f>SUMIF(Journal!$B:$B,A58,Journal!$D:$D)</f>
        <v/>
      </c>
      <c r="D58" s="18">
        <f>SUMIF(Journal!$B:$B,A58,Journal!$E:$E)</f>
        <v/>
      </c>
      <c r="E58" s="18">
        <f>C58-D58</f>
        <v/>
      </c>
      <c r="F58" s="20">
        <f>IF(ABS(E58)&gt;0,"Mouvement","-")</f>
        <v/>
      </c>
    </row>
    <row r="59">
      <c r="A59" s="17" t="inlineStr">
        <is>
          <t>758</t>
        </is>
      </c>
      <c r="B59" s="17" t="inlineStr">
        <is>
          <t>Produits divers gestion courante</t>
        </is>
      </c>
      <c r="C59" s="18">
        <f>SUMIF(Journal!$B:$B,A59,Journal!$D:$D)</f>
        <v/>
      </c>
      <c r="D59" s="18">
        <f>SUMIF(Journal!$B:$B,A59,Journal!$E:$E)</f>
        <v/>
      </c>
      <c r="E59" s="18">
        <f>C59-D59</f>
        <v/>
      </c>
      <c r="F59" s="20">
        <f>IF(ABS(E59)&gt;0,"Mouvement","-")</f>
        <v/>
      </c>
    </row>
    <row r="60">
      <c r="A60" s="17" t="inlineStr">
        <is>
          <t>762</t>
        </is>
      </c>
      <c r="B60" s="17" t="inlineStr">
        <is>
          <t>Produits financiers</t>
        </is>
      </c>
      <c r="C60" s="18">
        <f>SUMIF(Journal!$B:$B,A60,Journal!$D:$D)</f>
        <v/>
      </c>
      <c r="D60" s="18">
        <f>SUMIF(Journal!$B:$B,A60,Journal!$E:$E)</f>
        <v/>
      </c>
      <c r="E60" s="18">
        <f>C60-D60</f>
        <v/>
      </c>
      <c r="F60" s="20">
        <f>IF(ABS(E60)&gt;0,"Mouvement","-")</f>
        <v/>
      </c>
    </row>
    <row r="61">
      <c r="A61" s="17" t="inlineStr">
        <is>
          <t>775</t>
        </is>
      </c>
      <c r="B61" s="17" t="inlineStr">
        <is>
          <t>Produits cession immobilisations</t>
        </is>
      </c>
      <c r="C61" s="18">
        <f>SUMIF(Journal!$B:$B,A61,Journal!$D:$D)</f>
        <v/>
      </c>
      <c r="D61" s="18">
        <f>SUMIF(Journal!$B:$B,A61,Journal!$E:$E)</f>
        <v/>
      </c>
      <c r="E61" s="18">
        <f>C61-D61</f>
        <v/>
      </c>
      <c r="F61" s="20">
        <f>IF(ABS(E61)&gt;0,"Mouvement","-")</f>
        <v/>
      </c>
    </row>
    <row r="62">
      <c r="A62" s="17" t="inlineStr">
        <is>
          <t>777</t>
        </is>
      </c>
      <c r="B62" s="17" t="inlineStr">
        <is>
          <t>Quote-part subventions</t>
        </is>
      </c>
      <c r="C62" s="18">
        <f>SUMIF(Journal!$B:$B,A62,Journal!$D:$D)</f>
        <v/>
      </c>
      <c r="D62" s="18">
        <f>SUMIF(Journal!$B:$B,A62,Journal!$E:$E)</f>
        <v/>
      </c>
      <c r="E62" s="18">
        <f>C62-D62</f>
        <v/>
      </c>
      <c r="F62" s="20">
        <f>IF(ABS(E62)&gt;0,"Mouvement","-")</f>
        <v/>
      </c>
    </row>
    <row r="63">
      <c r="A63" s="17" t="inlineStr">
        <is>
          <t>781</t>
        </is>
      </c>
      <c r="B63" s="17" t="inlineStr">
        <is>
          <t>Reprises amortissements/provisions</t>
        </is>
      </c>
      <c r="C63" s="18">
        <f>SUMIF(Journal!$B:$B,A63,Journal!$D:$D)</f>
        <v/>
      </c>
      <c r="D63" s="18">
        <f>SUMIF(Journal!$B:$B,A63,Journal!$E:$E)</f>
        <v/>
      </c>
      <c r="E63" s="18">
        <f>C63-D63</f>
        <v/>
      </c>
      <c r="F63" s="20">
        <f>IF(ABS(E63)&gt;0,"Mouvement","-")</f>
        <v/>
      </c>
    </row>
    <row r="64">
      <c r="A64" s="17" t="inlineStr">
        <is>
          <t>861</t>
        </is>
      </c>
      <c r="B64" s="17" t="inlineStr">
        <is>
          <t>Engagements donnés</t>
        </is>
      </c>
      <c r="C64" s="18">
        <f>SUMIF(Journal!$B:$B,A64,Journal!$D:$D)</f>
        <v/>
      </c>
      <c r="D64" s="18">
        <f>SUMIF(Journal!$B:$B,A64,Journal!$E:$E)</f>
        <v/>
      </c>
      <c r="E64" s="18">
        <f>C64-D64</f>
        <v/>
      </c>
      <c r="F64" s="20">
        <f>IF(ABS(E64)&gt;0,"Mouvement","-")</f>
        <v/>
      </c>
    </row>
    <row r="65">
      <c r="A65" s="17" t="inlineStr">
        <is>
          <t>862</t>
        </is>
      </c>
      <c r="B65" s="17" t="inlineStr">
        <is>
          <t>Engagements reçus</t>
        </is>
      </c>
      <c r="C65" s="18">
        <f>SUMIF(Journal!$B:$B,A65,Journal!$D:$D)</f>
        <v/>
      </c>
      <c r="D65" s="18">
        <f>SUMIF(Journal!$B:$B,A65,Journal!$E:$E)</f>
        <v/>
      </c>
      <c r="E65" s="18">
        <f>C65-D65</f>
        <v/>
      </c>
      <c r="F65" s="20">
        <f>IF(ABS(E65)&gt;0,"Mouvement","-")</f>
        <v/>
      </c>
    </row>
    <row r="66">
      <c r="A66" s="2" t="n"/>
      <c r="B66" s="2" t="n"/>
      <c r="C66" s="2" t="n"/>
      <c r="D66" s="2" t="n"/>
      <c r="E66" s="2" t="n"/>
      <c r="F66" s="2" t="n"/>
    </row>
    <row r="67">
      <c r="A67" s="46" t="inlineStr">
        <is>
          <t>TOTAL BALANCE</t>
        </is>
      </c>
      <c r="B67" s="46" t="n"/>
      <c r="C67" s="47">
        <f>SUM(C5:C65)</f>
        <v/>
      </c>
      <c r="D67" s="47">
        <f>SUM(D5:D65)</f>
        <v/>
      </c>
      <c r="E67" s="47">
        <f>C67-D67</f>
        <v/>
      </c>
      <c r="F67" s="46" t="n"/>
    </row>
  </sheetData>
  <mergeCells count="1">
    <mergeCell ref="A1:F2"/>
  </mergeCells>
  <pageMargins left="0.25" right="0.25" top="0.5" bottom="0.5" header="0.5" footer="0.5"/>
  <pageSetup fitToHeight="0" fitToWidth="1"/>
</worksheet>
</file>

<file path=xl/worksheets/sheet6.xml><?xml version="1.0" encoding="utf-8"?>
<worksheet xmlns="http://schemas.openxmlformats.org/spreadsheetml/2006/main">
  <sheetPr>
    <outlinePr summaryBelow="1" summaryRight="1"/>
    <pageSetUpPr fitToPage="1"/>
  </sheetPr>
  <dimension ref="A1:G16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42" customWidth="1" min="2" max="2"/>
    <col width="18" customWidth="1" min="3" max="3"/>
    <col width="18" customWidth="1" min="4" max="4"/>
    <col width="18" customWidth="1" min="5" max="5"/>
    <col width="20" customWidth="1" min="6" max="6"/>
    <col width="14" customWidth="1" min="7" max="7"/>
  </cols>
  <sheetData>
    <row r="1" ht="28" customHeight="1">
      <c r="A1" s="48" t="inlineStr">
        <is>
          <t>GRAND LIVRE — EXTRAIT PAR COMPTE</t>
        </is>
      </c>
      <c r="B1" s="2" t="n"/>
      <c r="C1" s="2" t="n"/>
      <c r="D1" s="2" t="n"/>
      <c r="E1" s="2" t="n"/>
      <c r="F1" s="2" t="n"/>
      <c r="G1" s="2" t="n"/>
    </row>
    <row r="2" ht="28" customHeight="1">
      <c r="A2" s="2" t="n"/>
      <c r="B2" s="2" t="n"/>
      <c r="C2" s="2" t="n"/>
      <c r="D2" s="2" t="n"/>
      <c r="E2" s="2" t="n"/>
      <c r="F2" s="2" t="n"/>
      <c r="G2" s="2" t="n"/>
    </row>
    <row r="3">
      <c r="A3" s="2" t="n"/>
      <c r="B3" s="2" t="n"/>
      <c r="C3" s="2" t="n"/>
      <c r="D3" s="2" t="n"/>
      <c r="E3" s="2" t="n"/>
      <c r="F3" s="2" t="n"/>
      <c r="G3" s="2" t="n"/>
    </row>
    <row r="4">
      <c r="A4" s="49" t="inlineStr">
        <is>
          <t>Compte sélectionné</t>
        </is>
      </c>
      <c r="B4" s="49" t="inlineStr">
        <is>
          <t>Libellé</t>
        </is>
      </c>
      <c r="C4" s="49" t="inlineStr">
        <is>
          <t>Total débit</t>
        </is>
      </c>
      <c r="D4" s="49" t="inlineStr">
        <is>
          <t>Total crédit</t>
        </is>
      </c>
      <c r="E4" s="49" t="inlineStr">
        <is>
          <t>Solde</t>
        </is>
      </c>
      <c r="F4" s="49" t="inlineStr">
        <is>
          <t>Lecture</t>
        </is>
      </c>
      <c r="G4" s="49" t="inlineStr">
        <is>
          <t>À modifier</t>
        </is>
      </c>
    </row>
    <row r="5">
      <c r="A5" s="17" t="inlineStr">
        <is>
          <t>512</t>
        </is>
      </c>
      <c r="B5" s="20">
        <f>IFERROR(VLOOKUP(A5,'Plan Comptable'!$A:$B,2,FALSE),"")</f>
        <v/>
      </c>
      <c r="C5" s="18">
        <f>SUMIF(Journal!$B:$B,A5,Journal!$D:$D)</f>
        <v/>
      </c>
      <c r="D5" s="18">
        <f>SUMIF(Journal!$B:$B,A5,Journal!$E:$E)</f>
        <v/>
      </c>
      <c r="E5" s="18">
        <f>C5-D5</f>
        <v/>
      </c>
      <c r="F5" s="20">
        <f>IF(E5&gt;0,"Solde débiteur",IF(E5&lt;0,"Solde créditeur","Soldé"))</f>
        <v/>
      </c>
      <c r="G5" s="17" t="inlineStr">
        <is>
          <t>Oui</t>
        </is>
      </c>
    </row>
    <row r="6">
      <c r="A6" s="17" t="inlineStr">
        <is>
          <t>706</t>
        </is>
      </c>
      <c r="B6" s="20">
        <f>IFERROR(VLOOKUP(A6,'Plan Comptable'!$A:$B,2,FALSE),"")</f>
        <v/>
      </c>
      <c r="C6" s="18">
        <f>SUMIF(Journal!$B:$B,A6,Journal!$D:$D)</f>
        <v/>
      </c>
      <c r="D6" s="18">
        <f>SUMIF(Journal!$B:$B,A6,Journal!$E:$E)</f>
        <v/>
      </c>
      <c r="E6" s="18">
        <f>C6-D6</f>
        <v/>
      </c>
      <c r="F6" s="20">
        <f>IF(E6&gt;0,"Solde débiteur",IF(E6&lt;0,"Solde créditeur","Soldé"))</f>
        <v/>
      </c>
      <c r="G6" s="17" t="inlineStr">
        <is>
          <t>Oui</t>
        </is>
      </c>
    </row>
    <row r="7">
      <c r="A7" s="17" t="inlineStr">
        <is>
          <t>614</t>
        </is>
      </c>
      <c r="B7" s="20">
        <f>IFERROR(VLOOKUP(A7,'Plan Comptable'!$A:$B,2,FALSE),"")</f>
        <v/>
      </c>
      <c r="C7" s="18">
        <f>SUMIF(Journal!$B:$B,A7,Journal!$D:$D)</f>
        <v/>
      </c>
      <c r="D7" s="18">
        <f>SUMIF(Journal!$B:$B,A7,Journal!$E:$E)</f>
        <v/>
      </c>
      <c r="E7" s="18">
        <f>C7-D7</f>
        <v/>
      </c>
      <c r="F7" s="20">
        <f>IF(E7&gt;0,"Solde débiteur",IF(E7&lt;0,"Solde créditeur","Soldé"))</f>
        <v/>
      </c>
      <c r="G7" s="17" t="inlineStr">
        <is>
          <t>Oui</t>
        </is>
      </c>
    </row>
    <row r="8">
      <c r="A8" s="17" t="inlineStr">
        <is>
          <t>615</t>
        </is>
      </c>
      <c r="B8" s="20">
        <f>IFERROR(VLOOKUP(A8,'Plan Comptable'!$A:$B,2,FALSE),"")</f>
        <v/>
      </c>
      <c r="C8" s="18">
        <f>SUMIF(Journal!$B:$B,A8,Journal!$D:$D)</f>
        <v/>
      </c>
      <c r="D8" s="18">
        <f>SUMIF(Journal!$B:$B,A8,Journal!$E:$E)</f>
        <v/>
      </c>
      <c r="E8" s="18">
        <f>C8-D8</f>
        <v/>
      </c>
      <c r="F8" s="20">
        <f>IF(E8&gt;0,"Solde débiteur",IF(E8&lt;0,"Solde créditeur","Soldé"))</f>
        <v/>
      </c>
      <c r="G8" s="17" t="inlineStr">
        <is>
          <t>Oui</t>
        </is>
      </c>
    </row>
    <row r="9">
      <c r="A9" s="17" t="inlineStr">
        <is>
          <t>661</t>
        </is>
      </c>
      <c r="B9" s="20">
        <f>IFERROR(VLOOKUP(A9,'Plan Comptable'!$A:$B,2,FALSE),"")</f>
        <v/>
      </c>
      <c r="C9" s="18">
        <f>SUMIF(Journal!$B:$B,A9,Journal!$D:$D)</f>
        <v/>
      </c>
      <c r="D9" s="18">
        <f>SUMIF(Journal!$B:$B,A9,Journal!$E:$E)</f>
        <v/>
      </c>
      <c r="E9" s="18">
        <f>C9-D9</f>
        <v/>
      </c>
      <c r="F9" s="20">
        <f>IF(E9&gt;0,"Solde débiteur",IF(E9&lt;0,"Solde créditeur","Soldé"))</f>
        <v/>
      </c>
      <c r="G9" s="17" t="inlineStr">
        <is>
          <t>Oui</t>
        </is>
      </c>
    </row>
    <row r="10">
      <c r="A10" s="17" t="inlineStr">
        <is>
          <t>164</t>
        </is>
      </c>
      <c r="B10" s="20">
        <f>IFERROR(VLOOKUP(A10,'Plan Comptable'!$A:$B,2,FALSE),"")</f>
        <v/>
      </c>
      <c r="C10" s="18">
        <f>SUMIF(Journal!$B:$B,A10,Journal!$D:$D)</f>
        <v/>
      </c>
      <c r="D10" s="18">
        <f>SUMIF(Journal!$B:$B,A10,Journal!$E:$E)</f>
        <v/>
      </c>
      <c r="E10" s="18">
        <f>C10-D10</f>
        <v/>
      </c>
      <c r="F10" s="20">
        <f>IF(E10&gt;0,"Solde débiteur",IF(E10&lt;0,"Solde créditeur","Soldé"))</f>
        <v/>
      </c>
      <c r="G10" s="17" t="inlineStr">
        <is>
          <t>Oui</t>
        </is>
      </c>
    </row>
    <row r="11">
      <c r="A11" s="17" t="inlineStr">
        <is>
          <t>165</t>
        </is>
      </c>
      <c r="B11" s="20">
        <f>IFERROR(VLOOKUP(A11,'Plan Comptable'!$A:$B,2,FALSE),"")</f>
        <v/>
      </c>
      <c r="C11" s="18">
        <f>SUMIF(Journal!$B:$B,A11,Journal!$D:$D)</f>
        <v/>
      </c>
      <c r="D11" s="18">
        <f>SUMIF(Journal!$B:$B,A11,Journal!$E:$E)</f>
        <v/>
      </c>
      <c r="E11" s="18">
        <f>C11-D11</f>
        <v/>
      </c>
      <c r="F11" s="20">
        <f>IF(E11&gt;0,"Solde débiteur",IF(E11&lt;0,"Solde créditeur","Soldé"))</f>
        <v/>
      </c>
      <c r="G11" s="17" t="inlineStr">
        <is>
          <t>Oui</t>
        </is>
      </c>
    </row>
    <row r="12">
      <c r="A12" s="17" t="inlineStr">
        <is>
          <t>401</t>
        </is>
      </c>
      <c r="B12" s="20">
        <f>IFERROR(VLOOKUP(A12,'Plan Comptable'!$A:$B,2,FALSE),"")</f>
        <v/>
      </c>
      <c r="C12" s="18">
        <f>SUMIF(Journal!$B:$B,A12,Journal!$D:$D)</f>
        <v/>
      </c>
      <c r="D12" s="18">
        <f>SUMIF(Journal!$B:$B,A12,Journal!$E:$E)</f>
        <v/>
      </c>
      <c r="E12" s="18">
        <f>C12-D12</f>
        <v/>
      </c>
      <c r="F12" s="20">
        <f>IF(E12&gt;0,"Solde débiteur",IF(E12&lt;0,"Solde créditeur","Soldé"))</f>
        <v/>
      </c>
      <c r="G12" s="17" t="inlineStr">
        <is>
          <t>Oui</t>
        </is>
      </c>
    </row>
    <row r="13">
      <c r="A13" s="17" t="inlineStr">
        <is>
          <t>411</t>
        </is>
      </c>
      <c r="B13" s="20">
        <f>IFERROR(VLOOKUP(A13,'Plan Comptable'!$A:$B,2,FALSE),"")</f>
        <v/>
      </c>
      <c r="C13" s="18">
        <f>SUMIF(Journal!$B:$B,A13,Journal!$D:$D)</f>
        <v/>
      </c>
      <c r="D13" s="18">
        <f>SUMIF(Journal!$B:$B,A13,Journal!$E:$E)</f>
        <v/>
      </c>
      <c r="E13" s="18">
        <f>C13-D13</f>
        <v/>
      </c>
      <c r="F13" s="20">
        <f>IF(E13&gt;0,"Solde débiteur",IF(E13&lt;0,"Solde créditeur","Soldé"))</f>
        <v/>
      </c>
      <c r="G13" s="17" t="inlineStr">
        <is>
          <t>Oui</t>
        </is>
      </c>
    </row>
    <row r="14">
      <c r="A14" s="17" t="inlineStr">
        <is>
          <t>455</t>
        </is>
      </c>
      <c r="B14" s="20">
        <f>IFERROR(VLOOKUP(A14,'Plan Comptable'!$A:$B,2,FALSE),"")</f>
        <v/>
      </c>
      <c r="C14" s="18">
        <f>SUMIF(Journal!$B:$B,A14,Journal!$D:$D)</f>
        <v/>
      </c>
      <c r="D14" s="18">
        <f>SUMIF(Journal!$B:$B,A14,Journal!$E:$E)</f>
        <v/>
      </c>
      <c r="E14" s="18">
        <f>C14-D14</f>
        <v/>
      </c>
      <c r="F14" s="20">
        <f>IF(E14&gt;0,"Solde débiteur",IF(E14&lt;0,"Solde créditeur","Soldé"))</f>
        <v/>
      </c>
      <c r="G14" s="17" t="inlineStr">
        <is>
          <t>Oui</t>
        </is>
      </c>
    </row>
    <row r="15">
      <c r="A15" s="17" t="inlineStr">
        <is>
          <t>6811</t>
        </is>
      </c>
      <c r="B15" s="20">
        <f>IFERROR(VLOOKUP(A15,'Plan Comptable'!$A:$B,2,FALSE),"")</f>
        <v/>
      </c>
      <c r="C15" s="18">
        <f>SUMIF(Journal!$B:$B,A15,Journal!$D:$D)</f>
        <v/>
      </c>
      <c r="D15" s="18">
        <f>SUMIF(Journal!$B:$B,A15,Journal!$E:$E)</f>
        <v/>
      </c>
      <c r="E15" s="18">
        <f>C15-D15</f>
        <v/>
      </c>
      <c r="F15" s="20">
        <f>IF(E15&gt;0,"Solde débiteur",IF(E15&lt;0,"Solde créditeur","Soldé"))</f>
        <v/>
      </c>
      <c r="G15" s="17" t="inlineStr">
        <is>
          <t>Oui</t>
        </is>
      </c>
    </row>
    <row r="16">
      <c r="A16" s="17" t="inlineStr">
        <is>
          <t>2813</t>
        </is>
      </c>
      <c r="B16" s="20">
        <f>IFERROR(VLOOKUP(A16,'Plan Comptable'!$A:$B,2,FALSE),"")</f>
        <v/>
      </c>
      <c r="C16" s="18">
        <f>SUMIF(Journal!$B:$B,A16,Journal!$D:$D)</f>
        <v/>
      </c>
      <c r="D16" s="18">
        <f>SUMIF(Journal!$B:$B,A16,Journal!$E:$E)</f>
        <v/>
      </c>
      <c r="E16" s="18">
        <f>C16-D16</f>
        <v/>
      </c>
      <c r="F16" s="20">
        <f>IF(E16&gt;0,"Solde débiteur",IF(E16&lt;0,"Solde créditeur","Soldé"))</f>
        <v/>
      </c>
      <c r="G16" s="17" t="inlineStr">
        <is>
          <t>Oui</t>
        </is>
      </c>
    </row>
  </sheetData>
  <mergeCells count="1">
    <mergeCell ref="A1:G2"/>
  </mergeCells>
  <pageMargins left="0.25" right="0.25" top="0.5" bottom="0.5" header="0.5" footer="0.5"/>
  <pageSetup fitToHeight="0" fitToWidth="1"/>
</worksheet>
</file>

<file path=xl/worksheets/sheet7.xml><?xml version="1.0" encoding="utf-8"?>
<worksheet xmlns="http://schemas.openxmlformats.org/spreadsheetml/2006/main">
  <sheetPr>
    <outlinePr summaryBelow="1" summaryRight="1"/>
    <pageSetUpPr fitToPage="1"/>
  </sheetPr>
  <dimension ref="A1:D24"/>
  <sheetViews>
    <sheetView showGridLines="0" workbookViewId="0">
      <selection activeCell="A1" sqref="A1"/>
    </sheetView>
  </sheetViews>
  <sheetFormatPr baseColWidth="8" defaultRowHeight="15"/>
  <cols>
    <col width="32" customWidth="1" min="1" max="1"/>
    <col width="30" customWidth="1" min="2" max="2"/>
    <col width="18" customWidth="1" min="3" max="3"/>
    <col width="32" customWidth="1" min="4" max="4"/>
  </cols>
  <sheetData>
    <row r="1" ht="28" customHeight="1">
      <c r="A1" s="50" t="inlineStr">
        <is>
          <t>COMPTE DE RÉSULTAT IMMOBILIER AUTOMATISÉ</t>
        </is>
      </c>
      <c r="B1" s="2" t="n"/>
      <c r="C1" s="2" t="n"/>
      <c r="D1" s="2" t="n"/>
    </row>
    <row r="2" ht="28" customHeight="1">
      <c r="A2" s="2" t="n"/>
      <c r="B2" s="2" t="n"/>
      <c r="C2" s="2" t="n"/>
      <c r="D2" s="2" t="n"/>
    </row>
    <row r="3">
      <c r="A3" s="2" t="n"/>
      <c r="B3" s="2" t="n"/>
      <c r="C3" s="2" t="n"/>
      <c r="D3" s="2" t="n"/>
    </row>
    <row r="4">
      <c r="A4" s="51" t="inlineStr">
        <is>
          <t>Rubrique</t>
        </is>
      </c>
      <c r="B4" s="51" t="inlineStr">
        <is>
          <t>Formule / comptes</t>
        </is>
      </c>
      <c r="C4" s="51" t="inlineStr">
        <is>
          <t>Montant (€)</t>
        </is>
      </c>
      <c r="D4" s="51" t="inlineStr">
        <is>
          <t>Commentaire</t>
        </is>
      </c>
    </row>
    <row r="5">
      <c r="A5" s="11" t="inlineStr">
        <is>
          <t>PRODUITS</t>
        </is>
      </c>
      <c r="B5" s="11" t="inlineStr"/>
      <c r="C5" s="52" t="inlineStr"/>
      <c r="D5" s="11" t="inlineStr"/>
    </row>
    <row r="6">
      <c r="A6" s="17" t="inlineStr">
        <is>
          <t>Loyers 706</t>
        </is>
      </c>
      <c r="B6" s="17" t="inlineStr">
        <is>
          <t>Compte 706</t>
        </is>
      </c>
      <c r="C6" s="18">
        <f>SUMIF(Balance!$A:$A,"706",Balance!$D:$D)</f>
        <v/>
      </c>
      <c r="D6" s="17" t="inlineStr">
        <is>
          <t>Revenus locatifs</t>
        </is>
      </c>
    </row>
    <row r="7">
      <c r="A7" s="17" t="inlineStr">
        <is>
          <t>Charges récupérées 708</t>
        </is>
      </c>
      <c r="B7" s="17" t="inlineStr">
        <is>
          <t>Compte 708</t>
        </is>
      </c>
      <c r="C7" s="18">
        <f>SUMIF(Balance!$A:$A,"708",Balance!$D:$D)</f>
        <v/>
      </c>
      <c r="D7" s="17" t="inlineStr">
        <is>
          <t>Refacturation locataire</t>
        </is>
      </c>
    </row>
    <row r="8">
      <c r="A8" s="17" t="inlineStr">
        <is>
          <t>Autres produits 758/762/775</t>
        </is>
      </c>
      <c r="B8" s="17" t="inlineStr">
        <is>
          <t>Comptes 758+762+775</t>
        </is>
      </c>
      <c r="C8" s="18">
        <f>SUMIF(Balance!$A:$A,"758",Balance!$D:$D)+SUMIF(Balance!$A:$A,"762",Balance!$D:$D)+SUMIF(Balance!$A:$A,"775",Balance!$D:$D)</f>
        <v/>
      </c>
      <c r="D8" s="17" t="inlineStr">
        <is>
          <t>Produits ponctuels</t>
        </is>
      </c>
    </row>
    <row r="9">
      <c r="A9" s="53" t="inlineStr">
        <is>
          <t>Total produits</t>
        </is>
      </c>
      <c r="B9" s="53" t="inlineStr">
        <is>
          <t>Somme produits</t>
        </is>
      </c>
      <c r="C9" s="54">
        <f>SUM(C6:C8)</f>
        <v/>
      </c>
      <c r="D9" s="53" t="inlineStr"/>
    </row>
    <row r="10">
      <c r="A10" s="17" t="inlineStr"/>
      <c r="B10" s="17" t="inlineStr"/>
      <c r="C10" s="55" t="inlineStr"/>
      <c r="D10" s="17" t="inlineStr"/>
    </row>
    <row r="11">
      <c r="A11" s="11" t="inlineStr">
        <is>
          <t>CHARGES</t>
        </is>
      </c>
      <c r="B11" s="11" t="inlineStr"/>
      <c r="C11" s="52" t="inlineStr"/>
      <c r="D11" s="11" t="inlineStr"/>
    </row>
    <row r="12">
      <c r="A12" s="17" t="inlineStr">
        <is>
          <t>Charges copropriété 614</t>
        </is>
      </c>
      <c r="B12" s="17" t="inlineStr">
        <is>
          <t>Compte 614</t>
        </is>
      </c>
      <c r="C12" s="18">
        <f>SUMIF(Balance!$A:$A,"614",Balance!$C:$C)</f>
        <v/>
      </c>
      <c r="D12" s="17" t="inlineStr">
        <is>
          <t>Syndic</t>
        </is>
      </c>
    </row>
    <row r="13">
      <c r="A13" s="17" t="inlineStr">
        <is>
          <t>Entretien réparations 615</t>
        </is>
      </c>
      <c r="B13" s="17" t="inlineStr">
        <is>
          <t>Compte 615</t>
        </is>
      </c>
      <c r="C13" s="18">
        <f>SUMIF(Balance!$A:$A,"615",Balance!$C:$C)</f>
        <v/>
      </c>
      <c r="D13" s="17" t="inlineStr">
        <is>
          <t>Travaux courants</t>
        </is>
      </c>
    </row>
    <row r="14">
      <c r="A14" s="17" t="inlineStr">
        <is>
          <t>Assurances 616</t>
        </is>
      </c>
      <c r="B14" s="17" t="inlineStr">
        <is>
          <t>Compte 616</t>
        </is>
      </c>
      <c r="C14" s="18">
        <f>SUMIF(Balance!$A:$A,"616",Balance!$C:$C)</f>
        <v/>
      </c>
      <c r="D14" s="17" t="inlineStr">
        <is>
          <t>PNO</t>
        </is>
      </c>
    </row>
    <row r="15">
      <c r="A15" s="17" t="inlineStr">
        <is>
          <t>Honoraires 6226</t>
        </is>
      </c>
      <c r="B15" s="17" t="inlineStr">
        <is>
          <t>Compte 6226</t>
        </is>
      </c>
      <c r="C15" s="18">
        <f>SUMIF(Balance!$A:$A,"6226",Balance!$C:$C)</f>
        <v/>
      </c>
      <c r="D15" s="17" t="inlineStr">
        <is>
          <t>Agence / comptable</t>
        </is>
      </c>
    </row>
    <row r="16">
      <c r="A16" s="56" t="inlineStr">
        <is>
          <t>Impôts taxes 635</t>
        </is>
      </c>
      <c r="B16" s="56" t="inlineStr">
        <is>
          <t>Compte 635</t>
        </is>
      </c>
      <c r="C16" s="57">
        <f>SUMIF(Balance!$A:$A,"635",Balance!$C:$C)</f>
        <v/>
      </c>
      <c r="D16" s="56" t="inlineStr">
        <is>
          <t>Taxe foncière</t>
        </is>
      </c>
    </row>
    <row r="17">
      <c r="A17" s="17" t="inlineStr">
        <is>
          <t>Intérêts emprunts 661</t>
        </is>
      </c>
      <c r="B17" s="17" t="inlineStr">
        <is>
          <t>Compte 661</t>
        </is>
      </c>
      <c r="C17" s="18">
        <f>SUMIF(Balance!$A:$A,"661",Balance!$C:$C)</f>
        <v/>
      </c>
      <c r="D17" s="17" t="inlineStr">
        <is>
          <t>Financement</t>
        </is>
      </c>
    </row>
    <row r="18">
      <c r="A18" s="17" t="inlineStr">
        <is>
          <t>Amortissements 6811</t>
        </is>
      </c>
      <c r="B18" s="17" t="inlineStr">
        <is>
          <t>Compte 6811</t>
        </is>
      </c>
      <c r="C18" s="18">
        <f>SUMIF(Balance!$A:$A,"6811",Balance!$C:$C)</f>
        <v/>
      </c>
      <c r="D18" s="17" t="inlineStr">
        <is>
          <t>LMNP/SCI IS</t>
        </is>
      </c>
    </row>
    <row r="19">
      <c r="A19" s="17" t="inlineStr">
        <is>
          <t>Autres charges</t>
        </is>
      </c>
      <c r="B19" s="17" t="inlineStr">
        <is>
          <t>Comptes divers</t>
        </is>
      </c>
      <c r="C19" s="18">
        <f>SUMIF(Balance!$A:$A,"606",Balance!$C:$C)+SUMIF(Balance!$A:$A,"611",Balance!$C:$C)+SUMIF(Balance!$A:$A,"623",Balance!$C:$C)+SUMIF(Balance!$A:$A,"625",Balance!$C:$C)+SUMIF(Balance!$A:$A,"626",Balance!$C:$C)+SUMIF(Balance!$A:$A,"627",Balance!$C:$C)</f>
        <v/>
      </c>
      <c r="D19" s="17" t="inlineStr">
        <is>
          <t>Administration</t>
        </is>
      </c>
    </row>
    <row r="20">
      <c r="A20" s="56" t="inlineStr">
        <is>
          <t>Total charges</t>
        </is>
      </c>
      <c r="B20" s="56" t="inlineStr">
        <is>
          <t>Somme charges</t>
        </is>
      </c>
      <c r="C20" s="57">
        <f>SUM(C12:C20)</f>
        <v/>
      </c>
      <c r="D20" s="56" t="inlineStr"/>
    </row>
    <row r="21">
      <c r="A21" s="17" t="inlineStr"/>
      <c r="B21" s="17" t="inlineStr"/>
      <c r="C21" s="55" t="inlineStr"/>
      <c r="D21" s="17" t="inlineStr"/>
    </row>
    <row r="22">
      <c r="A22" s="56" t="inlineStr">
        <is>
          <t>Résultat avant impôt</t>
        </is>
      </c>
      <c r="B22" s="56" t="inlineStr">
        <is>
          <t>Produits - charges</t>
        </is>
      </c>
      <c r="C22" s="57">
        <f>C9-C21</f>
        <v/>
      </c>
      <c r="D22" s="56" t="inlineStr">
        <is>
          <t>Indicateur principal</t>
        </is>
      </c>
    </row>
    <row r="23">
      <c r="A23" s="56" t="inlineStr">
        <is>
          <t>Impôt indicatif</t>
        </is>
      </c>
      <c r="B23" s="56" t="inlineStr">
        <is>
          <t>Résultat × taux paramètres</t>
        </is>
      </c>
      <c r="C23" s="57">
        <f>MAX(0,C24*Paramètres!$B$14)</f>
        <v/>
      </c>
      <c r="D23" s="56" t="inlineStr">
        <is>
          <t>Simulation</t>
        </is>
      </c>
    </row>
    <row r="24">
      <c r="A24" s="56" t="inlineStr">
        <is>
          <t>Résultat net</t>
        </is>
      </c>
      <c r="B24" s="56" t="inlineStr">
        <is>
          <t>Après impôt</t>
        </is>
      </c>
      <c r="C24" s="57">
        <f>C24-C25</f>
        <v/>
      </c>
      <c r="D24" s="56" t="inlineStr"/>
    </row>
  </sheetData>
  <mergeCells count="1">
    <mergeCell ref="A1:D2"/>
  </mergeCells>
  <pageMargins left="0.25" right="0.25" top="0.5" bottom="0.5" header="0.5" footer="0.5"/>
  <pageSetup fitToHeight="0" fitToWidth="1"/>
</worksheet>
</file>

<file path=xl/worksheets/sheet8.xml><?xml version="1.0" encoding="utf-8"?>
<worksheet xmlns="http://schemas.openxmlformats.org/spreadsheetml/2006/main">
  <sheetPr>
    <outlinePr summaryBelow="1" summaryRight="1"/>
    <pageSetUpPr fitToPage="1"/>
  </sheetPr>
  <dimension ref="A1:F15"/>
  <sheetViews>
    <sheetView showGridLines="0" workbookViewId="0">
      <selection activeCell="A1" sqref="A1"/>
    </sheetView>
  </sheetViews>
  <sheetFormatPr baseColWidth="8" defaultRowHeight="15"/>
  <cols>
    <col width="32" customWidth="1" min="1" max="1"/>
    <col width="18" customWidth="1" min="2" max="2"/>
    <col width="30" customWidth="1" min="3" max="3"/>
    <col width="32" customWidth="1" min="4" max="4"/>
    <col width="18" customWidth="1" min="5" max="5"/>
    <col width="30" customWidth="1" min="6" max="6"/>
  </cols>
  <sheetData>
    <row r="1" ht="28" customHeight="1">
      <c r="A1" s="1" t="inlineStr">
        <is>
          <t>BILAN IMMOBILIER AUTOMATISÉ — ACTIF / PASSIF</t>
        </is>
      </c>
      <c r="B1" s="2" t="n"/>
      <c r="C1" s="2" t="n"/>
      <c r="D1" s="2" t="n"/>
      <c r="E1" s="2" t="n"/>
      <c r="F1" s="2" t="n"/>
    </row>
    <row r="2" ht="28" customHeight="1">
      <c r="A2" s="2" t="n"/>
      <c r="B2" s="2" t="n"/>
      <c r="C2" s="2" t="n"/>
      <c r="D2" s="2" t="n"/>
      <c r="E2" s="2" t="n"/>
      <c r="F2" s="2" t="n"/>
    </row>
    <row r="3">
      <c r="A3" s="2" t="n"/>
      <c r="B3" s="2" t="n"/>
      <c r="C3" s="2" t="n"/>
      <c r="D3" s="2" t="n"/>
      <c r="E3" s="2" t="n"/>
      <c r="F3" s="2" t="n"/>
    </row>
    <row r="4">
      <c r="A4" s="11" t="inlineStr">
        <is>
          <t>ACTIF</t>
        </is>
      </c>
      <c r="B4" s="11" t="inlineStr">
        <is>
          <t>Montant (€)</t>
        </is>
      </c>
      <c r="C4" s="11" t="inlineStr">
        <is>
          <t>Notes</t>
        </is>
      </c>
      <c r="D4" s="11" t="inlineStr">
        <is>
          <t>PASSIF</t>
        </is>
      </c>
      <c r="E4" s="11" t="inlineStr">
        <is>
          <t>Montant (€)</t>
        </is>
      </c>
      <c r="F4" s="11" t="inlineStr">
        <is>
          <t>Notes</t>
        </is>
      </c>
    </row>
    <row r="5">
      <c r="A5" s="17" t="inlineStr">
        <is>
          <t>Terrains 211</t>
        </is>
      </c>
      <c r="B5" s="18">
        <f>SUMIF(Balance!$A:$A,"211",Balance!$E:$E)</f>
        <v/>
      </c>
      <c r="C5" s="17" t="inlineStr">
        <is>
          <t>Actif brut</t>
        </is>
      </c>
      <c r="D5" s="17" t="inlineStr">
        <is>
          <t>Capital 101</t>
        </is>
      </c>
      <c r="E5" s="18">
        <f>ABS(SUMIF(Balance!$A:$A,"101",Balance!$E:$E))</f>
        <v/>
      </c>
      <c r="F5" s="17" t="inlineStr">
        <is>
          <t>Capitaux propres</t>
        </is>
      </c>
    </row>
    <row r="6">
      <c r="A6" s="17" t="inlineStr">
        <is>
          <t>Constructions 213</t>
        </is>
      </c>
      <c r="B6" s="18">
        <f>SUMIF(Balance!$A:$A,"213",Balance!$E:$E)+SUMIF(Balance!$A:$A,"2135",Balance!$E:$E)</f>
        <v/>
      </c>
      <c r="C6" s="17" t="inlineStr">
        <is>
          <t>Actif immobilisé</t>
        </is>
      </c>
      <c r="D6" s="17" t="inlineStr">
        <is>
          <t>Réserves 106</t>
        </is>
      </c>
      <c r="E6" s="18">
        <f>ABS(SUMIF(Balance!$A:$A,"106",Balance!$E:$E))</f>
        <v/>
      </c>
      <c r="F6" s="17" t="inlineStr">
        <is>
          <t>Réserves</t>
        </is>
      </c>
    </row>
    <row r="7">
      <c r="A7" s="17" t="inlineStr">
        <is>
          <t>Mobilier 2184</t>
        </is>
      </c>
      <c r="B7" s="18">
        <f>SUMIF(Balance!$A:$A,"2184",Balance!$E:$E)</f>
        <v/>
      </c>
      <c r="C7" s="17" t="inlineStr">
        <is>
          <t>LMNP</t>
        </is>
      </c>
      <c r="D7" s="17" t="inlineStr">
        <is>
          <t>Emprunts 164</t>
        </is>
      </c>
      <c r="E7" s="18">
        <f>ABS(SUMIF(Balance!$A:$A,"164",Balance!$E:$E))</f>
        <v/>
      </c>
      <c r="F7" s="17" t="inlineStr">
        <is>
          <t>Capital restant dû</t>
        </is>
      </c>
    </row>
    <row r="8">
      <c r="A8" s="17" t="inlineStr">
        <is>
          <t>Amortissements 281</t>
        </is>
      </c>
      <c r="B8" s="18">
        <f>SUMIF(Balance!$A:$A,"2813",Balance!$E:$E)+SUMIF(Balance!$A:$A,"2818",Balance!$E:$E)</f>
        <v/>
      </c>
      <c r="C8" s="17" t="inlineStr">
        <is>
          <t>À soustraire</t>
        </is>
      </c>
      <c r="D8" s="17" t="inlineStr">
        <is>
          <t>Dépôts garantie 165</t>
        </is>
      </c>
      <c r="E8" s="18">
        <f>ABS(SUMIF(Balance!$A:$A,"165",Balance!$E:$E))</f>
        <v/>
      </c>
      <c r="F8" s="17" t="inlineStr">
        <is>
          <t>Dette locataires</t>
        </is>
      </c>
    </row>
    <row r="9">
      <c r="A9" s="17" t="inlineStr">
        <is>
          <t>Créances locataires 411</t>
        </is>
      </c>
      <c r="B9" s="18">
        <f>SUMIF(Balance!$A:$A,"411",Balance!$E:$E)</f>
        <v/>
      </c>
      <c r="C9" s="17" t="inlineStr">
        <is>
          <t>À recouvrer</t>
        </is>
      </c>
      <c r="D9" s="17" t="inlineStr">
        <is>
          <t>Fournisseurs 401</t>
        </is>
      </c>
      <c r="E9" s="18">
        <f>ABS(SUMIF(Balance!$A:$A,"401",Balance!$E:$E))</f>
        <v/>
      </c>
      <c r="F9" s="17" t="inlineStr">
        <is>
          <t>Dettes factures</t>
        </is>
      </c>
    </row>
    <row r="10">
      <c r="A10" s="17" t="inlineStr">
        <is>
          <t>Banque 512</t>
        </is>
      </c>
      <c r="B10" s="18">
        <f>SUMIF(Balance!$A:$A,"512",Balance!$E:$E)</f>
        <v/>
      </c>
      <c r="C10" s="17" t="inlineStr">
        <is>
          <t>Trésorerie</t>
        </is>
      </c>
      <c r="D10" s="17" t="inlineStr">
        <is>
          <t>Compte courant associé 455</t>
        </is>
      </c>
      <c r="E10" s="18">
        <f>ABS(SUMIF(Balance!$A:$A,"455",Balance!$E:$E))</f>
        <v/>
      </c>
      <c r="F10" s="17" t="inlineStr">
        <is>
          <t>SCI</t>
        </is>
      </c>
    </row>
    <row r="11">
      <c r="A11" s="17" t="inlineStr">
        <is>
          <t>Charges constatées avance 486</t>
        </is>
      </c>
      <c r="B11" s="18">
        <f>SUMIF(Balance!$A:$A,"486",Balance!$E:$E)</f>
        <v/>
      </c>
      <c r="C11" s="17" t="inlineStr">
        <is>
          <t>Régularisation</t>
        </is>
      </c>
      <c r="D11" s="17" t="inlineStr">
        <is>
          <t>Résultat net</t>
        </is>
      </c>
      <c r="E11" s="18">
        <f>'Compte Résultat'!C26</f>
        <v/>
      </c>
      <c r="F11" s="17" t="inlineStr">
        <is>
          <t>Report résultat</t>
        </is>
      </c>
    </row>
    <row r="12">
      <c r="A12" s="2" t="n"/>
      <c r="B12" s="2" t="n"/>
      <c r="C12" s="2" t="n"/>
      <c r="D12" s="2" t="n"/>
      <c r="E12" s="2" t="n"/>
      <c r="F12" s="2" t="n"/>
    </row>
    <row r="13">
      <c r="A13" s="58" t="inlineStr">
        <is>
          <t>TOTAL ACTIF</t>
        </is>
      </c>
      <c r="B13" s="59">
        <f>SUM(B5:B12)</f>
        <v/>
      </c>
      <c r="C13" s="58" t="n"/>
      <c r="D13" s="58" t="inlineStr">
        <is>
          <t>TOTAL PASSIF</t>
        </is>
      </c>
      <c r="E13" s="59">
        <f>SUM(E5:E12)</f>
        <v/>
      </c>
      <c r="F13" s="58" t="n"/>
    </row>
    <row r="14">
      <c r="A14" s="60" t="inlineStr">
        <is>
          <t>Contrôle bilan</t>
        </is>
      </c>
      <c r="B14" s="61">
        <f>B13-E13</f>
        <v/>
      </c>
      <c r="C14" s="60" t="inlineStr">
        <is>
          <t>Doit tendre vers 0 après saisie complète</t>
        </is>
      </c>
      <c r="D14" s="60" t="n"/>
      <c r="E14" s="62" t="n"/>
      <c r="F14" s="60" t="n"/>
    </row>
    <row r="15">
      <c r="A15" s="2" t="inlineStr"/>
      <c r="B15" s="2" t="n"/>
      <c r="C15" s="2" t="n"/>
      <c r="D15" s="2" t="n"/>
      <c r="E15" s="2" t="n"/>
      <c r="F15" s="2" t="n"/>
    </row>
  </sheetData>
  <mergeCells count="1">
    <mergeCell ref="A1:F2"/>
  </mergeCells>
  <pageMargins left="0.25" right="0.25" top="0.5" bottom="0.5" header="0.5" footer="0.5"/>
  <pageSetup fitToHeight="0" fitToWidth="1"/>
</worksheet>
</file>

<file path=xl/worksheets/sheet9.xml><?xml version="1.0" encoding="utf-8"?>
<worksheet xmlns="http://schemas.openxmlformats.org/spreadsheetml/2006/main">
  <sheetPr>
    <outlinePr summaryBelow="1" summaryRight="1"/>
    <pageSetUpPr fitToPage="1"/>
  </sheetPr>
  <dimension ref="A1:N16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4" customWidth="1" min="9" max="9"/>
    <col width="28" customWidth="1" min="10" max="10"/>
    <col width="16" customWidth="1" min="12" max="12"/>
  </cols>
  <sheetData>
    <row r="1" ht="28" customHeight="1">
      <c r="A1" s="44" t="inlineStr">
        <is>
          <t>TRÉSORERIE IMMOBILIÈRE MENSUELLE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</row>
    <row r="2" ht="28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  <c r="M3" s="2" t="n"/>
      <c r="N3" s="2" t="n"/>
    </row>
    <row r="4">
      <c r="A4" s="45" t="inlineStr">
        <is>
          <t>Mois</t>
        </is>
      </c>
      <c r="B4" s="45" t="inlineStr">
        <is>
          <t>Encaissements</t>
        </is>
      </c>
      <c r="C4" s="45" t="inlineStr">
        <is>
          <t>Charges</t>
        </is>
      </c>
      <c r="D4" s="45" t="inlineStr">
        <is>
          <t>Travaux</t>
        </is>
      </c>
      <c r="E4" s="45" t="inlineStr">
        <is>
          <t>Crédit</t>
        </is>
      </c>
      <c r="F4" s="45" t="inlineStr">
        <is>
          <t>TVA/Impôts</t>
        </is>
      </c>
      <c r="G4" s="45" t="inlineStr">
        <is>
          <t>Cash-flow</t>
        </is>
      </c>
      <c r="H4" s="45" t="inlineStr">
        <is>
          <t>Solde cumulé</t>
        </is>
      </c>
      <c r="I4" s="45" t="inlineStr">
        <is>
          <t>Alerte</t>
        </is>
      </c>
      <c r="J4" s="45" t="inlineStr">
        <is>
          <t>Notes</t>
        </is>
      </c>
      <c r="K4" s="2" t="n"/>
      <c r="L4" s="2" t="n"/>
      <c r="M4" s="2" t="n"/>
      <c r="N4" s="2" t="n"/>
    </row>
    <row r="5">
      <c r="A5" s="17" t="inlineStr">
        <is>
          <t>Janvier</t>
        </is>
      </c>
      <c r="B5" s="18">
        <f>SUMIFS(Journal!$D:$D,Journal!$I:$I,1,Journal!$F:$F,"Produit")</f>
        <v/>
      </c>
      <c r="C5" s="18">
        <f>SUMIFS(Journal!$E:$E,Journal!$I:$I,1,Journal!$F:$F,"Charge")</f>
        <v/>
      </c>
      <c r="D5" s="18">
        <f>SUMIFS(Journal!$E:$E,Journal!$I:$I,1,Journal!$F:$F,"Actif")</f>
        <v/>
      </c>
      <c r="E5" s="18">
        <f>SUMIFS(Journal!$E:$E,Journal!$I:$I,1,Journal!$F:$F,"Passif")</f>
        <v/>
      </c>
      <c r="F5" s="18">
        <f>SUMIFS(Journal!$E:$E,Journal!$I:$I,1,Journal!$F:$F,"TVA")</f>
        <v/>
      </c>
      <c r="G5" s="18">
        <f>B5-C5-D5-E5-F5</f>
        <v/>
      </c>
      <c r="H5" s="18">
        <f>SUM($G$5:G5)</f>
        <v/>
      </c>
      <c r="I5" s="20">
        <f>IF(H5&lt;Paramètres!$B$12,"Alerte", "OK")</f>
        <v/>
      </c>
      <c r="J5" s="17" t="inlineStr">
        <is>
          <t>À commenter</t>
        </is>
      </c>
      <c r="K5" s="2" t="n"/>
      <c r="L5" s="2" t="n"/>
      <c r="M5" s="2" t="n"/>
      <c r="N5" s="2" t="n"/>
    </row>
    <row r="6">
      <c r="A6" s="13" t="inlineStr">
        <is>
          <t>Février</t>
        </is>
      </c>
      <c r="B6" s="14">
        <f>SUMIFS(Journal!$D:$D,Journal!$I:$I,2,Journal!$F:$F,"Produit")</f>
        <v/>
      </c>
      <c r="C6" s="14">
        <f>SUMIFS(Journal!$E:$E,Journal!$I:$I,2,Journal!$F:$F,"Charge")</f>
        <v/>
      </c>
      <c r="D6" s="14">
        <f>SUMIFS(Journal!$E:$E,Journal!$I:$I,2,Journal!$F:$F,"Actif")</f>
        <v/>
      </c>
      <c r="E6" s="14">
        <f>SUMIFS(Journal!$E:$E,Journal!$I:$I,2,Journal!$F:$F,"Passif")</f>
        <v/>
      </c>
      <c r="F6" s="14">
        <f>SUMIFS(Journal!$E:$E,Journal!$I:$I,2,Journal!$F:$F,"TVA")</f>
        <v/>
      </c>
      <c r="G6" s="14">
        <f>B6-C6-D6-E6-F6</f>
        <v/>
      </c>
      <c r="H6" s="14">
        <f>SUM($G$5:G6)</f>
        <v/>
      </c>
      <c r="I6" s="16">
        <f>IF(H6&lt;Paramètres!$B$12,"Alerte", "OK")</f>
        <v/>
      </c>
      <c r="J6" s="13" t="inlineStr">
        <is>
          <t>À commenter</t>
        </is>
      </c>
      <c r="K6" s="2" t="n"/>
      <c r="L6" s="2" t="n"/>
      <c r="M6" s="2" t="n"/>
      <c r="N6" s="2" t="n"/>
    </row>
    <row r="7">
      <c r="A7" s="17" t="inlineStr">
        <is>
          <t>Mars</t>
        </is>
      </c>
      <c r="B7" s="18">
        <f>SUMIFS(Journal!$D:$D,Journal!$I:$I,3,Journal!$F:$F,"Produit")</f>
        <v/>
      </c>
      <c r="C7" s="18">
        <f>SUMIFS(Journal!$E:$E,Journal!$I:$I,3,Journal!$F:$F,"Charge")</f>
        <v/>
      </c>
      <c r="D7" s="18">
        <f>SUMIFS(Journal!$E:$E,Journal!$I:$I,3,Journal!$F:$F,"Actif")</f>
        <v/>
      </c>
      <c r="E7" s="18">
        <f>SUMIFS(Journal!$E:$E,Journal!$I:$I,3,Journal!$F:$F,"Passif")</f>
        <v/>
      </c>
      <c r="F7" s="18">
        <f>SUMIFS(Journal!$E:$E,Journal!$I:$I,3,Journal!$F:$F,"TVA")</f>
        <v/>
      </c>
      <c r="G7" s="18">
        <f>B7-C7-D7-E7-F7</f>
        <v/>
      </c>
      <c r="H7" s="18">
        <f>SUM($G$5:G7)</f>
        <v/>
      </c>
      <c r="I7" s="20">
        <f>IF(H7&lt;Paramètres!$B$12,"Alerte", "OK")</f>
        <v/>
      </c>
      <c r="J7" s="17" t="inlineStr">
        <is>
          <t>À commenter</t>
        </is>
      </c>
      <c r="K7" s="2" t="n"/>
      <c r="L7" s="2" t="n"/>
      <c r="M7" s="2" t="n"/>
      <c r="N7" s="2" t="n"/>
    </row>
    <row r="8">
      <c r="A8" s="13" t="inlineStr">
        <is>
          <t>Avril</t>
        </is>
      </c>
      <c r="B8" s="14">
        <f>SUMIFS(Journal!$D:$D,Journal!$I:$I,4,Journal!$F:$F,"Produit")</f>
        <v/>
      </c>
      <c r="C8" s="14">
        <f>SUMIFS(Journal!$E:$E,Journal!$I:$I,4,Journal!$F:$F,"Charge")</f>
        <v/>
      </c>
      <c r="D8" s="14">
        <f>SUMIFS(Journal!$E:$E,Journal!$I:$I,4,Journal!$F:$F,"Actif")</f>
        <v/>
      </c>
      <c r="E8" s="14">
        <f>SUMIFS(Journal!$E:$E,Journal!$I:$I,4,Journal!$F:$F,"Passif")</f>
        <v/>
      </c>
      <c r="F8" s="14">
        <f>SUMIFS(Journal!$E:$E,Journal!$I:$I,4,Journal!$F:$F,"TVA")</f>
        <v/>
      </c>
      <c r="G8" s="14">
        <f>B8-C8-D8-E8-F8</f>
        <v/>
      </c>
      <c r="H8" s="14">
        <f>SUM($G$5:G8)</f>
        <v/>
      </c>
      <c r="I8" s="16">
        <f>IF(H8&lt;Paramètres!$B$12,"Alerte", "OK")</f>
        <v/>
      </c>
      <c r="J8" s="13" t="inlineStr">
        <is>
          <t>À commenter</t>
        </is>
      </c>
      <c r="K8" s="2" t="n"/>
      <c r="L8" s="2" t="n"/>
      <c r="M8" s="2" t="n"/>
      <c r="N8" s="2" t="n"/>
    </row>
    <row r="9">
      <c r="A9" s="17" t="inlineStr">
        <is>
          <t>Mai</t>
        </is>
      </c>
      <c r="B9" s="18">
        <f>SUMIFS(Journal!$D:$D,Journal!$I:$I,5,Journal!$F:$F,"Produit")</f>
        <v/>
      </c>
      <c r="C9" s="18">
        <f>SUMIFS(Journal!$E:$E,Journal!$I:$I,5,Journal!$F:$F,"Charge")</f>
        <v/>
      </c>
      <c r="D9" s="18">
        <f>SUMIFS(Journal!$E:$E,Journal!$I:$I,5,Journal!$F:$F,"Actif")</f>
        <v/>
      </c>
      <c r="E9" s="18">
        <f>SUMIFS(Journal!$E:$E,Journal!$I:$I,5,Journal!$F:$F,"Passif")</f>
        <v/>
      </c>
      <c r="F9" s="18">
        <f>SUMIFS(Journal!$E:$E,Journal!$I:$I,5,Journal!$F:$F,"TVA")</f>
        <v/>
      </c>
      <c r="G9" s="18">
        <f>B9-C9-D9-E9-F9</f>
        <v/>
      </c>
      <c r="H9" s="18">
        <f>SUM($G$5:G9)</f>
        <v/>
      </c>
      <c r="I9" s="20">
        <f>IF(H9&lt;Paramètres!$B$12,"Alerte", "OK")</f>
        <v/>
      </c>
      <c r="J9" s="17" t="inlineStr">
        <is>
          <t>À commenter</t>
        </is>
      </c>
      <c r="K9" s="2" t="n"/>
      <c r="L9" s="2" t="n"/>
      <c r="M9" s="2" t="n"/>
      <c r="N9" s="2" t="n"/>
    </row>
    <row r="10">
      <c r="A10" s="13" t="inlineStr">
        <is>
          <t>Juin</t>
        </is>
      </c>
      <c r="B10" s="14">
        <f>SUMIFS(Journal!$D:$D,Journal!$I:$I,6,Journal!$F:$F,"Produit")</f>
        <v/>
      </c>
      <c r="C10" s="14">
        <f>SUMIFS(Journal!$E:$E,Journal!$I:$I,6,Journal!$F:$F,"Charge")</f>
        <v/>
      </c>
      <c r="D10" s="14">
        <f>SUMIFS(Journal!$E:$E,Journal!$I:$I,6,Journal!$F:$F,"Actif")</f>
        <v/>
      </c>
      <c r="E10" s="14">
        <f>SUMIFS(Journal!$E:$E,Journal!$I:$I,6,Journal!$F:$F,"Passif")</f>
        <v/>
      </c>
      <c r="F10" s="14">
        <f>SUMIFS(Journal!$E:$E,Journal!$I:$I,6,Journal!$F:$F,"TVA")</f>
        <v/>
      </c>
      <c r="G10" s="14">
        <f>B10-C10-D10-E10-F10</f>
        <v/>
      </c>
      <c r="H10" s="14">
        <f>SUM($G$5:G10)</f>
        <v/>
      </c>
      <c r="I10" s="16">
        <f>IF(H10&lt;Paramètres!$B$12,"Alerte", "OK")</f>
        <v/>
      </c>
      <c r="J10" s="13" t="inlineStr">
        <is>
          <t>À commenter</t>
        </is>
      </c>
      <c r="K10" s="2" t="n"/>
      <c r="L10" s="2" t="n"/>
      <c r="M10" s="2" t="n"/>
      <c r="N10" s="2" t="n"/>
    </row>
    <row r="11">
      <c r="A11" s="17" t="inlineStr">
        <is>
          <t>Juillet</t>
        </is>
      </c>
      <c r="B11" s="18">
        <f>SUMIFS(Journal!$D:$D,Journal!$I:$I,7,Journal!$F:$F,"Produit")</f>
        <v/>
      </c>
      <c r="C11" s="18">
        <f>SUMIFS(Journal!$E:$E,Journal!$I:$I,7,Journal!$F:$F,"Charge")</f>
        <v/>
      </c>
      <c r="D11" s="18">
        <f>SUMIFS(Journal!$E:$E,Journal!$I:$I,7,Journal!$F:$F,"Actif")</f>
        <v/>
      </c>
      <c r="E11" s="18">
        <f>SUMIFS(Journal!$E:$E,Journal!$I:$I,7,Journal!$F:$F,"Passif")</f>
        <v/>
      </c>
      <c r="F11" s="18">
        <f>SUMIFS(Journal!$E:$E,Journal!$I:$I,7,Journal!$F:$F,"TVA")</f>
        <v/>
      </c>
      <c r="G11" s="18">
        <f>B11-C11-D11-E11-F11</f>
        <v/>
      </c>
      <c r="H11" s="18">
        <f>SUM($G$5:G11)</f>
        <v/>
      </c>
      <c r="I11" s="20">
        <f>IF(H11&lt;Paramètres!$B$12,"Alerte", "OK")</f>
        <v/>
      </c>
      <c r="J11" s="17" t="inlineStr">
        <is>
          <t>À commenter</t>
        </is>
      </c>
      <c r="K11" s="2" t="n"/>
      <c r="L11" s="2" t="n"/>
      <c r="M11" s="2" t="n"/>
      <c r="N11" s="2" t="n"/>
    </row>
    <row r="12">
      <c r="A12" s="13" t="inlineStr">
        <is>
          <t>Août</t>
        </is>
      </c>
      <c r="B12" s="14">
        <f>SUMIFS(Journal!$D:$D,Journal!$I:$I,8,Journal!$F:$F,"Produit")</f>
        <v/>
      </c>
      <c r="C12" s="14">
        <f>SUMIFS(Journal!$E:$E,Journal!$I:$I,8,Journal!$F:$F,"Charge")</f>
        <v/>
      </c>
      <c r="D12" s="14">
        <f>SUMIFS(Journal!$E:$E,Journal!$I:$I,8,Journal!$F:$F,"Actif")</f>
        <v/>
      </c>
      <c r="E12" s="14">
        <f>SUMIFS(Journal!$E:$E,Journal!$I:$I,8,Journal!$F:$F,"Passif")</f>
        <v/>
      </c>
      <c r="F12" s="14">
        <f>SUMIFS(Journal!$E:$E,Journal!$I:$I,8,Journal!$F:$F,"TVA")</f>
        <v/>
      </c>
      <c r="G12" s="14">
        <f>B12-C12-D12-E12-F12</f>
        <v/>
      </c>
      <c r="H12" s="14">
        <f>SUM($G$5:G12)</f>
        <v/>
      </c>
      <c r="I12" s="16">
        <f>IF(H12&lt;Paramètres!$B$12,"Alerte", "OK")</f>
        <v/>
      </c>
      <c r="J12" s="13" t="inlineStr">
        <is>
          <t>À commenter</t>
        </is>
      </c>
      <c r="K12" s="2" t="n"/>
      <c r="L12" s="2" t="n"/>
      <c r="M12" s="2" t="n"/>
      <c r="N12" s="2" t="n"/>
    </row>
    <row r="13">
      <c r="A13" s="17" t="inlineStr">
        <is>
          <t>Septembre</t>
        </is>
      </c>
      <c r="B13" s="18">
        <f>SUMIFS(Journal!$D:$D,Journal!$I:$I,9,Journal!$F:$F,"Produit")</f>
        <v/>
      </c>
      <c r="C13" s="18">
        <f>SUMIFS(Journal!$E:$E,Journal!$I:$I,9,Journal!$F:$F,"Charge")</f>
        <v/>
      </c>
      <c r="D13" s="18">
        <f>SUMIFS(Journal!$E:$E,Journal!$I:$I,9,Journal!$F:$F,"Actif")</f>
        <v/>
      </c>
      <c r="E13" s="18">
        <f>SUMIFS(Journal!$E:$E,Journal!$I:$I,9,Journal!$F:$F,"Passif")</f>
        <v/>
      </c>
      <c r="F13" s="18">
        <f>SUMIFS(Journal!$E:$E,Journal!$I:$I,9,Journal!$F:$F,"TVA")</f>
        <v/>
      </c>
      <c r="G13" s="18">
        <f>B13-C13-D13-E13-F13</f>
        <v/>
      </c>
      <c r="H13" s="18">
        <f>SUM($G$5:G13)</f>
        <v/>
      </c>
      <c r="I13" s="20">
        <f>IF(H13&lt;Paramètres!$B$12,"Alerte", "OK")</f>
        <v/>
      </c>
      <c r="J13" s="17" t="inlineStr">
        <is>
          <t>À commenter</t>
        </is>
      </c>
      <c r="K13" s="2" t="n"/>
      <c r="L13" s="2" t="n"/>
      <c r="M13" s="2" t="n"/>
      <c r="N13" s="2" t="n"/>
    </row>
    <row r="14">
      <c r="A14" s="13" t="inlineStr">
        <is>
          <t>Octobre</t>
        </is>
      </c>
      <c r="B14" s="14">
        <f>SUMIFS(Journal!$D:$D,Journal!$I:$I,10,Journal!$F:$F,"Produit")</f>
        <v/>
      </c>
      <c r="C14" s="14">
        <f>SUMIFS(Journal!$E:$E,Journal!$I:$I,10,Journal!$F:$F,"Charge")</f>
        <v/>
      </c>
      <c r="D14" s="14">
        <f>SUMIFS(Journal!$E:$E,Journal!$I:$I,10,Journal!$F:$F,"Actif")</f>
        <v/>
      </c>
      <c r="E14" s="14">
        <f>SUMIFS(Journal!$E:$E,Journal!$I:$I,10,Journal!$F:$F,"Passif")</f>
        <v/>
      </c>
      <c r="F14" s="14">
        <f>SUMIFS(Journal!$E:$E,Journal!$I:$I,10,Journal!$F:$F,"TVA")</f>
        <v/>
      </c>
      <c r="G14" s="14">
        <f>B14-C14-D14-E14-F14</f>
        <v/>
      </c>
      <c r="H14" s="14">
        <f>SUM($G$5:G14)</f>
        <v/>
      </c>
      <c r="I14" s="16">
        <f>IF(H14&lt;Paramètres!$B$12,"Alerte", "OK")</f>
        <v/>
      </c>
      <c r="J14" s="13" t="inlineStr">
        <is>
          <t>À commenter</t>
        </is>
      </c>
      <c r="K14" s="2" t="n"/>
      <c r="L14" s="2" t="n"/>
      <c r="M14" s="2" t="n"/>
      <c r="N14" s="2" t="n"/>
    </row>
    <row r="15">
      <c r="A15" s="17" t="inlineStr">
        <is>
          <t>Novembre</t>
        </is>
      </c>
      <c r="B15" s="18">
        <f>SUMIFS(Journal!$D:$D,Journal!$I:$I,11,Journal!$F:$F,"Produit")</f>
        <v/>
      </c>
      <c r="C15" s="18">
        <f>SUMIFS(Journal!$E:$E,Journal!$I:$I,11,Journal!$F:$F,"Charge")</f>
        <v/>
      </c>
      <c r="D15" s="18">
        <f>SUMIFS(Journal!$E:$E,Journal!$I:$I,11,Journal!$F:$F,"Actif")</f>
        <v/>
      </c>
      <c r="E15" s="18">
        <f>SUMIFS(Journal!$E:$E,Journal!$I:$I,11,Journal!$F:$F,"Passif")</f>
        <v/>
      </c>
      <c r="F15" s="18">
        <f>SUMIFS(Journal!$E:$E,Journal!$I:$I,11,Journal!$F:$F,"TVA")</f>
        <v/>
      </c>
      <c r="G15" s="18">
        <f>B15-C15-D15-E15-F15</f>
        <v/>
      </c>
      <c r="H15" s="18">
        <f>SUM($G$5:G15)</f>
        <v/>
      </c>
      <c r="I15" s="20">
        <f>IF(H15&lt;Paramètres!$B$12,"Alerte", "OK")</f>
        <v/>
      </c>
      <c r="J15" s="17" t="inlineStr">
        <is>
          <t>À commenter</t>
        </is>
      </c>
      <c r="K15" s="2" t="n"/>
      <c r="L15" s="2" t="n"/>
      <c r="M15" s="2" t="n"/>
      <c r="N15" s="2" t="n"/>
    </row>
    <row r="16">
      <c r="A16" s="13" t="inlineStr">
        <is>
          <t>Décembre</t>
        </is>
      </c>
      <c r="B16" s="14">
        <f>SUMIFS(Journal!$D:$D,Journal!$I:$I,12,Journal!$F:$F,"Produit")</f>
        <v/>
      </c>
      <c r="C16" s="14">
        <f>SUMIFS(Journal!$E:$E,Journal!$I:$I,12,Journal!$F:$F,"Charge")</f>
        <v/>
      </c>
      <c r="D16" s="14">
        <f>SUMIFS(Journal!$E:$E,Journal!$I:$I,12,Journal!$F:$F,"Actif")</f>
        <v/>
      </c>
      <c r="E16" s="14">
        <f>SUMIFS(Journal!$E:$E,Journal!$I:$I,12,Journal!$F:$F,"Passif")</f>
        <v/>
      </c>
      <c r="F16" s="14">
        <f>SUMIFS(Journal!$E:$E,Journal!$I:$I,12,Journal!$F:$F,"TVA")</f>
        <v/>
      </c>
      <c r="G16" s="14">
        <f>B16-C16-D16-E16-F16</f>
        <v/>
      </c>
      <c r="H16" s="14">
        <f>SUM($G$5:G16)</f>
        <v/>
      </c>
      <c r="I16" s="16">
        <f>IF(H16&lt;Paramètres!$B$12,"Alerte", "OK")</f>
        <v/>
      </c>
      <c r="J16" s="13" t="inlineStr">
        <is>
          <t>À commenter</t>
        </is>
      </c>
      <c r="K16" s="2" t="n"/>
      <c r="L16" s="2" t="n"/>
      <c r="M16" s="2" t="n"/>
      <c r="N16" s="2" t="n"/>
    </row>
  </sheetData>
  <mergeCells count="1">
    <mergeCell ref="A1:N2"/>
  </mergeCells>
  <pageMargins left="0.25" right="0.25" top="0.5" bottom="0.5" header="0.5" footer="0.5"/>
  <pageSetup fitToHeight="0" fitToWidth="1"/>
  <drawing xmlns:r="http://schemas.openxmlformats.org/officeDocument/2006/relationships" r:id="rId1"/>
</worksheet>
</file>

<file path=xl/worksheets/sheet10.xml><?xml version="1.0" encoding="utf-8"?>
<worksheet xmlns="http://schemas.openxmlformats.org/spreadsheetml/2006/main">
  <sheetPr>
    <outlinePr summaryBelow="1" summaryRight="1"/>
    <pageSetUpPr fitToPage="1"/>
  </sheetPr>
  <dimension ref="A1:H16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34" customWidth="1" min="7" max="7"/>
    <col width="32" customWidth="1" min="8" max="8"/>
  </cols>
  <sheetData>
    <row r="1" ht="28" customHeight="1">
      <c r="A1" s="21" t="inlineStr">
        <is>
          <t>TRAITEMENT TVA IMMOBILIÈRE — SUIVI ET CONTRÔLE</t>
        </is>
      </c>
      <c r="B1" s="2" t="n"/>
      <c r="C1" s="2" t="n"/>
      <c r="D1" s="2" t="n"/>
      <c r="E1" s="2" t="n"/>
      <c r="F1" s="2" t="n"/>
      <c r="G1" s="2" t="n"/>
      <c r="H1" s="2" t="n"/>
    </row>
    <row r="2" ht="28" customHeight="1">
      <c r="A2" s="2" t="n"/>
      <c r="B2" s="2" t="n"/>
      <c r="C2" s="2" t="n"/>
      <c r="D2" s="2" t="n"/>
      <c r="E2" s="2" t="n"/>
      <c r="F2" s="2" t="n"/>
      <c r="G2" s="2" t="n"/>
      <c r="H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</row>
    <row r="4">
      <c r="A4" s="22" t="inlineStr">
        <is>
          <t>Période</t>
        </is>
      </c>
      <c r="B4" s="22" t="inlineStr">
        <is>
          <t>Base taxable</t>
        </is>
      </c>
      <c r="C4" s="22" t="inlineStr">
        <is>
          <t>TVA collectée</t>
        </is>
      </c>
      <c r="D4" s="22" t="inlineStr">
        <is>
          <t>TVA déductible</t>
        </is>
      </c>
      <c r="E4" s="22" t="inlineStr">
        <is>
          <t>TVA nette</t>
        </is>
      </c>
      <c r="F4" s="22" t="inlineStr">
        <is>
          <t>Statut</t>
        </is>
      </c>
      <c r="G4" s="22" t="inlineStr">
        <is>
          <t>Commentaire</t>
        </is>
      </c>
      <c r="H4" s="22" t="inlineStr">
        <is>
          <t>Régime</t>
        </is>
      </c>
    </row>
    <row r="5">
      <c r="A5" s="17" t="inlineStr">
        <is>
          <t>Janvier</t>
        </is>
      </c>
      <c r="B5" s="18">
        <f>SUMIFS(Journal!$E:$E,Journal!$I:$I,1,Journal!$B:$B,"44571")/Paramètres!$B$8</f>
        <v/>
      </c>
      <c r="C5" s="18">
        <f>SUMIFS(Journal!$E:$E,Journal!$I:$I,1,Journal!$B:$B,"44571")</f>
        <v/>
      </c>
      <c r="D5" s="18">
        <f>SUMIFS(Journal!$D:$D,Journal!$I:$I,1,Journal!$B:$B,"44566")</f>
        <v/>
      </c>
      <c r="E5" s="18">
        <f>C5-D5</f>
        <v/>
      </c>
      <c r="F5" s="20">
        <f>IF(E5&gt;0,"À décaisser",IF(E5&lt;0,"Crédit TVA","Neutre"))</f>
        <v/>
      </c>
      <c r="G5" s="17" t="inlineStr">
        <is>
          <t>À contrôler selon régime applicable</t>
        </is>
      </c>
      <c r="H5" s="17" t="inlineStr">
        <is>
          <t>Location / promotion / marchand de biens</t>
        </is>
      </c>
    </row>
    <row r="6">
      <c r="A6" s="17" t="inlineStr">
        <is>
          <t>Février</t>
        </is>
      </c>
      <c r="B6" s="18">
        <f>SUMIFS(Journal!$E:$E,Journal!$I:$I,2,Journal!$B:$B,"44571")/Paramètres!$B$8</f>
        <v/>
      </c>
      <c r="C6" s="18">
        <f>SUMIFS(Journal!$E:$E,Journal!$I:$I,2,Journal!$B:$B,"44571")</f>
        <v/>
      </c>
      <c r="D6" s="18">
        <f>SUMIFS(Journal!$D:$D,Journal!$I:$I,2,Journal!$B:$B,"44566")</f>
        <v/>
      </c>
      <c r="E6" s="18">
        <f>C6-D6</f>
        <v/>
      </c>
      <c r="F6" s="20">
        <f>IF(E6&gt;0,"À décaisser",IF(E6&lt;0,"Crédit TVA","Neutre"))</f>
        <v/>
      </c>
      <c r="G6" s="17" t="inlineStr">
        <is>
          <t>À contrôler selon régime applicable</t>
        </is>
      </c>
      <c r="H6" s="17" t="inlineStr">
        <is>
          <t>Location / promotion / marchand de biens</t>
        </is>
      </c>
    </row>
    <row r="7">
      <c r="A7" s="17" t="inlineStr">
        <is>
          <t>Mars</t>
        </is>
      </c>
      <c r="B7" s="18">
        <f>SUMIFS(Journal!$E:$E,Journal!$I:$I,3,Journal!$B:$B,"44571")/Paramètres!$B$8</f>
        <v/>
      </c>
      <c r="C7" s="18">
        <f>SUMIFS(Journal!$E:$E,Journal!$I:$I,3,Journal!$B:$B,"44571")</f>
        <v/>
      </c>
      <c r="D7" s="18">
        <f>SUMIFS(Journal!$D:$D,Journal!$I:$I,3,Journal!$B:$B,"44566")</f>
        <v/>
      </c>
      <c r="E7" s="18">
        <f>C7-D7</f>
        <v/>
      </c>
      <c r="F7" s="20">
        <f>IF(E7&gt;0,"À décaisser",IF(E7&lt;0,"Crédit TVA","Neutre"))</f>
        <v/>
      </c>
      <c r="G7" s="17" t="inlineStr">
        <is>
          <t>À contrôler selon régime applicable</t>
        </is>
      </c>
      <c r="H7" s="17" t="inlineStr">
        <is>
          <t>Location / promotion / marchand de biens</t>
        </is>
      </c>
    </row>
    <row r="8">
      <c r="A8" s="17" t="inlineStr">
        <is>
          <t>Avril</t>
        </is>
      </c>
      <c r="B8" s="18">
        <f>SUMIFS(Journal!$E:$E,Journal!$I:$I,4,Journal!$B:$B,"44571")/Paramètres!$B$8</f>
        <v/>
      </c>
      <c r="C8" s="18">
        <f>SUMIFS(Journal!$E:$E,Journal!$I:$I,4,Journal!$B:$B,"44571")</f>
        <v/>
      </c>
      <c r="D8" s="18">
        <f>SUMIFS(Journal!$D:$D,Journal!$I:$I,4,Journal!$B:$B,"44566")</f>
        <v/>
      </c>
      <c r="E8" s="18">
        <f>C8-D8</f>
        <v/>
      </c>
      <c r="F8" s="20">
        <f>IF(E8&gt;0,"À décaisser",IF(E8&lt;0,"Crédit TVA","Neutre"))</f>
        <v/>
      </c>
      <c r="G8" s="17" t="inlineStr">
        <is>
          <t>À contrôler selon régime applicable</t>
        </is>
      </c>
      <c r="H8" s="17" t="inlineStr">
        <is>
          <t>Location / promotion / marchand de biens</t>
        </is>
      </c>
    </row>
    <row r="9">
      <c r="A9" s="17" t="inlineStr">
        <is>
          <t>Mai</t>
        </is>
      </c>
      <c r="B9" s="18">
        <f>SUMIFS(Journal!$E:$E,Journal!$I:$I,5,Journal!$B:$B,"44571")/Paramètres!$B$8</f>
        <v/>
      </c>
      <c r="C9" s="18">
        <f>SUMIFS(Journal!$E:$E,Journal!$I:$I,5,Journal!$B:$B,"44571")</f>
        <v/>
      </c>
      <c r="D9" s="18">
        <f>SUMIFS(Journal!$D:$D,Journal!$I:$I,5,Journal!$B:$B,"44566")</f>
        <v/>
      </c>
      <c r="E9" s="18">
        <f>C9-D9</f>
        <v/>
      </c>
      <c r="F9" s="20">
        <f>IF(E9&gt;0,"À décaisser",IF(E9&lt;0,"Crédit TVA","Neutre"))</f>
        <v/>
      </c>
      <c r="G9" s="17" t="inlineStr">
        <is>
          <t>À contrôler selon régime applicable</t>
        </is>
      </c>
      <c r="H9" s="17" t="inlineStr">
        <is>
          <t>Location / promotion / marchand de biens</t>
        </is>
      </c>
    </row>
    <row r="10">
      <c r="A10" s="17" t="inlineStr">
        <is>
          <t>Juin</t>
        </is>
      </c>
      <c r="B10" s="18">
        <f>SUMIFS(Journal!$E:$E,Journal!$I:$I,6,Journal!$B:$B,"44571")/Paramètres!$B$8</f>
        <v/>
      </c>
      <c r="C10" s="18">
        <f>SUMIFS(Journal!$E:$E,Journal!$I:$I,6,Journal!$B:$B,"44571")</f>
        <v/>
      </c>
      <c r="D10" s="18">
        <f>SUMIFS(Journal!$D:$D,Journal!$I:$I,6,Journal!$B:$B,"44566")</f>
        <v/>
      </c>
      <c r="E10" s="18">
        <f>C10-D10</f>
        <v/>
      </c>
      <c r="F10" s="20">
        <f>IF(E10&gt;0,"À décaisser",IF(E10&lt;0,"Crédit TVA","Neutre"))</f>
        <v/>
      </c>
      <c r="G10" s="17" t="inlineStr">
        <is>
          <t>À contrôler selon régime applicable</t>
        </is>
      </c>
      <c r="H10" s="17" t="inlineStr">
        <is>
          <t>Location / promotion / marchand de biens</t>
        </is>
      </c>
    </row>
    <row r="11">
      <c r="A11" s="17" t="inlineStr">
        <is>
          <t>Juillet</t>
        </is>
      </c>
      <c r="B11" s="18">
        <f>SUMIFS(Journal!$E:$E,Journal!$I:$I,7,Journal!$B:$B,"44571")/Paramètres!$B$8</f>
        <v/>
      </c>
      <c r="C11" s="18">
        <f>SUMIFS(Journal!$E:$E,Journal!$I:$I,7,Journal!$B:$B,"44571")</f>
        <v/>
      </c>
      <c r="D11" s="18">
        <f>SUMIFS(Journal!$D:$D,Journal!$I:$I,7,Journal!$B:$B,"44566")</f>
        <v/>
      </c>
      <c r="E11" s="18">
        <f>C11-D11</f>
        <v/>
      </c>
      <c r="F11" s="20">
        <f>IF(E11&gt;0,"À décaisser",IF(E11&lt;0,"Crédit TVA","Neutre"))</f>
        <v/>
      </c>
      <c r="G11" s="17" t="inlineStr">
        <is>
          <t>À contrôler selon régime applicable</t>
        </is>
      </c>
      <c r="H11" s="17" t="inlineStr">
        <is>
          <t>Location / promotion / marchand de biens</t>
        </is>
      </c>
    </row>
    <row r="12">
      <c r="A12" s="17" t="inlineStr">
        <is>
          <t>Août</t>
        </is>
      </c>
      <c r="B12" s="18">
        <f>SUMIFS(Journal!$E:$E,Journal!$I:$I,8,Journal!$B:$B,"44571")/Paramètres!$B$8</f>
        <v/>
      </c>
      <c r="C12" s="18">
        <f>SUMIFS(Journal!$E:$E,Journal!$I:$I,8,Journal!$B:$B,"44571")</f>
        <v/>
      </c>
      <c r="D12" s="18">
        <f>SUMIFS(Journal!$D:$D,Journal!$I:$I,8,Journal!$B:$B,"44566")</f>
        <v/>
      </c>
      <c r="E12" s="18">
        <f>C12-D12</f>
        <v/>
      </c>
      <c r="F12" s="20">
        <f>IF(E12&gt;0,"À décaisser",IF(E12&lt;0,"Crédit TVA","Neutre"))</f>
        <v/>
      </c>
      <c r="G12" s="17" t="inlineStr">
        <is>
          <t>À contrôler selon régime applicable</t>
        </is>
      </c>
      <c r="H12" s="17" t="inlineStr">
        <is>
          <t>Location / promotion / marchand de biens</t>
        </is>
      </c>
    </row>
    <row r="13">
      <c r="A13" s="17" t="inlineStr">
        <is>
          <t>Septembre</t>
        </is>
      </c>
      <c r="B13" s="18">
        <f>SUMIFS(Journal!$E:$E,Journal!$I:$I,9,Journal!$B:$B,"44571")/Paramètres!$B$8</f>
        <v/>
      </c>
      <c r="C13" s="18">
        <f>SUMIFS(Journal!$E:$E,Journal!$I:$I,9,Journal!$B:$B,"44571")</f>
        <v/>
      </c>
      <c r="D13" s="18">
        <f>SUMIFS(Journal!$D:$D,Journal!$I:$I,9,Journal!$B:$B,"44566")</f>
        <v/>
      </c>
      <c r="E13" s="18">
        <f>C13-D13</f>
        <v/>
      </c>
      <c r="F13" s="20">
        <f>IF(E13&gt;0,"À décaisser",IF(E13&lt;0,"Crédit TVA","Neutre"))</f>
        <v/>
      </c>
      <c r="G13" s="17" t="inlineStr">
        <is>
          <t>À contrôler selon régime applicable</t>
        </is>
      </c>
      <c r="H13" s="17" t="inlineStr">
        <is>
          <t>Location / promotion / marchand de biens</t>
        </is>
      </c>
    </row>
    <row r="14">
      <c r="A14" s="17" t="inlineStr">
        <is>
          <t>Octobre</t>
        </is>
      </c>
      <c r="B14" s="18">
        <f>SUMIFS(Journal!$E:$E,Journal!$I:$I,10,Journal!$B:$B,"44571")/Paramètres!$B$8</f>
        <v/>
      </c>
      <c r="C14" s="18">
        <f>SUMIFS(Journal!$E:$E,Journal!$I:$I,10,Journal!$B:$B,"44571")</f>
        <v/>
      </c>
      <c r="D14" s="18">
        <f>SUMIFS(Journal!$D:$D,Journal!$I:$I,10,Journal!$B:$B,"44566")</f>
        <v/>
      </c>
      <c r="E14" s="18">
        <f>C14-D14</f>
        <v/>
      </c>
      <c r="F14" s="20">
        <f>IF(E14&gt;0,"À décaisser",IF(E14&lt;0,"Crédit TVA","Neutre"))</f>
        <v/>
      </c>
      <c r="G14" s="17" t="inlineStr">
        <is>
          <t>À contrôler selon régime applicable</t>
        </is>
      </c>
      <c r="H14" s="17" t="inlineStr">
        <is>
          <t>Location / promotion / marchand de biens</t>
        </is>
      </c>
    </row>
    <row r="15">
      <c r="A15" s="17" t="inlineStr">
        <is>
          <t>Novembre</t>
        </is>
      </c>
      <c r="B15" s="18">
        <f>SUMIFS(Journal!$E:$E,Journal!$I:$I,11,Journal!$B:$B,"44571")/Paramètres!$B$8</f>
        <v/>
      </c>
      <c r="C15" s="18">
        <f>SUMIFS(Journal!$E:$E,Journal!$I:$I,11,Journal!$B:$B,"44571")</f>
        <v/>
      </c>
      <c r="D15" s="18">
        <f>SUMIFS(Journal!$D:$D,Journal!$I:$I,11,Journal!$B:$B,"44566")</f>
        <v/>
      </c>
      <c r="E15" s="18">
        <f>C15-D15</f>
        <v/>
      </c>
      <c r="F15" s="20">
        <f>IF(E15&gt;0,"À décaisser",IF(E15&lt;0,"Crédit TVA","Neutre"))</f>
        <v/>
      </c>
      <c r="G15" s="17" t="inlineStr">
        <is>
          <t>À contrôler selon régime applicable</t>
        </is>
      </c>
      <c r="H15" s="17" t="inlineStr">
        <is>
          <t>Location / promotion / marchand de biens</t>
        </is>
      </c>
    </row>
    <row r="16">
      <c r="A16" s="17" t="inlineStr">
        <is>
          <t>Décembre</t>
        </is>
      </c>
      <c r="B16" s="18">
        <f>SUMIFS(Journal!$E:$E,Journal!$I:$I,12,Journal!$B:$B,"44571")/Paramètres!$B$8</f>
        <v/>
      </c>
      <c r="C16" s="18">
        <f>SUMIFS(Journal!$E:$E,Journal!$I:$I,12,Journal!$B:$B,"44571")</f>
        <v/>
      </c>
      <c r="D16" s="18">
        <f>SUMIFS(Journal!$D:$D,Journal!$I:$I,12,Journal!$B:$B,"44566")</f>
        <v/>
      </c>
      <c r="E16" s="18">
        <f>C16-D16</f>
        <v/>
      </c>
      <c r="F16" s="20">
        <f>IF(E16&gt;0,"À décaisser",IF(E16&lt;0,"Crédit TVA","Neutre"))</f>
        <v/>
      </c>
      <c r="G16" s="17" t="inlineStr">
        <is>
          <t>À contrôler selon régime applicable</t>
        </is>
      </c>
      <c r="H16" s="17" t="inlineStr">
        <is>
          <t>Location / promotion / marchand de biens</t>
        </is>
      </c>
    </row>
  </sheetData>
  <mergeCells count="1">
    <mergeCell ref="A1:H2"/>
  </mergeCells>
  <pageMargins left="0.25" right="0.25" top="0.5" bottom="0.5" header="0.5" footer="0.5"/>
  <pageSetup fitToHeight="0" fitToWidth="1"/>
</worksheet>
</file>

<file path=xl/worksheets/sheet11.xml><?xml version="1.0" encoding="utf-8"?>
<worksheet xmlns="http://schemas.openxmlformats.org/spreadsheetml/2006/main">
  <sheetPr>
    <outlinePr summaryBelow="1" summaryRight="1"/>
    <pageSetUpPr fitToPage="1"/>
  </sheetPr>
  <dimension ref="A1:F12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18" customWidth="1" min="2" max="2"/>
    <col width="26" customWidth="1" min="3" max="3"/>
    <col width="18" customWidth="1" min="4" max="4"/>
    <col width="24" customWidth="1" min="5" max="5"/>
    <col width="34" customWidth="1" min="6" max="6"/>
  </cols>
  <sheetData>
    <row r="1" ht="28" customHeight="1">
      <c r="A1" s="63" t="inlineStr">
        <is>
          <t>DÉCLARATION REVENUS FONCIERS — PRINCIPES ET CHARGES DÉDUCTIBLES</t>
        </is>
      </c>
      <c r="B1" s="2" t="n"/>
      <c r="C1" s="2" t="n"/>
      <c r="D1" s="2" t="n"/>
      <c r="E1" s="2" t="n"/>
      <c r="F1" s="2" t="n"/>
    </row>
    <row r="2" ht="28" customHeight="1">
      <c r="A2" s="2" t="n"/>
      <c r="B2" s="2" t="n"/>
      <c r="C2" s="2" t="n"/>
      <c r="D2" s="2" t="n"/>
      <c r="E2" s="2" t="n"/>
      <c r="F2" s="2" t="n"/>
    </row>
    <row r="3">
      <c r="A3" s="2" t="n"/>
      <c r="B3" s="2" t="n"/>
      <c r="C3" s="2" t="n"/>
      <c r="D3" s="2" t="n"/>
      <c r="E3" s="2" t="n"/>
      <c r="F3" s="2" t="n"/>
    </row>
    <row r="4">
      <c r="A4" s="64" t="inlineStr">
        <is>
          <t>Ligne / rubrique</t>
        </is>
      </c>
      <c r="B4" s="64" t="inlineStr">
        <is>
          <t>Montant (€)</t>
        </is>
      </c>
      <c r="C4" s="64" t="inlineStr">
        <is>
          <t>Formule / origine</t>
        </is>
      </c>
      <c r="D4" s="64" t="inlineStr">
        <is>
          <t>Déductible</t>
        </is>
      </c>
      <c r="E4" s="64" t="inlineStr">
        <is>
          <t>Justificatif</t>
        </is>
      </c>
      <c r="F4" s="64" t="inlineStr">
        <is>
          <t>Commentaire</t>
        </is>
      </c>
    </row>
    <row r="5">
      <c r="A5" s="17" t="inlineStr">
        <is>
          <t>Loyers encaissés</t>
        </is>
      </c>
      <c r="B5" s="18">
        <f>'Compte Résultat'!C6</f>
        <v/>
      </c>
      <c r="C5" s="17" t="inlineStr">
        <is>
          <t>Produits locatifs</t>
        </is>
      </c>
      <c r="D5" s="17" t="inlineStr">
        <is>
          <t>Non</t>
        </is>
      </c>
      <c r="E5" s="17" t="inlineStr">
        <is>
          <t>Quittances / relevés</t>
        </is>
      </c>
      <c r="F5" s="17" t="inlineStr">
        <is>
          <t>Base imposable brute</t>
        </is>
      </c>
    </row>
    <row r="6">
      <c r="A6" s="17" t="inlineStr">
        <is>
          <t>Charges récupérées</t>
        </is>
      </c>
      <c r="B6" s="18">
        <f>'Compte Résultat'!C7</f>
        <v/>
      </c>
      <c r="C6" s="17" t="inlineStr">
        <is>
          <t>Refacturations</t>
        </is>
      </c>
      <c r="D6" s="17" t="inlineStr">
        <is>
          <t>Non</t>
        </is>
      </c>
      <c r="E6" s="17" t="inlineStr">
        <is>
          <t>Décompte locataire</t>
        </is>
      </c>
      <c r="F6" s="17" t="inlineStr">
        <is>
          <t>À traiter selon cas</t>
        </is>
      </c>
    </row>
    <row r="7">
      <c r="A7" s="17" t="inlineStr">
        <is>
          <t>Frais gestion / honoraires</t>
        </is>
      </c>
      <c r="B7" s="18">
        <f>SUMIF(Balance!$A:$A,"6226",Balance!$C:$C)</f>
        <v/>
      </c>
      <c r="C7" s="17" t="inlineStr">
        <is>
          <t>Compte 6226</t>
        </is>
      </c>
      <c r="D7" s="17" t="inlineStr">
        <is>
          <t>Oui</t>
        </is>
      </c>
      <c r="E7" s="17" t="inlineStr">
        <is>
          <t>Factures</t>
        </is>
      </c>
      <c r="F7" s="17" t="inlineStr">
        <is>
          <t>Agence, comptable</t>
        </is>
      </c>
    </row>
    <row r="8">
      <c r="A8" s="17" t="inlineStr">
        <is>
          <t>Assurances</t>
        </is>
      </c>
      <c r="B8" s="18">
        <f>SUMIF(Balance!$A:$A,"616",Balance!$C:$C)</f>
        <v/>
      </c>
      <c r="C8" s="17" t="inlineStr">
        <is>
          <t>Compte 616</t>
        </is>
      </c>
      <c r="D8" s="17" t="inlineStr">
        <is>
          <t>Oui</t>
        </is>
      </c>
      <c r="E8" s="17" t="inlineStr">
        <is>
          <t>Contrat / avis</t>
        </is>
      </c>
      <c r="F8" s="17" t="inlineStr">
        <is>
          <t>PNO</t>
        </is>
      </c>
    </row>
    <row r="9">
      <c r="A9" s="17" t="inlineStr">
        <is>
          <t>Travaux entretien</t>
        </is>
      </c>
      <c r="B9" s="18">
        <f>SUMIF(Balance!$A:$A,"615",Balance!$C:$C)</f>
        <v/>
      </c>
      <c r="C9" s="17" t="inlineStr">
        <is>
          <t>Compte 615</t>
        </is>
      </c>
      <c r="D9" s="17" t="inlineStr">
        <is>
          <t>Oui sous conditions</t>
        </is>
      </c>
      <c r="E9" s="17" t="inlineStr">
        <is>
          <t>Factures</t>
        </is>
      </c>
      <c r="F9" s="17" t="inlineStr">
        <is>
          <t>Réparations entretien</t>
        </is>
      </c>
    </row>
    <row r="10">
      <c r="A10" s="17" t="inlineStr">
        <is>
          <t>Taxe foncière</t>
        </is>
      </c>
      <c r="B10" s="18">
        <f>SUMIF(Balance!$A:$A,"635",Balance!$C:$C)</f>
        <v/>
      </c>
      <c r="C10" s="17" t="inlineStr">
        <is>
          <t>Compte 635</t>
        </is>
      </c>
      <c r="D10" s="17" t="inlineStr">
        <is>
          <t>Oui partielle</t>
        </is>
      </c>
      <c r="E10" s="17" t="inlineStr">
        <is>
          <t>Avis fiscal</t>
        </is>
      </c>
      <c r="F10" s="17" t="inlineStr">
        <is>
          <t>Hors TEOM récupérable</t>
        </is>
      </c>
    </row>
    <row r="11">
      <c r="A11" s="17" t="inlineStr">
        <is>
          <t>Intérêts emprunt</t>
        </is>
      </c>
      <c r="B11" s="18">
        <f>SUMIF(Balance!$A:$A,"661",Balance!$C:$C)</f>
        <v/>
      </c>
      <c r="C11" s="17" t="inlineStr">
        <is>
          <t>Compte 661</t>
        </is>
      </c>
      <c r="D11" s="17" t="inlineStr">
        <is>
          <t>Oui</t>
        </is>
      </c>
      <c r="E11" s="17" t="inlineStr">
        <is>
          <t>Tableau emprunt</t>
        </is>
      </c>
      <c r="F11" s="17" t="inlineStr">
        <is>
          <t>Intérêts uniquement</t>
        </is>
      </c>
    </row>
    <row r="12">
      <c r="A12" s="17" t="inlineStr">
        <is>
          <t>Résultat foncier estimatif</t>
        </is>
      </c>
      <c r="B12" s="18">
        <f>B5-SUM(B7:B12)</f>
        <v/>
      </c>
      <c r="C12" s="17" t="inlineStr">
        <is>
          <t>Calcul</t>
        </is>
      </c>
      <c r="D12" s="17" t="inlineStr">
        <is>
          <t>-</t>
        </is>
      </c>
      <c r="E12" s="17" t="inlineStr">
        <is>
          <t>-</t>
        </is>
      </c>
      <c r="F12" s="17" t="inlineStr">
        <is>
          <t>Simplifié</t>
        </is>
      </c>
    </row>
  </sheetData>
  <mergeCells count="1">
    <mergeCell ref="A1:F2"/>
  </mergeCells>
  <pageMargins left="0.25" right="0.25" top="0.5" bottom="0.5" header="0.5" footer="0.5"/>
  <pageSetup fitToHeight="0" fitToWidth="1"/>
</worksheet>
</file>

<file path=xl/worksheets/sheet12.xml><?xml version="1.0" encoding="utf-8"?>
<worksheet xmlns="http://schemas.openxmlformats.org/spreadsheetml/2006/main">
  <sheetPr>
    <outlinePr summaryBelow="1" summaryRight="1"/>
    <pageSetUpPr fitToPage="1"/>
  </sheetPr>
  <dimension ref="A1:J8"/>
  <sheetViews>
    <sheetView showGridLines="0" workbookViewId="0">
      <selection activeCell="A1" sqref="A1"/>
    </sheetView>
  </sheetViews>
  <sheetFormatPr baseColWidth="8" defaultRowHeight="15"/>
  <cols>
    <col width="36" customWidth="1" min="1" max="1"/>
    <col width="12" customWidth="1" min="2" max="2"/>
    <col width="18" customWidth="1" min="3" max="3"/>
    <col width="16" customWidth="1" min="4" max="4"/>
    <col width="12" customWidth="1" min="5" max="5"/>
    <col width="12" customWidth="1" min="6" max="6"/>
    <col width="18" customWidth="1" min="7" max="7"/>
    <col width="18" customWidth="1" min="8" max="8"/>
    <col width="18" customWidth="1" min="9" max="9"/>
    <col width="28" customWidth="1" min="10" max="10"/>
  </cols>
  <sheetData>
    <row r="1" ht="28" customHeight="1">
      <c r="A1" s="48" t="inlineStr">
        <is>
          <t>PLAN D’AMORTISSEMENT IMMOBILIER — LMNP / SCI À L’IS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</row>
    <row r="2" ht="28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</row>
    <row r="4">
      <c r="A4" s="49" t="inlineStr">
        <is>
          <t>Immobilisation</t>
        </is>
      </c>
      <c r="B4" s="49" t="inlineStr">
        <is>
          <t>Compte</t>
        </is>
      </c>
      <c r="C4" s="49" t="inlineStr">
        <is>
          <t>Valeur brute</t>
        </is>
      </c>
      <c r="D4" s="49" t="inlineStr">
        <is>
          <t>Date acquisition</t>
        </is>
      </c>
      <c r="E4" s="49" t="inlineStr">
        <is>
          <t>Durée ans</t>
        </is>
      </c>
      <c r="F4" s="49" t="inlineStr">
        <is>
          <t>Année</t>
        </is>
      </c>
      <c r="G4" s="49" t="inlineStr">
        <is>
          <t>Amort. annuel</t>
        </is>
      </c>
      <c r="H4" s="49" t="inlineStr">
        <is>
          <t>Amort. cumulé</t>
        </is>
      </c>
      <c r="I4" s="49" t="inlineStr">
        <is>
          <t>VNC</t>
        </is>
      </c>
      <c r="J4" s="49" t="inlineStr">
        <is>
          <t>Notes</t>
        </is>
      </c>
    </row>
    <row r="5">
      <c r="A5" s="17" t="inlineStr">
        <is>
          <t>Construction Immeuble Central</t>
        </is>
      </c>
      <c r="B5" s="17" t="inlineStr">
        <is>
          <t>213</t>
        </is>
      </c>
      <c r="C5" s="55" t="n">
        <v>420000</v>
      </c>
      <c r="D5" s="65" t="n">
        <v>45292</v>
      </c>
      <c r="E5" s="17" t="n">
        <v>30</v>
      </c>
      <c r="F5" s="17" t="n">
        <v>2026</v>
      </c>
      <c r="G5" s="66">
        <f>C5/E5</f>
        <v/>
      </c>
      <c r="H5" s="66">
        <f>G5*(F5-YEAR(D5)+1)</f>
        <v/>
      </c>
      <c r="I5" s="66">
        <f>MAX(0,C5-H5)</f>
        <v/>
      </c>
      <c r="J5" s="2" t="inlineStr">
        <is>
          <t>Durée indicative à ajuster</t>
        </is>
      </c>
    </row>
    <row r="6">
      <c r="A6" s="17" t="inlineStr">
        <is>
          <t>Mobilier Studio Riviera</t>
        </is>
      </c>
      <c r="B6" s="17" t="inlineStr">
        <is>
          <t>2184</t>
        </is>
      </c>
      <c r="C6" s="55" t="n">
        <v>14000</v>
      </c>
      <c r="D6" s="65" t="n">
        <v>45717</v>
      </c>
      <c r="E6" s="17" t="n">
        <v>7</v>
      </c>
      <c r="F6" s="17" t="n">
        <v>2026</v>
      </c>
      <c r="G6" s="66">
        <f>C6/E6</f>
        <v/>
      </c>
      <c r="H6" s="66">
        <f>G6*(F6-YEAR(D6)+1)</f>
        <v/>
      </c>
      <c r="I6" s="66">
        <f>MAX(0,C6-H6)</f>
        <v/>
      </c>
      <c r="J6" s="2" t="inlineStr">
        <is>
          <t>Durée indicative à ajuster</t>
        </is>
      </c>
    </row>
    <row r="7">
      <c r="A7" s="17" t="inlineStr">
        <is>
          <t>Cuisine Appartement Plage</t>
        </is>
      </c>
      <c r="B7" s="17" t="inlineStr">
        <is>
          <t>2135</t>
        </is>
      </c>
      <c r="C7" s="55" t="n">
        <v>12500</v>
      </c>
      <c r="D7" s="65" t="n">
        <v>46285</v>
      </c>
      <c r="E7" s="17" t="n">
        <v>10</v>
      </c>
      <c r="F7" s="17" t="n">
        <v>2026</v>
      </c>
      <c r="G7" s="66">
        <f>C7/E7</f>
        <v/>
      </c>
      <c r="H7" s="66">
        <f>G7*(F7-YEAR(D7)+1)</f>
        <v/>
      </c>
      <c r="I7" s="66">
        <f>MAX(0,C7-H7)</f>
        <v/>
      </c>
      <c r="J7" s="2" t="inlineStr">
        <is>
          <t>Durée indicative à ajuster</t>
        </is>
      </c>
    </row>
    <row r="8">
      <c r="A8" s="17" t="inlineStr">
        <is>
          <t>Installations techniques Résidence Atlas</t>
        </is>
      </c>
      <c r="B8" s="17" t="inlineStr">
        <is>
          <t>215</t>
        </is>
      </c>
      <c r="C8" s="55" t="n">
        <v>35000</v>
      </c>
      <c r="D8" s="65" t="n">
        <v>45078</v>
      </c>
      <c r="E8" s="17" t="n">
        <v>15</v>
      </c>
      <c r="F8" s="17" t="n">
        <v>2026</v>
      </c>
      <c r="G8" s="66">
        <f>C8/E8</f>
        <v/>
      </c>
      <c r="H8" s="66">
        <f>G8*(F8-YEAR(D8)+1)</f>
        <v/>
      </c>
      <c r="I8" s="66">
        <f>MAX(0,C8-H8)</f>
        <v/>
      </c>
      <c r="J8" s="2" t="inlineStr">
        <is>
          <t>Durée indicative à ajuster</t>
        </is>
      </c>
    </row>
  </sheetData>
  <mergeCells count="1">
    <mergeCell ref="A1:J2"/>
  </mergeCells>
  <pageMargins left="0.25" right="0.25" top="0.5" bottom="0.5" header="0.5" footer="0.5"/>
  <pageSetup fitToHeight="0" fitToWidth="1"/>
</worksheet>
</file>

<file path=xl/worksheets/sheet13.xml><?xml version="1.0" encoding="utf-8"?>
<worksheet xmlns="http://schemas.openxmlformats.org/spreadsheetml/2006/main">
  <sheetPr>
    <outlinePr summaryBelow="1" summaryRight="1"/>
    <pageSetUpPr fitToPage="1"/>
  </sheetPr>
  <dimension ref="A1:H7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14" customWidth="1" min="2" max="2"/>
    <col width="18" customWidth="1" min="3" max="3"/>
    <col width="18" customWidth="1" min="4" max="4"/>
    <col width="18" customWidth="1" min="5" max="5"/>
    <col width="18" customWidth="1" min="6" max="6"/>
    <col width="20" customWidth="1" min="7" max="7"/>
    <col width="26" customWidth="1" min="8" max="8"/>
  </cols>
  <sheetData>
    <row r="1" ht="28" customHeight="1">
      <c r="A1" s="1" t="inlineStr">
        <is>
          <t>SCI — ASSOCIÉS, APPORTS ET COMPTES COURANTS</t>
        </is>
      </c>
      <c r="B1" s="2" t="n"/>
      <c r="C1" s="2" t="n"/>
      <c r="D1" s="2" t="n"/>
      <c r="E1" s="2" t="n"/>
      <c r="F1" s="2" t="n"/>
      <c r="G1" s="2" t="n"/>
      <c r="H1" s="2" t="n"/>
    </row>
    <row r="2" ht="28" customHeight="1">
      <c r="A2" s="2" t="n"/>
      <c r="B2" s="2" t="n"/>
      <c r="C2" s="2" t="n"/>
      <c r="D2" s="2" t="n"/>
      <c r="E2" s="2" t="n"/>
      <c r="F2" s="2" t="n"/>
      <c r="G2" s="2" t="n"/>
      <c r="H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</row>
    <row r="4">
      <c r="A4" s="11" t="inlineStr">
        <is>
          <t>Associé</t>
        </is>
      </c>
      <c r="B4" s="11" t="inlineStr">
        <is>
          <t>Quote-part</t>
        </is>
      </c>
      <c r="C4" s="11" t="inlineStr">
        <is>
          <t>Capital apporté</t>
        </is>
      </c>
      <c r="D4" s="11" t="inlineStr">
        <is>
          <t>Avances CCA</t>
        </is>
      </c>
      <c r="E4" s="11" t="inlineStr">
        <is>
          <t>Remboursements</t>
        </is>
      </c>
      <c r="F4" s="11" t="inlineStr">
        <is>
          <t>Solde CCA</t>
        </is>
      </c>
      <c r="G4" s="11" t="inlineStr">
        <is>
          <t>Distribution résultat</t>
        </is>
      </c>
      <c r="H4" s="11" t="inlineStr">
        <is>
          <t>Notes</t>
        </is>
      </c>
    </row>
    <row r="5">
      <c r="A5" s="23" t="inlineStr">
        <is>
          <t>Associé A</t>
        </is>
      </c>
      <c r="B5" s="67" t="n">
        <v>0.5</v>
      </c>
      <c r="C5" s="41" t="n">
        <v>75000</v>
      </c>
      <c r="D5" s="41" t="n">
        <v>15000</v>
      </c>
      <c r="E5" s="41" t="n">
        <v>3000</v>
      </c>
      <c r="F5" s="18">
        <f>D5-E5</f>
        <v/>
      </c>
      <c r="G5" s="18">
        <f>'Compte Résultat'!C26*B5</f>
        <v/>
      </c>
      <c r="H5" s="23" t="inlineStr">
        <is>
          <t>À adapter</t>
        </is>
      </c>
    </row>
    <row r="6">
      <c r="A6" s="23" t="inlineStr">
        <is>
          <t>Associé B</t>
        </is>
      </c>
      <c r="B6" s="67" t="n">
        <v>0.3</v>
      </c>
      <c r="C6" s="41" t="n">
        <v>45000</v>
      </c>
      <c r="D6" s="41" t="n">
        <v>7000</v>
      </c>
      <c r="E6" s="41" t="n">
        <v>0</v>
      </c>
      <c r="F6" s="18">
        <f>D6-E6</f>
        <v/>
      </c>
      <c r="G6" s="18">
        <f>'Compte Résultat'!C26*B6</f>
        <v/>
      </c>
      <c r="H6" s="23" t="inlineStr">
        <is>
          <t>À adapter</t>
        </is>
      </c>
    </row>
    <row r="7">
      <c r="A7" s="23" t="inlineStr">
        <is>
          <t>Associé C</t>
        </is>
      </c>
      <c r="B7" s="67" t="n">
        <v>0.2</v>
      </c>
      <c r="C7" s="41" t="n">
        <v>30000</v>
      </c>
      <c r="D7" s="41" t="n">
        <v>4000</v>
      </c>
      <c r="E7" s="41" t="n">
        <v>1000</v>
      </c>
      <c r="F7" s="18">
        <f>D7-E7</f>
        <v/>
      </c>
      <c r="G7" s="18">
        <f>'Compte Résultat'!C26*B7</f>
        <v/>
      </c>
      <c r="H7" s="23" t="inlineStr">
        <is>
          <t>À adapter</t>
        </is>
      </c>
    </row>
  </sheetData>
  <mergeCells count="1">
    <mergeCell ref="A1:H2"/>
  </mergeCells>
  <pageMargins left="0.25" right="0.25" top="0.5" bottom="0.5" header="0.5" footer="0.5"/>
  <pageSetup fitToHeight="0" fitToWidth="1"/>
</worksheet>
</file>

<file path=xl/worksheets/sheet14.xml><?xml version="1.0" encoding="utf-8"?>
<worksheet xmlns="http://schemas.openxmlformats.org/spreadsheetml/2006/main">
  <sheetPr>
    <outlinePr summaryBelow="1" summaryRight="1"/>
    <pageSetUpPr fitToPage="1"/>
  </sheetPr>
  <dimension ref="A1:I24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12" customWidth="1" min="2" max="2"/>
    <col width="16" customWidth="1" min="3" max="3"/>
    <col width="18" customWidth="1" min="4" max="4"/>
    <col width="18" customWidth="1" min="5" max="5"/>
    <col width="16" customWidth="1" min="6" max="6"/>
    <col width="16" customWidth="1" min="7" max="7"/>
    <col width="16" customWidth="1" min="8" max="8"/>
    <col width="34" customWidth="1" min="9" max="9"/>
  </cols>
  <sheetData>
    <row r="1" ht="28" customHeight="1">
      <c r="A1" s="68" t="inlineStr">
        <is>
          <t>COPROPRIÉTÉ — APPELS DE FONDS, CHARGES RÉCUPÉRABLES ET FONDS ALUR</t>
        </is>
      </c>
      <c r="B1" s="2" t="n"/>
      <c r="C1" s="2" t="n"/>
      <c r="D1" s="2" t="n"/>
      <c r="E1" s="2" t="n"/>
      <c r="F1" s="2" t="n"/>
      <c r="G1" s="2" t="n"/>
      <c r="H1" s="2" t="n"/>
      <c r="I1" s="2" t="n"/>
    </row>
    <row r="2" ht="28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</row>
    <row r="4">
      <c r="A4" s="69" t="inlineStr">
        <is>
          <t>Bien</t>
        </is>
      </c>
      <c r="B4" s="69" t="inlineStr">
        <is>
          <t>Trimestre</t>
        </is>
      </c>
      <c r="C4" s="69" t="inlineStr">
        <is>
          <t>Appel fonds</t>
        </is>
      </c>
      <c r="D4" s="69" t="inlineStr">
        <is>
          <t>Part récupérable</t>
        </is>
      </c>
      <c r="E4" s="69" t="inlineStr">
        <is>
          <t>Part propriétaire</t>
        </is>
      </c>
      <c r="F4" s="69" t="inlineStr">
        <is>
          <t>Fonds Alur</t>
        </is>
      </c>
      <c r="G4" s="69" t="inlineStr">
        <is>
          <t>Payé</t>
        </is>
      </c>
      <c r="H4" s="69" t="inlineStr">
        <is>
          <t>Solde</t>
        </is>
      </c>
      <c r="I4" s="69" t="inlineStr">
        <is>
          <t>Commentaire</t>
        </is>
      </c>
    </row>
    <row r="5">
      <c r="A5" s="23" t="inlineStr">
        <is>
          <t>Résidence Atlas</t>
        </is>
      </c>
      <c r="B5" s="23" t="inlineStr">
        <is>
          <t>T1</t>
        </is>
      </c>
      <c r="C5" s="41" t="n">
        <v>650</v>
      </c>
      <c r="D5" s="18">
        <f>C5*0.55</f>
        <v/>
      </c>
      <c r="E5" s="18">
        <f>C5-D5</f>
        <v/>
      </c>
      <c r="F5" s="41" t="n">
        <v>50</v>
      </c>
      <c r="G5" s="18">
        <f>C5+F5</f>
        <v/>
      </c>
      <c r="H5" s="18">
        <f>C5+F5-G5</f>
        <v/>
      </c>
      <c r="I5" s="23" t="inlineStr">
        <is>
          <t>À rapprocher avec décompte syndic</t>
        </is>
      </c>
    </row>
    <row r="6">
      <c r="A6" s="23" t="inlineStr">
        <is>
          <t>Résidence Atlas</t>
        </is>
      </c>
      <c r="B6" s="23" t="inlineStr">
        <is>
          <t>T2</t>
        </is>
      </c>
      <c r="C6" s="41" t="n">
        <v>650</v>
      </c>
      <c r="D6" s="18">
        <f>C6*0.55</f>
        <v/>
      </c>
      <c r="E6" s="18">
        <f>C6-D6</f>
        <v/>
      </c>
      <c r="F6" s="41" t="n">
        <v>0</v>
      </c>
      <c r="G6" s="18">
        <f>C6+F6</f>
        <v/>
      </c>
      <c r="H6" s="18">
        <f>C6+F6-G6</f>
        <v/>
      </c>
      <c r="I6" s="23" t="inlineStr">
        <is>
          <t>À rapprocher avec décompte syndic</t>
        </is>
      </c>
    </row>
    <row r="7">
      <c r="A7" s="23" t="inlineStr">
        <is>
          <t>Résidence Atlas</t>
        </is>
      </c>
      <c r="B7" s="23" t="inlineStr">
        <is>
          <t>T3</t>
        </is>
      </c>
      <c r="C7" s="41" t="n">
        <v>650</v>
      </c>
      <c r="D7" s="18">
        <f>C7*0.55</f>
        <v/>
      </c>
      <c r="E7" s="18">
        <f>C7-D7</f>
        <v/>
      </c>
      <c r="F7" s="41" t="n">
        <v>0</v>
      </c>
      <c r="G7" s="18">
        <f>C7+F7</f>
        <v/>
      </c>
      <c r="H7" s="18">
        <f>C7+F7-G7</f>
        <v/>
      </c>
      <c r="I7" s="23" t="inlineStr">
        <is>
          <t>À rapprocher avec décompte syndic</t>
        </is>
      </c>
    </row>
    <row r="8">
      <c r="A8" s="23" t="inlineStr">
        <is>
          <t>Résidence Atlas</t>
        </is>
      </c>
      <c r="B8" s="23" t="inlineStr">
        <is>
          <t>T4</t>
        </is>
      </c>
      <c r="C8" s="41" t="n">
        <v>650</v>
      </c>
      <c r="D8" s="18">
        <f>C8*0.55</f>
        <v/>
      </c>
      <c r="E8" s="18">
        <f>C8-D8</f>
        <v/>
      </c>
      <c r="F8" s="41" t="n">
        <v>0</v>
      </c>
      <c r="G8" s="18">
        <f>C8+F8</f>
        <v/>
      </c>
      <c r="H8" s="18">
        <f>C8+F8-G8</f>
        <v/>
      </c>
      <c r="I8" s="23" t="inlineStr">
        <is>
          <t>À rapprocher avec décompte syndic</t>
        </is>
      </c>
    </row>
    <row r="9">
      <c r="A9" s="23" t="inlineStr">
        <is>
          <t>Immeuble Central</t>
        </is>
      </c>
      <c r="B9" s="23" t="inlineStr">
        <is>
          <t>T1</t>
        </is>
      </c>
      <c r="C9" s="41" t="n">
        <v>720</v>
      </c>
      <c r="D9" s="18">
        <f>C9*0.55</f>
        <v/>
      </c>
      <c r="E9" s="18">
        <f>C9-D9</f>
        <v/>
      </c>
      <c r="F9" s="41" t="n">
        <v>50</v>
      </c>
      <c r="G9" s="18">
        <f>C9+F9</f>
        <v/>
      </c>
      <c r="H9" s="18">
        <f>C9+F9-G9</f>
        <v/>
      </c>
      <c r="I9" s="23" t="inlineStr">
        <is>
          <t>À rapprocher avec décompte syndic</t>
        </is>
      </c>
    </row>
    <row r="10">
      <c r="A10" s="23" t="inlineStr">
        <is>
          <t>Immeuble Central</t>
        </is>
      </c>
      <c r="B10" s="23" t="inlineStr">
        <is>
          <t>T2</t>
        </is>
      </c>
      <c r="C10" s="41" t="n">
        <v>720</v>
      </c>
      <c r="D10" s="18">
        <f>C10*0.55</f>
        <v/>
      </c>
      <c r="E10" s="18">
        <f>C10-D10</f>
        <v/>
      </c>
      <c r="F10" s="41" t="n">
        <v>0</v>
      </c>
      <c r="G10" s="18">
        <f>C10+F10</f>
        <v/>
      </c>
      <c r="H10" s="18">
        <f>C10+F10-G10</f>
        <v/>
      </c>
      <c r="I10" s="23" t="inlineStr">
        <is>
          <t>À rapprocher avec décompte syndic</t>
        </is>
      </c>
    </row>
    <row r="11">
      <c r="A11" s="23" t="inlineStr">
        <is>
          <t>Immeuble Central</t>
        </is>
      </c>
      <c r="B11" s="23" t="inlineStr">
        <is>
          <t>T3</t>
        </is>
      </c>
      <c r="C11" s="41" t="n">
        <v>720</v>
      </c>
      <c r="D11" s="18">
        <f>C11*0.55</f>
        <v/>
      </c>
      <c r="E11" s="18">
        <f>C11-D11</f>
        <v/>
      </c>
      <c r="F11" s="41" t="n">
        <v>0</v>
      </c>
      <c r="G11" s="18">
        <f>C11+F11</f>
        <v/>
      </c>
      <c r="H11" s="18">
        <f>C11+F11-G11</f>
        <v/>
      </c>
      <c r="I11" s="23" t="inlineStr">
        <is>
          <t>À rapprocher avec décompte syndic</t>
        </is>
      </c>
    </row>
    <row r="12">
      <c r="A12" s="23" t="inlineStr">
        <is>
          <t>Immeuble Central</t>
        </is>
      </c>
      <c r="B12" s="23" t="inlineStr">
        <is>
          <t>T4</t>
        </is>
      </c>
      <c r="C12" s="41" t="n">
        <v>720</v>
      </c>
      <c r="D12" s="18">
        <f>C12*0.55</f>
        <v/>
      </c>
      <c r="E12" s="18">
        <f>C12-D12</f>
        <v/>
      </c>
      <c r="F12" s="41" t="n">
        <v>0</v>
      </c>
      <c r="G12" s="18">
        <f>C12+F12</f>
        <v/>
      </c>
      <c r="H12" s="18">
        <f>C12+F12-G12</f>
        <v/>
      </c>
      <c r="I12" s="23" t="inlineStr">
        <is>
          <t>À rapprocher avec décompte syndic</t>
        </is>
      </c>
    </row>
    <row r="13">
      <c r="A13" s="23" t="inlineStr">
        <is>
          <t>Studio Riviera</t>
        </is>
      </c>
      <c r="B13" s="23" t="inlineStr">
        <is>
          <t>T1</t>
        </is>
      </c>
      <c r="C13" s="41" t="n">
        <v>180</v>
      </c>
      <c r="D13" s="18">
        <f>C13*0.55</f>
        <v/>
      </c>
      <c r="E13" s="18">
        <f>C13-D13</f>
        <v/>
      </c>
      <c r="F13" s="41" t="n">
        <v>50</v>
      </c>
      <c r="G13" s="18">
        <f>C13+F13</f>
        <v/>
      </c>
      <c r="H13" s="18">
        <f>C13+F13-G13</f>
        <v/>
      </c>
      <c r="I13" s="23" t="inlineStr">
        <is>
          <t>À rapprocher avec décompte syndic</t>
        </is>
      </c>
    </row>
    <row r="14">
      <c r="A14" s="23" t="inlineStr">
        <is>
          <t>Studio Riviera</t>
        </is>
      </c>
      <c r="B14" s="23" t="inlineStr">
        <is>
          <t>T2</t>
        </is>
      </c>
      <c r="C14" s="41" t="n">
        <v>180</v>
      </c>
      <c r="D14" s="18">
        <f>C14*0.55</f>
        <v/>
      </c>
      <c r="E14" s="18">
        <f>C14-D14</f>
        <v/>
      </c>
      <c r="F14" s="41" t="n">
        <v>0</v>
      </c>
      <c r="G14" s="18">
        <f>C14+F14</f>
        <v/>
      </c>
      <c r="H14" s="18">
        <f>C14+F14-G14</f>
        <v/>
      </c>
      <c r="I14" s="23" t="inlineStr">
        <is>
          <t>À rapprocher avec décompte syndic</t>
        </is>
      </c>
    </row>
    <row r="15">
      <c r="A15" s="23" t="inlineStr">
        <is>
          <t>Studio Riviera</t>
        </is>
      </c>
      <c r="B15" s="23" t="inlineStr">
        <is>
          <t>T3</t>
        </is>
      </c>
      <c r="C15" s="41" t="n">
        <v>180</v>
      </c>
      <c r="D15" s="18">
        <f>C15*0.55</f>
        <v/>
      </c>
      <c r="E15" s="18">
        <f>C15-D15</f>
        <v/>
      </c>
      <c r="F15" s="41" t="n">
        <v>0</v>
      </c>
      <c r="G15" s="18">
        <f>C15+F15</f>
        <v/>
      </c>
      <c r="H15" s="18">
        <f>C15+F15-G15</f>
        <v/>
      </c>
      <c r="I15" s="23" t="inlineStr">
        <is>
          <t>À rapprocher avec décompte syndic</t>
        </is>
      </c>
    </row>
    <row r="16">
      <c r="A16" s="23" t="inlineStr">
        <is>
          <t>Studio Riviera</t>
        </is>
      </c>
      <c r="B16" s="23" t="inlineStr">
        <is>
          <t>T4</t>
        </is>
      </c>
      <c r="C16" s="41" t="n">
        <v>180</v>
      </c>
      <c r="D16" s="18">
        <f>C16*0.55</f>
        <v/>
      </c>
      <c r="E16" s="18">
        <f>C16-D16</f>
        <v/>
      </c>
      <c r="F16" s="41" t="n">
        <v>0</v>
      </c>
      <c r="G16" s="18">
        <f>C16+F16</f>
        <v/>
      </c>
      <c r="H16" s="18">
        <f>C16+F16-G16</f>
        <v/>
      </c>
      <c r="I16" s="23" t="inlineStr">
        <is>
          <t>À rapprocher avec décompte syndic</t>
        </is>
      </c>
    </row>
    <row r="17">
      <c r="A17" s="23" t="inlineStr">
        <is>
          <t>Local République</t>
        </is>
      </c>
      <c r="B17" s="23" t="inlineStr">
        <is>
          <t>T1</t>
        </is>
      </c>
      <c r="C17" s="41" t="n">
        <v>310</v>
      </c>
      <c r="D17" s="18">
        <f>C17*0.55</f>
        <v/>
      </c>
      <c r="E17" s="18">
        <f>C17-D17</f>
        <v/>
      </c>
      <c r="F17" s="41" t="n">
        <v>50</v>
      </c>
      <c r="G17" s="18">
        <f>C17+F17</f>
        <v/>
      </c>
      <c r="H17" s="18">
        <f>C17+F17-G17</f>
        <v/>
      </c>
      <c r="I17" s="23" t="inlineStr">
        <is>
          <t>À rapprocher avec décompte syndic</t>
        </is>
      </c>
    </row>
    <row r="18">
      <c r="A18" s="23" t="inlineStr">
        <is>
          <t>Local République</t>
        </is>
      </c>
      <c r="B18" s="23" t="inlineStr">
        <is>
          <t>T2</t>
        </is>
      </c>
      <c r="C18" s="41" t="n">
        <v>310</v>
      </c>
      <c r="D18" s="18">
        <f>C18*0.55</f>
        <v/>
      </c>
      <c r="E18" s="18">
        <f>C18-D18</f>
        <v/>
      </c>
      <c r="F18" s="41" t="n">
        <v>0</v>
      </c>
      <c r="G18" s="18">
        <f>C18+F18</f>
        <v/>
      </c>
      <c r="H18" s="18">
        <f>C18+F18-G18</f>
        <v/>
      </c>
      <c r="I18" s="23" t="inlineStr">
        <is>
          <t>À rapprocher avec décompte syndic</t>
        </is>
      </c>
    </row>
    <row r="19">
      <c r="A19" s="23" t="inlineStr">
        <is>
          <t>Local République</t>
        </is>
      </c>
      <c r="B19" s="23" t="inlineStr">
        <is>
          <t>T3</t>
        </is>
      </c>
      <c r="C19" s="41" t="n">
        <v>310</v>
      </c>
      <c r="D19" s="18">
        <f>C19*0.55</f>
        <v/>
      </c>
      <c r="E19" s="18">
        <f>C19-D19</f>
        <v/>
      </c>
      <c r="F19" s="41" t="n">
        <v>0</v>
      </c>
      <c r="G19" s="18">
        <f>C19+F19</f>
        <v/>
      </c>
      <c r="H19" s="18">
        <f>C19+F19-G19</f>
        <v/>
      </c>
      <c r="I19" s="23" t="inlineStr">
        <is>
          <t>À rapprocher avec décompte syndic</t>
        </is>
      </c>
    </row>
    <row r="20">
      <c r="A20" s="23" t="inlineStr">
        <is>
          <t>Local République</t>
        </is>
      </c>
      <c r="B20" s="23" t="inlineStr">
        <is>
          <t>T4</t>
        </is>
      </c>
      <c r="C20" s="41" t="n">
        <v>310</v>
      </c>
      <c r="D20" s="18">
        <f>C20*0.55</f>
        <v/>
      </c>
      <c r="E20" s="18">
        <f>C20-D20</f>
        <v/>
      </c>
      <c r="F20" s="41" t="n">
        <v>0</v>
      </c>
      <c r="G20" s="18">
        <f>C20+F20</f>
        <v/>
      </c>
      <c r="H20" s="18">
        <f>C20+F20-G20</f>
        <v/>
      </c>
      <c r="I20" s="23" t="inlineStr">
        <is>
          <t>À rapprocher avec décompte syndic</t>
        </is>
      </c>
    </row>
    <row r="21">
      <c r="A21" s="23" t="inlineStr">
        <is>
          <t>Appartement Plage</t>
        </is>
      </c>
      <c r="B21" s="23" t="inlineStr">
        <is>
          <t>T1</t>
        </is>
      </c>
      <c r="C21" s="41" t="n">
        <v>260</v>
      </c>
      <c r="D21" s="18">
        <f>C21*0.55</f>
        <v/>
      </c>
      <c r="E21" s="18">
        <f>C21-D21</f>
        <v/>
      </c>
      <c r="F21" s="41" t="n">
        <v>50</v>
      </c>
      <c r="G21" s="18">
        <f>C21+F21</f>
        <v/>
      </c>
      <c r="H21" s="18">
        <f>C21+F21-G21</f>
        <v/>
      </c>
      <c r="I21" s="23" t="inlineStr">
        <is>
          <t>À rapprocher avec décompte syndic</t>
        </is>
      </c>
    </row>
    <row r="22">
      <c r="A22" s="23" t="inlineStr">
        <is>
          <t>Appartement Plage</t>
        </is>
      </c>
      <c r="B22" s="23" t="inlineStr">
        <is>
          <t>T2</t>
        </is>
      </c>
      <c r="C22" s="41" t="n">
        <v>260</v>
      </c>
      <c r="D22" s="18">
        <f>C22*0.55</f>
        <v/>
      </c>
      <c r="E22" s="18">
        <f>C22-D22</f>
        <v/>
      </c>
      <c r="F22" s="41" t="n">
        <v>0</v>
      </c>
      <c r="G22" s="18">
        <f>C22+F22</f>
        <v/>
      </c>
      <c r="H22" s="18">
        <f>C22+F22-G22</f>
        <v/>
      </c>
      <c r="I22" s="23" t="inlineStr">
        <is>
          <t>À rapprocher avec décompte syndic</t>
        </is>
      </c>
    </row>
    <row r="23">
      <c r="A23" s="23" t="inlineStr">
        <is>
          <t>Appartement Plage</t>
        </is>
      </c>
      <c r="B23" s="23" t="inlineStr">
        <is>
          <t>T3</t>
        </is>
      </c>
      <c r="C23" s="41" t="n">
        <v>260</v>
      </c>
      <c r="D23" s="18">
        <f>C23*0.55</f>
        <v/>
      </c>
      <c r="E23" s="18">
        <f>C23-D23</f>
        <v/>
      </c>
      <c r="F23" s="41" t="n">
        <v>0</v>
      </c>
      <c r="G23" s="18">
        <f>C23+F23</f>
        <v/>
      </c>
      <c r="H23" s="18">
        <f>C23+F23-G23</f>
        <v/>
      </c>
      <c r="I23" s="23" t="inlineStr">
        <is>
          <t>À rapprocher avec décompte syndic</t>
        </is>
      </c>
    </row>
    <row r="24">
      <c r="A24" s="23" t="inlineStr">
        <is>
          <t>Appartement Plage</t>
        </is>
      </c>
      <c r="B24" s="23" t="inlineStr">
        <is>
          <t>T4</t>
        </is>
      </c>
      <c r="C24" s="41" t="n">
        <v>260</v>
      </c>
      <c r="D24" s="18">
        <f>C24*0.55</f>
        <v/>
      </c>
      <c r="E24" s="18">
        <f>C24-D24</f>
        <v/>
      </c>
      <c r="F24" s="41" t="n">
        <v>0</v>
      </c>
      <c r="G24" s="18">
        <f>C24+F24</f>
        <v/>
      </c>
      <c r="H24" s="18">
        <f>C24+F24-G24</f>
        <v/>
      </c>
      <c r="I24" s="23" t="inlineStr">
        <is>
          <t>À rapprocher avec décompte syndic</t>
        </is>
      </c>
    </row>
  </sheetData>
  <mergeCells count="1">
    <mergeCell ref="A1:I2"/>
  </mergeCells>
  <pageMargins left="0.25" right="0.25" top="0.5" bottom="0.5" header="0.5" footer="0.5"/>
  <pageSetup fitToHeight="0" fitToWidth="1"/>
  <tableParts count="1">
    <tablePart xmlns:r="http://schemas.openxmlformats.org/officeDocument/2006/relationships" r:id="rId1"/>
  </tableParts>
</worksheet>
</file>

<file path=xl/worksheets/sheet15.xml><?xml version="1.0" encoding="utf-8"?>
<worksheet xmlns="http://schemas.openxmlformats.org/spreadsheetml/2006/main">
  <sheetPr>
    <outlinePr summaryBelow="1" summaryRight="1"/>
    <pageSetUpPr fitToPage="1"/>
  </sheetPr>
  <dimension ref="A1:K9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16" customWidth="1" min="3" max="3"/>
    <col width="16" customWidth="1" min="4" max="4"/>
    <col width="18" customWidth="1" min="5" max="5"/>
    <col width="14" customWidth="1" min="6" max="6"/>
    <col width="14" customWidth="1" min="7" max="7"/>
    <col width="18" customWidth="1" min="8" max="8"/>
    <col width="14" customWidth="1" min="9" max="9"/>
    <col width="12" customWidth="1" min="10" max="10"/>
    <col width="30" customWidth="1" min="11" max="11"/>
  </cols>
  <sheetData>
    <row r="1" ht="28" customHeight="1">
      <c r="A1" s="50" t="inlineStr">
        <is>
          <t>GESTION LOCATIVE — LOCATAIRES, LOYERS, ÉCHÉANCES ET RELANCES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</row>
    <row r="2" ht="28" customHeight="1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</row>
    <row r="4">
      <c r="A4" s="51" t="inlineStr">
        <is>
          <t>Bien</t>
        </is>
      </c>
      <c r="B4" s="51" t="inlineStr">
        <is>
          <t>Locataire</t>
        </is>
      </c>
      <c r="C4" s="51" t="inlineStr">
        <is>
          <t>Loyer mensuel</t>
        </is>
      </c>
      <c r="D4" s="51" t="inlineStr">
        <is>
          <t>Charges prov.</t>
        </is>
      </c>
      <c r="E4" s="51" t="inlineStr">
        <is>
          <t>Dépôt garantie</t>
        </is>
      </c>
      <c r="F4" s="51" t="inlineStr">
        <is>
          <t>Début bail</t>
        </is>
      </c>
      <c r="G4" s="51" t="inlineStr">
        <is>
          <t>Fin bail</t>
        </is>
      </c>
      <c r="H4" s="51" t="inlineStr">
        <is>
          <t>Échéance prochaine</t>
        </is>
      </c>
      <c r="I4" s="51" t="inlineStr">
        <is>
          <t>Statut</t>
        </is>
      </c>
      <c r="J4" s="51" t="inlineStr">
        <is>
          <t>Relance</t>
        </is>
      </c>
      <c r="K4" s="51" t="inlineStr">
        <is>
          <t>Notes</t>
        </is>
      </c>
    </row>
    <row r="5">
      <c r="A5" s="23" t="inlineStr">
        <is>
          <t>Résidence Atlas</t>
        </is>
      </c>
      <c r="B5" s="23" t="inlineStr">
        <is>
          <t>Locataire 1</t>
        </is>
      </c>
      <c r="C5" s="41" t="n">
        <v>3200</v>
      </c>
      <c r="D5" s="41" t="n">
        <v>250</v>
      </c>
      <c r="E5" s="41" t="n">
        <v>3200</v>
      </c>
      <c r="F5" s="40" t="n">
        <v>45658</v>
      </c>
      <c r="G5" s="40" t="n">
        <v>47118</v>
      </c>
      <c r="H5" s="40" t="n">
        <v>46147</v>
      </c>
      <c r="I5" s="23" t="inlineStr">
        <is>
          <t>À jour</t>
        </is>
      </c>
      <c r="J5" s="17" t="inlineStr">
        <is>
          <t>Non</t>
        </is>
      </c>
      <c r="K5" s="17" t="inlineStr"/>
    </row>
    <row r="6">
      <c r="A6" s="23" t="inlineStr">
        <is>
          <t>Immeuble Central</t>
        </is>
      </c>
      <c r="B6" s="23" t="inlineStr">
        <is>
          <t>Locataire 2</t>
        </is>
      </c>
      <c r="C6" s="41" t="n">
        <v>3800</v>
      </c>
      <c r="D6" s="41" t="n">
        <v>310</v>
      </c>
      <c r="E6" s="41" t="n">
        <v>3800</v>
      </c>
      <c r="F6" s="40" t="n">
        <v>45536</v>
      </c>
      <c r="G6" s="40" t="n">
        <v>46630</v>
      </c>
      <c r="H6" s="40" t="n">
        <v>46147</v>
      </c>
      <c r="I6" s="23" t="inlineStr">
        <is>
          <t>À jour</t>
        </is>
      </c>
      <c r="J6" s="17" t="inlineStr">
        <is>
          <t>Non</t>
        </is>
      </c>
      <c r="K6" s="17" t="inlineStr"/>
    </row>
    <row r="7">
      <c r="A7" s="23" t="inlineStr">
        <is>
          <t>Studio Riviera</t>
        </is>
      </c>
      <c r="B7" s="23" t="inlineStr">
        <is>
          <t>Locataire 3</t>
        </is>
      </c>
      <c r="C7" s="41" t="n">
        <v>980</v>
      </c>
      <c r="D7" s="41" t="n">
        <v>80</v>
      </c>
      <c r="E7" s="41" t="n">
        <v>980</v>
      </c>
      <c r="F7" s="40" t="n">
        <v>46054</v>
      </c>
      <c r="G7" s="40" t="n">
        <v>46418</v>
      </c>
      <c r="H7" s="40" t="n">
        <v>46147</v>
      </c>
      <c r="I7" s="23" t="inlineStr">
        <is>
          <t>Retard</t>
        </is>
      </c>
      <c r="J7" s="17" t="inlineStr">
        <is>
          <t>Oui</t>
        </is>
      </c>
      <c r="K7" s="17" t="inlineStr">
        <is>
          <t>Suivre paiement</t>
        </is>
      </c>
    </row>
    <row r="8">
      <c r="A8" s="23" t="inlineStr">
        <is>
          <t>Local République</t>
        </is>
      </c>
      <c r="B8" s="23" t="inlineStr">
        <is>
          <t>Locataire 4</t>
        </is>
      </c>
      <c r="C8" s="41" t="n">
        <v>1450</v>
      </c>
      <c r="D8" s="41" t="n">
        <v>120</v>
      </c>
      <c r="E8" s="41" t="n">
        <v>1450</v>
      </c>
      <c r="F8" s="40" t="n">
        <v>45809</v>
      </c>
      <c r="G8" s="40" t="n">
        <v>49095</v>
      </c>
      <c r="H8" s="40" t="n">
        <v>46147</v>
      </c>
      <c r="I8" s="23" t="inlineStr">
        <is>
          <t>À jour</t>
        </is>
      </c>
      <c r="J8" s="17" t="inlineStr">
        <is>
          <t>Non</t>
        </is>
      </c>
      <c r="K8" s="17" t="inlineStr">
        <is>
          <t>Bail commercial</t>
        </is>
      </c>
    </row>
    <row r="9">
      <c r="A9" s="23" t="inlineStr">
        <is>
          <t>Appartement Plage</t>
        </is>
      </c>
      <c r="B9" s="23" t="inlineStr">
        <is>
          <t>Locataire 5</t>
        </is>
      </c>
      <c r="C9" s="41" t="n">
        <v>1700</v>
      </c>
      <c r="D9" s="41" t="n">
        <v>130</v>
      </c>
      <c r="E9" s="41" t="n">
        <v>1700</v>
      </c>
      <c r="F9" s="40" t="n">
        <v>45931</v>
      </c>
      <c r="G9" s="40" t="n">
        <v>47026</v>
      </c>
      <c r="H9" s="40" t="n">
        <v>46147</v>
      </c>
      <c r="I9" s="23" t="inlineStr">
        <is>
          <t>À jour</t>
        </is>
      </c>
      <c r="J9" s="17" t="inlineStr">
        <is>
          <t>Non</t>
        </is>
      </c>
      <c r="K9" s="17" t="inlineStr"/>
    </row>
  </sheetData>
  <mergeCells count="1">
    <mergeCell ref="A1:K2"/>
  </mergeCells>
  <pageMargins left="0.25" right="0.25" top="0.5" bottom="0.5" header="0.5" footer="0.5"/>
  <pageSetup fitToHeight="0" fitToWidth="1"/>
  <tableParts count="1">
    <tablePart xmlns:r="http://schemas.openxmlformats.org/officeDocument/2006/relationships" r:id="rId1"/>
  </tableParts>
</worksheet>
</file>

<file path=xl/worksheets/sheet16.xml><?xml version="1.0" encoding="utf-8"?>
<worksheet xmlns="http://schemas.openxmlformats.org/spreadsheetml/2006/main">
  <sheetPr>
    <outlinePr summaryBelow="1" summaryRight="1"/>
    <pageSetUpPr fitToPage="1"/>
  </sheetPr>
  <dimension ref="A1:H9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26" customWidth="1" min="2" max="2"/>
    <col width="18" customWidth="1" min="3" max="3"/>
    <col width="16" customWidth="1" min="4" max="4"/>
    <col width="24" customWidth="1" min="5" max="5"/>
    <col width="34" customWidth="1" min="6" max="6"/>
    <col width="18" customWidth="1" min="7" max="7"/>
    <col width="16" customWidth="1" min="8" max="8"/>
  </cols>
  <sheetData>
    <row r="1" ht="28" customHeight="1">
      <c r="A1" s="70" t="inlineStr">
        <is>
          <t>ALERTES ET CONTRÔLES — REVUE COMPTABLE IMMOBILIÈRE</t>
        </is>
      </c>
      <c r="B1" s="2" t="n"/>
      <c r="C1" s="2" t="n"/>
      <c r="D1" s="2" t="n"/>
      <c r="E1" s="2" t="n"/>
      <c r="F1" s="2" t="n"/>
      <c r="G1" s="2" t="n"/>
      <c r="H1" s="2" t="n"/>
    </row>
    <row r="2" ht="28" customHeight="1">
      <c r="A2" s="2" t="n"/>
      <c r="B2" s="2" t="n"/>
      <c r="C2" s="2" t="n"/>
      <c r="D2" s="2" t="n"/>
      <c r="E2" s="2" t="n"/>
      <c r="F2" s="2" t="n"/>
      <c r="G2" s="2" t="n"/>
      <c r="H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</row>
    <row r="4">
      <c r="A4" s="71" t="inlineStr">
        <is>
          <t>Contrôle</t>
        </is>
      </c>
      <c r="B4" s="71" t="inlineStr">
        <is>
          <t>Formule</t>
        </is>
      </c>
      <c r="C4" s="71" t="inlineStr">
        <is>
          <t>Résultat</t>
        </is>
      </c>
      <c r="D4" s="71" t="inlineStr">
        <is>
          <t>Statut</t>
        </is>
      </c>
      <c r="E4" s="71" t="inlineStr">
        <is>
          <t>Risque</t>
        </is>
      </c>
      <c r="F4" s="71" t="inlineStr">
        <is>
          <t>Action recommandée</t>
        </is>
      </c>
      <c r="G4" s="71" t="inlineStr">
        <is>
          <t>Responsable</t>
        </is>
      </c>
      <c r="H4" s="71" t="inlineStr">
        <is>
          <t>Échéance</t>
        </is>
      </c>
    </row>
    <row r="5">
      <c r="A5" s="17" t="inlineStr">
        <is>
          <t>Balance débit = crédit</t>
        </is>
      </c>
      <c r="B5" s="20">
        <f>Balance!E123</f>
        <v/>
      </c>
      <c r="C5" s="18">
        <f>Balance!E123</f>
        <v/>
      </c>
      <c r="D5" s="20">
        <f>IF(ABS(C5)&lt;1,"OK","À corriger")</f>
        <v/>
      </c>
      <c r="E5" s="17" t="inlineStr">
        <is>
          <t>Écriture déséquilibrée</t>
        </is>
      </c>
      <c r="F5" s="17" t="inlineStr">
        <is>
          <t>Vérifier journal et pièces</t>
        </is>
      </c>
      <c r="G5" s="17" t="inlineStr">
        <is>
          <t>Comptable</t>
        </is>
      </c>
      <c r="H5" s="65" t="n">
        <v>46387</v>
      </c>
    </row>
    <row r="6">
      <c r="A6" s="17" t="inlineStr">
        <is>
          <t>Trésorerie sous seuil</t>
        </is>
      </c>
      <c r="B6" s="20">
        <f>MIN(Trésorerie!H5:H16)</f>
        <v/>
      </c>
      <c r="C6" s="18">
        <f>MIN(Trésorerie!H5:H16)</f>
        <v/>
      </c>
      <c r="D6" s="20">
        <f>IF(C6&lt;Paramètres!B12,"Alerte","OK")</f>
        <v/>
      </c>
      <c r="E6" s="17" t="inlineStr">
        <is>
          <t>Tension cash</t>
        </is>
      </c>
      <c r="F6" s="17" t="inlineStr">
        <is>
          <t>Prévoir apport ou réserve</t>
        </is>
      </c>
      <c r="G6" s="17" t="inlineStr">
        <is>
          <t>Gestionnaire</t>
        </is>
      </c>
      <c r="H6" s="65" t="n">
        <v>46203</v>
      </c>
    </row>
    <row r="7">
      <c r="A7" s="17" t="inlineStr">
        <is>
          <t>Occupation moyenne</t>
        </is>
      </c>
      <c r="B7" s="20">
        <f>AVERAGE('Accueil One Page'!F10:F14)</f>
        <v/>
      </c>
      <c r="C7" s="72">
        <f>AVERAGE('Accueil One Page'!F10:F14)</f>
        <v/>
      </c>
      <c r="D7" s="20">
        <f>IF(C7&lt;Paramètres!B13,"Alerte","OK")</f>
        <v/>
      </c>
      <c r="E7" s="17" t="inlineStr">
        <is>
          <t>Vacance locative</t>
        </is>
      </c>
      <c r="F7" s="17" t="inlineStr">
        <is>
          <t>Relance commercialisation</t>
        </is>
      </c>
      <c r="G7" s="17" t="inlineStr">
        <is>
          <t>Gestionnaire</t>
        </is>
      </c>
      <c r="H7" s="65" t="n">
        <v>46173</v>
      </c>
    </row>
    <row r="8">
      <c r="A8" s="17" t="inlineStr">
        <is>
          <t>Résultat net négatif</t>
        </is>
      </c>
      <c r="B8" s="20">
        <f>'Compte Résultat'!C26</f>
        <v/>
      </c>
      <c r="C8" s="18">
        <f>'Compte Résultat'!C26</f>
        <v/>
      </c>
      <c r="D8" s="20">
        <f>IF(C8&lt;0,"Alerte","OK")</f>
        <v/>
      </c>
      <c r="E8" s="17" t="inlineStr">
        <is>
          <t>Perte annuelle</t>
        </is>
      </c>
      <c r="F8" s="17" t="inlineStr">
        <is>
          <t>Analyser charges et loyers</t>
        </is>
      </c>
      <c r="G8" s="17" t="inlineStr">
        <is>
          <t>Direction</t>
        </is>
      </c>
      <c r="H8" s="65" t="n">
        <v>46387</v>
      </c>
    </row>
    <row r="9">
      <c r="A9" s="17" t="inlineStr">
        <is>
          <t>Écart bilan</t>
        </is>
      </c>
      <c r="B9" s="20">
        <f>Bilan!B14</f>
        <v/>
      </c>
      <c r="C9" s="18">
        <f>Bilan!B14</f>
        <v/>
      </c>
      <c r="D9" s="20">
        <f>IF(ABS(C9)&lt;1,"OK","À équilibrer")</f>
        <v/>
      </c>
      <c r="E9" s="17" t="inlineStr">
        <is>
          <t>Bilan incohérent</t>
        </is>
      </c>
      <c r="F9" s="17" t="inlineStr">
        <is>
          <t>Compléter comptes passif/actif</t>
        </is>
      </c>
      <c r="G9" s="17" t="inlineStr">
        <is>
          <t>Comptable</t>
        </is>
      </c>
      <c r="H9" s="65" t="n">
        <v>46387</v>
      </c>
    </row>
  </sheetData>
  <mergeCells count="1">
    <mergeCell ref="A1:H2"/>
  </mergeCells>
  <pageMargins left="0.25" right="0.25" top="0.5" bottom="0.5" header="0.5" footer="0.5"/>
  <pageSetup fitToHeight="0" fitToWidth="1"/>
</worksheet>
</file>

<file path=xl/worksheets/sheet17.xml><?xml version="1.0" encoding="utf-8"?>
<worksheet xmlns="http://schemas.openxmlformats.org/spreadsheetml/2006/main">
  <sheetPr>
    <outlinePr summaryBelow="1" summaryRight="1"/>
    <pageSetUpPr fitToPage="1"/>
  </sheetPr>
  <dimension ref="A1:F9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28" customWidth="1" min="2" max="2"/>
    <col width="24" customWidth="1" min="3" max="3"/>
    <col width="24" customWidth="1" min="4" max="4"/>
    <col width="42" customWidth="1" min="5" max="5"/>
    <col width="34" customWidth="1" min="6" max="6"/>
  </cols>
  <sheetData>
    <row r="1" ht="28" customHeight="1">
      <c r="A1" s="1" t="inlineStr">
        <is>
          <t>MODE D’EMPLOI — UTILISER LE MODÈLE EN 5 ÉTAPES</t>
        </is>
      </c>
      <c r="B1" s="2" t="n"/>
      <c r="C1" s="2" t="n"/>
      <c r="D1" s="2" t="n"/>
      <c r="E1" s="2" t="n"/>
      <c r="F1" s="2" t="n"/>
    </row>
    <row r="2" ht="28" customHeight="1">
      <c r="A2" s="2" t="n"/>
      <c r="B2" s="2" t="n"/>
      <c r="C2" s="2" t="n"/>
      <c r="D2" s="2" t="n"/>
      <c r="E2" s="2" t="n"/>
      <c r="F2" s="2" t="n"/>
    </row>
    <row r="3">
      <c r="A3" s="2" t="n"/>
      <c r="B3" s="2" t="n"/>
      <c r="C3" s="2" t="n"/>
      <c r="D3" s="2" t="n"/>
      <c r="E3" s="2" t="n"/>
      <c r="F3" s="2" t="n"/>
    </row>
    <row r="4">
      <c r="A4" s="11" t="inlineStr">
        <is>
          <t>Étape</t>
        </is>
      </c>
      <c r="B4" s="11" t="inlineStr">
        <is>
          <t>Action</t>
        </is>
      </c>
      <c r="C4" s="11" t="inlineStr">
        <is>
          <t>Onglet</t>
        </is>
      </c>
      <c r="D4" s="11" t="inlineStr">
        <is>
          <t>Cellules concernées</t>
        </is>
      </c>
      <c r="E4" s="11" t="inlineStr">
        <is>
          <t>Conseil pratique</t>
        </is>
      </c>
      <c r="F4" s="11" t="inlineStr">
        <is>
          <t>Résultat attendu</t>
        </is>
      </c>
    </row>
    <row r="5">
      <c r="A5" s="17" t="inlineStr">
        <is>
          <t>1</t>
        </is>
      </c>
      <c r="B5" s="17" t="inlineStr">
        <is>
          <t>Adapter les paramètres</t>
        </is>
      </c>
      <c r="C5" s="17" t="inlineStr">
        <is>
          <t>Paramètres</t>
        </is>
      </c>
      <c r="D5" s="17" t="inlineStr">
        <is>
          <t>B5:B14</t>
        </is>
      </c>
      <c r="E5" s="17" t="inlineStr">
        <is>
          <t>Modifier année, devise, seuils et valeur patrimoine</t>
        </is>
      </c>
      <c r="F5" s="17" t="inlineStr">
        <is>
          <t>Base de calcul personnalisée</t>
        </is>
      </c>
    </row>
    <row r="6">
      <c r="A6" s="17" t="inlineStr">
        <is>
          <t>2</t>
        </is>
      </c>
      <c r="B6" s="17" t="inlineStr">
        <is>
          <t>Adapter le plan comptable</t>
        </is>
      </c>
      <c r="C6" s="17" t="inlineStr">
        <is>
          <t>Plan Comptable</t>
        </is>
      </c>
      <c r="D6" s="17" t="inlineStr">
        <is>
          <t>Colonnes A:H</t>
        </is>
      </c>
      <c r="E6" s="17" t="inlineStr">
        <is>
          <t>Supprimer ou renommer les comptes inutiles</t>
        </is>
      </c>
      <c r="F6" s="17" t="inlineStr">
        <is>
          <t>Plan comptable propre</t>
        </is>
      </c>
    </row>
    <row r="7">
      <c r="A7" s="17" t="inlineStr">
        <is>
          <t>3</t>
        </is>
      </c>
      <c r="B7" s="17" t="inlineStr">
        <is>
          <t>Saisir les écritures</t>
        </is>
      </c>
      <c r="C7" s="17" t="inlineStr">
        <is>
          <t>Journal</t>
        </is>
      </c>
      <c r="D7" s="17" t="inlineStr">
        <is>
          <t>Lignes 5 et suivantes</t>
        </is>
      </c>
      <c r="E7" s="17" t="inlineStr">
        <is>
          <t>Toujours équilibrer débit et crédit par pièce</t>
        </is>
      </c>
      <c r="F7" s="17" t="inlineStr">
        <is>
          <t>Balance automatisée</t>
        </is>
      </c>
    </row>
    <row r="8">
      <c r="A8" s="17" t="inlineStr">
        <is>
          <t>4</t>
        </is>
      </c>
      <c r="B8" s="17" t="inlineStr">
        <is>
          <t>Contrôler résultat et bilan</t>
        </is>
      </c>
      <c r="C8" s="17" t="inlineStr">
        <is>
          <t>Compte Résultat / Bilan</t>
        </is>
      </c>
      <c r="D8" s="17" t="inlineStr">
        <is>
          <t>Montants calculés</t>
        </is>
      </c>
      <c r="E8" s="17" t="inlineStr">
        <is>
          <t>Repérer écarts et comptes manquants</t>
        </is>
      </c>
      <c r="F8" s="17" t="inlineStr">
        <is>
          <t>États financiers cohérents</t>
        </is>
      </c>
    </row>
    <row r="9">
      <c r="A9" s="17" t="inlineStr">
        <is>
          <t>5</t>
        </is>
      </c>
      <c r="B9" s="17" t="inlineStr">
        <is>
          <t>Analyser les alertes</t>
        </is>
      </c>
      <c r="C9" s="17" t="inlineStr">
        <is>
          <t>Alertes / Accueil</t>
        </is>
      </c>
      <c r="D9" s="17" t="inlineStr">
        <is>
          <t>Tous contrôles</t>
        </is>
      </c>
      <c r="E9" s="17" t="inlineStr">
        <is>
          <t>Traiter les lignes en alerte</t>
        </is>
      </c>
      <c r="F9" s="17" t="inlineStr">
        <is>
          <t>Revue comptable prête</t>
        </is>
      </c>
    </row>
  </sheetData>
  <mergeCells count="1">
    <mergeCell ref="A1:F2"/>
  </mergeCells>
  <pageMargins left="0.25" right="0.25" top="0.5" bottom="0.5" header="0.5" footer="0.5"/>
  <pageSetup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2026-05-14T02:30:07Z</dcterms:created>
  <dcterms:modified xmlns:dcterms="http://purl.org/dc/terms/" xmlns:xsi="http://www.w3.org/2001/XMLSchema-instance" xsi:type="dcterms:W3CDTF">2026-05-14T02:30:08Z</dcterms:modified>
</cp:coreProperties>
</file>