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vml" ContentType="application/vnd.openxmlformats-officedocument.vmlDrawing"/>
  <Default Extension="rels" ContentType="application/vnd.openxmlformats-package.relationships+xml"/>
  <Override PartName="/xl/styles.xml" ContentType="application/vnd.openxmlformats-officedocument.spreadsheetml.styles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comments1.xml" ContentType="application/vnd.openxmlformats-officedocument.spreadsheetml.comments+xml"/>
  <Override PartName="/xl/drawings/drawing1.xml" ContentType="application/vnd.openxmlformats-officedocument.drawing+xml"/>
  <Override PartName="/xl/drawings/charts/chart1.xml" ContentType="application/vnd.openxmlformats-officedocument.drawingml.chart+xml"/>
  <Override PartName="/xl/worksheets/sheet2.xml" ContentType="application/vnd.openxmlformats-officedocument.spreadsheetml.worksheet+xml"/>
  <Override PartName="/xl/tables/table1.xml" ContentType="application/vnd.openxmlformats-officedocument.spreadsheetml.table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persons/person.xml" ContentType="application/vnd.ms-excel.person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d0eec1c17f494de8" /></Relationships>
</file>

<file path=xl/workbook.xml><?xml version="1.0" encoding="utf-8"?>
<x:workbook xmlns:x="http://schemas.openxmlformats.org/spreadsheetml/2006/main">
  <x:sheets>
    <x:sheet xmlns:r="http://schemas.openxmlformats.org/officeDocument/2006/relationships" name="Dashboard" sheetId="1" r:id="R8b84464b97c74850"/>
    <x:sheet xmlns:r="http://schemas.openxmlformats.org/officeDocument/2006/relationships" name="Amortissement" sheetId="2" r:id="Rb348cdd2ff024d77"/>
    <x:sheet xmlns:r="http://schemas.openxmlformats.org/officeDocument/2006/relationships" name="Guide" sheetId="3" r:id="R636bf599244d4de4"/>
    <x:sheet xmlns:r="http://schemas.openxmlformats.org/officeDocument/2006/relationships" name="Moteur" sheetId="4" r:id="Recc13e9c64464e69"/>
  </x:sheets>
</x:workbook>
</file>

<file path=xl/comments1.xml><?xml version="1.0" encoding="utf-8"?>
<x:comments xmlns:x="http://schemas.openxmlformats.org/spreadsheetml/2006/main">
  <x:authors>
    <x:author>OpenAI</x:author>
  </x:authors>
  <x:commentList>
    <x:comment ref="B6" authorId="0">
      <x:text>
        <x:r>
          <x:t>Hypothèse d'exemple modifiable par l'utilisateur.</x:t>
        </x:r>
      </x:text>
    </x:comment>
    <x:comment ref="B7" authorId="0">
      <x:text>
        <x:r>
          <x:t>Hypothèse d'exemple modifiable par l'utilisateur.</x:t>
        </x:r>
      </x:text>
    </x:comment>
    <x:comment ref="B8" authorId="0">
      <x:text>
        <x:r>
          <x:t>Hypothèse d'exemple modifiable par l'utilisateur.</x:t>
        </x:r>
      </x:text>
    </x:comment>
    <x:comment ref="B9" authorId="0">
      <x:text>
        <x:r>
          <x:t>12 = mensuel, 4 = trimestriel, 1 = annuel.</x:t>
        </x:r>
      </x:text>
    </x:comment>
    <x:comment ref="B10" authorId="0">
      <x:text>
        <x:r>
          <x:t>Date de début du prêt.</x:t>
        </x:r>
      </x:text>
    </x:comment>
    <x:comment ref="B11" authorId="0">
      <x:text>
        <x:r>
          <x:t>Montant additionnel remboursé à chaque échéance.</x:t>
        </x:r>
      </x:text>
    </x:comment>
    <x:comment ref="B12" authorId="0">
      <x:text>
        <x:r>
          <x:t>Assurance calculée sur le capital restant dû.</x:t>
        </x:r>
      </x:text>
    </x:comment>
    <x:comment ref="B13" authorId="0">
      <x:text>
        <x:r>
          <x:t>Coût fixe initial du dossier.</x:t>
        </x:r>
      </x:text>
    </x:comment>
  </x:commentList>
</x:comments>
</file>

<file path=xl/sharedStrings.xml><?xml version="1.0" encoding="utf-8"?>
<x:sst xmlns:x="http://schemas.openxmlformats.org/spreadsheetml/2006/main"/>
</file>

<file path=xl/styles.xml><?xml version="1.0" encoding="utf-8"?>
<x:styleSheet xmlns:x="http://schemas.openxmlformats.org/spreadsheetml/2006/main">
  <x:numFmts count="4">
    <x:numFmt numFmtId="164" formatCode="#,##0;[Red](#,##0);-"/>
    <x:numFmt numFmtId="165" formatCode="#,##0.00 &quot;€&quot;;[Red](#,##0.00 &quot;€&quot;);-"/>
    <x:numFmt numFmtId="166" formatCode="0.0%"/>
    <x:numFmt numFmtId="167" formatCode="dd/mm/yyyy"/>
  </x:numFmts>
  <x:fonts count="16">
    <x:font>
      <x:sz val="11"/>
      <x:color theme="1"/>
      <x:name val="Calibri"/>
      <x:family val="2"/>
      <x:scheme val="minor"/>
    </x:font>
    <x:font>
      <x:b/>
      <x:sz val="18"/>
      <x:color rgb="00FFFFFF"/>
      <x:name val="Calibri"/>
    </x:font>
    <x:font>
      <x:i/>
      <x:sz val="10"/>
      <x:color rgb="00D1FAE5"/>
      <x:name val="Calibri"/>
    </x:font>
    <x:font>
      <x:b/>
      <x:sz val="11"/>
      <x:color rgb="00FFFFFF"/>
      <x:name val="Calibri"/>
    </x:font>
    <x:font>
      <x:b/>
      <x:sz val="10"/>
      <x:color rgb="000F172A"/>
      <x:name val="Calibri"/>
    </x:font>
    <x:font>
      <x:b/>
      <x:sz val="10"/>
      <x:color rgb="000000FF"/>
      <x:name val="Calibri"/>
    </x:font>
    <x:font>
      <x:b/>
      <x:sz val="9"/>
      <x:color rgb="007030A0"/>
      <x:name val="Calibri"/>
    </x:font>
    <x:font>
      <x:sz val="10"/>
      <x:color rgb="00000000"/>
      <x:name val="Calibri"/>
    </x:font>
    <x:font>
      <x:b/>
      <x:sz val="9"/>
      <x:color rgb="00475569"/>
      <x:name val="Calibri"/>
    </x:font>
    <x:font>
      <x:b/>
      <x:sz val="14"/>
      <x:color rgb="000F172A"/>
      <x:name val="Calibri"/>
    </x:font>
    <x:font>
      <x:b/>
      <x:sz val="11"/>
      <x:color rgb="000F172A"/>
      <x:name val="Calibri"/>
    </x:font>
    <x:font>
      <x:sz val="9"/>
      <x:color rgb="00334155"/>
      <x:name val="Calibri"/>
    </x:font>
    <x:font>
      <x:b/>
      <x:sz val="10"/>
      <x:color rgb="00F59E0B"/>
      <x:name val="Calibri"/>
    </x:font>
    <x:font>
      <x:b/>
      <x:sz val="10"/>
      <x:color rgb="00FFFFFF"/>
      <x:name val="Calibri"/>
    </x:font>
    <x:font>
      <x:b/>
      <x:sz val="12"/>
      <x:color rgb="00FFFFFF"/>
      <x:name val="Calibri"/>
    </x:font>
    <x:font>
      <x:b/>
      <x:sz val="11"/>
      <x:color rgb="00F59E0B"/>
      <x:name val="Calibri"/>
    </x:font>
  </x:fonts>
  <x:fills count="12">
    <x:fill>
      <x:patternFill patternType="none"/>
    </x:fill>
    <x:fill>
      <x:patternFill patternType="gray125"/>
    </x:fill>
    <x:fill>
      <x:patternFill patternType="solid">
        <x:fgColor rgb="000F172A"/>
      </x:patternFill>
    </x:fill>
    <x:fill>
      <x:patternFill patternType="solid">
        <x:fgColor rgb="000F766E"/>
      </x:patternFill>
    </x:fill>
    <x:fill>
      <x:patternFill patternType="solid">
        <x:fgColor rgb="00E5E7EB"/>
      </x:patternFill>
    </x:fill>
    <x:fill>
      <x:patternFill patternType="solid">
        <x:fgColor rgb="00FFF2CC"/>
      </x:patternFill>
    </x:fill>
    <x:fill>
      <x:patternFill patternType="solid">
        <x:fgColor rgb="00F3E8FF"/>
      </x:patternFill>
    </x:fill>
    <x:fill>
      <x:patternFill patternType="solid">
        <x:fgColor rgb="00F8FAFC"/>
      </x:patternFill>
    </x:fill>
    <x:fill>
      <x:patternFill patternType="solid">
        <x:fgColor rgb="00E2E8F0"/>
      </x:patternFill>
    </x:fill>
    <x:fill>
      <x:patternFill patternType="solid">
        <x:fgColor rgb="00DBEAFE"/>
      </x:patternFill>
    </x:fill>
    <x:fill>
      <x:patternFill patternType="solid">
        <x:fgColor rgb="00FFF7ED"/>
      </x:patternFill>
    </x:fill>
    <x:fill>
      <x:patternFill patternType="solid">
        <x:fgColor rgb="00FFFFFF"/>
      </x:patternFill>
    </x:fill>
  </x:fills>
  <x:borders count="21">
    <x:border>
      <x:left/>
      <x:right/>
      <x:top/>
      <x:bottom/>
      <x:diagonal/>
    </x:border>
    <x:border>
      <x:bottom style="thin">
        <x:color rgb="00D1D5DB"/>
      </x:bottom>
    </x:border>
    <x:border>
      <x:bottom style="dashed">
        <x:color rgb="00CBD5E1"/>
      </x:bottom>
    </x:border>
    <x:border>
      <x:left style="medium">
        <x:color rgb="000F172A"/>
      </x:left>
      <x:right style="medium">
        <x:color rgb="000F172A"/>
      </x:right>
      <x:top style="medium">
        <x:color rgb="000F172A"/>
      </x:top>
    </x:border>
    <x:border>
      <x:left style="medium">
        <x:color rgb="000F172A"/>
      </x:left>
      <x:right style="medium">
        <x:color rgb="000F172A"/>
      </x:right>
      <x:bottom style="medium">
        <x:color rgb="000F172A"/>
      </x:bottom>
    </x:border>
    <x:border>
      <x:left style="thin">
        <x:color rgb="00D1D5DB"/>
      </x:left>
      <x:right style="thin">
        <x:color rgb="00D1D5DB"/>
      </x:right>
      <x:top style="thin">
        <x:color rgb="00D1D5DB"/>
      </x:top>
      <x:bottom style="thin">
        <x:color rgb="00D1D5DB"/>
      </x:bottom>
    </x:border>
    <x:border>
      <x:top style="medium">
        <x:color rgb="000F172A"/>
      </x:top>
      <x:bottom style="medium">
        <x:color rgb="000F172A"/>
      </x:bottom>
    </x:border>
    <x:border>
      <x:left/>
      <x:right/>
      <x:top style="medium">
        <x:color rgb="000F172A"/>
      </x:top>
      <x:bottom/>
      <x:diagonal/>
    </x:border>
    <x:border>
      <x:left/>
      <x:right style="medium">
        <x:color rgb="000F172A"/>
      </x:right>
      <x:top style="medium">
        <x:color rgb="000F172A"/>
      </x:top>
      <x:bottom/>
      <x:diagonal/>
    </x:border>
    <x:border>
      <x:left style="medium">
        <x:color rgb="000F172A"/>
      </x:left>
      <x:right/>
      <x:top/>
      <x:bottom/>
      <x:diagonal/>
    </x:border>
    <x:border>
      <x:left/>
      <x:right style="medium">
        <x:color rgb="000F172A"/>
      </x:right>
      <x:top/>
      <x:bottom/>
      <x:diagonal/>
    </x:border>
    <x:border>
      <x:left style="medium">
        <x:color rgb="000F172A"/>
      </x:left>
      <x:right/>
      <x:top/>
      <x:bottom style="medium">
        <x:color rgb="000F172A"/>
      </x:bottom>
      <x:diagonal/>
    </x:border>
    <x:border>
      <x:left/>
      <x:right style="medium">
        <x:color rgb="000F172A"/>
      </x:right>
      <x:top/>
      <x:bottom style="medium">
        <x:color rgb="000F172A"/>
      </x:bottom>
      <x:diagonal/>
    </x:border>
    <x:border>
      <x:left/>
      <x:right/>
      <x:top style="thin">
        <x:color rgb="00D1D5DB"/>
      </x:top>
      <x:bottom/>
      <x:diagonal/>
    </x:border>
    <x:border>
      <x:left style="thin">
        <x:color rgb="00D1D5DB"/>
      </x:left>
      <x:right/>
      <x:top/>
      <x:bottom/>
      <x:diagonal/>
    </x:border>
    <x:border>
      <x:left/>
      <x:right style="thin">
        <x:color rgb="00D1D5DB"/>
      </x:right>
      <x:top style="thin">
        <x:color rgb="00D1D5DB"/>
      </x:top>
      <x:bottom/>
      <x:diagonal/>
    </x:border>
    <x:border>
      <x:left/>
      <x:right style="thin">
        <x:color rgb="00D1D5DB"/>
      </x:right>
      <x:top/>
      <x:bottom/>
      <x:diagonal/>
    </x:border>
    <x:border>
      <x:left style="thin">
        <x:color rgb="00D1D5DB"/>
      </x:left>
      <x:right/>
      <x:top/>
      <x:bottom style="thin">
        <x:color rgb="00D1D5DB"/>
      </x:bottom>
      <x:diagonal/>
    </x:border>
    <x:border>
      <x:left/>
      <x:right/>
      <x:top/>
      <x:bottom style="thin">
        <x:color rgb="00D1D5DB"/>
      </x:bottom>
      <x:diagonal/>
    </x:border>
    <x:border>
      <x:left/>
      <x:right style="thin">
        <x:color rgb="00D1D5DB"/>
      </x:right>
      <x:top/>
      <x:bottom style="thin">
        <x:color rgb="00D1D5DB"/>
      </x:bottom>
      <x:diagonal/>
    </x:border>
    <x:border>
      <x:left style="medium">
        <x:color rgb="000F172A"/>
      </x:left>
      <x:right style="medium">
        <x:color rgb="000F172A"/>
      </x:right>
      <x:top style="medium">
        <x:color rgb="000F172A"/>
      </x:top>
      <x:bottom/>
    </x:border>
  </x:borders>
  <x:cellStyleXfs count="1">
    <x:xf numFmtId="0" fontId="0" fillId="0" borderId="0"/>
  </x:cellStyleXfs>
  <x:cellXfs count="84">
    <x:xf numFmtId="0" fontId="0" fillId="0" borderId="0" xfId="0"/>
    <x:xf numFmtId="0" fontId="1" fillId="2" borderId="0" xfId="0" applyAlignment="1">
      <x:alignment horizontal="center" vertical="center"/>
    </x:xf>
    <x:xf numFmtId="0" fontId="0" fillId="2" borderId="0" xfId="0"/>
    <x:xf numFmtId="0" fontId="2" fillId="3" borderId="0" xfId="0" applyAlignment="1">
      <x:alignment horizontal="center" vertical="center"/>
    </x:xf>
    <x:xf numFmtId="0" fontId="0" fillId="3" borderId="0" xfId="0"/>
    <x:xf numFmtId="0" fontId="3" fillId="3" borderId="0" xfId="0" applyAlignment="1">
      <x:alignment horizontal="left" vertical="center"/>
    </x:xf>
    <x:xf numFmtId="0" fontId="3" fillId="2" borderId="0" xfId="0" applyAlignment="1">
      <x:alignment horizontal="left" vertical="center"/>
    </x:xf>
    <x:xf numFmtId="0" fontId="6" fillId="6" borderId="2" xfId="0" applyAlignment="1">
      <x:alignment horizontal="left"/>
    </x:xf>
    <x:xf numFmtId="164" fontId="7" fillId="7" borderId="2" xfId="0" applyAlignment="1">
      <x:alignment horizontal="right"/>
    </x:xf>
    <x:xf numFmtId="0" fontId="4" fillId="4" borderId="1" xfId="0" applyAlignment="1">
      <x:alignment horizontal="left"/>
    </x:xf>
    <x:xf numFmtId="165" fontId="5" fillId="5" borderId="1" xfId="0" applyAlignment="1" applyProtection="1">
      <x:alignment horizontal="right"/>
    </x:xf>
    <x:xf numFmtId="0" fontId="8" fillId="8" borderId="3" xfId="0" applyAlignment="1">
      <x:alignment horizontal="center"/>
    </x:xf>
    <x:xf numFmtId="0" fontId="0" fillId="8" borderId="3" xfId="0"/>
    <x:xf numFmtId="166" fontId="7" fillId="7" borderId="2" xfId="0" applyAlignment="1">
      <x:alignment horizontal="right"/>
    </x:xf>
    <x:xf numFmtId="166" fontId="5" fillId="5" borderId="1" xfId="0" applyAlignment="1" applyProtection="1">
      <x:alignment horizontal="right"/>
    </x:xf>
    <x:xf numFmtId="165" fontId="9" fillId="9" borderId="4" xfId="0" applyAlignment="1">
      <x:alignment horizontal="center" vertical="center" wrapText="1"/>
    </x:xf>
    <x:xf numFmtId="0" fontId="0" fillId="9" borderId="4" xfId="0"/>
    <x:xf numFmtId="167" fontId="9" fillId="9" borderId="4" xfId="0" applyAlignment="1">
      <x:alignment horizontal="center" vertical="center" wrapText="1"/>
    </x:xf>
    <x:xf numFmtId="165" fontId="7" fillId="7" borderId="2" xfId="0" applyAlignment="1">
      <x:alignment horizontal="right"/>
    </x:xf>
    <x:xf numFmtId="164" fontId="5" fillId="5" borderId="1" xfId="0" applyAlignment="1" applyProtection="1">
      <x:alignment horizontal="right"/>
    </x:xf>
    <x:xf numFmtId="167" fontId="7" fillId="7" borderId="2" xfId="0" applyAlignment="1">
      <x:alignment horizontal="right"/>
    </x:xf>
    <x:xf numFmtId="167" fontId="5" fillId="5" borderId="1" xfId="0" applyAlignment="1" applyProtection="1">
      <x:alignment horizontal="right"/>
    </x:xf>
    <x:xf numFmtId="49" fontId="9" fillId="9" borderId="4" xfId="0" applyAlignment="1">
      <x:alignment horizontal="center" vertical="center" wrapText="1"/>
    </x:xf>
    <x:xf numFmtId="0" fontId="10" fillId="0" borderId="0" xfId="0"/>
    <x:xf numFmtId="0" fontId="11" fillId="0" borderId="0" xfId="0" applyAlignment="1">
      <x:alignment wrapText="1"/>
    </x:xf>
    <x:xf numFmtId="0" fontId="12" fillId="10" borderId="5" xfId="0" applyAlignment="1">
      <x:alignment vertical="center" wrapText="1"/>
    </x:xf>
    <x:xf numFmtId="0" fontId="0" fillId="10" borderId="5" xfId="0"/>
    <x:xf numFmtId="0" fontId="2" fillId="3" borderId="0" xfId="0" applyAlignment="1">
      <x:alignment horizontal="center"/>
    </x:xf>
    <x:xf numFmtId="0" fontId="4" fillId="4" borderId="0" xfId="0" applyAlignment="1">
      <x:alignment horizontal="center"/>
    </x:xf>
    <x:xf numFmtId="165" fontId="7" fillId="7" borderId="0" xfId="0" applyAlignment="1">
      <x:alignment horizontal="center"/>
    </x:xf>
    <x:xf numFmtId="166" fontId="7" fillId="7" borderId="0" xfId="0" applyAlignment="1">
      <x:alignment horizontal="center"/>
    </x:xf>
    <x:xf numFmtId="0" fontId="7" fillId="7" borderId="0" xfId="0" applyAlignment="1">
      <x:alignment horizontal="center"/>
    </x:xf>
    <x:xf numFmtId="167" fontId="7" fillId="7" borderId="0" xfId="0" applyAlignment="1">
      <x:alignment horizontal="center"/>
    </x:xf>
    <x:xf numFmtId="0" fontId="13" fillId="3" borderId="6" xfId="0" applyAlignment="1">
      <x:alignment horizontal="center" vertical="center" wrapText="1"/>
    </x:xf>
    <x:xf numFmtId="164" fontId="7" fillId="11" borderId="1" xfId="0" applyAlignment="1">
      <x:alignment horizontal="center"/>
    </x:xf>
    <x:xf numFmtId="167" fontId="7" fillId="11" borderId="1" xfId="0" applyAlignment="1">
      <x:alignment horizontal="center"/>
    </x:xf>
    <x:xf numFmtId="165" fontId="7" fillId="11" borderId="1" xfId="0" applyAlignment="1">
      <x:alignment horizontal="right"/>
    </x:xf>
    <x:xf numFmtId="166" fontId="7" fillId="11" borderId="1" xfId="0" applyAlignment="1">
      <x:alignment horizontal="center"/>
    </x:xf>
    <x:xf numFmtId="0" fontId="7" fillId="11" borderId="1" xfId="0" applyAlignment="1">
      <x:alignment horizontal="center"/>
    </x:xf>
    <x:xf numFmtId="164" fontId="7" fillId="7" borderId="1" xfId="0" applyAlignment="1">
      <x:alignment horizontal="center"/>
    </x:xf>
    <x:xf numFmtId="167" fontId="7" fillId="7" borderId="1" xfId="0" applyAlignment="1">
      <x:alignment horizontal="center"/>
    </x:xf>
    <x:xf numFmtId="165" fontId="7" fillId="7" borderId="1" xfId="0" applyAlignment="1">
      <x:alignment horizontal="right"/>
    </x:xf>
    <x:xf numFmtId="166" fontId="7" fillId="7" borderId="1" xfId="0" applyAlignment="1">
      <x:alignment horizontal="center"/>
    </x:xf>
    <x:xf numFmtId="0" fontId="7" fillId="7" borderId="1" xfId="0" applyAlignment="1">
      <x:alignment horizontal="center"/>
    </x:xf>
    <x:xf numFmtId="0" fontId="14" fillId="3" borderId="0" xfId="0" applyAlignment="1">
      <x:alignment horizontal="left"/>
    </x:xf>
    <x:xf numFmtId="0" fontId="7" fillId="7" borderId="1" xfId="0" applyAlignment="1">
      <x:alignment vertical="top" wrapText="1"/>
    </x:xf>
    <x:xf numFmtId="0" fontId="15" fillId="10" borderId="5" xfId="0" applyAlignment="1">
      <x:alignment horizontal="center" vertical="center" wrapText="1"/>
    </x:xf>
    <x:xf numFmtId="164" fontId="7" fillId="7" borderId="2" xfId="0" applyAlignment="1">
      <x:alignment horizontal="right"/>
    </x:xf>
    <x:xf numFmtId="165" fontId="5" fillId="5" borderId="1" xfId="0" applyAlignment="1" applyProtection="1">
      <x:alignment horizontal="right"/>
    </x:xf>
    <x:xf numFmtId="0" fontId="0" fillId="0" borderId="8" xfId="0"/>
    <x:xf numFmtId="166" fontId="7" fillId="7" borderId="2" xfId="0" applyAlignment="1">
      <x:alignment horizontal="right"/>
    </x:xf>
    <x:xf numFmtId="166" fontId="5" fillId="5" borderId="1" xfId="0" applyAlignment="1" applyProtection="1">
      <x:alignment horizontal="right"/>
    </x:xf>
    <x:xf numFmtId="165" fontId="9" fillId="9" borderId="4" xfId="0" applyAlignment="1">
      <x:alignment horizontal="center" vertical="center" wrapText="1"/>
    </x:xf>
    <x:xf numFmtId="0" fontId="0" fillId="0" borderId="10" xfId="0"/>
    <x:xf numFmtId="167" fontId="9" fillId="9" borderId="4" xfId="0" applyAlignment="1">
      <x:alignment horizontal="center" vertical="center" wrapText="1"/>
    </x:xf>
    <x:xf numFmtId="165" fontId="7" fillId="7" borderId="2" xfId="0" applyAlignment="1">
      <x:alignment horizontal="right"/>
    </x:xf>
    <x:xf numFmtId="164" fontId="5" fillId="5" borderId="1" xfId="0" applyAlignment="1" applyProtection="1">
      <x:alignment horizontal="right"/>
    </x:xf>
    <x:xf numFmtId="0" fontId="0" fillId="0" borderId="11" xfId="0"/>
    <x:xf numFmtId="0" fontId="0" fillId="0" borderId="12" xfId="0"/>
    <x:xf numFmtId="167" fontId="7" fillId="7" borderId="2" xfId="0" applyAlignment="1">
      <x:alignment horizontal="right"/>
    </x:xf>
    <x:xf numFmtId="167" fontId="5" fillId="5" borderId="1" xfId="0" applyAlignment="1" applyProtection="1">
      <x:alignment horizontal="right"/>
    </x:xf>
    <x:xf numFmtId="0" fontId="0" fillId="0" borderId="13" xfId="0"/>
    <x:xf numFmtId="0" fontId="0" fillId="0" borderId="15" xfId="0"/>
    <x:xf numFmtId="0" fontId="0" fillId="0" borderId="14" xfId="0"/>
    <x:xf numFmtId="0" fontId="0" fillId="0" borderId="16" xfId="0"/>
    <x:xf numFmtId="0" fontId="0" fillId="0" borderId="17" xfId="0"/>
    <x:xf numFmtId="0" fontId="0" fillId="0" borderId="18" xfId="0"/>
    <x:xf numFmtId="0" fontId="0" fillId="0" borderId="19" xfId="0"/>
    <x:xf numFmtId="165" fontId="7" fillId="7" borderId="0" xfId="0" applyAlignment="1">
      <x:alignment horizontal="center"/>
    </x:xf>
    <x:xf numFmtId="166" fontId="7" fillId="7" borderId="0" xfId="0" applyAlignment="1">
      <x:alignment horizontal="center"/>
    </x:xf>
    <x:xf numFmtId="167" fontId="7" fillId="7" borderId="0" xfId="0" applyAlignment="1">
      <x:alignment horizontal="center"/>
    </x:xf>
    <x:xf numFmtId="164" fontId="7" fillId="11" borderId="1" xfId="0" applyAlignment="1">
      <x:alignment horizontal="center"/>
    </x:xf>
    <x:xf numFmtId="167" fontId="7" fillId="11" borderId="1" xfId="0" applyAlignment="1">
      <x:alignment horizontal="center"/>
    </x:xf>
    <x:xf numFmtId="165" fontId="7" fillId="11" borderId="1" xfId="0" applyAlignment="1">
      <x:alignment horizontal="right"/>
    </x:xf>
    <x:xf numFmtId="166" fontId="7" fillId="11" borderId="1" xfId="0" applyAlignment="1">
      <x:alignment horizontal="center"/>
    </x:xf>
    <x:xf numFmtId="164" fontId="7" fillId="7" borderId="1" xfId="0" applyAlignment="1">
      <x:alignment horizontal="center"/>
    </x:xf>
    <x:xf numFmtId="167" fontId="7" fillId="7" borderId="1" xfId="0" applyAlignment="1">
      <x:alignment horizontal="center"/>
    </x:xf>
    <x:xf numFmtId="165" fontId="7" fillId="7" borderId="1" xfId="0" applyAlignment="1">
      <x:alignment horizontal="right"/>
    </x:xf>
    <x:xf numFmtId="166" fontId="7" fillId="7" borderId="1" xfId="0" applyAlignment="1">
      <x:alignment horizontal="center"/>
    </x:xf>
    <x:xf numFmtId="0" fontId="8" fillId="8" borderId="20" xfId="0" applyAlignment="1">
      <x:alignment horizontal="center"/>
    </x:xf>
    <x:xf numFmtId="3" fontId="0" fillId="0" borderId="0" xfId="0"/>
    <x:xf numFmtId="166" fontId="0" fillId="0" borderId="0" xfId="0"/>
    <x:xf numFmtId="165" fontId="0" fillId="0" borderId="0" xfId="0"/>
    <x:xf numFmtId="167" fontId="0" fillId="0" borderId="0" xfId="0"/>
  </x:cellXfs>
  <x:cellStyles count="1">
    <x:cellStyle name="Normal" xfId="0"/>
  </x:cellStyles>
  <x:dxfs count="1">
    <x:dxf>
      <x:fill>
        <x:patternFill>
          <x:bgColor rgb="00E2F0D9"/>
        </x:patternFill>
      </x:fill>
    </x:dxf>
  </x:dxfs>
  <x:colors>
    <x:indexedColors>
      <x:rgbColor rgb="00000000"/>
      <x:rgbColor rgb="00FFFFFF"/>
      <x:rgbColor rgb="00FF0000"/>
      <x:rgbColor rgb="0000FF00"/>
      <x:rgbColor rgb="000000FF"/>
      <x:rgbColor rgb="00FFFF00"/>
      <x:rgbColor rgb="00FF00FF"/>
      <x:rgbColor rgb="0000FFFF"/>
      <x:rgbColor rgb="00000000"/>
      <x:rgbColor rgb="00FFFFFF"/>
      <x:rgbColor rgb="00FF0000"/>
      <x:rgbColor rgb="0000FF00"/>
      <x:rgbColor rgb="000000FF"/>
      <x:rgbColor rgb="00FFFF00"/>
      <x:rgbColor rgb="00FF00FF"/>
      <x:rgbColor rgb="0000FFFF"/>
      <x:rgbColor rgb="00800000"/>
      <x:rgbColor rgb="00008000"/>
      <x:rgbColor rgb="00000080"/>
      <x:rgbColor rgb="00808000"/>
      <x:rgbColor rgb="00800080"/>
      <x:rgbColor rgb="00008080"/>
      <x:rgbColor rgb="00C0C0C0"/>
      <x:rgbColor rgb="00808080"/>
      <x:rgbColor rgb="009999FF"/>
      <x:rgbColor rgb="00993366"/>
      <x:rgbColor rgb="00FFFFCC"/>
      <x:rgbColor rgb="00CCFFFF"/>
      <x:rgbColor rgb="00660066"/>
      <x:rgbColor rgb="00FF8080"/>
      <x:rgbColor rgb="000066CC"/>
      <x:rgbColor rgb="00CCCCFF"/>
      <x:rgbColor rgb="00000080"/>
      <x:rgbColor rgb="00FF00FF"/>
      <x:rgbColor rgb="00FFFF00"/>
      <x:rgbColor rgb="0000FFFF"/>
      <x:rgbColor rgb="00800080"/>
      <x:rgbColor rgb="00800000"/>
      <x:rgbColor rgb="00008080"/>
      <x:rgbColor rgb="000000FF"/>
      <x:rgbColor rgb="0000CCFF"/>
      <x:rgbColor rgb="00CCFFFF"/>
      <x:rgbColor rgb="00CCFFCC"/>
      <x:rgbColor rgb="00FFFF99"/>
      <x:rgbColor rgb="0099CCFF"/>
      <x:rgbColor rgb="00FF99CC"/>
      <x:rgbColor rgb="00CC99FF"/>
      <x:rgbColor rgb="00FFCC99"/>
      <x:rgbColor rgb="003366FF"/>
      <x:rgbColor rgb="0033CCCC"/>
      <x:rgbColor rgb="0099CC00"/>
      <x:rgbColor rgb="00FFCC00"/>
      <x:rgbColor rgb="00FF9900"/>
      <x:rgbColor rgb="00FF6600"/>
      <x:rgbColor rgb="00666699"/>
      <x:rgbColor rgb="00969696"/>
      <x:rgbColor rgb="00003366"/>
      <x:rgbColor rgb="00339966"/>
      <x:rgbColor rgb="00003300"/>
      <x:rgbColor rgb="00333300"/>
      <x:rgbColor rgb="00993300"/>
      <x:rgbColor rgb="00993366"/>
      <x:rgbColor rgb="00333399"/>
      <x:rgbColor rgb="00333333"/>
    </x:indexedColors>
  </x:color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162ec8c44d134486" /><Relationship Type="http://schemas.openxmlformats.org/officeDocument/2006/relationships/theme" Target="/xl/theme/theme1.xml" Id="Rbb2ff2f8062f4508" /><Relationship Type="http://schemas.openxmlformats.org/officeDocument/2006/relationships/sharedStrings" Target="/xl/sharedStrings.xml" Id="R372ca302742f4eda" /><Relationship Type="http://schemas.openxmlformats.org/officeDocument/2006/relationships/worksheet" Target="/xl/worksheets/sheet1.xml" Id="R8b84464b97c74850" /><Relationship Type="http://schemas.openxmlformats.org/officeDocument/2006/relationships/worksheet" Target="/xl/worksheets/sheet2.xml" Id="Rb348cdd2ff024d77" /><Relationship Type="http://schemas.openxmlformats.org/officeDocument/2006/relationships/worksheet" Target="/xl/worksheets/sheet3.xml" Id="R636bf599244d4de4" /><Relationship Type="http://schemas.openxmlformats.org/officeDocument/2006/relationships/worksheet" Target="/xl/worksheets/sheet4.xml" Id="Recc13e9c64464e69" /><Relationship Type="http://schemas.microsoft.com/office/2017/10/relationships/person" Target="/xl/persons/person.xml" Id="R9a694e6e0be3405b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chart" Target="/xl/drawings/charts/chart1.xml" Id="R0a991ec143dd469c" /></Relationships>
</file>

<file path=xl/drawings/charts/chart1.xml><?xml version="1.0" encoding="utf-8"?>
<c:chartSpace xmlns:c="http://schemas.openxmlformats.org/drawingml/2006/chart">
  <c:lang val="en-US"/>
  <c:chart>
    <c:title>
      <c:tx>
        <c:rich>
          <a:bodyPr xmlns:a="http://schemas.openxmlformats.org/drawingml/2006/main"/>
          <a:lstStyle xmlns:a="http://schemas.openxmlformats.org/drawingml/2006/main"/>
          <a:p xmlns:a="http://schemas.openxmlformats.org/drawingml/2006/main">
            <a:r>
              <a:rPr/>
              <a:t>Capital restant dû</a:t>
            </a:r>
          </a:p>
        </c:rich>
      </c:tx>
      <c:overlay val="0"/>
      <c:txPr>
        <a:bodyPr xmlns:a="http://schemas.openxmlformats.org/drawingml/2006/main" anchorCtr="1"/>
        <a:lstStyle xmlns:a="http://schemas.openxmlformats.org/drawingml/2006/main"/>
        <a:p xmlns:a="http://schemas.openxmlformats.org/drawingml/2006/main">
          <a:pPr>
            <a:defRPr/>
          </a:pPr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'Amortissement'!J7</c:f>
              <c:strCache>
                <c:ptCount val="1"/>
                <c:pt idx="0">
                  <c:v/>
                </c:pt>
              </c:strCache>
            </c:strRef>
          </c:tx>
          <c:spPr>
            <a:ln xmlns:a="http://schemas.openxmlformats.org/drawingml/2006/main">
              <a:prstDash val="solid"/>
            </a:ln>
          </c:spPr>
          <c:marker>
            <c:symbol val="none"/>
          </c:marker>
          <c:cat>
            <c:strRef>
              <c:f>'Amortissement'!$A$8:$A$487</c:f>
              <c:strCache>
                <c:ptCount val="0"/>
              </c:strCache>
            </c:strRef>
          </c:cat>
          <c:val>
            <c:numRef>
              <c:f>'Amortissement'!$J$8:$J$487</c:f>
              <c:numCache>
                <c:formatCode/>
                <c:ptCount val="0"/>
              </c:numCache>
            </c:numRef>
          </c:val>
          <c:smooth val="0"/>
        </c:ser>
        <c:axId val="48650112"/>
        <c:axId val="48672768"/>
      </c:lineChart>
      <c:catAx>
        <c:axId val="48650112"/>
        <c:scaling>
          <c:orientation val="minMax"/>
        </c:scaling>
        <c:delete val="0"/>
        <c:axPos val="l"/>
        <c:title>
          <c:tx>
            <c:rich>
              <a:bodyPr xmlns:a="http://schemas.openxmlformats.org/drawingml/2006/main"/>
              <a:lstStyle xmlns:a="http://schemas.openxmlformats.org/drawingml/2006/main"/>
              <a:p xmlns:a="http://schemas.openxmlformats.org/drawingml/2006/main">
                <a:r>
                  <a:rPr/>
                  <a:t>Périodes</a:t>
                </a:r>
              </a:p>
            </c:rich>
          </c:tx>
        </c:title>
        <c:numFmt formatCode=""/>
        <c:majorTickMark val="none"/>
        <c:minorTickMark val="none"/>
        <c:crossAx val="48672768"/>
        <c:crosses val="autoZero"/>
        <c:lblAlgn val="ctr"/>
        <c:lblOffset val="100"/>
        <c:noMultiLvlLbl val="0"/>
      </c:catAx>
      <c:valAx>
        <c:axId val="48672768"/>
        <c:scaling>
          <c:orientation val="minMax"/>
        </c:scaling>
        <c:delete val="0"/>
        <c:axPos val="l"/>
        <c:title>
          <c:tx>
            <c:rich>
              <a:bodyPr xmlns:a="http://schemas.openxmlformats.org/drawingml/2006/main"/>
              <a:lstStyle xmlns:a="http://schemas.openxmlformats.org/drawingml/2006/main"/>
              <a:p xmlns:a="http://schemas.openxmlformats.org/drawingml/2006/main">
                <a:r>
                  <a:rPr/>
                  <a:t>Montant (€)</a:t>
                </a:r>
              </a:p>
            </c:rich>
          </c:tx>
        </c:title>
        <c:numFmt formatCode=""/>
        <c:majorTickMark val="none"/>
        <c:minorTickMark val="none"/>
        <c:crossAx val="48650112"/>
        <c:crosses val="autoZero"/>
        <c:crossBetween val="between"/>
      </c:valAx>
    </c:plotArea>
    <c:plotVisOnly val="1"/>
    <c:dispBlanksAs val="gap"/>
  </c:chart>
</c:chartSpace>
</file>

<file path=xl/drawings/drawing1.xml><?xml version="1.0" encoding="utf-8"?>
<xdr:wsDr xmlns:xdr="http://schemas.openxmlformats.org/drawingml/2006/spreadsheetDrawing">
  <xdr:twoCellAnchor>
    <xdr:from>
      <xdr:col>4</xdr:col>
      <xdr:colOff>0</xdr:colOff>
      <xdr:row>16</xdr:row>
      <xdr:rowOff>0</xdr:rowOff>
    </xdr:from>
    <xdr:to>
      <xdr:col>2</xdr:col>
      <xdr:colOff>0</xdr:colOff>
      <xdr:row>10</xdr:row>
      <xdr:rowOff>0</xdr:rowOff>
    </xdr:to>
    <xdr:graphicFrame macro="">
      <xdr:nvGraphicFramePr>
        <xdr:cNvPr id="1" name="Chart"/>
        <xdr:cNvGraphicFramePr/>
      </xdr:nvGraphicFramePr>
      <xdr:xfrm>
        <a:off xmlns:a="http://schemas.openxmlformats.org/drawingml/2006/main" x="0" y="0"/>
        <a:ext xmlns:a="http://schemas.openxmlformats.org/drawingml/2006/main" cx="0" cy="0"/>
      </xdr:xfrm>
      <a:graphic xmlns:a="http://schemas.openxmlformats.org/drawingml/2006/main">
        <a:graphicData uri="http://schemas.openxmlformats.org/drawingml/2006/chart">
          <c:chart xmlns:r="http://schemas.openxmlformats.org/officeDocument/2006/relationships" xmlns:c="http://schemas.openxmlformats.org/drawingml/2006/chart" r:id="R0a991ec143dd469c"/>
        </a:graphicData>
      </a:graphic>
    </xdr:graphicFrame>
    <xdr:clientData/>
  </xdr:twoCellAnchor>
</xdr:wsDr>
</file>

<file path=xl/persons/person.xml><?xml version="1.0" encoding="utf-8"?>
<xltc:personList xmlns:xltc="http://schemas.microsoft.com/office/spreadsheetml/2018/threadedcomments">
  <xltc:person displayName="OpenAI" id="{EA44775B-7FA4-5332-24FD-715AD7C4A962}"/>
</xltc:personList>
</file>

<file path=xl/tables/table1.xml><?xml version="1.0" encoding="utf-8"?>
<x:table xmlns:x="http://schemas.openxmlformats.org/spreadsheetml/2006/main" id="1" name="tblAmortissement" displayName="tblAmortissement" ref="A7:M487" headerRowCount="1">
  <x:autoFilter ref="A7:M487"/>
  <x:tableColumns count="13">
    <x:tableColumn id="1" name="Période"/>
    <x:tableColumn id="2" name="Date"/>
    <x:tableColumn id="3" name="Capital initial"/>
    <x:tableColumn id="4" name="Échéance"/>
    <x:tableColumn id="5" name="Remb. anticipé"/>
    <x:tableColumn id="6" name="Assurance"/>
    <x:tableColumn id="7" name="Intérêts"/>
    <x:tableColumn id="8" name="Capital amorti"/>
    <x:tableColumn id="9" name="Paiement total"/>
    <x:tableColumn id="10" name="Capital restant"/>
    <x:tableColumn id="11" name="% remboursé"/>
    <x:tableColumn id="12" name="Statut"/>
    <x:tableColumn id="13" name="Intérêts cumulés"/>
  </x:tableColumns>
  <x:tableStyleInfo name="TableStyleMedium2" showRowStripes="1"/>
</x:table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solidFill>
          <a:schemeClr val="dk1"/>
        </a:solidFill>
        <a:solidFill>
          <a:schemeClr val="accent1"/>
        </a:solidFill>
      </a:fillStyleLst>
      <a:lnStyleLst>
        <a:ln w="9525">
          <a:solidFill>
            <a:schemeClr val="phClr">
              <a:shade val="95000"/>
              <a:satMod val="105000"/>
            </a:schemeClr>
          </a:solidFill>
          <a:prstDash val="solid"/>
        </a:ln>
        <a:ln w="25400">
          <a:solidFill>
            <a:schemeClr val="phClr"/>
          </a:solidFill>
          <a:prstDash val="solid"/>
        </a:ln>
        <a:ln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comments" Target="/xl/comments1.xml" Id="R793f1df1a44544d5" /><Relationship Type="http://schemas.openxmlformats.org/officeDocument/2006/relationships/vmlDrawing" Target="/xl/drawings/vmldrawing.vml" Id="Rc0df01d805914614" /><Relationship Type="http://schemas.openxmlformats.org/officeDocument/2006/relationships/drawing" Target="/xl/drawings/drawing1.xml" Id="Rb773a4f6ef344290" /></Relationships>
</file>

<file path=xl/worksheets/_rels/sheet2.xml.rels>&#65279;<?xml version="1.0" encoding="utf-8"?><Relationships xmlns="http://schemas.openxmlformats.org/package/2006/relationships"><Relationship Type="http://schemas.openxmlformats.org/officeDocument/2006/relationships/table" Target="/xl/tables/table1.xml" Id="R71957ca545f14b62" /></Relationships>
</file>

<file path=xl/worksheets/sheet1.xml><?xml version="1.0" encoding="utf-8"?>
<x:worksheet xmlns:x="http://schemas.openxmlformats.org/spreadsheetml/2006/main">
  <x:sheetViews>
    <x:sheetView showGridLines="0" workbookViewId="0"/>
  </x:sheetViews>
  <x:sheetFormatPr baseColWidth="8" defaultRowHeight="15"/>
  <x:cols>
    <x:col min="1" max="1" width="28" customWidth="1"/>
    <x:col min="2" max="2" width="18" customWidth="1"/>
    <x:col min="3" max="3" width="3" customWidth="1"/>
    <x:col min="4" max="4" width="3" customWidth="1"/>
    <x:col min="5" max="5" width="21" customWidth="1"/>
    <x:col min="6" max="6" width="16" customWidth="1"/>
    <x:col min="7" max="7" width="21" customWidth="1"/>
    <x:col min="8" max="8" width="16" customWidth="1"/>
    <x:col min="10" max="10" width="0" hidden="1" customWidth="0"/>
    <x:col min="11" max="11" width="0" hidden="1" customWidth="0"/>
  </x:cols>
  <x:sheetData>
    <x:row r="1" ht="20" customHeight="1">
      <x:c r="A1" s="1" t="inlineStr">
        <x:is>
          <x:t xml:space="preserve">ONE PREMIUM — MODÈLE D’AMORTISSEMENT DE PRÊT</x:t>
        </x:is>
      </x:c>
    </x:row>
    <x:row r="2" ht="20" customHeight="1"/>
    <x:row r="3" ht="20" customHeight="1">
      <x:c r="A3" s="3" t="inlineStr">
        <x:is>
          <x:t xml:space="preserve">Template automatisé • modifiez uniquement les cellules jaunes • tableau, synthèse et graphique mis à jour automatiquement</x:t>
        </x:is>
      </x:c>
    </x:row>
    <x:row r="4" ht="20" customHeight="1"/>
    <x:row r="5" ht="20" customHeight="1">
      <x:c r="A5" s="5" t="inlineStr">
        <x:is>
          <x:t xml:space="preserve">Hypothèses de financement</x:t>
        </x:is>
      </x:c>
      <x:c r="E5" s="6" t="inlineStr">
        <x:is>
          <x:t xml:space="preserve">Synthèse instantanée</x:t>
        </x:is>
      </x:c>
      <x:c r="J5" s="7" t="n"/>
      <x:c r="K5" s="47" t="n"/>
    </x:row>
    <x:row r="6" ht="20" customHeight="1">
      <x:c r="A6" s="9" t="inlineStr">
        <x:is>
          <x:t xml:space="preserve">Montant emprunté</x:t>
        </x:is>
      </x:c>
      <x:c r="B6" s="48" t="n">
        <x:v>250000</x:v>
      </x:c>
      <x:c r="E6" s="79" t="inlineStr">
        <x:is>
          <x:t xml:space="preserve">Mensualité / échéance</x:t>
        </x:is>
      </x:c>
      <x:c r="F6" s="49" t="n"/>
      <x:c r="G6" s="79" t="inlineStr">
        <x:is>
          <x:t xml:space="preserve">Date de fin</x:t>
        </x:is>
      </x:c>
      <x:c r="H6" s="49" t="n"/>
      <x:c r="J6" s="7" t="n"/>
      <x:c r="K6" s="50" t="n"/>
    </x:row>
    <x:row r="7" ht="20" customHeight="1">
      <x:c r="A7" s="9" t="inlineStr">
        <x:is>
          <x:t xml:space="preserve">Taux annuel nominal</x:t>
        </x:is>
      </x:c>
      <x:c r="B7" s="51" t="n">
        <x:v>0.038</x:v>
      </x:c>
      <x:c r="E7" s="52">
        <x:f>Moteur!B3+Moteur!B4+B11</x:f>
        <x:v>1701.23</x:v>
      </x:c>
      <x:c r="F7" s="53" t="n"/>
      <x:c r="G7" s="54">
        <x:f>Moteur!B5</x:f>
        <x:v>52444</x:v>
      </x:c>
      <x:c r="H7" s="53" t="n"/>
      <x:c r="J7" s="7" t="n"/>
      <x:c r="K7" s="55" t="n"/>
    </x:row>
    <x:row r="8" ht="20" customHeight="1">
      <x:c r="A8" s="9" t="inlineStr">
        <x:is>
          <x:t xml:space="preserve">Durée (années)</x:t>
        </x:is>
      </x:c>
      <x:c r="B8" s="56" t="n">
        <x:v>20</x:v>
      </x:c>
      <x:c r="E8" s="57" t="n"/>
      <x:c r="F8" s="58" t="n"/>
      <x:c r="G8" s="57" t="n"/>
      <x:c r="H8" s="58" t="n"/>
      <x:c r="J8" s="7" t="n"/>
      <x:c r="K8" s="55" t="n"/>
    </x:row>
    <x:row r="9" ht="20" customHeight="1">
      <x:c r="A9" s="9" t="inlineStr">
        <x:is>
          <x:t xml:space="preserve">Périodes / an</x:t>
        </x:is>
      </x:c>
      <x:c r="B9" s="56" t="n">
        <x:v>12</x:v>
      </x:c>
      <x:c r="E9" s="79" t="inlineStr">
        <x:is>
          <x:t xml:space="preserve">Intérêts totaux</x:t>
        </x:is>
      </x:c>
      <x:c r="F9" s="49" t="n"/>
      <x:c r="G9" s="79" t="inlineStr">
        <x:is>
          <x:t xml:space="preserve">Économie d’intérêts</x:t>
        </x:is>
      </x:c>
      <x:c r="H9" s="49" t="n"/>
      <x:c r="J9" s="7" t="n"/>
      <x:c r="K9" s="59" t="n"/>
    </x:row>
    <x:row r="10" ht="20" customHeight="1">
      <x:c r="A10" s="9" t="inlineStr">
        <x:is>
          <x:t xml:space="preserve">Date de départ</x:t>
        </x:is>
      </x:c>
      <x:c r="B10" s="60" t="n">
        <x:v>46113</x:v>
      </x:c>
      <x:c r="E10" s="52">
        <x:f>Moteur!B7</x:f>
        <x:v>92035.64</x:v>
      </x:c>
      <x:c r="F10" s="53" t="n"/>
      <x:c r="G10" s="52">
        <x:f>Moteur!B10</x:f>
        <x:v>15260.57</x:v>
      </x:c>
      <x:c r="H10" s="53" t="n"/>
      <x:c r="J10" s="7" t="n"/>
      <x:c r="K10" s="47" t="n"/>
    </x:row>
    <x:row r="11" ht="20" customHeight="1">
      <x:c r="A11" s="9" t="inlineStr">
        <x:is>
          <x:t xml:space="preserve">Remboursement anticipé / période</x:t>
        </x:is>
      </x:c>
      <x:c r="B11" s="48" t="n">
        <x:v>150</x:v>
      </x:c>
      <x:c r="E11" s="57" t="n"/>
      <x:c r="F11" s="58" t="n"/>
      <x:c r="G11" s="57" t="n"/>
      <x:c r="H11" s="58" t="n"/>
      <x:c r="J11" s="7" t="n"/>
      <x:c r="K11" s="55" t="n"/>
    </x:row>
    <x:row r="12" ht="20" customHeight="1">
      <x:c r="A12" s="9" t="inlineStr">
        <x:is>
          <x:t xml:space="preserve">Taux assurance annuel</x:t>
        </x:is>
      </x:c>
      <x:c r="B12" s="51" t="n">
        <x:v>0.003</x:v>
      </x:c>
      <x:c r="E12" s="79" t="inlineStr">
        <x:is>
          <x:t xml:space="preserve">Durée effective</x:t>
        </x:is>
      </x:c>
      <x:c r="F12" s="49" t="n"/>
      <x:c r="G12" s="79" t="inlineStr">
        <x:is>
          <x:t xml:space="preserve">Coût total</x:t>
        </x:is>
      </x:c>
      <x:c r="H12" s="49" t="n"/>
      <x:c r="J12" s="7" t="n"/>
      <x:c r="K12" s="55" t="n"/>
    </x:row>
    <x:row r="13" ht="20" customHeight="1">
      <x:c r="A13" s="9" t="inlineStr">
        <x:is>
          <x:t xml:space="preserve">Frais de dossier</x:t>
        </x:is>
      </x:c>
      <x:c r="B13" s="48" t="n">
        <x:v>1200</x:v>
      </x:c>
      <x:c r="E13" s="22" t="str">
        <x:f>Moteur!B6&amp;" périodes"</x:f>
        <x:v>209 périodes</x:v>
      </x:c>
      <x:c r="F13" s="53" t="n"/>
      <x:c r="G13" s="52">
        <x:f>Moteur!B8</x:f>
        <x:v>350501.59</x:v>
      </x:c>
      <x:c r="H13" s="53" t="n"/>
      <x:c r="J13" s="7" t="n"/>
      <x:c r="K13" s="55" t="n"/>
    </x:row>
    <x:row r="14" ht="20" customHeight="1">
      <x:c r="E14" s="57" t="n"/>
      <x:c r="F14" s="58" t="n"/>
      <x:c r="G14" s="57" t="n"/>
      <x:c r="H14" s="58" t="n"/>
      <x:c r="J14" s="7" t="n"/>
      <x:c r="K14" s="55" t="n"/>
    </x:row>
    <x:row r="15" ht="20" customHeight="1"/>
    <x:row r="16" ht="20" customHeight="1">
      <x:c r="A16" s="5" t="inlineStr">
        <x:is>
          <x:t xml:space="preserve">Visualisation &amp; contrôle</x:t>
        </x:is>
      </x:c>
    </x:row>
    <x:row r="17" ht="20" customHeight="1">
      <x:c r="A17" s="23" t="inlineStr">
        <x:is>
          <x:t xml:space="preserve">Lecture rapide</x:t>
        </x:is>
      </x:c>
    </x:row>
    <x:row r="18" ht="20" customHeight="1">
      <x:c r="A18" s="24" t="inlineStr">
        <x:is>
          <x:t xml:space="preserve">• Jaune : cellules à modifier</x:t>
        </x:is>
      </x:c>
    </x:row>
    <x:row r="19" ht="20" customHeight="1">
      <x:c r="A19" s="24" t="inlineStr">
        <x:is>
          <x:t xml:space="preserve">• Le tableau s’arrête automatiquement une fois le prêt soldé</x:t>
        </x:is>
      </x:c>
    </x:row>
    <x:row r="20" ht="20" customHeight="1">
      <x:c r="A20" s="24" t="inlineStr">
        <x:is>
          <x:t xml:space="preserve">• 12 / 4 / 1 adapte les dates, le taux périodique et l’échéance</x:t>
        </x:is>
      </x:c>
    </x:row>
    <x:row r="21" ht="20" customHeight="1">
      <x:c r="A21" s="24" t="inlineStr">
        <x:is>
          <x:t xml:space="preserve">• Le coût total inclut les frais de dossier</x:t>
        </x:is>
      </x:c>
    </x:row>
    <x:row r="22" ht="20" customHeight="1">
      <x:c r="A22" s="24" t="inlineStr">
        <x:is>
          <x:t xml:space="preserve">• Le remboursement anticipé réduit la durée et/ou les intérêts</x:t>
        </x:is>
      </x:c>
    </x:row>
    <x:row r="23" ht="20" customHeight="1"/>
    <x:row r="24" ht="20" customHeight="1">
      <x:c r="A24" s="25" t="inlineStr">
        <x:is>
          <x:t xml:space="preserve">Conseil : testez plusieurs scénarios en modifiant le remboursement anticipé par période ou la durée. Tout le modèle se recalcule sans toucher aux formules.</x:t>
        </x:is>
      </x:c>
      <x:c r="B24" s="61" t="n"/>
      <x:c r="C24" s="61" t="n"/>
      <x:c r="D24" s="62" t="n"/>
    </x:row>
    <x:row r="25" ht="20" customHeight="1">
      <x:c r="A25" s="63" t="n"/>
      <x:c r="D25" s="64" t="n"/>
    </x:row>
    <x:row r="26" ht="20" customHeight="1">
      <x:c r="A26" s="63" t="n"/>
      <x:c r="D26" s="64" t="n"/>
    </x:row>
    <x:row r="27" ht="20" customHeight="1">
      <x:c r="A27" s="65" t="n"/>
      <x:c r="B27" s="66" t="n"/>
      <x:c r="C27" s="66" t="n"/>
      <x:c r="D27" s="67" t="n"/>
    </x:row>
    <x:row r="28"/>
    <x:row r="29"/>
  </x:sheetData>
  <x:mergeCells>
    <x:mergeCell ref="E12:F12"/>
    <x:mergeCell ref="G13:H14"/>
    <x:mergeCell ref="A3:H3"/>
    <x:mergeCell ref="G7:H8"/>
    <x:mergeCell ref="E6:F6"/>
    <x:mergeCell ref="G12:H12"/>
    <x:mergeCell ref="A16:H16"/>
    <x:mergeCell ref="E7:F8"/>
    <x:mergeCell ref="E10:F11"/>
    <x:mergeCell ref="A5:B5"/>
    <x:mergeCell ref="G10:H11"/>
    <x:mergeCell ref="E5:H5"/>
    <x:mergeCell ref="G6:H6"/>
    <x:mergeCell ref="A24:D27"/>
    <x:mergeCell ref="G9:H9"/>
    <x:mergeCell ref="E9:F9"/>
    <x:mergeCell ref="A1:H2"/>
    <x:mergeCell ref="E13:F14"/>
  </x:mergeCells>
  <x:dataValidations count="1">
    <x:dataValidation type="list" allowBlank="0" showDropDown="0" showInputMessage="0" showErrorMessage="0" sqref="B9">
      <x:formula1>"12,4,1"</x:formula1>
    </x:dataValidation>
  </x:dataValidations>
  <x:pageMargins left="0.7" right="0.7" top="0.75" bottom="0.75" header="0.3" footer="0.3"/>
  <x:legacyDrawing xmlns:r="http://schemas.openxmlformats.org/officeDocument/2006/relationships" r:id="Rc0df01d805914614"/>
  <x:drawing xmlns:r="http://schemas.openxmlformats.org/officeDocument/2006/relationships" r:id="Rb773a4f6ef344290"/>
</x:worksheet>
</file>

<file path=xl/worksheets/sheet2.xml><?xml version="1.0" encoding="utf-8"?>
<x:worksheet xmlns:x="http://schemas.openxmlformats.org/spreadsheetml/2006/main">
  <x:sheetViews>
    <x:sheetView showGridLines="0" workbookViewId="0"/>
  </x:sheetViews>
  <x:sheetFormatPr baseColWidth="8" defaultRowHeight="15"/>
  <x:cols>
    <x:col min="1" max="1" width="10" customWidth="1"/>
    <x:col min="2" max="2" width="14" customWidth="1"/>
    <x:col min="3" max="3" width="16" customWidth="1"/>
    <x:col min="4" max="4" width="15" customWidth="1"/>
    <x:col min="5" max="5" width="16" customWidth="1"/>
    <x:col min="6" max="6" width="14" customWidth="1"/>
    <x:col min="7" max="7" width="14" customWidth="1"/>
    <x:col min="8" max="8" width="16" customWidth="1"/>
    <x:col min="9" max="9" width="16" customWidth="1"/>
    <x:col min="10" max="10" width="16" customWidth="1"/>
    <x:col min="11" max="11" width="14" customWidth="1"/>
    <x:col min="12" max="12" width="12" customWidth="1"/>
    <x:col min="13" max="13" width="16" customWidth="1"/>
  </x:cols>
  <x:sheetData>
    <x:row r="1" ht="20" customHeight="1">
      <x:c r="A1" s="1" t="inlineStr">
        <x:is>
          <x:t xml:space="preserve">TABLEAU D’AMORTISSEMENT AUTOMATISÉ</x:t>
        </x:is>
      </x:c>
    </x:row>
    <x:row r="2" ht="20" customHeight="1"/>
    <x:row r="3" ht="20" customHeight="1">
      <x:c r="A3" s="27" t="inlineStr">
        <x:is>
          <x:t xml:space="preserve">Le planning se remplit et s’interrompt automatiquement dès que le capital restant dû atteint 0 €.</x:t>
        </x:is>
      </x:c>
    </x:row>
    <x:row r="4" ht="20" customHeight="1"/>
    <x:row r="5" ht="20" customHeight="1">
      <x:c r="A5" s="28" t="inlineStr">
        <x:is>
          <x:t xml:space="preserve">Montant</x:t>
        </x:is>
      </x:c>
      <x:c r="B5" s="68">
        <x:f>Dashboard!B6</x:f>
        <x:v>250000</x:v>
      </x:c>
      <x:c r="C5" s="28" t="inlineStr">
        <x:is>
          <x:t xml:space="preserve">Taux annuel</x:t>
        </x:is>
      </x:c>
      <x:c r="D5" s="69">
        <x:f>Dashboard!B7</x:f>
        <x:v>0.038</x:v>
      </x:c>
      <x:c r="E5" s="28" t="inlineStr">
        <x:is>
          <x:t xml:space="preserve">Durée théorique</x:t>
        </x:is>
      </x:c>
      <x:c r="F5" s="31" t="str">
        <x:f>Moteur!B1&amp;" périodes"</x:f>
        <x:v>240 périodes</x:v>
      </x:c>
      <x:c r="G5" s="28" t="inlineStr">
        <x:is>
          <x:t xml:space="preserve">Date départ</x:t>
        </x:is>
      </x:c>
      <x:c r="H5" s="70">
        <x:f>Dashboard!B10</x:f>
        <x:v>46113</x:v>
      </x:c>
      <x:c r="I5" s="28" t="inlineStr">
        <x:is>
          <x:t xml:space="preserve">Remb. anticipé</x:t>
        </x:is>
      </x:c>
      <x:c r="J5" s="68">
        <x:f>Dashboard!B11</x:f>
        <x:v>150</x:v>
      </x:c>
    </x:row>
    <x:row r="6" ht="20" customHeight="1"/>
    <x:row r="7" ht="32" customHeight="1">
      <x:c r="A7" s="33" t="inlineStr">
        <x:is>
          <x:t xml:space="preserve">Période</x:t>
        </x:is>
      </x:c>
      <x:c r="B7" s="33" t="inlineStr">
        <x:is>
          <x:t xml:space="preserve">Date</x:t>
        </x:is>
      </x:c>
      <x:c r="C7" s="33" t="inlineStr">
        <x:is>
          <x:t xml:space="preserve">Capital initial</x:t>
        </x:is>
      </x:c>
      <x:c r="D7" s="33" t="inlineStr">
        <x:is>
          <x:t xml:space="preserve">Échéance</x:t>
        </x:is>
      </x:c>
      <x:c r="E7" s="33" t="inlineStr">
        <x:is>
          <x:t xml:space="preserve">Remb. anticipé</x:t>
        </x:is>
      </x:c>
      <x:c r="F7" s="33" t="inlineStr">
        <x:is>
          <x:t xml:space="preserve">Assurance</x:t>
        </x:is>
      </x:c>
      <x:c r="G7" s="33" t="inlineStr">
        <x:is>
          <x:t xml:space="preserve">Intérêts</x:t>
        </x:is>
      </x:c>
      <x:c r="H7" s="33" t="inlineStr">
        <x:is>
          <x:t xml:space="preserve">Capital amorti</x:t>
        </x:is>
      </x:c>
      <x:c r="I7" s="33" t="inlineStr">
        <x:is>
          <x:t xml:space="preserve">Paiement total</x:t>
        </x:is>
      </x:c>
      <x:c r="J7" s="33" t="inlineStr">
        <x:is>
          <x:t xml:space="preserve">Capital restant</x:t>
        </x:is>
      </x:c>
      <x:c r="K7" s="33" t="inlineStr">
        <x:is>
          <x:t xml:space="preserve">% remboursé</x:t>
        </x:is>
      </x:c>
      <x:c r="L7" s="33" t="inlineStr">
        <x:is>
          <x:t xml:space="preserve">Statut</x:t>
        </x:is>
      </x:c>
      <x:c r="M7" s="33" t="inlineStr">
        <x:is>
          <x:t xml:space="preserve">Intérêts cumulés</x:t>
        </x:is>
      </x:c>
    </x:row>
    <x:row r="8" ht="20" customHeight="1">
      <x:c r="A8" s="71">
        <x:f>IF(Dashboard!$B$6&gt;0,1,"")</x:f>
        <x:v>1</x:v>
      </x:c>
      <x:c r="B8" s="72">
        <x:f>IF(A8="","",EDATE(Dashboard!$B$10,(A8-1)*(12/Dashboard!$B$9)))</x:f>
        <x:v>46113</x:v>
      </x:c>
      <x:c r="C8" s="73">
        <x:f>IF(A8="","",Dashboard!$B$6)</x:f>
        <x:v>250000</x:v>
      </x:c>
      <x:c r="D8" s="73">
        <x:f>IF(A8="","",ROUND(MIN(Moteur!$B$3,C8+G8),2))</x:f>
        <x:v>1488.73</x:v>
      </x:c>
      <x:c r="E8" s="73">
        <x:f>IF(A8="","",ROUND(MIN(Dashboard!$B$11,MAX(0,C8-(D8-G8))),2))</x:f>
        <x:v>150</x:v>
      </x:c>
      <x:c r="F8" s="73">
        <x:f>IF(A8="","",ROUND(C8*Dashboard!$B$12/Dashboard!$B$9,2))</x:f>
        <x:v>62.5</x:v>
      </x:c>
      <x:c r="G8" s="73">
        <x:f>IF(A8="","",ROUND(C8*Moteur!$B$2,2))</x:f>
        <x:v>791.67</x:v>
      </x:c>
      <x:c r="H8" s="73">
        <x:f>IF(A8="","",ROUND(MIN(C8,D8-G8+E8),2))</x:f>
        <x:v>847.06</x:v>
      </x:c>
      <x:c r="I8" s="73">
        <x:f>IF(A8="","",ROUND(D8+E8+F8,2))</x:f>
        <x:v>1701.23</x:v>
      </x:c>
      <x:c r="J8" s="73">
        <x:f>IF(A8="","",ROUND(MAX(0,C8-H8),2))</x:f>
        <x:v>249152.94</x:v>
      </x:c>
      <x:c r="K8" s="74">
        <x:f>IF(A8="","",1-(J8/Dashboard!$B$6))</x:f>
        <x:v>0.0033882400000000423</x:v>
      </x:c>
      <x:c r="L8" s="38" t="str">
        <x:f>IF(A8="","",IF(J8=0,"Soldé","En cours"))</x:f>
        <x:v>En cours</x:v>
      </x:c>
      <x:c r="M8" s="73">
        <x:f>IF(A8="","",ROUND(SUM($G$8:G8),2))</x:f>
        <x:v>791.67</x:v>
      </x:c>
    </x:row>
    <x:row r="9" ht="20" customHeight="1">
      <x:c r="A9" s="75">
        <x:f>IF(OR($J8="",ROUND($J8,2)=0),"",$A8+1)</x:f>
        <x:v>2</x:v>
      </x:c>
      <x:c r="B9" s="76">
        <x:f>IF(A9="","",EDATE(Dashboard!$B$10,(A9-1)*(12/Dashboard!$B$9)))</x:f>
        <x:v>46143</x:v>
      </x:c>
      <x:c r="C9" s="77">
        <x:f>IF(A9="","",$J8)</x:f>
        <x:v>249152.94</x:v>
      </x:c>
      <x:c r="D9" s="77">
        <x:f>IF(A9="","",ROUND(MIN(Moteur!$B$3,C9+G9),2))</x:f>
        <x:v>1488.73</x:v>
      </x:c>
      <x:c r="E9" s="77">
        <x:f>IF(A9="","",ROUND(MIN(Dashboard!$B$11,MAX(0,C9-(D9-G9))),2))</x:f>
        <x:v>150</x:v>
      </x:c>
      <x:c r="F9" s="77">
        <x:f>IF(A9="","",ROUND(C9*Dashboard!$B$12/Dashboard!$B$9,2))</x:f>
        <x:v>62.29</x:v>
      </x:c>
      <x:c r="G9" s="77">
        <x:f>IF(A9="","",ROUND(C9*Moteur!$B$2,2))</x:f>
        <x:v>788.98</x:v>
      </x:c>
      <x:c r="H9" s="77">
        <x:f>IF(A9="","",ROUND(MIN(C9,D9-G9+E9),2))</x:f>
        <x:v>849.75</x:v>
      </x:c>
      <x:c r="I9" s="77">
        <x:f>IF(A9="","",ROUND(D9+E9+F9,2))</x:f>
        <x:v>1701.02</x:v>
      </x:c>
      <x:c r="J9" s="77">
        <x:f>IF(A9="","",ROUND(MAX(0,C9-H9),2))</x:f>
        <x:v>248303.19</x:v>
      </x:c>
      <x:c r="K9" s="78">
        <x:f>IF(A9="","",1-(J9/Dashboard!$B$6))</x:f>
        <x:v>0.006787239999999972</x:v>
      </x:c>
      <x:c r="L9" s="43" t="str">
        <x:f>IF(A9="","",IF(J9=0,"Soldé","En cours"))</x:f>
        <x:v>En cours</x:v>
      </x:c>
      <x:c r="M9" s="77">
        <x:f>IF(A9="","",ROUND(SUM($G$8:G9),2))</x:f>
        <x:v>1580.65</x:v>
      </x:c>
    </x:row>
    <x:row r="10" ht="20" customHeight="1">
      <x:c r="A10" s="71">
        <x:f>IF(OR($J9="",ROUND($J9,2)=0),"",$A9+1)</x:f>
        <x:v>3</x:v>
      </x:c>
      <x:c r="B10" s="72">
        <x:f>IF(A10="","",EDATE(Dashboard!$B$10,(A10-1)*(12/Dashboard!$B$9)))</x:f>
        <x:v>46174</x:v>
      </x:c>
      <x:c r="C10" s="73">
        <x:f>IF(A10="","",$J9)</x:f>
        <x:v>248303.19</x:v>
      </x:c>
      <x:c r="D10" s="73">
        <x:f>IF(A10="","",ROUND(MIN(Moteur!$B$3,C10+G10),2))</x:f>
        <x:v>1488.73</x:v>
      </x:c>
      <x:c r="E10" s="73">
        <x:f>IF(A10="","",ROUND(MIN(Dashboard!$B$11,MAX(0,C10-(D10-G10))),2))</x:f>
        <x:v>150</x:v>
      </x:c>
      <x:c r="F10" s="73">
        <x:f>IF(A10="","",ROUND(C10*Dashboard!$B$12/Dashboard!$B$9,2))</x:f>
        <x:v>62.08</x:v>
      </x:c>
      <x:c r="G10" s="73">
        <x:f>IF(A10="","",ROUND(C10*Moteur!$B$2,2))</x:f>
        <x:v>786.29</x:v>
      </x:c>
      <x:c r="H10" s="73">
        <x:f>IF(A10="","",ROUND(MIN(C10,D10-G10+E10),2))</x:f>
        <x:v>852.44</x:v>
      </x:c>
      <x:c r="I10" s="73">
        <x:f>IF(A10="","",ROUND(D10+E10+F10,2))</x:f>
        <x:v>1700.81</x:v>
      </x:c>
      <x:c r="J10" s="73">
        <x:f>IF(A10="","",ROUND(MAX(0,C10-H10),2))</x:f>
        <x:v>247450.75</x:v>
      </x:c>
      <x:c r="K10" s="74">
        <x:f>IF(A10="","",1-(J10/Dashboard!$B$6))</x:f>
        <x:v>0.010197000000000012</x:v>
      </x:c>
      <x:c r="L10" s="38" t="str">
        <x:f>IF(A10="","",IF(J10=0,"Soldé","En cours"))</x:f>
        <x:v>En cours</x:v>
      </x:c>
      <x:c r="M10" s="73">
        <x:f>IF(A10="","",ROUND(SUM($G$8:G10),2))</x:f>
        <x:v>2366.94</x:v>
      </x:c>
    </x:row>
    <x:row r="11" ht="20" customHeight="1">
      <x:c r="A11" s="75">
        <x:f>IF(OR($J10="",ROUND($J10,2)=0),"",$A10+1)</x:f>
        <x:v>4</x:v>
      </x:c>
      <x:c r="B11" s="76">
        <x:f>IF(A11="","",EDATE(Dashboard!$B$10,(A11-1)*(12/Dashboard!$B$9)))</x:f>
        <x:v>46204</x:v>
      </x:c>
      <x:c r="C11" s="77">
        <x:f>IF(A11="","",$J10)</x:f>
        <x:v>247450.75</x:v>
      </x:c>
      <x:c r="D11" s="77">
        <x:f>IF(A11="","",ROUND(MIN(Moteur!$B$3,C11+G11),2))</x:f>
        <x:v>1488.73</x:v>
      </x:c>
      <x:c r="E11" s="77">
        <x:f>IF(A11="","",ROUND(MIN(Dashboard!$B$11,MAX(0,C11-(D11-G11))),2))</x:f>
        <x:v>150</x:v>
      </x:c>
      <x:c r="F11" s="77">
        <x:f>IF(A11="","",ROUND(C11*Dashboard!$B$12/Dashboard!$B$9,2))</x:f>
        <x:v>61.86</x:v>
      </x:c>
      <x:c r="G11" s="77">
        <x:f>IF(A11="","",ROUND(C11*Moteur!$B$2,2))</x:f>
        <x:v>783.59</x:v>
      </x:c>
      <x:c r="H11" s="77">
        <x:f>IF(A11="","",ROUND(MIN(C11,D11-G11+E11),2))</x:f>
        <x:v>855.14</x:v>
      </x:c>
      <x:c r="I11" s="77">
        <x:f>IF(A11="","",ROUND(D11+E11+F11,2))</x:f>
        <x:v>1700.59</x:v>
      </x:c>
      <x:c r="J11" s="77">
        <x:f>IF(A11="","",ROUND(MAX(0,C11-H11),2))</x:f>
        <x:v>246595.61</x:v>
      </x:c>
      <x:c r="K11" s="78">
        <x:f>IF(A11="","",1-(J11/Dashboard!$B$6))</x:f>
        <x:v>0.013617560000000029</x:v>
      </x:c>
      <x:c r="L11" s="43" t="str">
        <x:f>IF(A11="","",IF(J11=0,"Soldé","En cours"))</x:f>
        <x:v>En cours</x:v>
      </x:c>
      <x:c r="M11" s="77">
        <x:f>IF(A11="","",ROUND(SUM($G$8:G11),2))</x:f>
        <x:v>3150.53</x:v>
      </x:c>
    </x:row>
    <x:row r="12" ht="20" customHeight="1">
      <x:c r="A12" s="71">
        <x:f>IF(OR($J11="",ROUND($J11,2)=0),"",$A11+1)</x:f>
        <x:v>5</x:v>
      </x:c>
      <x:c r="B12" s="72">
        <x:f>IF(A12="","",EDATE(Dashboard!$B$10,(A12-1)*(12/Dashboard!$B$9)))</x:f>
        <x:v>46235</x:v>
      </x:c>
      <x:c r="C12" s="73">
        <x:f>IF(A12="","",$J11)</x:f>
        <x:v>246595.61</x:v>
      </x:c>
      <x:c r="D12" s="73">
        <x:f>IF(A12="","",ROUND(MIN(Moteur!$B$3,C12+G12),2))</x:f>
        <x:v>1488.73</x:v>
      </x:c>
      <x:c r="E12" s="73">
        <x:f>IF(A12="","",ROUND(MIN(Dashboard!$B$11,MAX(0,C12-(D12-G12))),2))</x:f>
        <x:v>150</x:v>
      </x:c>
      <x:c r="F12" s="73">
        <x:f>IF(A12="","",ROUND(C12*Dashboard!$B$12/Dashboard!$B$9,2))</x:f>
        <x:v>61.65</x:v>
      </x:c>
      <x:c r="G12" s="73">
        <x:f>IF(A12="","",ROUND(C12*Moteur!$B$2,2))</x:f>
        <x:v>780.89</x:v>
      </x:c>
      <x:c r="H12" s="73">
        <x:f>IF(A12="","",ROUND(MIN(C12,D12-G12+E12),2))</x:f>
        <x:v>857.84</x:v>
      </x:c>
      <x:c r="I12" s="73">
        <x:f>IF(A12="","",ROUND(D12+E12+F12,2))</x:f>
        <x:v>1700.38</x:v>
      </x:c>
      <x:c r="J12" s="73">
        <x:f>IF(A12="","",ROUND(MAX(0,C12-H12),2))</x:f>
        <x:v>245737.77</x:v>
      </x:c>
      <x:c r="K12" s="74">
        <x:f>IF(A12="","",1-(J12/Dashboard!$B$6))</x:f>
        <x:v>0.017048920000000023</x:v>
      </x:c>
      <x:c r="L12" s="38" t="str">
        <x:f>IF(A12="","",IF(J12=0,"Soldé","En cours"))</x:f>
        <x:v>En cours</x:v>
      </x:c>
      <x:c r="M12" s="73">
        <x:f>IF(A12="","",ROUND(SUM($G$8:G12),2))</x:f>
        <x:v>3931.42</x:v>
      </x:c>
    </x:row>
    <x:row r="13" ht="20" customHeight="1">
      <x:c r="A13" s="75">
        <x:f>IF(OR($J12="",ROUND($J12,2)=0),"",$A12+1)</x:f>
        <x:v>6</x:v>
      </x:c>
      <x:c r="B13" s="76">
        <x:f>IF(A13="","",EDATE(Dashboard!$B$10,(A13-1)*(12/Dashboard!$B$9)))</x:f>
        <x:v>46266</x:v>
      </x:c>
      <x:c r="C13" s="77">
        <x:f>IF(A13="","",$J12)</x:f>
        <x:v>245737.77</x:v>
      </x:c>
      <x:c r="D13" s="77">
        <x:f>IF(A13="","",ROUND(MIN(Moteur!$B$3,C13+G13),2))</x:f>
        <x:v>1488.73</x:v>
      </x:c>
      <x:c r="E13" s="77">
        <x:f>IF(A13="","",ROUND(MIN(Dashboard!$B$11,MAX(0,C13-(D13-G13))),2))</x:f>
        <x:v>150</x:v>
      </x:c>
      <x:c r="F13" s="77">
        <x:f>IF(A13="","",ROUND(C13*Dashboard!$B$12/Dashboard!$B$9,2))</x:f>
        <x:v>61.43</x:v>
      </x:c>
      <x:c r="G13" s="77">
        <x:f>IF(A13="","",ROUND(C13*Moteur!$B$2,2))</x:f>
        <x:v>778.17</x:v>
      </x:c>
      <x:c r="H13" s="77">
        <x:f>IF(A13="","",ROUND(MIN(C13,D13-G13+E13),2))</x:f>
        <x:v>860.56</x:v>
      </x:c>
      <x:c r="I13" s="77">
        <x:f>IF(A13="","",ROUND(D13+E13+F13,2))</x:f>
        <x:v>1700.16</x:v>
      </x:c>
      <x:c r="J13" s="77">
        <x:f>IF(A13="","",ROUND(MAX(0,C13-H13),2))</x:f>
        <x:v>244877.21</x:v>
      </x:c>
      <x:c r="K13" s="78">
        <x:f>IF(A13="","",1-(J13/Dashboard!$B$6))</x:f>
        <x:v>0.020491160000000064</x:v>
      </x:c>
      <x:c r="L13" s="43" t="str">
        <x:f>IF(A13="","",IF(J13=0,"Soldé","En cours"))</x:f>
        <x:v>En cours</x:v>
      </x:c>
      <x:c r="M13" s="77">
        <x:f>IF(A13="","",ROUND(SUM($G$8:G13),2))</x:f>
        <x:v>4709.59</x:v>
      </x:c>
    </x:row>
    <x:row r="14" ht="20" customHeight="1">
      <x:c r="A14" s="71">
        <x:f>IF(OR($J13="",ROUND($J13,2)=0),"",$A13+1)</x:f>
        <x:v>7</x:v>
      </x:c>
      <x:c r="B14" s="72">
        <x:f>IF(A14="","",EDATE(Dashboard!$B$10,(A14-1)*(12/Dashboard!$B$9)))</x:f>
        <x:v>46296</x:v>
      </x:c>
      <x:c r="C14" s="73">
        <x:f>IF(A14="","",$J13)</x:f>
        <x:v>244877.21</x:v>
      </x:c>
      <x:c r="D14" s="73">
        <x:f>IF(A14="","",ROUND(MIN(Moteur!$B$3,C14+G14),2))</x:f>
        <x:v>1488.73</x:v>
      </x:c>
      <x:c r="E14" s="73">
        <x:f>IF(A14="","",ROUND(MIN(Dashboard!$B$11,MAX(0,C14-(D14-G14))),2))</x:f>
        <x:v>150</x:v>
      </x:c>
      <x:c r="F14" s="73">
        <x:f>IF(A14="","",ROUND(C14*Dashboard!$B$12/Dashboard!$B$9,2))</x:f>
        <x:v>61.22</x:v>
      </x:c>
      <x:c r="G14" s="73">
        <x:f>IF(A14="","",ROUND(C14*Moteur!$B$2,2))</x:f>
        <x:v>775.44</x:v>
      </x:c>
      <x:c r="H14" s="73">
        <x:f>IF(A14="","",ROUND(MIN(C14,D14-G14+E14),2))</x:f>
        <x:v>863.29</x:v>
      </x:c>
      <x:c r="I14" s="73">
        <x:f>IF(A14="","",ROUND(D14+E14+F14,2))</x:f>
        <x:v>1699.95</x:v>
      </x:c>
      <x:c r="J14" s="73">
        <x:f>IF(A14="","",ROUND(MAX(0,C14-H14),2))</x:f>
        <x:v>244013.92</x:v>
      </x:c>
      <x:c r="K14" s="74">
        <x:f>IF(A14="","",1-(J14/Dashboard!$B$6))</x:f>
        <x:v>0.023944319999999908</x:v>
      </x:c>
      <x:c r="L14" s="38" t="str">
        <x:f>IF(A14="","",IF(J14=0,"Soldé","En cours"))</x:f>
        <x:v>En cours</x:v>
      </x:c>
      <x:c r="M14" s="73">
        <x:f>IF(A14="","",ROUND(SUM($G$8:G14),2))</x:f>
        <x:v>5485.03</x:v>
      </x:c>
    </x:row>
    <x:row r="15" ht="20" customHeight="1">
      <x:c r="A15" s="75">
        <x:f>IF(OR($J14="",ROUND($J14,2)=0),"",$A14+1)</x:f>
        <x:v>8</x:v>
      </x:c>
      <x:c r="B15" s="76">
        <x:f>IF(A15="","",EDATE(Dashboard!$B$10,(A15-1)*(12/Dashboard!$B$9)))</x:f>
        <x:v>46327</x:v>
      </x:c>
      <x:c r="C15" s="77">
        <x:f>IF(A15="","",$J14)</x:f>
        <x:v>244013.92</x:v>
      </x:c>
      <x:c r="D15" s="77">
        <x:f>IF(A15="","",ROUND(MIN(Moteur!$B$3,C15+G15),2))</x:f>
        <x:v>1488.73</x:v>
      </x:c>
      <x:c r="E15" s="77">
        <x:f>IF(A15="","",ROUND(MIN(Dashboard!$B$11,MAX(0,C15-(D15-G15))),2))</x:f>
        <x:v>150</x:v>
      </x:c>
      <x:c r="F15" s="77">
        <x:f>IF(A15="","",ROUND(C15*Dashboard!$B$12/Dashboard!$B$9,2))</x:f>
        <x:v>61</x:v>
      </x:c>
      <x:c r="G15" s="77">
        <x:f>IF(A15="","",ROUND(C15*Moteur!$B$2,2))</x:f>
        <x:v>772.71</x:v>
      </x:c>
      <x:c r="H15" s="77">
        <x:f>IF(A15="","",ROUND(MIN(C15,D15-G15+E15),2))</x:f>
        <x:v>866.02</x:v>
      </x:c>
      <x:c r="I15" s="77">
        <x:f>IF(A15="","",ROUND(D15+E15+F15,2))</x:f>
        <x:v>1699.73</x:v>
      </x:c>
      <x:c r="J15" s="77">
        <x:f>IF(A15="","",ROUND(MAX(0,C15-H15),2))</x:f>
        <x:v>243147.9</x:v>
      </x:c>
      <x:c r="K15" s="78">
        <x:f>IF(A15="","",1-(J15/Dashboard!$B$6))</x:f>
        <x:v>0.0274084</x:v>
      </x:c>
      <x:c r="L15" s="43" t="str">
        <x:f>IF(A15="","",IF(J15=0,"Soldé","En cours"))</x:f>
        <x:v>En cours</x:v>
      </x:c>
      <x:c r="M15" s="77">
        <x:f>IF(A15="","",ROUND(SUM($G$8:G15),2))</x:f>
        <x:v>6257.74</x:v>
      </x:c>
    </x:row>
    <x:row r="16" ht="20" customHeight="1">
      <x:c r="A16" s="71">
        <x:f>IF(OR($J15="",ROUND($J15,2)=0),"",$A15+1)</x:f>
        <x:v>9</x:v>
      </x:c>
      <x:c r="B16" s="72">
        <x:f>IF(A16="","",EDATE(Dashboard!$B$10,(A16-1)*(12/Dashboard!$B$9)))</x:f>
        <x:v>46357</x:v>
      </x:c>
      <x:c r="C16" s="73">
        <x:f>IF(A16="","",$J15)</x:f>
        <x:v>243147.9</x:v>
      </x:c>
      <x:c r="D16" s="73">
        <x:f>IF(A16="","",ROUND(MIN(Moteur!$B$3,C16+G16),2))</x:f>
        <x:v>1488.73</x:v>
      </x:c>
      <x:c r="E16" s="73">
        <x:f>IF(A16="","",ROUND(MIN(Dashboard!$B$11,MAX(0,C16-(D16-G16))),2))</x:f>
        <x:v>150</x:v>
      </x:c>
      <x:c r="F16" s="73">
        <x:f>IF(A16="","",ROUND(C16*Dashboard!$B$12/Dashboard!$B$9,2))</x:f>
        <x:v>60.79</x:v>
      </x:c>
      <x:c r="G16" s="73">
        <x:f>IF(A16="","",ROUND(C16*Moteur!$B$2,2))</x:f>
        <x:v>769.97</x:v>
      </x:c>
      <x:c r="H16" s="73">
        <x:f>IF(A16="","",ROUND(MIN(C16,D16-G16+E16),2))</x:f>
        <x:v>868.76</x:v>
      </x:c>
      <x:c r="I16" s="73">
        <x:f>IF(A16="","",ROUND(D16+E16+F16,2))</x:f>
        <x:v>1699.52</x:v>
      </x:c>
      <x:c r="J16" s="73">
        <x:f>IF(A16="","",ROUND(MAX(0,C16-H16),2))</x:f>
        <x:v>242279.14</x:v>
      </x:c>
      <x:c r="K16" s="74">
        <x:f>IF(A16="","",1-(J16/Dashboard!$B$6))</x:f>
        <x:v>0.030883439999999984</x:v>
      </x:c>
      <x:c r="L16" s="38" t="str">
        <x:f>IF(A16="","",IF(J16=0,"Soldé","En cours"))</x:f>
        <x:v>En cours</x:v>
      </x:c>
      <x:c r="M16" s="73">
        <x:f>IF(A16="","",ROUND(SUM($G$8:G16),2))</x:f>
        <x:v>7027.71</x:v>
      </x:c>
    </x:row>
    <x:row r="17" ht="20" customHeight="1">
      <x:c r="A17" s="75">
        <x:f>IF(OR($J16="",ROUND($J16,2)=0),"",$A16+1)</x:f>
        <x:v>10</x:v>
      </x:c>
      <x:c r="B17" s="76">
        <x:f>IF(A17="","",EDATE(Dashboard!$B$10,(A17-1)*(12/Dashboard!$B$9)))</x:f>
        <x:v>46388</x:v>
      </x:c>
      <x:c r="C17" s="77">
        <x:f>IF(A17="","",$J16)</x:f>
        <x:v>242279.14</x:v>
      </x:c>
      <x:c r="D17" s="77">
        <x:f>IF(A17="","",ROUND(MIN(Moteur!$B$3,C17+G17),2))</x:f>
        <x:v>1488.73</x:v>
      </x:c>
      <x:c r="E17" s="77">
        <x:f>IF(A17="","",ROUND(MIN(Dashboard!$B$11,MAX(0,C17-(D17-G17))),2))</x:f>
        <x:v>150</x:v>
      </x:c>
      <x:c r="F17" s="77">
        <x:f>IF(A17="","",ROUND(C17*Dashboard!$B$12/Dashboard!$B$9,2))</x:f>
        <x:v>60.57</x:v>
      </x:c>
      <x:c r="G17" s="77">
        <x:f>IF(A17="","",ROUND(C17*Moteur!$B$2,2))</x:f>
        <x:v>767.22</x:v>
      </x:c>
      <x:c r="H17" s="77">
        <x:f>IF(A17="","",ROUND(MIN(C17,D17-G17+E17),2))</x:f>
        <x:v>871.51</x:v>
      </x:c>
      <x:c r="I17" s="77">
        <x:f>IF(A17="","",ROUND(D17+E17+F17,2))</x:f>
        <x:v>1699.3</x:v>
      </x:c>
      <x:c r="J17" s="77">
        <x:f>IF(A17="","",ROUND(MAX(0,C17-H17),2))</x:f>
        <x:v>241407.63</x:v>
      </x:c>
      <x:c r="K17" s="78">
        <x:f>IF(A17="","",1-(J17/Dashboard!$B$6))</x:f>
        <x:v>0.03436947999999995</x:v>
      </x:c>
      <x:c r="L17" s="43" t="str">
        <x:f>IF(A17="","",IF(J17=0,"Soldé","En cours"))</x:f>
        <x:v>En cours</x:v>
      </x:c>
      <x:c r="M17" s="77">
        <x:f>IF(A17="","",ROUND(SUM($G$8:G17),2))</x:f>
        <x:v>7794.93</x:v>
      </x:c>
    </x:row>
    <x:row r="18" ht="20" customHeight="1">
      <x:c r="A18" s="71">
        <x:f>IF(OR($J17="",ROUND($J17,2)=0),"",$A17+1)</x:f>
        <x:v>11</x:v>
      </x:c>
      <x:c r="B18" s="72">
        <x:f>IF(A18="","",EDATE(Dashboard!$B$10,(A18-1)*(12/Dashboard!$B$9)))</x:f>
        <x:v>46419</x:v>
      </x:c>
      <x:c r="C18" s="73">
        <x:f>IF(A18="","",$J17)</x:f>
        <x:v>241407.63</x:v>
      </x:c>
      <x:c r="D18" s="73">
        <x:f>IF(A18="","",ROUND(MIN(Moteur!$B$3,C18+G18),2))</x:f>
        <x:v>1488.73</x:v>
      </x:c>
      <x:c r="E18" s="73">
        <x:f>IF(A18="","",ROUND(MIN(Dashboard!$B$11,MAX(0,C18-(D18-G18))),2))</x:f>
        <x:v>150</x:v>
      </x:c>
      <x:c r="F18" s="73">
        <x:f>IF(A18="","",ROUND(C18*Dashboard!$B$12/Dashboard!$B$9,2))</x:f>
        <x:v>60.35</x:v>
      </x:c>
      <x:c r="G18" s="73">
        <x:f>IF(A18="","",ROUND(C18*Moteur!$B$2,2))</x:f>
        <x:v>764.46</x:v>
      </x:c>
      <x:c r="H18" s="73">
        <x:f>IF(A18="","",ROUND(MIN(C18,D18-G18+E18),2))</x:f>
        <x:v>874.27</x:v>
      </x:c>
      <x:c r="I18" s="73">
        <x:f>IF(A18="","",ROUND(D18+E18+F18,2))</x:f>
        <x:v>1699.08</x:v>
      </x:c>
      <x:c r="J18" s="73">
        <x:f>IF(A18="","",ROUND(MAX(0,C18-H18),2))</x:f>
        <x:v>240533.36</x:v>
      </x:c>
      <x:c r="K18" s="74">
        <x:f>IF(A18="","",1-(J18/Dashboard!$B$6))</x:f>
        <x:v>0.037866560000000105</x:v>
      </x:c>
      <x:c r="L18" s="38" t="str">
        <x:f>IF(A18="","",IF(J18=0,"Soldé","En cours"))</x:f>
        <x:v>En cours</x:v>
      </x:c>
      <x:c r="M18" s="73">
        <x:f>IF(A18="","",ROUND(SUM($G$8:G18),2))</x:f>
        <x:v>8559.39</x:v>
      </x:c>
    </x:row>
    <x:row r="19" ht="20" customHeight="1">
      <x:c r="A19" s="75">
        <x:f>IF(OR($J18="",ROUND($J18,2)=0),"",$A18+1)</x:f>
        <x:v>12</x:v>
      </x:c>
      <x:c r="B19" s="76">
        <x:f>IF(A19="","",EDATE(Dashboard!$B$10,(A19-1)*(12/Dashboard!$B$9)))</x:f>
        <x:v>46447</x:v>
      </x:c>
      <x:c r="C19" s="77">
        <x:f>IF(A19="","",$J18)</x:f>
        <x:v>240533.36</x:v>
      </x:c>
      <x:c r="D19" s="77">
        <x:f>IF(A19="","",ROUND(MIN(Moteur!$B$3,C19+G19),2))</x:f>
        <x:v>1488.73</x:v>
      </x:c>
      <x:c r="E19" s="77">
        <x:f>IF(A19="","",ROUND(MIN(Dashboard!$B$11,MAX(0,C19-(D19-G19))),2))</x:f>
        <x:v>150</x:v>
      </x:c>
      <x:c r="F19" s="77">
        <x:f>IF(A19="","",ROUND(C19*Dashboard!$B$12/Dashboard!$B$9,2))</x:f>
        <x:v>60.13</x:v>
      </x:c>
      <x:c r="G19" s="77">
        <x:f>IF(A19="","",ROUND(C19*Moteur!$B$2,2))</x:f>
        <x:v>761.69</x:v>
      </x:c>
      <x:c r="H19" s="77">
        <x:f>IF(A19="","",ROUND(MIN(C19,D19-G19+E19),2))</x:f>
        <x:v>877.04</x:v>
      </x:c>
      <x:c r="I19" s="77">
        <x:f>IF(A19="","",ROUND(D19+E19+F19,2))</x:f>
        <x:v>1698.86</x:v>
      </x:c>
      <x:c r="J19" s="77">
        <x:f>IF(A19="","",ROUND(MAX(0,C19-H19),2))</x:f>
        <x:v>239656.32</x:v>
      </x:c>
      <x:c r="K19" s="78">
        <x:f>IF(A19="","",1-(J19/Dashboard!$B$6))</x:f>
        <x:v>0.041374719999999976</x:v>
      </x:c>
      <x:c r="L19" s="43" t="str">
        <x:f>IF(A19="","",IF(J19=0,"Soldé","En cours"))</x:f>
        <x:v>En cours</x:v>
      </x:c>
      <x:c r="M19" s="77">
        <x:f>IF(A19="","",ROUND(SUM($G$8:G19),2))</x:f>
        <x:v>9321.08</x:v>
      </x:c>
    </x:row>
    <x:row r="20" ht="20" customHeight="1">
      <x:c r="A20" s="71">
        <x:f>IF(OR($J19="",ROUND($J19,2)=0),"",$A19+1)</x:f>
        <x:v>13</x:v>
      </x:c>
      <x:c r="B20" s="72">
        <x:f>IF(A20="","",EDATE(Dashboard!$B$10,(A20-1)*(12/Dashboard!$B$9)))</x:f>
        <x:v>46478</x:v>
      </x:c>
      <x:c r="C20" s="73">
        <x:f>IF(A20="","",$J19)</x:f>
        <x:v>239656.32</x:v>
      </x:c>
      <x:c r="D20" s="73">
        <x:f>IF(A20="","",ROUND(MIN(Moteur!$B$3,C20+G20),2))</x:f>
        <x:v>1488.73</x:v>
      </x:c>
      <x:c r="E20" s="73">
        <x:f>IF(A20="","",ROUND(MIN(Dashboard!$B$11,MAX(0,C20-(D20-G20))),2))</x:f>
        <x:v>150</x:v>
      </x:c>
      <x:c r="F20" s="73">
        <x:f>IF(A20="","",ROUND(C20*Dashboard!$B$12/Dashboard!$B$9,2))</x:f>
        <x:v>59.91</x:v>
      </x:c>
      <x:c r="G20" s="73">
        <x:f>IF(A20="","",ROUND(C20*Moteur!$B$2,2))</x:f>
        <x:v>758.91</x:v>
      </x:c>
      <x:c r="H20" s="73">
        <x:f>IF(A20="","",ROUND(MIN(C20,D20-G20+E20),2))</x:f>
        <x:v>879.82</x:v>
      </x:c>
      <x:c r="I20" s="73">
        <x:f>IF(A20="","",ROUND(D20+E20+F20,2))</x:f>
        <x:v>1698.64</x:v>
      </x:c>
      <x:c r="J20" s="73">
        <x:f>IF(A20="","",ROUND(MAX(0,C20-H20),2))</x:f>
        <x:v>238776.5</x:v>
      </x:c>
      <x:c r="K20" s="74">
        <x:f>IF(A20="","",1-(J20/Dashboard!$B$6))</x:f>
        <x:v>0.04489399999999999</x:v>
      </x:c>
      <x:c r="L20" s="38" t="str">
        <x:f>IF(A20="","",IF(J20=0,"Soldé","En cours"))</x:f>
        <x:v>En cours</x:v>
      </x:c>
      <x:c r="M20" s="73">
        <x:f>IF(A20="","",ROUND(SUM($G$8:G20),2))</x:f>
        <x:v>10079.99</x:v>
      </x:c>
    </x:row>
    <x:row r="21" ht="20" customHeight="1">
      <x:c r="A21" s="75">
        <x:f>IF(OR($J20="",ROUND($J20,2)=0),"",$A20+1)</x:f>
        <x:v>14</x:v>
      </x:c>
      <x:c r="B21" s="76">
        <x:f>IF(A21="","",EDATE(Dashboard!$B$10,(A21-1)*(12/Dashboard!$B$9)))</x:f>
        <x:v>46508</x:v>
      </x:c>
      <x:c r="C21" s="77">
        <x:f>IF(A21="","",$J20)</x:f>
        <x:v>238776.5</x:v>
      </x:c>
      <x:c r="D21" s="77">
        <x:f>IF(A21="","",ROUND(MIN(Moteur!$B$3,C21+G21),2))</x:f>
        <x:v>1488.73</x:v>
      </x:c>
      <x:c r="E21" s="77">
        <x:f>IF(A21="","",ROUND(MIN(Dashboard!$B$11,MAX(0,C21-(D21-G21))),2))</x:f>
        <x:v>150</x:v>
      </x:c>
      <x:c r="F21" s="77">
        <x:f>IF(A21="","",ROUND(C21*Dashboard!$B$12/Dashboard!$B$9,2))</x:f>
        <x:v>59.69</x:v>
      </x:c>
      <x:c r="G21" s="77">
        <x:f>IF(A21="","",ROUND(C21*Moteur!$B$2,2))</x:f>
        <x:v>756.13</x:v>
      </x:c>
      <x:c r="H21" s="77">
        <x:f>IF(A21="","",ROUND(MIN(C21,D21-G21+E21),2))</x:f>
        <x:v>882.6</x:v>
      </x:c>
      <x:c r="I21" s="77">
        <x:f>IF(A21="","",ROUND(D21+E21+F21,2))</x:f>
        <x:v>1698.42</x:v>
      </x:c>
      <x:c r="J21" s="77">
        <x:f>IF(A21="","",ROUND(MAX(0,C21-H21),2))</x:f>
        <x:v>237893.9</x:v>
      </x:c>
      <x:c r="K21" s="78">
        <x:f>IF(A21="","",1-(J21/Dashboard!$B$6))</x:f>
        <x:v>0.048424400000000034</x:v>
      </x:c>
      <x:c r="L21" s="43" t="str">
        <x:f>IF(A21="","",IF(J21=0,"Soldé","En cours"))</x:f>
        <x:v>En cours</x:v>
      </x:c>
      <x:c r="M21" s="77">
        <x:f>IF(A21="","",ROUND(SUM($G$8:G21),2))</x:f>
        <x:v>10836.12</x:v>
      </x:c>
    </x:row>
    <x:row r="22" ht="20" customHeight="1">
      <x:c r="A22" s="71">
        <x:f>IF(OR($J21="",ROUND($J21,2)=0),"",$A21+1)</x:f>
        <x:v>15</x:v>
      </x:c>
      <x:c r="B22" s="72">
        <x:f>IF(A22="","",EDATE(Dashboard!$B$10,(A22-1)*(12/Dashboard!$B$9)))</x:f>
        <x:v>46539</x:v>
      </x:c>
      <x:c r="C22" s="73">
        <x:f>IF(A22="","",$J21)</x:f>
        <x:v>237893.9</x:v>
      </x:c>
      <x:c r="D22" s="73">
        <x:f>IF(A22="","",ROUND(MIN(Moteur!$B$3,C22+G22),2))</x:f>
        <x:v>1488.73</x:v>
      </x:c>
      <x:c r="E22" s="73">
        <x:f>IF(A22="","",ROUND(MIN(Dashboard!$B$11,MAX(0,C22-(D22-G22))),2))</x:f>
        <x:v>150</x:v>
      </x:c>
      <x:c r="F22" s="73">
        <x:f>IF(A22="","",ROUND(C22*Dashboard!$B$12/Dashboard!$B$9,2))</x:f>
        <x:v>59.47</x:v>
      </x:c>
      <x:c r="G22" s="73">
        <x:f>IF(A22="","",ROUND(C22*Moteur!$B$2,2))</x:f>
        <x:v>753.33</x:v>
      </x:c>
      <x:c r="H22" s="73">
        <x:f>IF(A22="","",ROUND(MIN(C22,D22-G22+E22),2))</x:f>
        <x:v>885.4</x:v>
      </x:c>
      <x:c r="I22" s="73">
        <x:f>IF(A22="","",ROUND(D22+E22+F22,2))</x:f>
        <x:v>1698.2</x:v>
      </x:c>
      <x:c r="J22" s="73">
        <x:f>IF(A22="","",ROUND(MAX(0,C22-H22),2))</x:f>
        <x:v>237008.5</x:v>
      </x:c>
      <x:c r="K22" s="74">
        <x:f>IF(A22="","",1-(J22/Dashboard!$B$6))</x:f>
        <x:v>0.05196599999999996</x:v>
      </x:c>
      <x:c r="L22" s="38" t="str">
        <x:f>IF(A22="","",IF(J22=0,"Soldé","En cours"))</x:f>
        <x:v>En cours</x:v>
      </x:c>
      <x:c r="M22" s="73">
        <x:f>IF(A22="","",ROUND(SUM($G$8:G22),2))</x:f>
        <x:v>11589.45</x:v>
      </x:c>
    </x:row>
    <x:row r="23" ht="20" customHeight="1">
      <x:c r="A23" s="75">
        <x:f>IF(OR($J22="",ROUND($J22,2)=0),"",$A22+1)</x:f>
        <x:v>16</x:v>
      </x:c>
      <x:c r="B23" s="76">
        <x:f>IF(A23="","",EDATE(Dashboard!$B$10,(A23-1)*(12/Dashboard!$B$9)))</x:f>
        <x:v>46569</x:v>
      </x:c>
      <x:c r="C23" s="77">
        <x:f>IF(A23="","",$J22)</x:f>
        <x:v>237008.5</x:v>
      </x:c>
      <x:c r="D23" s="77">
        <x:f>IF(A23="","",ROUND(MIN(Moteur!$B$3,C23+G23),2))</x:f>
        <x:v>1488.73</x:v>
      </x:c>
      <x:c r="E23" s="77">
        <x:f>IF(A23="","",ROUND(MIN(Dashboard!$B$11,MAX(0,C23-(D23-G23))),2))</x:f>
        <x:v>150</x:v>
      </x:c>
      <x:c r="F23" s="77">
        <x:f>IF(A23="","",ROUND(C23*Dashboard!$B$12/Dashboard!$B$9,2))</x:f>
        <x:v>59.25</x:v>
      </x:c>
      <x:c r="G23" s="77">
        <x:f>IF(A23="","",ROUND(C23*Moteur!$B$2,2))</x:f>
        <x:v>750.53</x:v>
      </x:c>
      <x:c r="H23" s="77">
        <x:f>IF(A23="","",ROUND(MIN(C23,D23-G23+E23),2))</x:f>
        <x:v>888.2</x:v>
      </x:c>
      <x:c r="I23" s="77">
        <x:f>IF(A23="","",ROUND(D23+E23+F23,2))</x:f>
        <x:v>1697.98</x:v>
      </x:c>
      <x:c r="J23" s="77">
        <x:f>IF(A23="","",ROUND(MAX(0,C23-H23),2))</x:f>
        <x:v>236120.3</x:v>
      </x:c>
      <x:c r="K23" s="78">
        <x:f>IF(A23="","",1-(J23/Dashboard!$B$6))</x:f>
        <x:v>0.05551880000000009</x:v>
      </x:c>
      <x:c r="L23" s="43" t="str">
        <x:f>IF(A23="","",IF(J23=0,"Soldé","En cours"))</x:f>
        <x:v>En cours</x:v>
      </x:c>
      <x:c r="M23" s="77">
        <x:f>IF(A23="","",ROUND(SUM($G$8:G23),2))</x:f>
        <x:v>12339.98</x:v>
      </x:c>
    </x:row>
    <x:row r="24" ht="20" customHeight="1">
      <x:c r="A24" s="71">
        <x:f>IF(OR($J23="",ROUND($J23,2)=0),"",$A23+1)</x:f>
        <x:v>17</x:v>
      </x:c>
      <x:c r="B24" s="72">
        <x:f>IF(A24="","",EDATE(Dashboard!$B$10,(A24-1)*(12/Dashboard!$B$9)))</x:f>
        <x:v>46600</x:v>
      </x:c>
      <x:c r="C24" s="73">
        <x:f>IF(A24="","",$J23)</x:f>
        <x:v>236120.3</x:v>
      </x:c>
      <x:c r="D24" s="73">
        <x:f>IF(A24="","",ROUND(MIN(Moteur!$B$3,C24+G24),2))</x:f>
        <x:v>1488.73</x:v>
      </x:c>
      <x:c r="E24" s="73">
        <x:f>IF(A24="","",ROUND(MIN(Dashboard!$B$11,MAX(0,C24-(D24-G24))),2))</x:f>
        <x:v>150</x:v>
      </x:c>
      <x:c r="F24" s="73">
        <x:f>IF(A24="","",ROUND(C24*Dashboard!$B$12/Dashboard!$B$9,2))</x:f>
        <x:v>59.03</x:v>
      </x:c>
      <x:c r="G24" s="73">
        <x:f>IF(A24="","",ROUND(C24*Moteur!$B$2,2))</x:f>
        <x:v>747.71</x:v>
      </x:c>
      <x:c r="H24" s="73">
        <x:f>IF(A24="","",ROUND(MIN(C24,D24-G24+E24),2))</x:f>
        <x:v>891.02</x:v>
      </x:c>
      <x:c r="I24" s="73">
        <x:f>IF(A24="","",ROUND(D24+E24+F24,2))</x:f>
        <x:v>1697.76</x:v>
      </x:c>
      <x:c r="J24" s="73">
        <x:f>IF(A24="","",ROUND(MAX(0,C24-H24),2))</x:f>
        <x:v>235229.28</x:v>
      </x:c>
      <x:c r="K24" s="74">
        <x:f>IF(A24="","",1-(J24/Dashboard!$B$6))</x:f>
        <x:v>0.05908288000000006</x:v>
      </x:c>
      <x:c r="L24" s="38" t="str">
        <x:f>IF(A24="","",IF(J24=0,"Soldé","En cours"))</x:f>
        <x:v>En cours</x:v>
      </x:c>
      <x:c r="M24" s="73">
        <x:f>IF(A24="","",ROUND(SUM($G$8:G24),2))</x:f>
        <x:v>13087.69</x:v>
      </x:c>
    </x:row>
    <x:row r="25" ht="20" customHeight="1">
      <x:c r="A25" s="75">
        <x:f>IF(OR($J24="",ROUND($J24,2)=0),"",$A24+1)</x:f>
        <x:v>18</x:v>
      </x:c>
      <x:c r="B25" s="76">
        <x:f>IF(A25="","",EDATE(Dashboard!$B$10,(A25-1)*(12/Dashboard!$B$9)))</x:f>
        <x:v>46631</x:v>
      </x:c>
      <x:c r="C25" s="77">
        <x:f>IF(A25="","",$J24)</x:f>
        <x:v>235229.28</x:v>
      </x:c>
      <x:c r="D25" s="77">
        <x:f>IF(A25="","",ROUND(MIN(Moteur!$B$3,C25+G25),2))</x:f>
        <x:v>1488.73</x:v>
      </x:c>
      <x:c r="E25" s="77">
        <x:f>IF(A25="","",ROUND(MIN(Dashboard!$B$11,MAX(0,C25-(D25-G25))),2))</x:f>
        <x:v>150</x:v>
      </x:c>
      <x:c r="F25" s="77">
        <x:f>IF(A25="","",ROUND(C25*Dashboard!$B$12/Dashboard!$B$9,2))</x:f>
        <x:v>58.81</x:v>
      </x:c>
      <x:c r="G25" s="77">
        <x:f>IF(A25="","",ROUND(C25*Moteur!$B$2,2))</x:f>
        <x:v>744.89</x:v>
      </x:c>
      <x:c r="H25" s="77">
        <x:f>IF(A25="","",ROUND(MIN(C25,D25-G25+E25),2))</x:f>
        <x:v>893.84</x:v>
      </x:c>
      <x:c r="I25" s="77">
        <x:f>IF(A25="","",ROUND(D25+E25+F25,2))</x:f>
        <x:v>1697.54</x:v>
      </x:c>
      <x:c r="J25" s="77">
        <x:f>IF(A25="","",ROUND(MAX(0,C25-H25),2))</x:f>
        <x:v>234335.44</x:v>
      </x:c>
      <x:c r="K25" s="78">
        <x:f>IF(A25="","",1-(J25/Dashboard!$B$6))</x:f>
        <x:v>0.06265823999999998</x:v>
      </x:c>
      <x:c r="L25" s="43" t="str">
        <x:f>IF(A25="","",IF(J25=0,"Soldé","En cours"))</x:f>
        <x:v>En cours</x:v>
      </x:c>
      <x:c r="M25" s="77">
        <x:f>IF(A25="","",ROUND(SUM($G$8:G25),2))</x:f>
        <x:v>13832.58</x:v>
      </x:c>
    </x:row>
    <x:row r="26" ht="20" customHeight="1">
      <x:c r="A26" s="71">
        <x:f>IF(OR($J25="",ROUND($J25,2)=0),"",$A25+1)</x:f>
        <x:v>19</x:v>
      </x:c>
      <x:c r="B26" s="72">
        <x:f>IF(A26="","",EDATE(Dashboard!$B$10,(A26-1)*(12/Dashboard!$B$9)))</x:f>
        <x:v>46661</x:v>
      </x:c>
      <x:c r="C26" s="73">
        <x:f>IF(A26="","",$J25)</x:f>
        <x:v>234335.44</x:v>
      </x:c>
      <x:c r="D26" s="73">
        <x:f>IF(A26="","",ROUND(MIN(Moteur!$B$3,C26+G26),2))</x:f>
        <x:v>1488.73</x:v>
      </x:c>
      <x:c r="E26" s="73">
        <x:f>IF(A26="","",ROUND(MIN(Dashboard!$B$11,MAX(0,C26-(D26-G26))),2))</x:f>
        <x:v>150</x:v>
      </x:c>
      <x:c r="F26" s="73">
        <x:f>IF(A26="","",ROUND(C26*Dashboard!$B$12/Dashboard!$B$9,2))</x:f>
        <x:v>58.58</x:v>
      </x:c>
      <x:c r="G26" s="73">
        <x:f>IF(A26="","",ROUND(C26*Moteur!$B$2,2))</x:f>
        <x:v>742.06</x:v>
      </x:c>
      <x:c r="H26" s="73">
        <x:f>IF(A26="","",ROUND(MIN(C26,D26-G26+E26),2))</x:f>
        <x:v>896.67</x:v>
      </x:c>
      <x:c r="I26" s="73">
        <x:f>IF(A26="","",ROUND(D26+E26+F26,2))</x:f>
        <x:v>1697.31</x:v>
      </x:c>
      <x:c r="J26" s="73">
        <x:f>IF(A26="","",ROUND(MAX(0,C26-H26),2))</x:f>
        <x:v>233438.77</x:v>
      </x:c>
      <x:c r="K26" s="74">
        <x:f>IF(A26="","",1-(J26/Dashboard!$B$6))</x:f>
        <x:v>0.06624492000000004</x:v>
      </x:c>
      <x:c r="L26" s="38" t="str">
        <x:f>IF(A26="","",IF(J26=0,"Soldé","En cours"))</x:f>
        <x:v>En cours</x:v>
      </x:c>
      <x:c r="M26" s="73">
        <x:f>IF(A26="","",ROUND(SUM($G$8:G26),2))</x:f>
        <x:v>14574.64</x:v>
      </x:c>
    </x:row>
    <x:row r="27" ht="20" customHeight="1">
      <x:c r="A27" s="75">
        <x:f>IF(OR($J26="",ROUND($J26,2)=0),"",$A26+1)</x:f>
        <x:v>20</x:v>
      </x:c>
      <x:c r="B27" s="76">
        <x:f>IF(A27="","",EDATE(Dashboard!$B$10,(A27-1)*(12/Dashboard!$B$9)))</x:f>
        <x:v>46692</x:v>
      </x:c>
      <x:c r="C27" s="77">
        <x:f>IF(A27="","",$J26)</x:f>
        <x:v>233438.77</x:v>
      </x:c>
      <x:c r="D27" s="77">
        <x:f>IF(A27="","",ROUND(MIN(Moteur!$B$3,C27+G27),2))</x:f>
        <x:v>1488.73</x:v>
      </x:c>
      <x:c r="E27" s="77">
        <x:f>IF(A27="","",ROUND(MIN(Dashboard!$B$11,MAX(0,C27-(D27-G27))),2))</x:f>
        <x:v>150</x:v>
      </x:c>
      <x:c r="F27" s="77">
        <x:f>IF(A27="","",ROUND(C27*Dashboard!$B$12/Dashboard!$B$9,2))</x:f>
        <x:v>58.36</x:v>
      </x:c>
      <x:c r="G27" s="77">
        <x:f>IF(A27="","",ROUND(C27*Moteur!$B$2,2))</x:f>
        <x:v>739.22</x:v>
      </x:c>
      <x:c r="H27" s="77">
        <x:f>IF(A27="","",ROUND(MIN(C27,D27-G27+E27),2))</x:f>
        <x:v>899.51</x:v>
      </x:c>
      <x:c r="I27" s="77">
        <x:f>IF(A27="","",ROUND(D27+E27+F27,2))</x:f>
        <x:v>1697.09</x:v>
      </x:c>
      <x:c r="J27" s="77">
        <x:f>IF(A27="","",ROUND(MAX(0,C27-H27),2))</x:f>
        <x:v>232539.26</x:v>
      </x:c>
      <x:c r="K27" s="78">
        <x:f>IF(A27="","",1-(J27/Dashboard!$B$6))</x:f>
        <x:v>0.06984296000000001</x:v>
      </x:c>
      <x:c r="L27" s="43" t="str">
        <x:f>IF(A27="","",IF(J27=0,"Soldé","En cours"))</x:f>
        <x:v>En cours</x:v>
      </x:c>
      <x:c r="M27" s="77">
        <x:f>IF(A27="","",ROUND(SUM($G$8:G27),2))</x:f>
        <x:v>15313.86</x:v>
      </x:c>
    </x:row>
    <x:row r="28" ht="20" customHeight="1">
      <x:c r="A28" s="71">
        <x:f>IF(OR($J27="",ROUND($J27,2)=0),"",$A27+1)</x:f>
        <x:v>21</x:v>
      </x:c>
      <x:c r="B28" s="72">
        <x:f>IF(A28="","",EDATE(Dashboard!$B$10,(A28-1)*(12/Dashboard!$B$9)))</x:f>
        <x:v>46722</x:v>
      </x:c>
      <x:c r="C28" s="73">
        <x:f>IF(A28="","",$J27)</x:f>
        <x:v>232539.26</x:v>
      </x:c>
      <x:c r="D28" s="73">
        <x:f>IF(A28="","",ROUND(MIN(Moteur!$B$3,C28+G28),2))</x:f>
        <x:v>1488.73</x:v>
      </x:c>
      <x:c r="E28" s="73">
        <x:f>IF(A28="","",ROUND(MIN(Dashboard!$B$11,MAX(0,C28-(D28-G28))),2))</x:f>
        <x:v>150</x:v>
      </x:c>
      <x:c r="F28" s="73">
        <x:f>IF(A28="","",ROUND(C28*Dashboard!$B$12/Dashboard!$B$9,2))</x:f>
        <x:v>58.13</x:v>
      </x:c>
      <x:c r="G28" s="73">
        <x:f>IF(A28="","",ROUND(C28*Moteur!$B$2,2))</x:f>
        <x:v>736.37</x:v>
      </x:c>
      <x:c r="H28" s="73">
        <x:f>IF(A28="","",ROUND(MIN(C28,D28-G28+E28),2))</x:f>
        <x:v>902.36</x:v>
      </x:c>
      <x:c r="I28" s="73">
        <x:f>IF(A28="","",ROUND(D28+E28+F28,2))</x:f>
        <x:v>1696.86</x:v>
      </x:c>
      <x:c r="J28" s="73">
        <x:f>IF(A28="","",ROUND(MAX(0,C28-H28),2))</x:f>
        <x:v>231636.9</x:v>
      </x:c>
      <x:c r="K28" s="74">
        <x:f>IF(A28="","",1-(J28/Dashboard!$B$6))</x:f>
        <x:v>0.07345239999999997</x:v>
      </x:c>
      <x:c r="L28" s="38" t="str">
        <x:f>IF(A28="","",IF(J28=0,"Soldé","En cours"))</x:f>
        <x:v>En cours</x:v>
      </x:c>
      <x:c r="M28" s="73">
        <x:f>IF(A28="","",ROUND(SUM($G$8:G28),2))</x:f>
        <x:v>16050.23</x:v>
      </x:c>
    </x:row>
    <x:row r="29" ht="20" customHeight="1">
      <x:c r="A29" s="75">
        <x:f>IF(OR($J28="",ROUND($J28,2)=0),"",$A28+1)</x:f>
        <x:v>22</x:v>
      </x:c>
      <x:c r="B29" s="76">
        <x:f>IF(A29="","",EDATE(Dashboard!$B$10,(A29-1)*(12/Dashboard!$B$9)))</x:f>
        <x:v>46753</x:v>
      </x:c>
      <x:c r="C29" s="77">
        <x:f>IF(A29="","",$J28)</x:f>
        <x:v>231636.9</x:v>
      </x:c>
      <x:c r="D29" s="77">
        <x:f>IF(A29="","",ROUND(MIN(Moteur!$B$3,C29+G29),2))</x:f>
        <x:v>1488.73</x:v>
      </x:c>
      <x:c r="E29" s="77">
        <x:f>IF(A29="","",ROUND(MIN(Dashboard!$B$11,MAX(0,C29-(D29-G29))),2))</x:f>
        <x:v>150</x:v>
      </x:c>
      <x:c r="F29" s="77">
        <x:f>IF(A29="","",ROUND(C29*Dashboard!$B$12/Dashboard!$B$9,2))</x:f>
        <x:v>57.91</x:v>
      </x:c>
      <x:c r="G29" s="77">
        <x:f>IF(A29="","",ROUND(C29*Moteur!$B$2,2))</x:f>
        <x:v>733.52</x:v>
      </x:c>
      <x:c r="H29" s="77">
        <x:f>IF(A29="","",ROUND(MIN(C29,D29-G29+E29),2))</x:f>
        <x:v>905.21</x:v>
      </x:c>
      <x:c r="I29" s="77">
        <x:f>IF(A29="","",ROUND(D29+E29+F29,2))</x:f>
        <x:v>1696.64</x:v>
      </x:c>
      <x:c r="J29" s="77">
        <x:f>IF(A29="","",ROUND(MAX(0,C29-H29),2))</x:f>
        <x:v>230731.69</x:v>
      </x:c>
      <x:c r="K29" s="78">
        <x:f>IF(A29="","",1-(J29/Dashboard!$B$6))</x:f>
        <x:v>0.07707324000000004</x:v>
      </x:c>
      <x:c r="L29" s="43" t="str">
        <x:f>IF(A29="","",IF(J29=0,"Soldé","En cours"))</x:f>
        <x:v>En cours</x:v>
      </x:c>
      <x:c r="M29" s="77">
        <x:f>IF(A29="","",ROUND(SUM($G$8:G29),2))</x:f>
        <x:v>16783.75</x:v>
      </x:c>
    </x:row>
    <x:row r="30" ht="20" customHeight="1">
      <x:c r="A30" s="71">
        <x:f>IF(OR($J29="",ROUND($J29,2)=0),"",$A29+1)</x:f>
        <x:v>23</x:v>
      </x:c>
      <x:c r="B30" s="72">
        <x:f>IF(A30="","",EDATE(Dashboard!$B$10,(A30-1)*(12/Dashboard!$B$9)))</x:f>
        <x:v>46784</x:v>
      </x:c>
      <x:c r="C30" s="73">
        <x:f>IF(A30="","",$J29)</x:f>
        <x:v>230731.69</x:v>
      </x:c>
      <x:c r="D30" s="73">
        <x:f>IF(A30="","",ROUND(MIN(Moteur!$B$3,C30+G30),2))</x:f>
        <x:v>1488.73</x:v>
      </x:c>
      <x:c r="E30" s="73">
        <x:f>IF(A30="","",ROUND(MIN(Dashboard!$B$11,MAX(0,C30-(D30-G30))),2))</x:f>
        <x:v>150</x:v>
      </x:c>
      <x:c r="F30" s="73">
        <x:f>IF(A30="","",ROUND(C30*Dashboard!$B$12/Dashboard!$B$9,2))</x:f>
        <x:v>57.68</x:v>
      </x:c>
      <x:c r="G30" s="73">
        <x:f>IF(A30="","",ROUND(C30*Moteur!$B$2,2))</x:f>
        <x:v>730.65</x:v>
      </x:c>
      <x:c r="H30" s="73">
        <x:f>IF(A30="","",ROUND(MIN(C30,D30-G30+E30),2))</x:f>
        <x:v>908.08</x:v>
      </x:c>
      <x:c r="I30" s="73">
        <x:f>IF(A30="","",ROUND(D30+E30+F30,2))</x:f>
        <x:v>1696.41</x:v>
      </x:c>
      <x:c r="J30" s="73">
        <x:f>IF(A30="","",ROUND(MAX(0,C30-H30),2))</x:f>
        <x:v>229823.61</x:v>
      </x:c>
      <x:c r="K30" s="74">
        <x:f>IF(A30="","",1-(J30/Dashboard!$B$6))</x:f>
        <x:v>0.08070556000000007</x:v>
      </x:c>
      <x:c r="L30" s="38" t="str">
        <x:f>IF(A30="","",IF(J30=0,"Soldé","En cours"))</x:f>
        <x:v>En cours</x:v>
      </x:c>
      <x:c r="M30" s="73">
        <x:f>IF(A30="","",ROUND(SUM($G$8:G30),2))</x:f>
        <x:v>17514.4</x:v>
      </x:c>
    </x:row>
    <x:row r="31" ht="20" customHeight="1">
      <x:c r="A31" s="75">
        <x:f>IF(OR($J30="",ROUND($J30,2)=0),"",$A30+1)</x:f>
        <x:v>24</x:v>
      </x:c>
      <x:c r="B31" s="76">
        <x:f>IF(A31="","",EDATE(Dashboard!$B$10,(A31-1)*(12/Dashboard!$B$9)))</x:f>
        <x:v>46813</x:v>
      </x:c>
      <x:c r="C31" s="77">
        <x:f>IF(A31="","",$J30)</x:f>
        <x:v>229823.61</x:v>
      </x:c>
      <x:c r="D31" s="77">
        <x:f>IF(A31="","",ROUND(MIN(Moteur!$B$3,C31+G31),2))</x:f>
        <x:v>1488.73</x:v>
      </x:c>
      <x:c r="E31" s="77">
        <x:f>IF(A31="","",ROUND(MIN(Dashboard!$B$11,MAX(0,C31-(D31-G31))),2))</x:f>
        <x:v>150</x:v>
      </x:c>
      <x:c r="F31" s="77">
        <x:f>IF(A31="","",ROUND(C31*Dashboard!$B$12/Dashboard!$B$9,2))</x:f>
        <x:v>57.46</x:v>
      </x:c>
      <x:c r="G31" s="77">
        <x:f>IF(A31="","",ROUND(C31*Moteur!$B$2,2))</x:f>
        <x:v>727.77</x:v>
      </x:c>
      <x:c r="H31" s="77">
        <x:f>IF(A31="","",ROUND(MIN(C31,D31-G31+E31),2))</x:f>
        <x:v>910.96</x:v>
      </x:c>
      <x:c r="I31" s="77">
        <x:f>IF(A31="","",ROUND(D31+E31+F31,2))</x:f>
        <x:v>1696.19</x:v>
      </x:c>
      <x:c r="J31" s="77">
        <x:f>IF(A31="","",ROUND(MAX(0,C31-H31),2))</x:f>
        <x:v>228912.65</x:v>
      </x:c>
      <x:c r="K31" s="78">
        <x:f>IF(A31="","",1-(J31/Dashboard!$B$6))</x:f>
        <x:v>0.08434940000000002</x:v>
      </x:c>
      <x:c r="L31" s="43" t="str">
        <x:f>IF(A31="","",IF(J31=0,"Soldé","En cours"))</x:f>
        <x:v>En cours</x:v>
      </x:c>
      <x:c r="M31" s="77">
        <x:f>IF(A31="","",ROUND(SUM($G$8:G31),2))</x:f>
        <x:v>18242.17</x:v>
      </x:c>
    </x:row>
    <x:row r="32" ht="20" customHeight="1">
      <x:c r="A32" s="71">
        <x:f>IF(OR($J31="",ROUND($J31,2)=0),"",$A31+1)</x:f>
        <x:v>25</x:v>
      </x:c>
      <x:c r="B32" s="72">
        <x:f>IF(A32="","",EDATE(Dashboard!$B$10,(A32-1)*(12/Dashboard!$B$9)))</x:f>
        <x:v>46844</x:v>
      </x:c>
      <x:c r="C32" s="73">
        <x:f>IF(A32="","",$J31)</x:f>
        <x:v>228912.65</x:v>
      </x:c>
      <x:c r="D32" s="73">
        <x:f>IF(A32="","",ROUND(MIN(Moteur!$B$3,C32+G32),2))</x:f>
        <x:v>1488.73</x:v>
      </x:c>
      <x:c r="E32" s="73">
        <x:f>IF(A32="","",ROUND(MIN(Dashboard!$B$11,MAX(0,C32-(D32-G32))),2))</x:f>
        <x:v>150</x:v>
      </x:c>
      <x:c r="F32" s="73">
        <x:f>IF(A32="","",ROUND(C32*Dashboard!$B$12/Dashboard!$B$9,2))</x:f>
        <x:v>57.23</x:v>
      </x:c>
      <x:c r="G32" s="73">
        <x:f>IF(A32="","",ROUND(C32*Moteur!$B$2,2))</x:f>
        <x:v>724.89</x:v>
      </x:c>
      <x:c r="H32" s="73">
        <x:f>IF(A32="","",ROUND(MIN(C32,D32-G32+E32),2))</x:f>
        <x:v>913.84</x:v>
      </x:c>
      <x:c r="I32" s="73">
        <x:f>IF(A32="","",ROUND(D32+E32+F32,2))</x:f>
        <x:v>1695.96</x:v>
      </x:c>
      <x:c r="J32" s="73">
        <x:f>IF(A32="","",ROUND(MAX(0,C32-H32),2))</x:f>
        <x:v>227998.81</x:v>
      </x:c>
      <x:c r="K32" s="74">
        <x:f>IF(A32="","",1-(J32/Dashboard!$B$6))</x:f>
        <x:v>0.08800476000000002</x:v>
      </x:c>
      <x:c r="L32" s="38" t="str">
        <x:f>IF(A32="","",IF(J32=0,"Soldé","En cours"))</x:f>
        <x:v>En cours</x:v>
      </x:c>
      <x:c r="M32" s="73">
        <x:f>IF(A32="","",ROUND(SUM($G$8:G32),2))</x:f>
        <x:v>18967.06</x:v>
      </x:c>
    </x:row>
    <x:row r="33" ht="20" customHeight="1">
      <x:c r="A33" s="75">
        <x:f>IF(OR($J32="",ROUND($J32,2)=0),"",$A32+1)</x:f>
        <x:v>26</x:v>
      </x:c>
      <x:c r="B33" s="76">
        <x:f>IF(A33="","",EDATE(Dashboard!$B$10,(A33-1)*(12/Dashboard!$B$9)))</x:f>
        <x:v>46874</x:v>
      </x:c>
      <x:c r="C33" s="77">
        <x:f>IF(A33="","",$J32)</x:f>
        <x:v>227998.81</x:v>
      </x:c>
      <x:c r="D33" s="77">
        <x:f>IF(A33="","",ROUND(MIN(Moteur!$B$3,C33+G33),2))</x:f>
        <x:v>1488.73</x:v>
      </x:c>
      <x:c r="E33" s="77">
        <x:f>IF(A33="","",ROUND(MIN(Dashboard!$B$11,MAX(0,C33-(D33-G33))),2))</x:f>
        <x:v>150</x:v>
      </x:c>
      <x:c r="F33" s="77">
        <x:f>IF(A33="","",ROUND(C33*Dashboard!$B$12/Dashboard!$B$9,2))</x:f>
        <x:v>57</x:v>
      </x:c>
      <x:c r="G33" s="77">
        <x:f>IF(A33="","",ROUND(C33*Moteur!$B$2,2))</x:f>
        <x:v>722</x:v>
      </x:c>
      <x:c r="H33" s="77">
        <x:f>IF(A33="","",ROUND(MIN(C33,D33-G33+E33),2))</x:f>
        <x:v>916.73</x:v>
      </x:c>
      <x:c r="I33" s="77">
        <x:f>IF(A33="","",ROUND(D33+E33+F33,2))</x:f>
        <x:v>1695.73</x:v>
      </x:c>
      <x:c r="J33" s="77">
        <x:f>IF(A33="","",ROUND(MAX(0,C33-H33),2))</x:f>
        <x:v>227082.08</x:v>
      </x:c>
      <x:c r="K33" s="78">
        <x:f>IF(A33="","",1-(J33/Dashboard!$B$6))</x:f>
        <x:v>0.09167168000000003</x:v>
      </x:c>
      <x:c r="L33" s="43" t="str">
        <x:f>IF(A33="","",IF(J33=0,"Soldé","En cours"))</x:f>
        <x:v>En cours</x:v>
      </x:c>
      <x:c r="M33" s="77">
        <x:f>IF(A33="","",ROUND(SUM($G$8:G33),2))</x:f>
        <x:v>19689.06</x:v>
      </x:c>
    </x:row>
    <x:row r="34" ht="20" customHeight="1">
      <x:c r="A34" s="71">
        <x:f>IF(OR($J33="",ROUND($J33,2)=0),"",$A33+1)</x:f>
        <x:v>27</x:v>
      </x:c>
      <x:c r="B34" s="72">
        <x:f>IF(A34="","",EDATE(Dashboard!$B$10,(A34-1)*(12/Dashboard!$B$9)))</x:f>
        <x:v>46905</x:v>
      </x:c>
      <x:c r="C34" s="73">
        <x:f>IF(A34="","",$J33)</x:f>
        <x:v>227082.08</x:v>
      </x:c>
      <x:c r="D34" s="73">
        <x:f>IF(A34="","",ROUND(MIN(Moteur!$B$3,C34+G34),2))</x:f>
        <x:v>1488.73</x:v>
      </x:c>
      <x:c r="E34" s="73">
        <x:f>IF(A34="","",ROUND(MIN(Dashboard!$B$11,MAX(0,C34-(D34-G34))),2))</x:f>
        <x:v>150</x:v>
      </x:c>
      <x:c r="F34" s="73">
        <x:f>IF(A34="","",ROUND(C34*Dashboard!$B$12/Dashboard!$B$9,2))</x:f>
        <x:v>56.77</x:v>
      </x:c>
      <x:c r="G34" s="73">
        <x:f>IF(A34="","",ROUND(C34*Moteur!$B$2,2))</x:f>
        <x:v>719.09</x:v>
      </x:c>
      <x:c r="H34" s="73">
        <x:f>IF(A34="","",ROUND(MIN(C34,D34-G34+E34),2))</x:f>
        <x:v>919.64</x:v>
      </x:c>
      <x:c r="I34" s="73">
        <x:f>IF(A34="","",ROUND(D34+E34+F34,2))</x:f>
        <x:v>1695.5</x:v>
      </x:c>
      <x:c r="J34" s="73">
        <x:f>IF(A34="","",ROUND(MAX(0,C34-H34),2))</x:f>
        <x:v>226162.44</x:v>
      </x:c>
      <x:c r="K34" s="74">
        <x:f>IF(A34="","",1-(J34/Dashboard!$B$6))</x:f>
        <x:v>0.09535024000000003</x:v>
      </x:c>
      <x:c r="L34" s="38" t="str">
        <x:f>IF(A34="","",IF(J34=0,"Soldé","En cours"))</x:f>
        <x:v>En cours</x:v>
      </x:c>
      <x:c r="M34" s="73">
        <x:f>IF(A34="","",ROUND(SUM($G$8:G34),2))</x:f>
        <x:v>20408.15</x:v>
      </x:c>
    </x:row>
    <x:row r="35" ht="20" customHeight="1">
      <x:c r="A35" s="75">
        <x:f>IF(OR($J34="",ROUND($J34,2)=0),"",$A34+1)</x:f>
        <x:v>28</x:v>
      </x:c>
      <x:c r="B35" s="76">
        <x:f>IF(A35="","",EDATE(Dashboard!$B$10,(A35-1)*(12/Dashboard!$B$9)))</x:f>
        <x:v>46935</x:v>
      </x:c>
      <x:c r="C35" s="77">
        <x:f>IF(A35="","",$J34)</x:f>
        <x:v>226162.44</x:v>
      </x:c>
      <x:c r="D35" s="77">
        <x:f>IF(A35="","",ROUND(MIN(Moteur!$B$3,C35+G35),2))</x:f>
        <x:v>1488.73</x:v>
      </x:c>
      <x:c r="E35" s="77">
        <x:f>IF(A35="","",ROUND(MIN(Dashboard!$B$11,MAX(0,C35-(D35-G35))),2))</x:f>
        <x:v>150</x:v>
      </x:c>
      <x:c r="F35" s="77">
        <x:f>IF(A35="","",ROUND(C35*Dashboard!$B$12/Dashboard!$B$9,2))</x:f>
        <x:v>56.54</x:v>
      </x:c>
      <x:c r="G35" s="77">
        <x:f>IF(A35="","",ROUND(C35*Moteur!$B$2,2))</x:f>
        <x:v>716.18</x:v>
      </x:c>
      <x:c r="H35" s="77">
        <x:f>IF(A35="","",ROUND(MIN(C35,D35-G35+E35),2))</x:f>
        <x:v>922.55</x:v>
      </x:c>
      <x:c r="I35" s="77">
        <x:f>IF(A35="","",ROUND(D35+E35+F35,2))</x:f>
        <x:v>1695.27</x:v>
      </x:c>
      <x:c r="J35" s="77">
        <x:f>IF(A35="","",ROUND(MAX(0,C35-H35),2))</x:f>
        <x:v>225239.89</x:v>
      </x:c>
      <x:c r="K35" s="78">
        <x:f>IF(A35="","",1-(J35/Dashboard!$B$6))</x:f>
        <x:v>0.0990404399999999</x:v>
      </x:c>
      <x:c r="L35" s="43" t="str">
        <x:f>IF(A35="","",IF(J35=0,"Soldé","En cours"))</x:f>
        <x:v>En cours</x:v>
      </x:c>
      <x:c r="M35" s="77">
        <x:f>IF(A35="","",ROUND(SUM($G$8:G35),2))</x:f>
        <x:v>21124.33</x:v>
      </x:c>
    </x:row>
    <x:row r="36" ht="20" customHeight="1">
      <x:c r="A36" s="71">
        <x:f>IF(OR($J35="",ROUND($J35,2)=0),"",$A35+1)</x:f>
        <x:v>29</x:v>
      </x:c>
      <x:c r="B36" s="72">
        <x:f>IF(A36="","",EDATE(Dashboard!$B$10,(A36-1)*(12/Dashboard!$B$9)))</x:f>
        <x:v>46966</x:v>
      </x:c>
      <x:c r="C36" s="73">
        <x:f>IF(A36="","",$J35)</x:f>
        <x:v>225239.89</x:v>
      </x:c>
      <x:c r="D36" s="73">
        <x:f>IF(A36="","",ROUND(MIN(Moteur!$B$3,C36+G36),2))</x:f>
        <x:v>1488.73</x:v>
      </x:c>
      <x:c r="E36" s="73">
        <x:f>IF(A36="","",ROUND(MIN(Dashboard!$B$11,MAX(0,C36-(D36-G36))),2))</x:f>
        <x:v>150</x:v>
      </x:c>
      <x:c r="F36" s="73">
        <x:f>IF(A36="","",ROUND(C36*Dashboard!$B$12/Dashboard!$B$9,2))</x:f>
        <x:v>56.31</x:v>
      </x:c>
      <x:c r="G36" s="73">
        <x:f>IF(A36="","",ROUND(C36*Moteur!$B$2,2))</x:f>
        <x:v>713.26</x:v>
      </x:c>
      <x:c r="H36" s="73">
        <x:f>IF(A36="","",ROUND(MIN(C36,D36-G36+E36),2))</x:f>
        <x:v>925.47</x:v>
      </x:c>
      <x:c r="I36" s="73">
        <x:f>IF(A36="","",ROUND(D36+E36+F36,2))</x:f>
        <x:v>1695.04</x:v>
      </x:c>
      <x:c r="J36" s="73">
        <x:f>IF(A36="","",ROUND(MAX(0,C36-H36),2))</x:f>
        <x:v>224314.42</x:v>
      </x:c>
      <x:c r="K36" s="74">
        <x:f>IF(A36="","",1-(J36/Dashboard!$B$6))</x:f>
        <x:v>0.10274231999999994</x:v>
      </x:c>
      <x:c r="L36" s="38" t="str">
        <x:f>IF(A36="","",IF(J36=0,"Soldé","En cours"))</x:f>
        <x:v>En cours</x:v>
      </x:c>
      <x:c r="M36" s="73">
        <x:f>IF(A36="","",ROUND(SUM($G$8:G36),2))</x:f>
        <x:v>21837.59</x:v>
      </x:c>
    </x:row>
    <x:row r="37" ht="20" customHeight="1">
      <x:c r="A37" s="75">
        <x:f>IF(OR($J36="",ROUND($J36,2)=0),"",$A36+1)</x:f>
        <x:v>30</x:v>
      </x:c>
      <x:c r="B37" s="76">
        <x:f>IF(A37="","",EDATE(Dashboard!$B$10,(A37-1)*(12/Dashboard!$B$9)))</x:f>
        <x:v>46997</x:v>
      </x:c>
      <x:c r="C37" s="77">
        <x:f>IF(A37="","",$J36)</x:f>
        <x:v>224314.42</x:v>
      </x:c>
      <x:c r="D37" s="77">
        <x:f>IF(A37="","",ROUND(MIN(Moteur!$B$3,C37+G37),2))</x:f>
        <x:v>1488.73</x:v>
      </x:c>
      <x:c r="E37" s="77">
        <x:f>IF(A37="","",ROUND(MIN(Dashboard!$B$11,MAX(0,C37-(D37-G37))),2))</x:f>
        <x:v>150</x:v>
      </x:c>
      <x:c r="F37" s="77">
        <x:f>IF(A37="","",ROUND(C37*Dashboard!$B$12/Dashboard!$B$9,2))</x:f>
        <x:v>56.08</x:v>
      </x:c>
      <x:c r="G37" s="77">
        <x:f>IF(A37="","",ROUND(C37*Moteur!$B$2,2))</x:f>
        <x:v>710.33</x:v>
      </x:c>
      <x:c r="H37" s="77">
        <x:f>IF(A37="","",ROUND(MIN(C37,D37-G37+E37),2))</x:f>
        <x:v>928.4</x:v>
      </x:c>
      <x:c r="I37" s="77">
        <x:f>IF(A37="","",ROUND(D37+E37+F37,2))</x:f>
        <x:v>1694.81</x:v>
      </x:c>
      <x:c r="J37" s="77">
        <x:f>IF(A37="","",ROUND(MAX(0,C37-H37),2))</x:f>
        <x:v>223386.02</x:v>
      </x:c>
      <x:c r="K37" s="78">
        <x:f>IF(A37="","",1-(J37/Dashboard!$B$6))</x:f>
        <x:v>0.10645592000000004</x:v>
      </x:c>
      <x:c r="L37" s="43" t="str">
        <x:f>IF(A37="","",IF(J37=0,"Soldé","En cours"))</x:f>
        <x:v>En cours</x:v>
      </x:c>
      <x:c r="M37" s="77">
        <x:f>IF(A37="","",ROUND(SUM($G$8:G37),2))</x:f>
        <x:v>22547.92</x:v>
      </x:c>
    </x:row>
    <x:row r="38" ht="20" customHeight="1">
      <x:c r="A38" s="71">
        <x:f>IF(OR($J37="",ROUND($J37,2)=0),"",$A37+1)</x:f>
        <x:v>31</x:v>
      </x:c>
      <x:c r="B38" s="72">
        <x:f>IF(A38="","",EDATE(Dashboard!$B$10,(A38-1)*(12/Dashboard!$B$9)))</x:f>
        <x:v>47027</x:v>
      </x:c>
      <x:c r="C38" s="73">
        <x:f>IF(A38="","",$J37)</x:f>
        <x:v>223386.02</x:v>
      </x:c>
      <x:c r="D38" s="73">
        <x:f>IF(A38="","",ROUND(MIN(Moteur!$B$3,C38+G38),2))</x:f>
        <x:v>1488.73</x:v>
      </x:c>
      <x:c r="E38" s="73">
        <x:f>IF(A38="","",ROUND(MIN(Dashboard!$B$11,MAX(0,C38-(D38-G38))),2))</x:f>
        <x:v>150</x:v>
      </x:c>
      <x:c r="F38" s="73">
        <x:f>IF(A38="","",ROUND(C38*Dashboard!$B$12/Dashboard!$B$9,2))</x:f>
        <x:v>55.85</x:v>
      </x:c>
      <x:c r="G38" s="73">
        <x:f>IF(A38="","",ROUND(C38*Moteur!$B$2,2))</x:f>
        <x:v>707.39</x:v>
      </x:c>
      <x:c r="H38" s="73">
        <x:f>IF(A38="","",ROUND(MIN(C38,D38-G38+E38),2))</x:f>
        <x:v>931.34</x:v>
      </x:c>
      <x:c r="I38" s="73">
        <x:f>IF(A38="","",ROUND(D38+E38+F38,2))</x:f>
        <x:v>1694.58</x:v>
      </x:c>
      <x:c r="J38" s="73">
        <x:f>IF(A38="","",ROUND(MAX(0,C38-H38),2))</x:f>
        <x:v>222454.68</x:v>
      </x:c>
      <x:c r="K38" s="74">
        <x:f>IF(A38="","",1-(J38/Dashboard!$B$6))</x:f>
        <x:v>0.11018128000000005</x:v>
      </x:c>
      <x:c r="L38" s="38" t="str">
        <x:f>IF(A38="","",IF(J38=0,"Soldé","En cours"))</x:f>
        <x:v>En cours</x:v>
      </x:c>
      <x:c r="M38" s="73">
        <x:f>IF(A38="","",ROUND(SUM($G$8:G38),2))</x:f>
        <x:v>23255.31</x:v>
      </x:c>
    </x:row>
    <x:row r="39" ht="20" customHeight="1">
      <x:c r="A39" s="75">
        <x:f>IF(OR($J38="",ROUND($J38,2)=0),"",$A38+1)</x:f>
        <x:v>32</x:v>
      </x:c>
      <x:c r="B39" s="76">
        <x:f>IF(A39="","",EDATE(Dashboard!$B$10,(A39-1)*(12/Dashboard!$B$9)))</x:f>
        <x:v>47058</x:v>
      </x:c>
      <x:c r="C39" s="77">
        <x:f>IF(A39="","",$J38)</x:f>
        <x:v>222454.68</x:v>
      </x:c>
      <x:c r="D39" s="77">
        <x:f>IF(A39="","",ROUND(MIN(Moteur!$B$3,C39+G39),2))</x:f>
        <x:v>1488.73</x:v>
      </x:c>
      <x:c r="E39" s="77">
        <x:f>IF(A39="","",ROUND(MIN(Dashboard!$B$11,MAX(0,C39-(D39-G39))),2))</x:f>
        <x:v>150</x:v>
      </x:c>
      <x:c r="F39" s="77">
        <x:f>IF(A39="","",ROUND(C39*Dashboard!$B$12/Dashboard!$B$9,2))</x:f>
        <x:v>55.61</x:v>
      </x:c>
      <x:c r="G39" s="77">
        <x:f>IF(A39="","",ROUND(C39*Moteur!$B$2,2))</x:f>
        <x:v>704.44</x:v>
      </x:c>
      <x:c r="H39" s="77">
        <x:f>IF(A39="","",ROUND(MIN(C39,D39-G39+E39),2))</x:f>
        <x:v>934.29</x:v>
      </x:c>
      <x:c r="I39" s="77">
        <x:f>IF(A39="","",ROUND(D39+E39+F39,2))</x:f>
        <x:v>1694.34</x:v>
      </x:c>
      <x:c r="J39" s="77">
        <x:f>IF(A39="","",ROUND(MAX(0,C39-H39),2))</x:f>
        <x:v>221520.39</x:v>
      </x:c>
      <x:c r="K39" s="78">
        <x:f>IF(A39="","",1-(J39/Dashboard!$B$6))</x:f>
        <x:v>0.11391843999999995</x:v>
      </x:c>
      <x:c r="L39" s="43" t="str">
        <x:f>IF(A39="","",IF(J39=0,"Soldé","En cours"))</x:f>
        <x:v>En cours</x:v>
      </x:c>
      <x:c r="M39" s="77">
        <x:f>IF(A39="","",ROUND(SUM($G$8:G39),2))</x:f>
        <x:v>23959.75</x:v>
      </x:c>
    </x:row>
    <x:row r="40" ht="20" customHeight="1">
      <x:c r="A40" s="71">
        <x:f>IF(OR($J39="",ROUND($J39,2)=0),"",$A39+1)</x:f>
        <x:v>33</x:v>
      </x:c>
      <x:c r="B40" s="72">
        <x:f>IF(A40="","",EDATE(Dashboard!$B$10,(A40-1)*(12/Dashboard!$B$9)))</x:f>
        <x:v>47088</x:v>
      </x:c>
      <x:c r="C40" s="73">
        <x:f>IF(A40="","",$J39)</x:f>
        <x:v>221520.39</x:v>
      </x:c>
      <x:c r="D40" s="73">
        <x:f>IF(A40="","",ROUND(MIN(Moteur!$B$3,C40+G40),2))</x:f>
        <x:v>1488.73</x:v>
      </x:c>
      <x:c r="E40" s="73">
        <x:f>IF(A40="","",ROUND(MIN(Dashboard!$B$11,MAX(0,C40-(D40-G40))),2))</x:f>
        <x:v>150</x:v>
      </x:c>
      <x:c r="F40" s="73">
        <x:f>IF(A40="","",ROUND(C40*Dashboard!$B$12/Dashboard!$B$9,2))</x:f>
        <x:v>55.38</x:v>
      </x:c>
      <x:c r="G40" s="73">
        <x:f>IF(A40="","",ROUND(C40*Moteur!$B$2,2))</x:f>
        <x:v>701.48</x:v>
      </x:c>
      <x:c r="H40" s="73">
        <x:f>IF(A40="","",ROUND(MIN(C40,D40-G40+E40),2))</x:f>
        <x:v>937.25</x:v>
      </x:c>
      <x:c r="I40" s="73">
        <x:f>IF(A40="","",ROUND(D40+E40+F40,2))</x:f>
        <x:v>1694.11</x:v>
      </x:c>
      <x:c r="J40" s="73">
        <x:f>IF(A40="","",ROUND(MAX(0,C40-H40),2))</x:f>
        <x:v>220583.14</x:v>
      </x:c>
      <x:c r="K40" s="74">
        <x:f>IF(A40="","",1-(J40/Dashboard!$B$6))</x:f>
        <x:v>0.11766743999999996</x:v>
      </x:c>
      <x:c r="L40" s="38" t="str">
        <x:f>IF(A40="","",IF(J40=0,"Soldé","En cours"))</x:f>
        <x:v>En cours</x:v>
      </x:c>
      <x:c r="M40" s="73">
        <x:f>IF(A40="","",ROUND(SUM($G$8:G40),2))</x:f>
        <x:v>24661.23</x:v>
      </x:c>
    </x:row>
    <x:row r="41" ht="20" customHeight="1">
      <x:c r="A41" s="75">
        <x:f>IF(OR($J40="",ROUND($J40,2)=0),"",$A40+1)</x:f>
        <x:v>34</x:v>
      </x:c>
      <x:c r="B41" s="76">
        <x:f>IF(A41="","",EDATE(Dashboard!$B$10,(A41-1)*(12/Dashboard!$B$9)))</x:f>
        <x:v>47119</x:v>
      </x:c>
      <x:c r="C41" s="77">
        <x:f>IF(A41="","",$J40)</x:f>
        <x:v>220583.14</x:v>
      </x:c>
      <x:c r="D41" s="77">
        <x:f>IF(A41="","",ROUND(MIN(Moteur!$B$3,C41+G41),2))</x:f>
        <x:v>1488.73</x:v>
      </x:c>
      <x:c r="E41" s="77">
        <x:f>IF(A41="","",ROUND(MIN(Dashboard!$B$11,MAX(0,C41-(D41-G41))),2))</x:f>
        <x:v>150</x:v>
      </x:c>
      <x:c r="F41" s="77">
        <x:f>IF(A41="","",ROUND(C41*Dashboard!$B$12/Dashboard!$B$9,2))</x:f>
        <x:v>55.15</x:v>
      </x:c>
      <x:c r="G41" s="77">
        <x:f>IF(A41="","",ROUND(C41*Moteur!$B$2,2))</x:f>
        <x:v>698.51</x:v>
      </x:c>
      <x:c r="H41" s="77">
        <x:f>IF(A41="","",ROUND(MIN(C41,D41-G41+E41),2))</x:f>
        <x:v>940.22</x:v>
      </x:c>
      <x:c r="I41" s="77">
        <x:f>IF(A41="","",ROUND(D41+E41+F41,2))</x:f>
        <x:v>1693.88</x:v>
      </x:c>
      <x:c r="J41" s="77">
        <x:f>IF(A41="","",ROUND(MAX(0,C41-H41),2))</x:f>
        <x:v>219642.92</x:v>
      </x:c>
      <x:c r="K41" s="78">
        <x:f>IF(A41="","",1-(J41/Dashboard!$B$6))</x:f>
        <x:v>0.12142831999999992</x:v>
      </x:c>
      <x:c r="L41" s="43" t="str">
        <x:f>IF(A41="","",IF(J41=0,"Soldé","En cours"))</x:f>
        <x:v>En cours</x:v>
      </x:c>
      <x:c r="M41" s="77">
        <x:f>IF(A41="","",ROUND(SUM($G$8:G41),2))</x:f>
        <x:v>25359.74</x:v>
      </x:c>
    </x:row>
    <x:row r="42" ht="20" customHeight="1">
      <x:c r="A42" s="71">
        <x:f>IF(OR($J41="",ROUND($J41,2)=0),"",$A41+1)</x:f>
        <x:v>35</x:v>
      </x:c>
      <x:c r="B42" s="72">
        <x:f>IF(A42="","",EDATE(Dashboard!$B$10,(A42-1)*(12/Dashboard!$B$9)))</x:f>
        <x:v>47150</x:v>
      </x:c>
      <x:c r="C42" s="73">
        <x:f>IF(A42="","",$J41)</x:f>
        <x:v>219642.92</x:v>
      </x:c>
      <x:c r="D42" s="73">
        <x:f>IF(A42="","",ROUND(MIN(Moteur!$B$3,C42+G42),2))</x:f>
        <x:v>1488.73</x:v>
      </x:c>
      <x:c r="E42" s="73">
        <x:f>IF(A42="","",ROUND(MIN(Dashboard!$B$11,MAX(0,C42-(D42-G42))),2))</x:f>
        <x:v>150</x:v>
      </x:c>
      <x:c r="F42" s="73">
        <x:f>IF(A42="","",ROUND(C42*Dashboard!$B$12/Dashboard!$B$9,2))</x:f>
        <x:v>54.91</x:v>
      </x:c>
      <x:c r="G42" s="73">
        <x:f>IF(A42="","",ROUND(C42*Moteur!$B$2,2))</x:f>
        <x:v>695.54</x:v>
      </x:c>
      <x:c r="H42" s="73">
        <x:f>IF(A42="","",ROUND(MIN(C42,D42-G42+E42),2))</x:f>
        <x:v>943.19</x:v>
      </x:c>
      <x:c r="I42" s="73">
        <x:f>IF(A42="","",ROUND(D42+E42+F42,2))</x:f>
        <x:v>1693.64</x:v>
      </x:c>
      <x:c r="J42" s="73">
        <x:f>IF(A42="","",ROUND(MAX(0,C42-H42),2))</x:f>
        <x:v>218699.73</x:v>
      </x:c>
      <x:c r="K42" s="74">
        <x:f>IF(A42="","",1-(J42/Dashboard!$B$6))</x:f>
        <x:v>0.12520107999999996</x:v>
      </x:c>
      <x:c r="L42" s="38" t="str">
        <x:f>IF(A42="","",IF(J42=0,"Soldé","En cours"))</x:f>
        <x:v>En cours</x:v>
      </x:c>
      <x:c r="M42" s="73">
        <x:f>IF(A42="","",ROUND(SUM($G$8:G42),2))</x:f>
        <x:v>26055.28</x:v>
      </x:c>
    </x:row>
    <x:row r="43" ht="20" customHeight="1">
      <x:c r="A43" s="75">
        <x:f>IF(OR($J42="",ROUND($J42,2)=0),"",$A42+1)</x:f>
        <x:v>36</x:v>
      </x:c>
      <x:c r="B43" s="76">
        <x:f>IF(A43="","",EDATE(Dashboard!$B$10,(A43-1)*(12/Dashboard!$B$9)))</x:f>
        <x:v>47178</x:v>
      </x:c>
      <x:c r="C43" s="77">
        <x:f>IF(A43="","",$J42)</x:f>
        <x:v>218699.73</x:v>
      </x:c>
      <x:c r="D43" s="77">
        <x:f>IF(A43="","",ROUND(MIN(Moteur!$B$3,C43+G43),2))</x:f>
        <x:v>1488.73</x:v>
      </x:c>
      <x:c r="E43" s="77">
        <x:f>IF(A43="","",ROUND(MIN(Dashboard!$B$11,MAX(0,C43-(D43-G43))),2))</x:f>
        <x:v>150</x:v>
      </x:c>
      <x:c r="F43" s="77">
        <x:f>IF(A43="","",ROUND(C43*Dashboard!$B$12/Dashboard!$B$9,2))</x:f>
        <x:v>54.67</x:v>
      </x:c>
      <x:c r="G43" s="77">
        <x:f>IF(A43="","",ROUND(C43*Moteur!$B$2,2))</x:f>
        <x:v>692.55</x:v>
      </x:c>
      <x:c r="H43" s="77">
        <x:f>IF(A43="","",ROUND(MIN(C43,D43-G43+E43),2))</x:f>
        <x:v>946.18</x:v>
      </x:c>
      <x:c r="I43" s="77">
        <x:f>IF(A43="","",ROUND(D43+E43+F43,2))</x:f>
        <x:v>1693.4</x:v>
      </x:c>
      <x:c r="J43" s="77">
        <x:f>IF(A43="","",ROUND(MAX(0,C43-H43),2))</x:f>
        <x:v>217753.55</x:v>
      </x:c>
      <x:c r="K43" s="78">
        <x:f>IF(A43="","",1-(J43/Dashboard!$B$6))</x:f>
        <x:v>0.12898580000000004</x:v>
      </x:c>
      <x:c r="L43" s="43" t="str">
        <x:f>IF(A43="","",IF(J43=0,"Soldé","En cours"))</x:f>
        <x:v>En cours</x:v>
      </x:c>
      <x:c r="M43" s="77">
        <x:f>IF(A43="","",ROUND(SUM($G$8:G43),2))</x:f>
        <x:v>26747.83</x:v>
      </x:c>
    </x:row>
    <x:row r="44" ht="20" customHeight="1">
      <x:c r="A44" s="71">
        <x:f>IF(OR($J43="",ROUND($J43,2)=0),"",$A43+1)</x:f>
        <x:v>37</x:v>
      </x:c>
      <x:c r="B44" s="72">
        <x:f>IF(A44="","",EDATE(Dashboard!$B$10,(A44-1)*(12/Dashboard!$B$9)))</x:f>
        <x:v>47209</x:v>
      </x:c>
      <x:c r="C44" s="73">
        <x:f>IF(A44="","",$J43)</x:f>
        <x:v>217753.55</x:v>
      </x:c>
      <x:c r="D44" s="73">
        <x:f>IF(A44="","",ROUND(MIN(Moteur!$B$3,C44+G44),2))</x:f>
        <x:v>1488.73</x:v>
      </x:c>
      <x:c r="E44" s="73">
        <x:f>IF(A44="","",ROUND(MIN(Dashboard!$B$11,MAX(0,C44-(D44-G44))),2))</x:f>
        <x:v>150</x:v>
      </x:c>
      <x:c r="F44" s="73">
        <x:f>IF(A44="","",ROUND(C44*Dashboard!$B$12/Dashboard!$B$9,2))</x:f>
        <x:v>54.44</x:v>
      </x:c>
      <x:c r="G44" s="73">
        <x:f>IF(A44="","",ROUND(C44*Moteur!$B$2,2))</x:f>
        <x:v>689.55</x:v>
      </x:c>
      <x:c r="H44" s="73">
        <x:f>IF(A44="","",ROUND(MIN(C44,D44-G44+E44),2))</x:f>
        <x:v>949.18</x:v>
      </x:c>
      <x:c r="I44" s="73">
        <x:f>IF(A44="","",ROUND(D44+E44+F44,2))</x:f>
        <x:v>1693.17</x:v>
      </x:c>
      <x:c r="J44" s="73">
        <x:f>IF(A44="","",ROUND(MAX(0,C44-H44),2))</x:f>
        <x:v>216804.37</x:v>
      </x:c>
      <x:c r="K44" s="74">
        <x:f>IF(A44="","",1-(J44/Dashboard!$B$6))</x:f>
        <x:v>0.13278252000000001</x:v>
      </x:c>
      <x:c r="L44" s="38" t="str">
        <x:f>IF(A44="","",IF(J44=0,"Soldé","En cours"))</x:f>
        <x:v>En cours</x:v>
      </x:c>
      <x:c r="M44" s="73">
        <x:f>IF(A44="","",ROUND(SUM($G$8:G44),2))</x:f>
        <x:v>27437.38</x:v>
      </x:c>
    </x:row>
    <x:row r="45" ht="20" customHeight="1">
      <x:c r="A45" s="75">
        <x:f>IF(OR($J44="",ROUND($J44,2)=0),"",$A44+1)</x:f>
        <x:v>38</x:v>
      </x:c>
      <x:c r="B45" s="76">
        <x:f>IF(A45="","",EDATE(Dashboard!$B$10,(A45-1)*(12/Dashboard!$B$9)))</x:f>
        <x:v>47239</x:v>
      </x:c>
      <x:c r="C45" s="77">
        <x:f>IF(A45="","",$J44)</x:f>
        <x:v>216804.37</x:v>
      </x:c>
      <x:c r="D45" s="77">
        <x:f>IF(A45="","",ROUND(MIN(Moteur!$B$3,C45+G45),2))</x:f>
        <x:v>1488.73</x:v>
      </x:c>
      <x:c r="E45" s="77">
        <x:f>IF(A45="","",ROUND(MIN(Dashboard!$B$11,MAX(0,C45-(D45-G45))),2))</x:f>
        <x:v>150</x:v>
      </x:c>
      <x:c r="F45" s="77">
        <x:f>IF(A45="","",ROUND(C45*Dashboard!$B$12/Dashboard!$B$9,2))</x:f>
        <x:v>54.2</x:v>
      </x:c>
      <x:c r="G45" s="77">
        <x:f>IF(A45="","",ROUND(C45*Moteur!$B$2,2))</x:f>
        <x:v>686.55</x:v>
      </x:c>
      <x:c r="H45" s="77">
        <x:f>IF(A45="","",ROUND(MIN(C45,D45-G45+E45),2))</x:f>
        <x:v>952.18</x:v>
      </x:c>
      <x:c r="I45" s="77">
        <x:f>IF(A45="","",ROUND(D45+E45+F45,2))</x:f>
        <x:v>1692.93</x:v>
      </x:c>
      <x:c r="J45" s="77">
        <x:f>IF(A45="","",ROUND(MAX(0,C45-H45),2))</x:f>
        <x:v>215852.19</x:v>
      </x:c>
      <x:c r="K45" s="78">
        <x:f>IF(A45="","",1-(J45/Dashboard!$B$6))</x:f>
        <x:v>0.13659124</x:v>
      </x:c>
      <x:c r="L45" s="43" t="str">
        <x:f>IF(A45="","",IF(J45=0,"Soldé","En cours"))</x:f>
        <x:v>En cours</x:v>
      </x:c>
      <x:c r="M45" s="77">
        <x:f>IF(A45="","",ROUND(SUM($G$8:G45),2))</x:f>
        <x:v>28123.93</x:v>
      </x:c>
    </x:row>
    <x:row r="46" ht="20" customHeight="1">
      <x:c r="A46" s="71">
        <x:f>IF(OR($J45="",ROUND($J45,2)=0),"",$A45+1)</x:f>
        <x:v>39</x:v>
      </x:c>
      <x:c r="B46" s="72">
        <x:f>IF(A46="","",EDATE(Dashboard!$B$10,(A46-1)*(12/Dashboard!$B$9)))</x:f>
        <x:v>47270</x:v>
      </x:c>
      <x:c r="C46" s="73">
        <x:f>IF(A46="","",$J45)</x:f>
        <x:v>215852.19</x:v>
      </x:c>
      <x:c r="D46" s="73">
        <x:f>IF(A46="","",ROUND(MIN(Moteur!$B$3,C46+G46),2))</x:f>
        <x:v>1488.73</x:v>
      </x:c>
      <x:c r="E46" s="73">
        <x:f>IF(A46="","",ROUND(MIN(Dashboard!$B$11,MAX(0,C46-(D46-G46))),2))</x:f>
        <x:v>150</x:v>
      </x:c>
      <x:c r="F46" s="73">
        <x:f>IF(A46="","",ROUND(C46*Dashboard!$B$12/Dashboard!$B$9,2))</x:f>
        <x:v>53.96</x:v>
      </x:c>
      <x:c r="G46" s="73">
        <x:f>IF(A46="","",ROUND(C46*Moteur!$B$2,2))</x:f>
        <x:v>683.53</x:v>
      </x:c>
      <x:c r="H46" s="73">
        <x:f>IF(A46="","",ROUND(MIN(C46,D46-G46+E46),2))</x:f>
        <x:v>955.2</x:v>
      </x:c>
      <x:c r="I46" s="73">
        <x:f>IF(A46="","",ROUND(D46+E46+F46,2))</x:f>
        <x:v>1692.69</x:v>
      </x:c>
      <x:c r="J46" s="73">
        <x:f>IF(A46="","",ROUND(MAX(0,C46-H46),2))</x:f>
        <x:v>214896.99</x:v>
      </x:c>
      <x:c r="K46" s="74">
        <x:f>IF(A46="","",1-(J46/Dashboard!$B$6))</x:f>
        <x:v>0.14041204000000007</x:v>
      </x:c>
      <x:c r="L46" s="38" t="str">
        <x:f>IF(A46="","",IF(J46=0,"Soldé","En cours"))</x:f>
        <x:v>En cours</x:v>
      </x:c>
      <x:c r="M46" s="73">
        <x:f>IF(A46="","",ROUND(SUM($G$8:G46),2))</x:f>
        <x:v>28807.46</x:v>
      </x:c>
    </x:row>
    <x:row r="47" ht="20" customHeight="1">
      <x:c r="A47" s="75">
        <x:f>IF(OR($J46="",ROUND($J46,2)=0),"",$A46+1)</x:f>
        <x:v>40</x:v>
      </x:c>
      <x:c r="B47" s="76">
        <x:f>IF(A47="","",EDATE(Dashboard!$B$10,(A47-1)*(12/Dashboard!$B$9)))</x:f>
        <x:v>47300</x:v>
      </x:c>
      <x:c r="C47" s="77">
        <x:f>IF(A47="","",$J46)</x:f>
        <x:v>214896.99</x:v>
      </x:c>
      <x:c r="D47" s="77">
        <x:f>IF(A47="","",ROUND(MIN(Moteur!$B$3,C47+G47),2))</x:f>
        <x:v>1488.73</x:v>
      </x:c>
      <x:c r="E47" s="77">
        <x:f>IF(A47="","",ROUND(MIN(Dashboard!$B$11,MAX(0,C47-(D47-G47))),2))</x:f>
        <x:v>150</x:v>
      </x:c>
      <x:c r="F47" s="77">
        <x:f>IF(A47="","",ROUND(C47*Dashboard!$B$12/Dashboard!$B$9,2))</x:f>
        <x:v>53.72</x:v>
      </x:c>
      <x:c r="G47" s="77">
        <x:f>IF(A47="","",ROUND(C47*Moteur!$B$2,2))</x:f>
        <x:v>680.51</x:v>
      </x:c>
      <x:c r="H47" s="77">
        <x:f>IF(A47="","",ROUND(MIN(C47,D47-G47+E47),2))</x:f>
        <x:v>958.22</x:v>
      </x:c>
      <x:c r="I47" s="77">
        <x:f>IF(A47="","",ROUND(D47+E47+F47,2))</x:f>
        <x:v>1692.45</x:v>
      </x:c>
      <x:c r="J47" s="77">
        <x:f>IF(A47="","",ROUND(MAX(0,C47-H47),2))</x:f>
        <x:v>213938.77</x:v>
      </x:c>
      <x:c r="K47" s="78">
        <x:f>IF(A47="","",1-(J47/Dashboard!$B$6))</x:f>
        <x:v>0.14424492</x:v>
      </x:c>
      <x:c r="L47" s="43" t="str">
        <x:f>IF(A47="","",IF(J47=0,"Soldé","En cours"))</x:f>
        <x:v>En cours</x:v>
      </x:c>
      <x:c r="M47" s="77">
        <x:f>IF(A47="","",ROUND(SUM($G$8:G47),2))</x:f>
        <x:v>29487.97</x:v>
      </x:c>
    </x:row>
    <x:row r="48" ht="20" customHeight="1">
      <x:c r="A48" s="71">
        <x:f>IF(OR($J47="",ROUND($J47,2)=0),"",$A47+1)</x:f>
        <x:v>41</x:v>
      </x:c>
      <x:c r="B48" s="72">
        <x:f>IF(A48="","",EDATE(Dashboard!$B$10,(A48-1)*(12/Dashboard!$B$9)))</x:f>
        <x:v>47331</x:v>
      </x:c>
      <x:c r="C48" s="73">
        <x:f>IF(A48="","",$J47)</x:f>
        <x:v>213938.77</x:v>
      </x:c>
      <x:c r="D48" s="73">
        <x:f>IF(A48="","",ROUND(MIN(Moteur!$B$3,C48+G48),2))</x:f>
        <x:v>1488.73</x:v>
      </x:c>
      <x:c r="E48" s="73">
        <x:f>IF(A48="","",ROUND(MIN(Dashboard!$B$11,MAX(0,C48-(D48-G48))),2))</x:f>
        <x:v>150</x:v>
      </x:c>
      <x:c r="F48" s="73">
        <x:f>IF(A48="","",ROUND(C48*Dashboard!$B$12/Dashboard!$B$9,2))</x:f>
        <x:v>53.48</x:v>
      </x:c>
      <x:c r="G48" s="73">
        <x:f>IF(A48="","",ROUND(C48*Moteur!$B$2,2))</x:f>
        <x:v>677.47</x:v>
      </x:c>
      <x:c r="H48" s="73">
        <x:f>IF(A48="","",ROUND(MIN(C48,D48-G48+E48),2))</x:f>
        <x:v>961.26</x:v>
      </x:c>
      <x:c r="I48" s="73">
        <x:f>IF(A48="","",ROUND(D48+E48+F48,2))</x:f>
        <x:v>1692.21</x:v>
      </x:c>
      <x:c r="J48" s="73">
        <x:f>IF(A48="","",ROUND(MAX(0,C48-H48),2))</x:f>
        <x:v>212977.51</x:v>
      </x:c>
      <x:c r="K48" s="74">
        <x:f>IF(A48="","",1-(J48/Dashboard!$B$6))</x:f>
        <x:v>0.14808995999999996</x:v>
      </x:c>
      <x:c r="L48" s="38" t="str">
        <x:f>IF(A48="","",IF(J48=0,"Soldé","En cours"))</x:f>
        <x:v>En cours</x:v>
      </x:c>
      <x:c r="M48" s="73">
        <x:f>IF(A48="","",ROUND(SUM($G$8:G48),2))</x:f>
        <x:v>30165.44</x:v>
      </x:c>
    </x:row>
    <x:row r="49" ht="20" customHeight="1">
      <x:c r="A49" s="75">
        <x:f>IF(OR($J48="",ROUND($J48,2)=0),"",$A48+1)</x:f>
        <x:v>42</x:v>
      </x:c>
      <x:c r="B49" s="76">
        <x:f>IF(A49="","",EDATE(Dashboard!$B$10,(A49-1)*(12/Dashboard!$B$9)))</x:f>
        <x:v>47362</x:v>
      </x:c>
      <x:c r="C49" s="77">
        <x:f>IF(A49="","",$J48)</x:f>
        <x:v>212977.51</x:v>
      </x:c>
      <x:c r="D49" s="77">
        <x:f>IF(A49="","",ROUND(MIN(Moteur!$B$3,C49+G49),2))</x:f>
        <x:v>1488.73</x:v>
      </x:c>
      <x:c r="E49" s="77">
        <x:f>IF(A49="","",ROUND(MIN(Dashboard!$B$11,MAX(0,C49-(D49-G49))),2))</x:f>
        <x:v>150</x:v>
      </x:c>
      <x:c r="F49" s="77">
        <x:f>IF(A49="","",ROUND(C49*Dashboard!$B$12/Dashboard!$B$9,2))</x:f>
        <x:v>53.24</x:v>
      </x:c>
      <x:c r="G49" s="77">
        <x:f>IF(A49="","",ROUND(C49*Moteur!$B$2,2))</x:f>
        <x:v>674.43</x:v>
      </x:c>
      <x:c r="H49" s="77">
        <x:f>IF(A49="","",ROUND(MIN(C49,D49-G49+E49),2))</x:f>
        <x:v>964.3</x:v>
      </x:c>
      <x:c r="I49" s="77">
        <x:f>IF(A49="","",ROUND(D49+E49+F49,2))</x:f>
        <x:v>1691.97</x:v>
      </x:c>
      <x:c r="J49" s="77">
        <x:f>IF(A49="","",ROUND(MAX(0,C49-H49),2))</x:f>
        <x:v>212013.21</x:v>
      </x:c>
      <x:c r="K49" s="78">
        <x:f>IF(A49="","",1-(J49/Dashboard!$B$6))</x:f>
        <x:v>0.15194716000000008</x:v>
      </x:c>
      <x:c r="L49" s="43" t="str">
        <x:f>IF(A49="","",IF(J49=0,"Soldé","En cours"))</x:f>
        <x:v>En cours</x:v>
      </x:c>
      <x:c r="M49" s="77">
        <x:f>IF(A49="","",ROUND(SUM($G$8:G49),2))</x:f>
        <x:v>30839.87</x:v>
      </x:c>
    </x:row>
    <x:row r="50" ht="20" customHeight="1">
      <x:c r="A50" s="71">
        <x:f>IF(OR($J49="",ROUND($J49,2)=0),"",$A49+1)</x:f>
        <x:v>43</x:v>
      </x:c>
      <x:c r="B50" s="72">
        <x:f>IF(A50="","",EDATE(Dashboard!$B$10,(A50-1)*(12/Dashboard!$B$9)))</x:f>
        <x:v>47392</x:v>
      </x:c>
      <x:c r="C50" s="73">
        <x:f>IF(A50="","",$J49)</x:f>
        <x:v>212013.21</x:v>
      </x:c>
      <x:c r="D50" s="73">
        <x:f>IF(A50="","",ROUND(MIN(Moteur!$B$3,C50+G50),2))</x:f>
        <x:v>1488.73</x:v>
      </x:c>
      <x:c r="E50" s="73">
        <x:f>IF(A50="","",ROUND(MIN(Dashboard!$B$11,MAX(0,C50-(D50-G50))),2))</x:f>
        <x:v>150</x:v>
      </x:c>
      <x:c r="F50" s="73">
        <x:f>IF(A50="","",ROUND(C50*Dashboard!$B$12/Dashboard!$B$9,2))</x:f>
        <x:v>53</x:v>
      </x:c>
      <x:c r="G50" s="73">
        <x:f>IF(A50="","",ROUND(C50*Moteur!$B$2,2))</x:f>
        <x:v>671.38</x:v>
      </x:c>
      <x:c r="H50" s="73">
        <x:f>IF(A50="","",ROUND(MIN(C50,D50-G50+E50),2))</x:f>
        <x:v>967.35</x:v>
      </x:c>
      <x:c r="I50" s="73">
        <x:f>IF(A50="","",ROUND(D50+E50+F50,2))</x:f>
        <x:v>1691.73</x:v>
      </x:c>
      <x:c r="J50" s="73">
        <x:f>IF(A50="","",ROUND(MAX(0,C50-H50),2))</x:f>
        <x:v>211045.86</x:v>
      </x:c>
      <x:c r="K50" s="74">
        <x:f>IF(A50="","",1-(J50/Dashboard!$B$6))</x:f>
        <x:v>0.1558165600000001</x:v>
      </x:c>
      <x:c r="L50" s="38" t="str">
        <x:f>IF(A50="","",IF(J50=0,"Soldé","En cours"))</x:f>
        <x:v>En cours</x:v>
      </x:c>
      <x:c r="M50" s="73">
        <x:f>IF(A50="","",ROUND(SUM($G$8:G50),2))</x:f>
        <x:v>31511.25</x:v>
      </x:c>
    </x:row>
    <x:row r="51" ht="20" customHeight="1">
      <x:c r="A51" s="75">
        <x:f>IF(OR($J50="",ROUND($J50,2)=0),"",$A50+1)</x:f>
        <x:v>44</x:v>
      </x:c>
      <x:c r="B51" s="76">
        <x:f>IF(A51="","",EDATE(Dashboard!$B$10,(A51-1)*(12/Dashboard!$B$9)))</x:f>
        <x:v>47423</x:v>
      </x:c>
      <x:c r="C51" s="77">
        <x:f>IF(A51="","",$J50)</x:f>
        <x:v>211045.86</x:v>
      </x:c>
      <x:c r="D51" s="77">
        <x:f>IF(A51="","",ROUND(MIN(Moteur!$B$3,C51+G51),2))</x:f>
        <x:v>1488.73</x:v>
      </x:c>
      <x:c r="E51" s="77">
        <x:f>IF(A51="","",ROUND(MIN(Dashboard!$B$11,MAX(0,C51-(D51-G51))),2))</x:f>
        <x:v>150</x:v>
      </x:c>
      <x:c r="F51" s="77">
        <x:f>IF(A51="","",ROUND(C51*Dashboard!$B$12/Dashboard!$B$9,2))</x:f>
        <x:v>52.76</x:v>
      </x:c>
      <x:c r="G51" s="77">
        <x:f>IF(A51="","",ROUND(C51*Moteur!$B$2,2))</x:f>
        <x:v>668.31</x:v>
      </x:c>
      <x:c r="H51" s="77">
        <x:f>IF(A51="","",ROUND(MIN(C51,D51-G51+E51),2))</x:f>
        <x:v>970.42</x:v>
      </x:c>
      <x:c r="I51" s="77">
        <x:f>IF(A51="","",ROUND(D51+E51+F51,2))</x:f>
        <x:v>1691.49</x:v>
      </x:c>
      <x:c r="J51" s="77">
        <x:f>IF(A51="","",ROUND(MAX(0,C51-H51),2))</x:f>
        <x:v>210075.44</x:v>
      </x:c>
      <x:c r="K51" s="78">
        <x:f>IF(A51="","",1-(J51/Dashboard!$B$6))</x:f>
        <x:v>0.15969824</x:v>
      </x:c>
      <x:c r="L51" s="43" t="str">
        <x:f>IF(A51="","",IF(J51=0,"Soldé","En cours"))</x:f>
        <x:v>En cours</x:v>
      </x:c>
      <x:c r="M51" s="77">
        <x:f>IF(A51="","",ROUND(SUM($G$8:G51),2))</x:f>
        <x:v>32179.56</x:v>
      </x:c>
    </x:row>
    <x:row r="52" ht="20" customHeight="1">
      <x:c r="A52" s="71">
        <x:f>IF(OR($J51="",ROUND($J51,2)=0),"",$A51+1)</x:f>
        <x:v>45</x:v>
      </x:c>
      <x:c r="B52" s="72">
        <x:f>IF(A52="","",EDATE(Dashboard!$B$10,(A52-1)*(12/Dashboard!$B$9)))</x:f>
        <x:v>47453</x:v>
      </x:c>
      <x:c r="C52" s="73">
        <x:f>IF(A52="","",$J51)</x:f>
        <x:v>210075.44</x:v>
      </x:c>
      <x:c r="D52" s="73">
        <x:f>IF(A52="","",ROUND(MIN(Moteur!$B$3,C52+G52),2))</x:f>
        <x:v>1488.73</x:v>
      </x:c>
      <x:c r="E52" s="73">
        <x:f>IF(A52="","",ROUND(MIN(Dashboard!$B$11,MAX(0,C52-(D52-G52))),2))</x:f>
        <x:v>150</x:v>
      </x:c>
      <x:c r="F52" s="73">
        <x:f>IF(A52="","",ROUND(C52*Dashboard!$B$12/Dashboard!$B$9,2))</x:f>
        <x:v>52.52</x:v>
      </x:c>
      <x:c r="G52" s="73">
        <x:f>IF(A52="","",ROUND(C52*Moteur!$B$2,2))</x:f>
        <x:v>665.24</x:v>
      </x:c>
      <x:c r="H52" s="73">
        <x:f>IF(A52="","",ROUND(MIN(C52,D52-G52+E52),2))</x:f>
        <x:v>973.49</x:v>
      </x:c>
      <x:c r="I52" s="73">
        <x:f>IF(A52="","",ROUND(D52+E52+F52,2))</x:f>
        <x:v>1691.25</x:v>
      </x:c>
      <x:c r="J52" s="73">
        <x:f>IF(A52="","",ROUND(MAX(0,C52-H52),2))</x:f>
        <x:v>209101.95</x:v>
      </x:c>
      <x:c r="K52" s="74">
        <x:f>IF(A52="","",1-(J52/Dashboard!$B$6))</x:f>
        <x:v>0.16359219999999997</x:v>
      </x:c>
      <x:c r="L52" s="38" t="str">
        <x:f>IF(A52="","",IF(J52=0,"Soldé","En cours"))</x:f>
        <x:v>En cours</x:v>
      </x:c>
      <x:c r="M52" s="73">
        <x:f>IF(A52="","",ROUND(SUM($G$8:G52),2))</x:f>
        <x:v>32844.8</x:v>
      </x:c>
    </x:row>
    <x:row r="53" ht="20" customHeight="1">
      <x:c r="A53" s="75">
        <x:f>IF(OR($J52="",ROUND($J52,2)=0),"",$A52+1)</x:f>
        <x:v>46</x:v>
      </x:c>
      <x:c r="B53" s="76">
        <x:f>IF(A53="","",EDATE(Dashboard!$B$10,(A53-1)*(12/Dashboard!$B$9)))</x:f>
        <x:v>47484</x:v>
      </x:c>
      <x:c r="C53" s="77">
        <x:f>IF(A53="","",$J52)</x:f>
        <x:v>209101.95</x:v>
      </x:c>
      <x:c r="D53" s="77">
        <x:f>IF(A53="","",ROUND(MIN(Moteur!$B$3,C53+G53),2))</x:f>
        <x:v>1488.73</x:v>
      </x:c>
      <x:c r="E53" s="77">
        <x:f>IF(A53="","",ROUND(MIN(Dashboard!$B$11,MAX(0,C53-(D53-G53))),2))</x:f>
        <x:v>150</x:v>
      </x:c>
      <x:c r="F53" s="77">
        <x:f>IF(A53="","",ROUND(C53*Dashboard!$B$12/Dashboard!$B$9,2))</x:f>
        <x:v>52.28</x:v>
      </x:c>
      <x:c r="G53" s="77">
        <x:f>IF(A53="","",ROUND(C53*Moteur!$B$2,2))</x:f>
        <x:v>662.16</x:v>
      </x:c>
      <x:c r="H53" s="77">
        <x:f>IF(A53="","",ROUND(MIN(C53,D53-G53+E53),2))</x:f>
        <x:v>976.57</x:v>
      </x:c>
      <x:c r="I53" s="77">
        <x:f>IF(A53="","",ROUND(D53+E53+F53,2))</x:f>
        <x:v>1691.01</x:v>
      </x:c>
      <x:c r="J53" s="77">
        <x:f>IF(A53="","",ROUND(MAX(0,C53-H53),2))</x:f>
        <x:v>208125.38</x:v>
      </x:c>
      <x:c r="K53" s="78">
        <x:f>IF(A53="","",1-(J53/Dashboard!$B$6))</x:f>
        <x:v>0.16749848</x:v>
      </x:c>
      <x:c r="L53" s="43" t="str">
        <x:f>IF(A53="","",IF(J53=0,"Soldé","En cours"))</x:f>
        <x:v>En cours</x:v>
      </x:c>
      <x:c r="M53" s="77">
        <x:f>IF(A53="","",ROUND(SUM($G$8:G53),2))</x:f>
        <x:v>33506.96</x:v>
      </x:c>
    </x:row>
    <x:row r="54" ht="20" customHeight="1">
      <x:c r="A54" s="71">
        <x:f>IF(OR($J53="",ROUND($J53,2)=0),"",$A53+1)</x:f>
        <x:v>47</x:v>
      </x:c>
      <x:c r="B54" s="72">
        <x:f>IF(A54="","",EDATE(Dashboard!$B$10,(A54-1)*(12/Dashboard!$B$9)))</x:f>
        <x:v>47515</x:v>
      </x:c>
      <x:c r="C54" s="73">
        <x:f>IF(A54="","",$J53)</x:f>
        <x:v>208125.38</x:v>
      </x:c>
      <x:c r="D54" s="73">
        <x:f>IF(A54="","",ROUND(MIN(Moteur!$B$3,C54+G54),2))</x:f>
        <x:v>1488.73</x:v>
      </x:c>
      <x:c r="E54" s="73">
        <x:f>IF(A54="","",ROUND(MIN(Dashboard!$B$11,MAX(0,C54-(D54-G54))),2))</x:f>
        <x:v>150</x:v>
      </x:c>
      <x:c r="F54" s="73">
        <x:f>IF(A54="","",ROUND(C54*Dashboard!$B$12/Dashboard!$B$9,2))</x:f>
        <x:v>52.03</x:v>
      </x:c>
      <x:c r="G54" s="73">
        <x:f>IF(A54="","",ROUND(C54*Moteur!$B$2,2))</x:f>
        <x:v>659.06</x:v>
      </x:c>
      <x:c r="H54" s="73">
        <x:f>IF(A54="","",ROUND(MIN(C54,D54-G54+E54),2))</x:f>
        <x:v>979.67</x:v>
      </x:c>
      <x:c r="I54" s="73">
        <x:f>IF(A54="","",ROUND(D54+E54+F54,2))</x:f>
        <x:v>1690.76</x:v>
      </x:c>
      <x:c r="J54" s="73">
        <x:f>IF(A54="","",ROUND(MAX(0,C54-H54),2))</x:f>
        <x:v>207145.71</x:v>
      </x:c>
      <x:c r="K54" s="74">
        <x:f>IF(A54="","",1-(J54/Dashboard!$B$6))</x:f>
        <x:v>0.17141716000000007</x:v>
      </x:c>
      <x:c r="L54" s="38" t="str">
        <x:f>IF(A54="","",IF(J54=0,"Soldé","En cours"))</x:f>
        <x:v>En cours</x:v>
      </x:c>
      <x:c r="M54" s="73">
        <x:f>IF(A54="","",ROUND(SUM($G$8:G54),2))</x:f>
        <x:v>34166.02</x:v>
      </x:c>
    </x:row>
    <x:row r="55" ht="20" customHeight="1">
      <x:c r="A55" s="75">
        <x:f>IF(OR($J54="",ROUND($J54,2)=0),"",$A54+1)</x:f>
        <x:v>48</x:v>
      </x:c>
      <x:c r="B55" s="76">
        <x:f>IF(A55="","",EDATE(Dashboard!$B$10,(A55-1)*(12/Dashboard!$B$9)))</x:f>
        <x:v>47543</x:v>
      </x:c>
      <x:c r="C55" s="77">
        <x:f>IF(A55="","",$J54)</x:f>
        <x:v>207145.71</x:v>
      </x:c>
      <x:c r="D55" s="77">
        <x:f>IF(A55="","",ROUND(MIN(Moteur!$B$3,C55+G55),2))</x:f>
        <x:v>1488.73</x:v>
      </x:c>
      <x:c r="E55" s="77">
        <x:f>IF(A55="","",ROUND(MIN(Dashboard!$B$11,MAX(0,C55-(D55-G55))),2))</x:f>
        <x:v>150</x:v>
      </x:c>
      <x:c r="F55" s="77">
        <x:f>IF(A55="","",ROUND(C55*Dashboard!$B$12/Dashboard!$B$9,2))</x:f>
        <x:v>51.79</x:v>
      </x:c>
      <x:c r="G55" s="77">
        <x:f>IF(A55="","",ROUND(C55*Moteur!$B$2,2))</x:f>
        <x:v>655.96</x:v>
      </x:c>
      <x:c r="H55" s="77">
        <x:f>IF(A55="","",ROUND(MIN(C55,D55-G55+E55),2))</x:f>
        <x:v>982.77</x:v>
      </x:c>
      <x:c r="I55" s="77">
        <x:f>IF(A55="","",ROUND(D55+E55+F55,2))</x:f>
        <x:v>1690.52</x:v>
      </x:c>
      <x:c r="J55" s="77">
        <x:f>IF(A55="","",ROUND(MAX(0,C55-H55),2))</x:f>
        <x:v>206162.94</x:v>
      </x:c>
      <x:c r="K55" s="78">
        <x:f>IF(A55="","",1-(J55/Dashboard!$B$6))</x:f>
        <x:v>0.17534824000000004</x:v>
      </x:c>
      <x:c r="L55" s="43" t="str">
        <x:f>IF(A55="","",IF(J55=0,"Soldé","En cours"))</x:f>
        <x:v>En cours</x:v>
      </x:c>
      <x:c r="M55" s="77">
        <x:f>IF(A55="","",ROUND(SUM($G$8:G55),2))</x:f>
        <x:v>34821.98</x:v>
      </x:c>
    </x:row>
    <x:row r="56" ht="20" customHeight="1">
      <x:c r="A56" s="71">
        <x:f>IF(OR($J55="",ROUND($J55,2)=0),"",$A55+1)</x:f>
        <x:v>49</x:v>
      </x:c>
      <x:c r="B56" s="72">
        <x:f>IF(A56="","",EDATE(Dashboard!$B$10,(A56-1)*(12/Dashboard!$B$9)))</x:f>
        <x:v>47574</x:v>
      </x:c>
      <x:c r="C56" s="73">
        <x:f>IF(A56="","",$J55)</x:f>
        <x:v>206162.94</x:v>
      </x:c>
      <x:c r="D56" s="73">
        <x:f>IF(A56="","",ROUND(MIN(Moteur!$B$3,C56+G56),2))</x:f>
        <x:v>1488.73</x:v>
      </x:c>
      <x:c r="E56" s="73">
        <x:f>IF(A56="","",ROUND(MIN(Dashboard!$B$11,MAX(0,C56-(D56-G56))),2))</x:f>
        <x:v>150</x:v>
      </x:c>
      <x:c r="F56" s="73">
        <x:f>IF(A56="","",ROUND(C56*Dashboard!$B$12/Dashboard!$B$9,2))</x:f>
        <x:v>51.54</x:v>
      </x:c>
      <x:c r="G56" s="73">
        <x:f>IF(A56="","",ROUND(C56*Moteur!$B$2,2))</x:f>
        <x:v>652.85</x:v>
      </x:c>
      <x:c r="H56" s="73">
        <x:f>IF(A56="","",ROUND(MIN(C56,D56-G56+E56),2))</x:f>
        <x:v>985.88</x:v>
      </x:c>
      <x:c r="I56" s="73">
        <x:f>IF(A56="","",ROUND(D56+E56+F56,2))</x:f>
        <x:v>1690.27</x:v>
      </x:c>
      <x:c r="J56" s="73">
        <x:f>IF(A56="","",ROUND(MAX(0,C56-H56),2))</x:f>
        <x:v>205177.06</x:v>
      </x:c>
      <x:c r="K56" s="74">
        <x:f>IF(A56="","",1-(J56/Dashboard!$B$6))</x:f>
        <x:v>0.17929176000000002</x:v>
      </x:c>
      <x:c r="L56" s="38" t="str">
        <x:f>IF(A56="","",IF(J56=0,"Soldé","En cours"))</x:f>
        <x:v>En cours</x:v>
      </x:c>
      <x:c r="M56" s="73">
        <x:f>IF(A56="","",ROUND(SUM($G$8:G56),2))</x:f>
        <x:v>35474.83</x:v>
      </x:c>
    </x:row>
    <x:row r="57" ht="20" customHeight="1">
      <x:c r="A57" s="75">
        <x:f>IF(OR($J56="",ROUND($J56,2)=0),"",$A56+1)</x:f>
        <x:v>50</x:v>
      </x:c>
      <x:c r="B57" s="76">
        <x:f>IF(A57="","",EDATE(Dashboard!$B$10,(A57-1)*(12/Dashboard!$B$9)))</x:f>
        <x:v>47604</x:v>
      </x:c>
      <x:c r="C57" s="77">
        <x:f>IF(A57="","",$J56)</x:f>
        <x:v>205177.06</x:v>
      </x:c>
      <x:c r="D57" s="77">
        <x:f>IF(A57="","",ROUND(MIN(Moteur!$B$3,C57+G57),2))</x:f>
        <x:v>1488.73</x:v>
      </x:c>
      <x:c r="E57" s="77">
        <x:f>IF(A57="","",ROUND(MIN(Dashboard!$B$11,MAX(0,C57-(D57-G57))),2))</x:f>
        <x:v>150</x:v>
      </x:c>
      <x:c r="F57" s="77">
        <x:f>IF(A57="","",ROUND(C57*Dashboard!$B$12/Dashboard!$B$9,2))</x:f>
        <x:v>51.29</x:v>
      </x:c>
      <x:c r="G57" s="77">
        <x:f>IF(A57="","",ROUND(C57*Moteur!$B$2,2))</x:f>
        <x:v>649.73</x:v>
      </x:c>
      <x:c r="H57" s="77">
        <x:f>IF(A57="","",ROUND(MIN(C57,D57-G57+E57),2))</x:f>
        <x:v>989</x:v>
      </x:c>
      <x:c r="I57" s="77">
        <x:f>IF(A57="","",ROUND(D57+E57+F57,2))</x:f>
        <x:v>1690.02</x:v>
      </x:c>
      <x:c r="J57" s="77">
        <x:f>IF(A57="","",ROUND(MAX(0,C57-H57),2))</x:f>
        <x:v>204188.06</x:v>
      </x:c>
      <x:c r="K57" s="78">
        <x:f>IF(A57="","",1-(J57/Dashboard!$B$6))</x:f>
        <x:v>0.18324775999999998</x:v>
      </x:c>
      <x:c r="L57" s="43" t="str">
        <x:f>IF(A57="","",IF(J57=0,"Soldé","En cours"))</x:f>
        <x:v>En cours</x:v>
      </x:c>
      <x:c r="M57" s="77">
        <x:f>IF(A57="","",ROUND(SUM($G$8:G57),2))</x:f>
        <x:v>36124.56</x:v>
      </x:c>
    </x:row>
    <x:row r="58" ht="20" customHeight="1">
      <x:c r="A58" s="71">
        <x:f>IF(OR($J57="",ROUND($J57,2)=0),"",$A57+1)</x:f>
        <x:v>51</x:v>
      </x:c>
      <x:c r="B58" s="72">
        <x:f>IF(A58="","",EDATE(Dashboard!$B$10,(A58-1)*(12/Dashboard!$B$9)))</x:f>
        <x:v>47635</x:v>
      </x:c>
      <x:c r="C58" s="73">
        <x:f>IF(A58="","",$J57)</x:f>
        <x:v>204188.06</x:v>
      </x:c>
      <x:c r="D58" s="73">
        <x:f>IF(A58="","",ROUND(MIN(Moteur!$B$3,C58+G58),2))</x:f>
        <x:v>1488.73</x:v>
      </x:c>
      <x:c r="E58" s="73">
        <x:f>IF(A58="","",ROUND(MIN(Dashboard!$B$11,MAX(0,C58-(D58-G58))),2))</x:f>
        <x:v>150</x:v>
      </x:c>
      <x:c r="F58" s="73">
        <x:f>IF(A58="","",ROUND(C58*Dashboard!$B$12/Dashboard!$B$9,2))</x:f>
        <x:v>51.05</x:v>
      </x:c>
      <x:c r="G58" s="73">
        <x:f>IF(A58="","",ROUND(C58*Moteur!$B$2,2))</x:f>
        <x:v>646.6</x:v>
      </x:c>
      <x:c r="H58" s="73">
        <x:f>IF(A58="","",ROUND(MIN(C58,D58-G58+E58),2))</x:f>
        <x:v>992.13</x:v>
      </x:c>
      <x:c r="I58" s="73">
        <x:f>IF(A58="","",ROUND(D58+E58+F58,2))</x:f>
        <x:v>1689.78</x:v>
      </x:c>
      <x:c r="J58" s="73">
        <x:f>IF(A58="","",ROUND(MAX(0,C58-H58),2))</x:f>
        <x:v>203195.93</x:v>
      </x:c>
      <x:c r="K58" s="74">
        <x:f>IF(A58="","",1-(J58/Dashboard!$B$6))</x:f>
        <x:v>0.18721628</x:v>
      </x:c>
      <x:c r="L58" s="38" t="str">
        <x:f>IF(A58="","",IF(J58=0,"Soldé","En cours"))</x:f>
        <x:v>En cours</x:v>
      </x:c>
      <x:c r="M58" s="73">
        <x:f>IF(A58="","",ROUND(SUM($G$8:G58),2))</x:f>
        <x:v>36771.16</x:v>
      </x:c>
    </x:row>
    <x:row r="59" ht="20" customHeight="1">
      <x:c r="A59" s="75">
        <x:f>IF(OR($J58="",ROUND($J58,2)=0),"",$A58+1)</x:f>
        <x:v>52</x:v>
      </x:c>
      <x:c r="B59" s="76">
        <x:f>IF(A59="","",EDATE(Dashboard!$B$10,(A59-1)*(12/Dashboard!$B$9)))</x:f>
        <x:v>47665</x:v>
      </x:c>
      <x:c r="C59" s="77">
        <x:f>IF(A59="","",$J58)</x:f>
        <x:v>203195.93</x:v>
      </x:c>
      <x:c r="D59" s="77">
        <x:f>IF(A59="","",ROUND(MIN(Moteur!$B$3,C59+G59),2))</x:f>
        <x:v>1488.73</x:v>
      </x:c>
      <x:c r="E59" s="77">
        <x:f>IF(A59="","",ROUND(MIN(Dashboard!$B$11,MAX(0,C59-(D59-G59))),2))</x:f>
        <x:v>150</x:v>
      </x:c>
      <x:c r="F59" s="77">
        <x:f>IF(A59="","",ROUND(C59*Dashboard!$B$12/Dashboard!$B$9,2))</x:f>
        <x:v>50.8</x:v>
      </x:c>
      <x:c r="G59" s="77">
        <x:f>IF(A59="","",ROUND(C59*Moteur!$B$2,2))</x:f>
        <x:v>643.45</x:v>
      </x:c>
      <x:c r="H59" s="77">
        <x:f>IF(A59="","",ROUND(MIN(C59,D59-G59+E59),2))</x:f>
        <x:v>995.28</x:v>
      </x:c>
      <x:c r="I59" s="77">
        <x:f>IF(A59="","",ROUND(D59+E59+F59,2))</x:f>
        <x:v>1689.53</x:v>
      </x:c>
      <x:c r="J59" s="77">
        <x:f>IF(A59="","",ROUND(MAX(0,C59-H59),2))</x:f>
        <x:v>202200.65</x:v>
      </x:c>
      <x:c r="K59" s="78">
        <x:f>IF(A59="","",1-(J59/Dashboard!$B$6))</x:f>
        <x:v>0.19119740000000007</x:v>
      </x:c>
      <x:c r="L59" s="43" t="str">
        <x:f>IF(A59="","",IF(J59=0,"Soldé","En cours"))</x:f>
        <x:v>En cours</x:v>
      </x:c>
      <x:c r="M59" s="77">
        <x:f>IF(A59="","",ROUND(SUM($G$8:G59),2))</x:f>
        <x:v>37414.61</x:v>
      </x:c>
    </x:row>
    <x:row r="60" ht="20" customHeight="1">
      <x:c r="A60" s="71">
        <x:f>IF(OR($J59="",ROUND($J59,2)=0),"",$A59+1)</x:f>
        <x:v>53</x:v>
      </x:c>
      <x:c r="B60" s="72">
        <x:f>IF(A60="","",EDATE(Dashboard!$B$10,(A60-1)*(12/Dashboard!$B$9)))</x:f>
        <x:v>47696</x:v>
      </x:c>
      <x:c r="C60" s="73">
        <x:f>IF(A60="","",$J59)</x:f>
        <x:v>202200.65</x:v>
      </x:c>
      <x:c r="D60" s="73">
        <x:f>IF(A60="","",ROUND(MIN(Moteur!$B$3,C60+G60),2))</x:f>
        <x:v>1488.73</x:v>
      </x:c>
      <x:c r="E60" s="73">
        <x:f>IF(A60="","",ROUND(MIN(Dashboard!$B$11,MAX(0,C60-(D60-G60))),2))</x:f>
        <x:v>150</x:v>
      </x:c>
      <x:c r="F60" s="73">
        <x:f>IF(A60="","",ROUND(C60*Dashboard!$B$12/Dashboard!$B$9,2))</x:f>
        <x:v>50.55</x:v>
      </x:c>
      <x:c r="G60" s="73">
        <x:f>IF(A60="","",ROUND(C60*Moteur!$B$2,2))</x:f>
        <x:v>640.3</x:v>
      </x:c>
      <x:c r="H60" s="73">
        <x:f>IF(A60="","",ROUND(MIN(C60,D60-G60+E60),2))</x:f>
        <x:v>998.43</x:v>
      </x:c>
      <x:c r="I60" s="73">
        <x:f>IF(A60="","",ROUND(D60+E60+F60,2))</x:f>
        <x:v>1689.28</x:v>
      </x:c>
      <x:c r="J60" s="73">
        <x:f>IF(A60="","",ROUND(MAX(0,C60-H60),2))</x:f>
        <x:v>201202.22</x:v>
      </x:c>
      <x:c r="K60" s="74">
        <x:f>IF(A60="","",1-(J60/Dashboard!$B$6))</x:f>
        <x:v>0.19519111999999994</x:v>
      </x:c>
      <x:c r="L60" s="38" t="str">
        <x:f>IF(A60="","",IF(J60=0,"Soldé","En cours"))</x:f>
        <x:v>En cours</x:v>
      </x:c>
      <x:c r="M60" s="73">
        <x:f>IF(A60="","",ROUND(SUM($G$8:G60),2))</x:f>
        <x:v>38054.91</x:v>
      </x:c>
    </x:row>
    <x:row r="61" ht="20" customHeight="1">
      <x:c r="A61" s="75">
        <x:f>IF(OR($J60="",ROUND($J60,2)=0),"",$A60+1)</x:f>
        <x:v>54</x:v>
      </x:c>
      <x:c r="B61" s="76">
        <x:f>IF(A61="","",EDATE(Dashboard!$B$10,(A61-1)*(12/Dashboard!$B$9)))</x:f>
        <x:v>47727</x:v>
      </x:c>
      <x:c r="C61" s="77">
        <x:f>IF(A61="","",$J60)</x:f>
        <x:v>201202.22</x:v>
      </x:c>
      <x:c r="D61" s="77">
        <x:f>IF(A61="","",ROUND(MIN(Moteur!$B$3,C61+G61),2))</x:f>
        <x:v>1488.73</x:v>
      </x:c>
      <x:c r="E61" s="77">
        <x:f>IF(A61="","",ROUND(MIN(Dashboard!$B$11,MAX(0,C61-(D61-G61))),2))</x:f>
        <x:v>150</x:v>
      </x:c>
      <x:c r="F61" s="77">
        <x:f>IF(A61="","",ROUND(C61*Dashboard!$B$12/Dashboard!$B$9,2))</x:f>
        <x:v>50.3</x:v>
      </x:c>
      <x:c r="G61" s="77">
        <x:f>IF(A61="","",ROUND(C61*Moteur!$B$2,2))</x:f>
        <x:v>637.14</x:v>
      </x:c>
      <x:c r="H61" s="77">
        <x:f>IF(A61="","",ROUND(MIN(C61,D61-G61+E61),2))</x:f>
        <x:v>1001.59</x:v>
      </x:c>
      <x:c r="I61" s="77">
        <x:f>IF(A61="","",ROUND(D61+E61+F61,2))</x:f>
        <x:v>1689.03</x:v>
      </x:c>
      <x:c r="J61" s="77">
        <x:f>IF(A61="","",ROUND(MAX(0,C61-H61),2))</x:f>
        <x:v>200200.63</x:v>
      </x:c>
      <x:c r="K61" s="78">
        <x:f>IF(A61="","",1-(J61/Dashboard!$B$6))</x:f>
        <x:v>0.19919747999999993</x:v>
      </x:c>
      <x:c r="L61" s="43" t="str">
        <x:f>IF(A61="","",IF(J61=0,"Soldé","En cours"))</x:f>
        <x:v>En cours</x:v>
      </x:c>
      <x:c r="M61" s="77">
        <x:f>IF(A61="","",ROUND(SUM($G$8:G61),2))</x:f>
        <x:v>38692.05</x:v>
      </x:c>
    </x:row>
    <x:row r="62" ht="20" customHeight="1">
      <x:c r="A62" s="71">
        <x:f>IF(OR($J61="",ROUND($J61,2)=0),"",$A61+1)</x:f>
        <x:v>55</x:v>
      </x:c>
      <x:c r="B62" s="72">
        <x:f>IF(A62="","",EDATE(Dashboard!$B$10,(A62-1)*(12/Dashboard!$B$9)))</x:f>
        <x:v>47757</x:v>
      </x:c>
      <x:c r="C62" s="73">
        <x:f>IF(A62="","",$J61)</x:f>
        <x:v>200200.63</x:v>
      </x:c>
      <x:c r="D62" s="73">
        <x:f>IF(A62="","",ROUND(MIN(Moteur!$B$3,C62+G62),2))</x:f>
        <x:v>1488.73</x:v>
      </x:c>
      <x:c r="E62" s="73">
        <x:f>IF(A62="","",ROUND(MIN(Dashboard!$B$11,MAX(0,C62-(D62-G62))),2))</x:f>
        <x:v>150</x:v>
      </x:c>
      <x:c r="F62" s="73">
        <x:f>IF(A62="","",ROUND(C62*Dashboard!$B$12/Dashboard!$B$9,2))</x:f>
        <x:v>50.05</x:v>
      </x:c>
      <x:c r="G62" s="73">
        <x:f>IF(A62="","",ROUND(C62*Moteur!$B$2,2))</x:f>
        <x:v>633.97</x:v>
      </x:c>
      <x:c r="H62" s="73">
        <x:f>IF(A62="","",ROUND(MIN(C62,D62-G62+E62),2))</x:f>
        <x:v>1004.76</x:v>
      </x:c>
      <x:c r="I62" s="73">
        <x:f>IF(A62="","",ROUND(D62+E62+F62,2))</x:f>
        <x:v>1688.78</x:v>
      </x:c>
      <x:c r="J62" s="73">
        <x:f>IF(A62="","",ROUND(MAX(0,C62-H62),2))</x:f>
        <x:v>199195.87</x:v>
      </x:c>
      <x:c r="K62" s="74">
        <x:f>IF(A62="","",1-(J62/Dashboard!$B$6))</x:f>
        <x:v>0.20321652</x:v>
      </x:c>
      <x:c r="L62" s="38" t="str">
        <x:f>IF(A62="","",IF(J62=0,"Soldé","En cours"))</x:f>
        <x:v>En cours</x:v>
      </x:c>
      <x:c r="M62" s="73">
        <x:f>IF(A62="","",ROUND(SUM($G$8:G62),2))</x:f>
        <x:v>39326.02</x:v>
      </x:c>
    </x:row>
    <x:row r="63" ht="20" customHeight="1">
      <x:c r="A63" s="75">
        <x:f>IF(OR($J62="",ROUND($J62,2)=0),"",$A62+1)</x:f>
        <x:v>56</x:v>
      </x:c>
      <x:c r="B63" s="76">
        <x:f>IF(A63="","",EDATE(Dashboard!$B$10,(A63-1)*(12/Dashboard!$B$9)))</x:f>
        <x:v>47788</x:v>
      </x:c>
      <x:c r="C63" s="77">
        <x:f>IF(A63="","",$J62)</x:f>
        <x:v>199195.87</x:v>
      </x:c>
      <x:c r="D63" s="77">
        <x:f>IF(A63="","",ROUND(MIN(Moteur!$B$3,C63+G63),2))</x:f>
        <x:v>1488.73</x:v>
      </x:c>
      <x:c r="E63" s="77">
        <x:f>IF(A63="","",ROUND(MIN(Dashboard!$B$11,MAX(0,C63-(D63-G63))),2))</x:f>
        <x:v>150</x:v>
      </x:c>
      <x:c r="F63" s="77">
        <x:f>IF(A63="","",ROUND(C63*Dashboard!$B$12/Dashboard!$B$9,2))</x:f>
        <x:v>49.8</x:v>
      </x:c>
      <x:c r="G63" s="77">
        <x:f>IF(A63="","",ROUND(C63*Moteur!$B$2,2))</x:f>
        <x:v>630.79</x:v>
      </x:c>
      <x:c r="H63" s="77">
        <x:f>IF(A63="","",ROUND(MIN(C63,D63-G63+E63),2))</x:f>
        <x:v>1007.94</x:v>
      </x:c>
      <x:c r="I63" s="77">
        <x:f>IF(A63="","",ROUND(D63+E63+F63,2))</x:f>
        <x:v>1688.53</x:v>
      </x:c>
      <x:c r="J63" s="77">
        <x:f>IF(A63="","",ROUND(MAX(0,C63-H63),2))</x:f>
        <x:v>198187.93</x:v>
      </x:c>
      <x:c r="K63" s="78">
        <x:f>IF(A63="","",1-(J63/Dashboard!$B$6))</x:f>
        <x:v>0.20724828000000006</x:v>
      </x:c>
      <x:c r="L63" s="43" t="str">
        <x:f>IF(A63="","",IF(J63=0,"Soldé","En cours"))</x:f>
        <x:v>En cours</x:v>
      </x:c>
      <x:c r="M63" s="77">
        <x:f>IF(A63="","",ROUND(SUM($G$8:G63),2))</x:f>
        <x:v>39956.81</x:v>
      </x:c>
    </x:row>
    <x:row r="64" ht="20" customHeight="1">
      <x:c r="A64" s="71">
        <x:f>IF(OR($J63="",ROUND($J63,2)=0),"",$A63+1)</x:f>
        <x:v>57</x:v>
      </x:c>
      <x:c r="B64" s="72">
        <x:f>IF(A64="","",EDATE(Dashboard!$B$10,(A64-1)*(12/Dashboard!$B$9)))</x:f>
        <x:v>47818</x:v>
      </x:c>
      <x:c r="C64" s="73">
        <x:f>IF(A64="","",$J63)</x:f>
        <x:v>198187.93</x:v>
      </x:c>
      <x:c r="D64" s="73">
        <x:f>IF(A64="","",ROUND(MIN(Moteur!$B$3,C64+G64),2))</x:f>
        <x:v>1488.73</x:v>
      </x:c>
      <x:c r="E64" s="73">
        <x:f>IF(A64="","",ROUND(MIN(Dashboard!$B$11,MAX(0,C64-(D64-G64))),2))</x:f>
        <x:v>150</x:v>
      </x:c>
      <x:c r="F64" s="73">
        <x:f>IF(A64="","",ROUND(C64*Dashboard!$B$12/Dashboard!$B$9,2))</x:f>
        <x:v>49.55</x:v>
      </x:c>
      <x:c r="G64" s="73">
        <x:f>IF(A64="","",ROUND(C64*Moteur!$B$2,2))</x:f>
        <x:v>627.6</x:v>
      </x:c>
      <x:c r="H64" s="73">
        <x:f>IF(A64="","",ROUND(MIN(C64,D64-G64+E64),2))</x:f>
        <x:v>1011.13</x:v>
      </x:c>
      <x:c r="I64" s="73">
        <x:f>IF(A64="","",ROUND(D64+E64+F64,2))</x:f>
        <x:v>1688.28</x:v>
      </x:c>
      <x:c r="J64" s="73">
        <x:f>IF(A64="","",ROUND(MAX(0,C64-H64),2))</x:f>
        <x:v>197176.8</x:v>
      </x:c>
      <x:c r="K64" s="74">
        <x:f>IF(A64="","",1-(J64/Dashboard!$B$6))</x:f>
        <x:v>0.21129280000000006</x:v>
      </x:c>
      <x:c r="L64" s="38" t="str">
        <x:f>IF(A64="","",IF(J64=0,"Soldé","En cours"))</x:f>
        <x:v>En cours</x:v>
      </x:c>
      <x:c r="M64" s="73">
        <x:f>IF(A64="","",ROUND(SUM($G$8:G64),2))</x:f>
        <x:v>40584.41</x:v>
      </x:c>
    </x:row>
    <x:row r="65" ht="20" customHeight="1">
      <x:c r="A65" s="75">
        <x:f>IF(OR($J64="",ROUND($J64,2)=0),"",$A64+1)</x:f>
        <x:v>58</x:v>
      </x:c>
      <x:c r="B65" s="76">
        <x:f>IF(A65="","",EDATE(Dashboard!$B$10,(A65-1)*(12/Dashboard!$B$9)))</x:f>
        <x:v>47849</x:v>
      </x:c>
      <x:c r="C65" s="77">
        <x:f>IF(A65="","",$J64)</x:f>
        <x:v>197176.8</x:v>
      </x:c>
      <x:c r="D65" s="77">
        <x:f>IF(A65="","",ROUND(MIN(Moteur!$B$3,C65+G65),2))</x:f>
        <x:v>1488.73</x:v>
      </x:c>
      <x:c r="E65" s="77">
        <x:f>IF(A65="","",ROUND(MIN(Dashboard!$B$11,MAX(0,C65-(D65-G65))),2))</x:f>
        <x:v>150</x:v>
      </x:c>
      <x:c r="F65" s="77">
        <x:f>IF(A65="","",ROUND(C65*Dashboard!$B$12/Dashboard!$B$9,2))</x:f>
        <x:v>49.29</x:v>
      </x:c>
      <x:c r="G65" s="77">
        <x:f>IF(A65="","",ROUND(C65*Moteur!$B$2,2))</x:f>
        <x:v>624.39</x:v>
      </x:c>
      <x:c r="H65" s="77">
        <x:f>IF(A65="","",ROUND(MIN(C65,D65-G65+E65),2))</x:f>
        <x:v>1014.34</x:v>
      </x:c>
      <x:c r="I65" s="77">
        <x:f>IF(A65="","",ROUND(D65+E65+F65,2))</x:f>
        <x:v>1688.02</x:v>
      </x:c>
      <x:c r="J65" s="77">
        <x:f>IF(A65="","",ROUND(MAX(0,C65-H65),2))</x:f>
        <x:v>196162.46</x:v>
      </x:c>
      <x:c r="K65" s="78">
        <x:f>IF(A65="","",1-(J65/Dashboard!$B$6))</x:f>
        <x:v>0.21535016000000007</x:v>
      </x:c>
      <x:c r="L65" s="43" t="str">
        <x:f>IF(A65="","",IF(J65=0,"Soldé","En cours"))</x:f>
        <x:v>En cours</x:v>
      </x:c>
      <x:c r="M65" s="77">
        <x:f>IF(A65="","",ROUND(SUM($G$8:G65),2))</x:f>
        <x:v>41208.8</x:v>
      </x:c>
    </x:row>
    <x:row r="66" ht="20" customHeight="1">
      <x:c r="A66" s="71">
        <x:f>IF(OR($J65="",ROUND($J65,2)=0),"",$A65+1)</x:f>
        <x:v>59</x:v>
      </x:c>
      <x:c r="B66" s="72">
        <x:f>IF(A66="","",EDATE(Dashboard!$B$10,(A66-1)*(12/Dashboard!$B$9)))</x:f>
        <x:v>47880</x:v>
      </x:c>
      <x:c r="C66" s="73">
        <x:f>IF(A66="","",$J65)</x:f>
        <x:v>196162.46</x:v>
      </x:c>
      <x:c r="D66" s="73">
        <x:f>IF(A66="","",ROUND(MIN(Moteur!$B$3,C66+G66),2))</x:f>
        <x:v>1488.73</x:v>
      </x:c>
      <x:c r="E66" s="73">
        <x:f>IF(A66="","",ROUND(MIN(Dashboard!$B$11,MAX(0,C66-(D66-G66))),2))</x:f>
        <x:v>150</x:v>
      </x:c>
      <x:c r="F66" s="73">
        <x:f>IF(A66="","",ROUND(C66*Dashboard!$B$12/Dashboard!$B$9,2))</x:f>
        <x:v>49.04</x:v>
      </x:c>
      <x:c r="G66" s="73">
        <x:f>IF(A66="","",ROUND(C66*Moteur!$B$2,2))</x:f>
        <x:v>621.18</x:v>
      </x:c>
      <x:c r="H66" s="73">
        <x:f>IF(A66="","",ROUND(MIN(C66,D66-G66+E66),2))</x:f>
        <x:v>1017.55</x:v>
      </x:c>
      <x:c r="I66" s="73">
        <x:f>IF(A66="","",ROUND(D66+E66+F66,2))</x:f>
        <x:v>1687.77</x:v>
      </x:c>
      <x:c r="J66" s="73">
        <x:f>IF(A66="","",ROUND(MAX(0,C66-H66),2))</x:f>
        <x:v>195144.91</x:v>
      </x:c>
      <x:c r="K66" s="74">
        <x:f>IF(A66="","",1-(J66/Dashboard!$B$6))</x:f>
        <x:v>0.21942035999999998</x:v>
      </x:c>
      <x:c r="L66" s="38" t="str">
        <x:f>IF(A66="","",IF(J66=0,"Soldé","En cours"))</x:f>
        <x:v>En cours</x:v>
      </x:c>
      <x:c r="M66" s="73">
        <x:f>IF(A66="","",ROUND(SUM($G$8:G66),2))</x:f>
        <x:v>41829.98</x:v>
      </x:c>
    </x:row>
    <x:row r="67" ht="20" customHeight="1">
      <x:c r="A67" s="75">
        <x:f>IF(OR($J66="",ROUND($J66,2)=0),"",$A66+1)</x:f>
        <x:v>60</x:v>
      </x:c>
      <x:c r="B67" s="76">
        <x:f>IF(A67="","",EDATE(Dashboard!$B$10,(A67-1)*(12/Dashboard!$B$9)))</x:f>
        <x:v>47908</x:v>
      </x:c>
      <x:c r="C67" s="77">
        <x:f>IF(A67="","",$J66)</x:f>
        <x:v>195144.91</x:v>
      </x:c>
      <x:c r="D67" s="77">
        <x:f>IF(A67="","",ROUND(MIN(Moteur!$B$3,C67+G67),2))</x:f>
        <x:v>1488.73</x:v>
      </x:c>
      <x:c r="E67" s="77">
        <x:f>IF(A67="","",ROUND(MIN(Dashboard!$B$11,MAX(0,C67-(D67-G67))),2))</x:f>
        <x:v>150</x:v>
      </x:c>
      <x:c r="F67" s="77">
        <x:f>IF(A67="","",ROUND(C67*Dashboard!$B$12/Dashboard!$B$9,2))</x:f>
        <x:v>48.79</x:v>
      </x:c>
      <x:c r="G67" s="77">
        <x:f>IF(A67="","",ROUND(C67*Moteur!$B$2,2))</x:f>
        <x:v>617.96</x:v>
      </x:c>
      <x:c r="H67" s="77">
        <x:f>IF(A67="","",ROUND(MIN(C67,D67-G67+E67),2))</x:f>
        <x:v>1020.77</x:v>
      </x:c>
      <x:c r="I67" s="77">
        <x:f>IF(A67="","",ROUND(D67+E67+F67,2))</x:f>
        <x:v>1687.52</x:v>
      </x:c>
      <x:c r="J67" s="77">
        <x:f>IF(A67="","",ROUND(MAX(0,C67-H67),2))</x:f>
        <x:v>194124.14</x:v>
      </x:c>
      <x:c r="K67" s="78">
        <x:f>IF(A67="","",1-(J67/Dashboard!$B$6))</x:f>
        <x:v>0.22350344</x:v>
      </x:c>
      <x:c r="L67" s="43" t="str">
        <x:f>IF(A67="","",IF(J67=0,"Soldé","En cours"))</x:f>
        <x:v>En cours</x:v>
      </x:c>
      <x:c r="M67" s="77">
        <x:f>IF(A67="","",ROUND(SUM($G$8:G67),2))</x:f>
        <x:v>42447.94</x:v>
      </x:c>
    </x:row>
    <x:row r="68" ht="20" customHeight="1">
      <x:c r="A68" s="71">
        <x:f>IF(OR($J67="",ROUND($J67,2)=0),"",$A67+1)</x:f>
        <x:v>61</x:v>
      </x:c>
      <x:c r="B68" s="72">
        <x:f>IF(A68="","",EDATE(Dashboard!$B$10,(A68-1)*(12/Dashboard!$B$9)))</x:f>
        <x:v>47939</x:v>
      </x:c>
      <x:c r="C68" s="73">
        <x:f>IF(A68="","",$J67)</x:f>
        <x:v>194124.14</x:v>
      </x:c>
      <x:c r="D68" s="73">
        <x:f>IF(A68="","",ROUND(MIN(Moteur!$B$3,C68+G68),2))</x:f>
        <x:v>1488.73</x:v>
      </x:c>
      <x:c r="E68" s="73">
        <x:f>IF(A68="","",ROUND(MIN(Dashboard!$B$11,MAX(0,C68-(D68-G68))),2))</x:f>
        <x:v>150</x:v>
      </x:c>
      <x:c r="F68" s="73">
        <x:f>IF(A68="","",ROUND(C68*Dashboard!$B$12/Dashboard!$B$9,2))</x:f>
        <x:v>48.53</x:v>
      </x:c>
      <x:c r="G68" s="73">
        <x:f>IF(A68="","",ROUND(C68*Moteur!$B$2,2))</x:f>
        <x:v>614.73</x:v>
      </x:c>
      <x:c r="H68" s="73">
        <x:f>IF(A68="","",ROUND(MIN(C68,D68-G68+E68),2))</x:f>
        <x:v>1024</x:v>
      </x:c>
      <x:c r="I68" s="73">
        <x:f>IF(A68="","",ROUND(D68+E68+F68,2))</x:f>
        <x:v>1687.26</x:v>
      </x:c>
      <x:c r="J68" s="73">
        <x:f>IF(A68="","",ROUND(MAX(0,C68-H68),2))</x:f>
        <x:v>193100.14</x:v>
      </x:c>
      <x:c r="K68" s="74">
        <x:f>IF(A68="","",1-(J68/Dashboard!$B$6))</x:f>
        <x:v>0.22759944</x:v>
      </x:c>
      <x:c r="L68" s="38" t="str">
        <x:f>IF(A68="","",IF(J68=0,"Soldé","En cours"))</x:f>
        <x:v>En cours</x:v>
      </x:c>
      <x:c r="M68" s="73">
        <x:f>IF(A68="","",ROUND(SUM($G$8:G68),2))</x:f>
        <x:v>43062.67</x:v>
      </x:c>
    </x:row>
    <x:row r="69" ht="20" customHeight="1">
      <x:c r="A69" s="75">
        <x:f>IF(OR($J68="",ROUND($J68,2)=0),"",$A68+1)</x:f>
        <x:v>62</x:v>
      </x:c>
      <x:c r="B69" s="76">
        <x:f>IF(A69="","",EDATE(Dashboard!$B$10,(A69-1)*(12/Dashboard!$B$9)))</x:f>
        <x:v>47969</x:v>
      </x:c>
      <x:c r="C69" s="77">
        <x:f>IF(A69="","",$J68)</x:f>
        <x:v>193100.14</x:v>
      </x:c>
      <x:c r="D69" s="77">
        <x:f>IF(A69="","",ROUND(MIN(Moteur!$B$3,C69+G69),2))</x:f>
        <x:v>1488.73</x:v>
      </x:c>
      <x:c r="E69" s="77">
        <x:f>IF(A69="","",ROUND(MIN(Dashboard!$B$11,MAX(0,C69-(D69-G69))),2))</x:f>
        <x:v>150</x:v>
      </x:c>
      <x:c r="F69" s="77">
        <x:f>IF(A69="","",ROUND(C69*Dashboard!$B$12/Dashboard!$B$9,2))</x:f>
        <x:v>48.28</x:v>
      </x:c>
      <x:c r="G69" s="77">
        <x:f>IF(A69="","",ROUND(C69*Moteur!$B$2,2))</x:f>
        <x:v>611.48</x:v>
      </x:c>
      <x:c r="H69" s="77">
        <x:f>IF(A69="","",ROUND(MIN(C69,D69-G69+E69),2))</x:f>
        <x:v>1027.25</x:v>
      </x:c>
      <x:c r="I69" s="77">
        <x:f>IF(A69="","",ROUND(D69+E69+F69,2))</x:f>
        <x:v>1687.01</x:v>
      </x:c>
      <x:c r="J69" s="77">
        <x:f>IF(A69="","",ROUND(MAX(0,C69-H69),2))</x:f>
        <x:v>192072.89</x:v>
      </x:c>
      <x:c r="K69" s="78">
        <x:f>IF(A69="","",1-(J69/Dashboard!$B$6))</x:f>
        <x:v>0.2317084399999999</x:v>
      </x:c>
      <x:c r="L69" s="43" t="str">
        <x:f>IF(A69="","",IF(J69=0,"Soldé","En cours"))</x:f>
        <x:v>En cours</x:v>
      </x:c>
      <x:c r="M69" s="77">
        <x:f>IF(A69="","",ROUND(SUM($G$8:G69),2))</x:f>
        <x:v>43674.15</x:v>
      </x:c>
    </x:row>
    <x:row r="70" ht="20" customHeight="1">
      <x:c r="A70" s="71">
        <x:f>IF(OR($J69="",ROUND($J69,2)=0),"",$A69+1)</x:f>
        <x:v>63</x:v>
      </x:c>
      <x:c r="B70" s="72">
        <x:f>IF(A70="","",EDATE(Dashboard!$B$10,(A70-1)*(12/Dashboard!$B$9)))</x:f>
        <x:v>48000</x:v>
      </x:c>
      <x:c r="C70" s="73">
        <x:f>IF(A70="","",$J69)</x:f>
        <x:v>192072.89</x:v>
      </x:c>
      <x:c r="D70" s="73">
        <x:f>IF(A70="","",ROUND(MIN(Moteur!$B$3,C70+G70),2))</x:f>
        <x:v>1488.73</x:v>
      </x:c>
      <x:c r="E70" s="73">
        <x:f>IF(A70="","",ROUND(MIN(Dashboard!$B$11,MAX(0,C70-(D70-G70))),2))</x:f>
        <x:v>150</x:v>
      </x:c>
      <x:c r="F70" s="73">
        <x:f>IF(A70="","",ROUND(C70*Dashboard!$B$12/Dashboard!$B$9,2))</x:f>
        <x:v>48.02</x:v>
      </x:c>
      <x:c r="G70" s="73">
        <x:f>IF(A70="","",ROUND(C70*Moteur!$B$2,2))</x:f>
        <x:v>608.23</x:v>
      </x:c>
      <x:c r="H70" s="73">
        <x:f>IF(A70="","",ROUND(MIN(C70,D70-G70+E70),2))</x:f>
        <x:v>1030.5</x:v>
      </x:c>
      <x:c r="I70" s="73">
        <x:f>IF(A70="","",ROUND(D70+E70+F70,2))</x:f>
        <x:v>1686.75</x:v>
      </x:c>
      <x:c r="J70" s="73">
        <x:f>IF(A70="","",ROUND(MAX(0,C70-H70),2))</x:f>
        <x:v>191042.39</x:v>
      </x:c>
      <x:c r="K70" s="74">
        <x:f>IF(A70="","",1-(J70/Dashboard!$B$6))</x:f>
        <x:v>0.23583043999999997</x:v>
      </x:c>
      <x:c r="L70" s="38" t="str">
        <x:f>IF(A70="","",IF(J70=0,"Soldé","En cours"))</x:f>
        <x:v>En cours</x:v>
      </x:c>
      <x:c r="M70" s="73">
        <x:f>IF(A70="","",ROUND(SUM($G$8:G70),2))</x:f>
        <x:v>44282.38</x:v>
      </x:c>
    </x:row>
    <x:row r="71" ht="20" customHeight="1">
      <x:c r="A71" s="75">
        <x:f>IF(OR($J70="",ROUND($J70,2)=0),"",$A70+1)</x:f>
        <x:v>64</x:v>
      </x:c>
      <x:c r="B71" s="76">
        <x:f>IF(A71="","",EDATE(Dashboard!$B$10,(A71-1)*(12/Dashboard!$B$9)))</x:f>
        <x:v>48030</x:v>
      </x:c>
      <x:c r="C71" s="77">
        <x:f>IF(A71="","",$J70)</x:f>
        <x:v>191042.39</x:v>
      </x:c>
      <x:c r="D71" s="77">
        <x:f>IF(A71="","",ROUND(MIN(Moteur!$B$3,C71+G71),2))</x:f>
        <x:v>1488.73</x:v>
      </x:c>
      <x:c r="E71" s="77">
        <x:f>IF(A71="","",ROUND(MIN(Dashboard!$B$11,MAX(0,C71-(D71-G71))),2))</x:f>
        <x:v>150</x:v>
      </x:c>
      <x:c r="F71" s="77">
        <x:f>IF(A71="","",ROUND(C71*Dashboard!$B$12/Dashboard!$B$9,2))</x:f>
        <x:v>47.76</x:v>
      </x:c>
      <x:c r="G71" s="77">
        <x:f>IF(A71="","",ROUND(C71*Moteur!$B$2,2))</x:f>
        <x:v>604.97</x:v>
      </x:c>
      <x:c r="H71" s="77">
        <x:f>IF(A71="","",ROUND(MIN(C71,D71-G71+E71),2))</x:f>
        <x:v>1033.76</x:v>
      </x:c>
      <x:c r="I71" s="77">
        <x:f>IF(A71="","",ROUND(D71+E71+F71,2))</x:f>
        <x:v>1686.49</x:v>
      </x:c>
      <x:c r="J71" s="77">
        <x:f>IF(A71="","",ROUND(MAX(0,C71-H71),2))</x:f>
        <x:v>190008.63</x:v>
      </x:c>
      <x:c r="K71" s="78">
        <x:f>IF(A71="","",1-(J71/Dashboard!$B$6))</x:f>
        <x:v>0.23996547999999995</x:v>
      </x:c>
      <x:c r="L71" s="43" t="str">
        <x:f>IF(A71="","",IF(J71=0,"Soldé","En cours"))</x:f>
        <x:v>En cours</x:v>
      </x:c>
      <x:c r="M71" s="77">
        <x:f>IF(A71="","",ROUND(SUM($G$8:G71),2))</x:f>
        <x:v>44887.35</x:v>
      </x:c>
    </x:row>
    <x:row r="72" ht="20" customHeight="1">
      <x:c r="A72" s="71">
        <x:f>IF(OR($J71="",ROUND($J71,2)=0),"",$A71+1)</x:f>
        <x:v>65</x:v>
      </x:c>
      <x:c r="B72" s="72">
        <x:f>IF(A72="","",EDATE(Dashboard!$B$10,(A72-1)*(12/Dashboard!$B$9)))</x:f>
        <x:v>48061</x:v>
      </x:c>
      <x:c r="C72" s="73">
        <x:f>IF(A72="","",$J71)</x:f>
        <x:v>190008.63</x:v>
      </x:c>
      <x:c r="D72" s="73">
        <x:f>IF(A72="","",ROUND(MIN(Moteur!$B$3,C72+G72),2))</x:f>
        <x:v>1488.73</x:v>
      </x:c>
      <x:c r="E72" s="73">
        <x:f>IF(A72="","",ROUND(MIN(Dashboard!$B$11,MAX(0,C72-(D72-G72))),2))</x:f>
        <x:v>150</x:v>
      </x:c>
      <x:c r="F72" s="73">
        <x:f>IF(A72="","",ROUND(C72*Dashboard!$B$12/Dashboard!$B$9,2))</x:f>
        <x:v>47.5</x:v>
      </x:c>
      <x:c r="G72" s="73">
        <x:f>IF(A72="","",ROUND(C72*Moteur!$B$2,2))</x:f>
        <x:v>601.69</x:v>
      </x:c>
      <x:c r="H72" s="73">
        <x:f>IF(A72="","",ROUND(MIN(C72,D72-G72+E72),2))</x:f>
        <x:v>1037.04</x:v>
      </x:c>
      <x:c r="I72" s="73">
        <x:f>IF(A72="","",ROUND(D72+E72+F72,2))</x:f>
        <x:v>1686.23</x:v>
      </x:c>
      <x:c r="J72" s="73">
        <x:f>IF(A72="","",ROUND(MAX(0,C72-H72),2))</x:f>
        <x:v>188971.59</x:v>
      </x:c>
      <x:c r="K72" s="74">
        <x:f>IF(A72="","",1-(J72/Dashboard!$B$6))</x:f>
        <x:v>0.24411364000000002</x:v>
      </x:c>
      <x:c r="L72" s="38" t="str">
        <x:f>IF(A72="","",IF(J72=0,"Soldé","En cours"))</x:f>
        <x:v>En cours</x:v>
      </x:c>
      <x:c r="M72" s="73">
        <x:f>IF(A72="","",ROUND(SUM($G$8:G72),2))</x:f>
        <x:v>45489.04</x:v>
      </x:c>
    </x:row>
    <x:row r="73" ht="20" customHeight="1">
      <x:c r="A73" s="75">
        <x:f>IF(OR($J72="",ROUND($J72,2)=0),"",$A72+1)</x:f>
        <x:v>66</x:v>
      </x:c>
      <x:c r="B73" s="76">
        <x:f>IF(A73="","",EDATE(Dashboard!$B$10,(A73-1)*(12/Dashboard!$B$9)))</x:f>
        <x:v>48092</x:v>
      </x:c>
      <x:c r="C73" s="77">
        <x:f>IF(A73="","",$J72)</x:f>
        <x:v>188971.59</x:v>
      </x:c>
      <x:c r="D73" s="77">
        <x:f>IF(A73="","",ROUND(MIN(Moteur!$B$3,C73+G73),2))</x:f>
        <x:v>1488.73</x:v>
      </x:c>
      <x:c r="E73" s="77">
        <x:f>IF(A73="","",ROUND(MIN(Dashboard!$B$11,MAX(0,C73-(D73-G73))),2))</x:f>
        <x:v>150</x:v>
      </x:c>
      <x:c r="F73" s="77">
        <x:f>IF(A73="","",ROUND(C73*Dashboard!$B$12/Dashboard!$B$9,2))</x:f>
        <x:v>47.24</x:v>
      </x:c>
      <x:c r="G73" s="77">
        <x:f>IF(A73="","",ROUND(C73*Moteur!$B$2,2))</x:f>
        <x:v>598.41</x:v>
      </x:c>
      <x:c r="H73" s="77">
        <x:f>IF(A73="","",ROUND(MIN(C73,D73-G73+E73),2))</x:f>
        <x:v>1040.32</x:v>
      </x:c>
      <x:c r="I73" s="77">
        <x:f>IF(A73="","",ROUND(D73+E73+F73,2))</x:f>
        <x:v>1685.97</x:v>
      </x:c>
      <x:c r="J73" s="77">
        <x:f>IF(A73="","",ROUND(MAX(0,C73-H73),2))</x:f>
        <x:v>187931.27</x:v>
      </x:c>
      <x:c r="K73" s="78">
        <x:f>IF(A73="","",1-(J73/Dashboard!$B$6))</x:f>
        <x:v>0.24827492000000007</x:v>
      </x:c>
      <x:c r="L73" s="43" t="str">
        <x:f>IF(A73="","",IF(J73=0,"Soldé","En cours"))</x:f>
        <x:v>En cours</x:v>
      </x:c>
      <x:c r="M73" s="77">
        <x:f>IF(A73="","",ROUND(SUM($G$8:G73),2))</x:f>
        <x:v>46087.45</x:v>
      </x:c>
    </x:row>
    <x:row r="74" ht="20" customHeight="1">
      <x:c r="A74" s="71">
        <x:f>IF(OR($J73="",ROUND($J73,2)=0),"",$A73+1)</x:f>
        <x:v>67</x:v>
      </x:c>
      <x:c r="B74" s="72">
        <x:f>IF(A74="","",EDATE(Dashboard!$B$10,(A74-1)*(12/Dashboard!$B$9)))</x:f>
        <x:v>48122</x:v>
      </x:c>
      <x:c r="C74" s="73">
        <x:f>IF(A74="","",$J73)</x:f>
        <x:v>187931.27</x:v>
      </x:c>
      <x:c r="D74" s="73">
        <x:f>IF(A74="","",ROUND(MIN(Moteur!$B$3,C74+G74),2))</x:f>
        <x:v>1488.73</x:v>
      </x:c>
      <x:c r="E74" s="73">
        <x:f>IF(A74="","",ROUND(MIN(Dashboard!$B$11,MAX(0,C74-(D74-G74))),2))</x:f>
        <x:v>150</x:v>
      </x:c>
      <x:c r="F74" s="73">
        <x:f>IF(A74="","",ROUND(C74*Dashboard!$B$12/Dashboard!$B$9,2))</x:f>
        <x:v>46.98</x:v>
      </x:c>
      <x:c r="G74" s="73">
        <x:f>IF(A74="","",ROUND(C74*Moteur!$B$2,2))</x:f>
        <x:v>595.12</x:v>
      </x:c>
      <x:c r="H74" s="73">
        <x:f>IF(A74="","",ROUND(MIN(C74,D74-G74+E74),2))</x:f>
        <x:v>1043.61</x:v>
      </x:c>
      <x:c r="I74" s="73">
        <x:f>IF(A74="","",ROUND(D74+E74+F74,2))</x:f>
        <x:v>1685.71</x:v>
      </x:c>
      <x:c r="J74" s="73">
        <x:f>IF(A74="","",ROUND(MAX(0,C74-H74),2))</x:f>
        <x:v>186887.66</x:v>
      </x:c>
      <x:c r="K74" s="74">
        <x:f>IF(A74="","",1-(J74/Dashboard!$B$6))</x:f>
        <x:v>0.25244935999999996</x:v>
      </x:c>
      <x:c r="L74" s="38" t="str">
        <x:f>IF(A74="","",IF(J74=0,"Soldé","En cours"))</x:f>
        <x:v>En cours</x:v>
      </x:c>
      <x:c r="M74" s="73">
        <x:f>IF(A74="","",ROUND(SUM($G$8:G74),2))</x:f>
        <x:v>46682.57</x:v>
      </x:c>
    </x:row>
    <x:row r="75" ht="20" customHeight="1">
      <x:c r="A75" s="75">
        <x:f>IF(OR($J74="",ROUND($J74,2)=0),"",$A74+1)</x:f>
        <x:v>68</x:v>
      </x:c>
      <x:c r="B75" s="76">
        <x:f>IF(A75="","",EDATE(Dashboard!$B$10,(A75-1)*(12/Dashboard!$B$9)))</x:f>
        <x:v>48153</x:v>
      </x:c>
      <x:c r="C75" s="77">
        <x:f>IF(A75="","",$J74)</x:f>
        <x:v>186887.66</x:v>
      </x:c>
      <x:c r="D75" s="77">
        <x:f>IF(A75="","",ROUND(MIN(Moteur!$B$3,C75+G75),2))</x:f>
        <x:v>1488.73</x:v>
      </x:c>
      <x:c r="E75" s="77">
        <x:f>IF(A75="","",ROUND(MIN(Dashboard!$B$11,MAX(0,C75-(D75-G75))),2))</x:f>
        <x:v>150</x:v>
      </x:c>
      <x:c r="F75" s="77">
        <x:f>IF(A75="","",ROUND(C75*Dashboard!$B$12/Dashboard!$B$9,2))</x:f>
        <x:v>46.72</x:v>
      </x:c>
      <x:c r="G75" s="77">
        <x:f>IF(A75="","",ROUND(C75*Moteur!$B$2,2))</x:f>
        <x:v>591.81</x:v>
      </x:c>
      <x:c r="H75" s="77">
        <x:f>IF(A75="","",ROUND(MIN(C75,D75-G75+E75),2))</x:f>
        <x:v>1046.92</x:v>
      </x:c>
      <x:c r="I75" s="77">
        <x:f>IF(A75="","",ROUND(D75+E75+F75,2))</x:f>
        <x:v>1685.45</x:v>
      </x:c>
      <x:c r="J75" s="77">
        <x:f>IF(A75="","",ROUND(MAX(0,C75-H75),2))</x:f>
        <x:v>185840.74</x:v>
      </x:c>
      <x:c r="K75" s="78">
        <x:f>IF(A75="","",1-(J75/Dashboard!$B$6))</x:f>
        <x:v>0.25663704</x:v>
      </x:c>
      <x:c r="L75" s="43" t="str">
        <x:f>IF(A75="","",IF(J75=0,"Soldé","En cours"))</x:f>
        <x:v>En cours</x:v>
      </x:c>
      <x:c r="M75" s="77">
        <x:f>IF(A75="","",ROUND(SUM($G$8:G75),2))</x:f>
        <x:v>47274.38</x:v>
      </x:c>
    </x:row>
    <x:row r="76" ht="20" customHeight="1">
      <x:c r="A76" s="71">
        <x:f>IF(OR($J75="",ROUND($J75,2)=0),"",$A75+1)</x:f>
        <x:v>69</x:v>
      </x:c>
      <x:c r="B76" s="72">
        <x:f>IF(A76="","",EDATE(Dashboard!$B$10,(A76-1)*(12/Dashboard!$B$9)))</x:f>
        <x:v>48183</x:v>
      </x:c>
      <x:c r="C76" s="73">
        <x:f>IF(A76="","",$J75)</x:f>
        <x:v>185840.74</x:v>
      </x:c>
      <x:c r="D76" s="73">
        <x:f>IF(A76="","",ROUND(MIN(Moteur!$B$3,C76+G76),2))</x:f>
        <x:v>1488.73</x:v>
      </x:c>
      <x:c r="E76" s="73">
        <x:f>IF(A76="","",ROUND(MIN(Dashboard!$B$11,MAX(0,C76-(D76-G76))),2))</x:f>
        <x:v>150</x:v>
      </x:c>
      <x:c r="F76" s="73">
        <x:f>IF(A76="","",ROUND(C76*Dashboard!$B$12/Dashboard!$B$9,2))</x:f>
        <x:v>46.46</x:v>
      </x:c>
      <x:c r="G76" s="73">
        <x:f>IF(A76="","",ROUND(C76*Moteur!$B$2,2))</x:f>
        <x:v>588.5</x:v>
      </x:c>
      <x:c r="H76" s="73">
        <x:f>IF(A76="","",ROUND(MIN(C76,D76-G76+E76),2))</x:f>
        <x:v>1050.23</x:v>
      </x:c>
      <x:c r="I76" s="73">
        <x:f>IF(A76="","",ROUND(D76+E76+F76,2))</x:f>
        <x:v>1685.19</x:v>
      </x:c>
      <x:c r="J76" s="73">
        <x:f>IF(A76="","",ROUND(MAX(0,C76-H76),2))</x:f>
        <x:v>184790.51</x:v>
      </x:c>
      <x:c r="K76" s="74">
        <x:f>IF(A76="","",1-(J76/Dashboard!$B$6))</x:f>
        <x:v>0.2608379599999999</x:v>
      </x:c>
      <x:c r="L76" s="38" t="str">
        <x:f>IF(A76="","",IF(J76=0,"Soldé","En cours"))</x:f>
        <x:v>En cours</x:v>
      </x:c>
      <x:c r="M76" s="73">
        <x:f>IF(A76="","",ROUND(SUM($G$8:G76),2))</x:f>
        <x:v>47862.88</x:v>
      </x:c>
    </x:row>
    <x:row r="77" ht="20" customHeight="1">
      <x:c r="A77" s="75">
        <x:f>IF(OR($J76="",ROUND($J76,2)=0),"",$A76+1)</x:f>
        <x:v>70</x:v>
      </x:c>
      <x:c r="B77" s="76">
        <x:f>IF(A77="","",EDATE(Dashboard!$B$10,(A77-1)*(12/Dashboard!$B$9)))</x:f>
        <x:v>48214</x:v>
      </x:c>
      <x:c r="C77" s="77">
        <x:f>IF(A77="","",$J76)</x:f>
        <x:v>184790.51</x:v>
      </x:c>
      <x:c r="D77" s="77">
        <x:f>IF(A77="","",ROUND(MIN(Moteur!$B$3,C77+G77),2))</x:f>
        <x:v>1488.73</x:v>
      </x:c>
      <x:c r="E77" s="77">
        <x:f>IF(A77="","",ROUND(MIN(Dashboard!$B$11,MAX(0,C77-(D77-G77))),2))</x:f>
        <x:v>150</x:v>
      </x:c>
      <x:c r="F77" s="77">
        <x:f>IF(A77="","",ROUND(C77*Dashboard!$B$12/Dashboard!$B$9,2))</x:f>
        <x:v>46.2</x:v>
      </x:c>
      <x:c r="G77" s="77">
        <x:f>IF(A77="","",ROUND(C77*Moteur!$B$2,2))</x:f>
        <x:v>585.17</x:v>
      </x:c>
      <x:c r="H77" s="77">
        <x:f>IF(A77="","",ROUND(MIN(C77,D77-G77+E77),2))</x:f>
        <x:v>1053.56</x:v>
      </x:c>
      <x:c r="I77" s="77">
        <x:f>IF(A77="","",ROUND(D77+E77+F77,2))</x:f>
        <x:v>1684.93</x:v>
      </x:c>
      <x:c r="J77" s="77">
        <x:f>IF(A77="","",ROUND(MAX(0,C77-H77),2))</x:f>
        <x:v>183736.95</x:v>
      </x:c>
      <x:c r="K77" s="78">
        <x:f>IF(A77="","",1-(J77/Dashboard!$B$6))</x:f>
        <x:v>0.26505219999999996</x:v>
      </x:c>
      <x:c r="L77" s="43" t="str">
        <x:f>IF(A77="","",IF(J77=0,"Soldé","En cours"))</x:f>
        <x:v>En cours</x:v>
      </x:c>
      <x:c r="M77" s="77">
        <x:f>IF(A77="","",ROUND(SUM($G$8:G77),2))</x:f>
        <x:v>48448.05</x:v>
      </x:c>
    </x:row>
    <x:row r="78" ht="20" customHeight="1">
      <x:c r="A78" s="71">
        <x:f>IF(OR($J77="",ROUND($J77,2)=0),"",$A77+1)</x:f>
        <x:v>71</x:v>
      </x:c>
      <x:c r="B78" s="72">
        <x:f>IF(A78="","",EDATE(Dashboard!$B$10,(A78-1)*(12/Dashboard!$B$9)))</x:f>
        <x:v>48245</x:v>
      </x:c>
      <x:c r="C78" s="73">
        <x:f>IF(A78="","",$J77)</x:f>
        <x:v>183736.95</x:v>
      </x:c>
      <x:c r="D78" s="73">
        <x:f>IF(A78="","",ROUND(MIN(Moteur!$B$3,C78+G78),2))</x:f>
        <x:v>1488.73</x:v>
      </x:c>
      <x:c r="E78" s="73">
        <x:f>IF(A78="","",ROUND(MIN(Dashboard!$B$11,MAX(0,C78-(D78-G78))),2))</x:f>
        <x:v>150</x:v>
      </x:c>
      <x:c r="F78" s="73">
        <x:f>IF(A78="","",ROUND(C78*Dashboard!$B$12/Dashboard!$B$9,2))</x:f>
        <x:v>45.93</x:v>
      </x:c>
      <x:c r="G78" s="73">
        <x:f>IF(A78="","",ROUND(C78*Moteur!$B$2,2))</x:f>
        <x:v>581.83</x:v>
      </x:c>
      <x:c r="H78" s="73">
        <x:f>IF(A78="","",ROUND(MIN(C78,D78-G78+E78),2))</x:f>
        <x:v>1056.9</x:v>
      </x:c>
      <x:c r="I78" s="73">
        <x:f>IF(A78="","",ROUND(D78+E78+F78,2))</x:f>
        <x:v>1684.66</x:v>
      </x:c>
      <x:c r="J78" s="73">
        <x:f>IF(A78="","",ROUND(MAX(0,C78-H78),2))</x:f>
        <x:v>182680.05</x:v>
      </x:c>
      <x:c r="K78" s="74">
        <x:f>IF(A78="","",1-(J78/Dashboard!$B$6))</x:f>
        <x:v>0.26927980000000007</x:v>
      </x:c>
      <x:c r="L78" s="38" t="str">
        <x:f>IF(A78="","",IF(J78=0,"Soldé","En cours"))</x:f>
        <x:v>En cours</x:v>
      </x:c>
      <x:c r="M78" s="73">
        <x:f>IF(A78="","",ROUND(SUM($G$8:G78),2))</x:f>
        <x:v>49029.88</x:v>
      </x:c>
    </x:row>
    <x:row r="79" ht="20" customHeight="1">
      <x:c r="A79" s="75">
        <x:f>IF(OR($J78="",ROUND($J78,2)=0),"",$A78+1)</x:f>
        <x:v>72</x:v>
      </x:c>
      <x:c r="B79" s="76">
        <x:f>IF(A79="","",EDATE(Dashboard!$B$10,(A79-1)*(12/Dashboard!$B$9)))</x:f>
        <x:v>48274</x:v>
      </x:c>
      <x:c r="C79" s="77">
        <x:f>IF(A79="","",$J78)</x:f>
        <x:v>182680.05</x:v>
      </x:c>
      <x:c r="D79" s="77">
        <x:f>IF(A79="","",ROUND(MIN(Moteur!$B$3,C79+G79),2))</x:f>
        <x:v>1488.73</x:v>
      </x:c>
      <x:c r="E79" s="77">
        <x:f>IF(A79="","",ROUND(MIN(Dashboard!$B$11,MAX(0,C79-(D79-G79))),2))</x:f>
        <x:v>150</x:v>
      </x:c>
      <x:c r="F79" s="77">
        <x:f>IF(A79="","",ROUND(C79*Dashboard!$B$12/Dashboard!$B$9,2))</x:f>
        <x:v>45.67</x:v>
      </x:c>
      <x:c r="G79" s="77">
        <x:f>IF(A79="","",ROUND(C79*Moteur!$B$2,2))</x:f>
        <x:v>578.49</x:v>
      </x:c>
      <x:c r="H79" s="77">
        <x:f>IF(A79="","",ROUND(MIN(C79,D79-G79+E79),2))</x:f>
        <x:v>1060.24</x:v>
      </x:c>
      <x:c r="I79" s="77">
        <x:f>IF(A79="","",ROUND(D79+E79+F79,2))</x:f>
        <x:v>1684.4</x:v>
      </x:c>
      <x:c r="J79" s="77">
        <x:f>IF(A79="","",ROUND(MAX(0,C79-H79),2))</x:f>
        <x:v>181619.81</x:v>
      </x:c>
      <x:c r="K79" s="78">
        <x:f>IF(A79="","",1-(J79/Dashboard!$B$6))</x:f>
        <x:v>0.27352076000000003</x:v>
      </x:c>
      <x:c r="L79" s="43" t="str">
        <x:f>IF(A79="","",IF(J79=0,"Soldé","En cours"))</x:f>
        <x:v>En cours</x:v>
      </x:c>
      <x:c r="M79" s="77">
        <x:f>IF(A79="","",ROUND(SUM($G$8:G79),2))</x:f>
        <x:v>49608.37</x:v>
      </x:c>
    </x:row>
    <x:row r="80" ht="20" customHeight="1">
      <x:c r="A80" s="71">
        <x:f>IF(OR($J79="",ROUND($J79,2)=0),"",$A79+1)</x:f>
        <x:v>73</x:v>
      </x:c>
      <x:c r="B80" s="72">
        <x:f>IF(A80="","",EDATE(Dashboard!$B$10,(A80-1)*(12/Dashboard!$B$9)))</x:f>
        <x:v>48305</x:v>
      </x:c>
      <x:c r="C80" s="73">
        <x:f>IF(A80="","",$J79)</x:f>
        <x:v>181619.81</x:v>
      </x:c>
      <x:c r="D80" s="73">
        <x:f>IF(A80="","",ROUND(MIN(Moteur!$B$3,C80+G80),2))</x:f>
        <x:v>1488.73</x:v>
      </x:c>
      <x:c r="E80" s="73">
        <x:f>IF(A80="","",ROUND(MIN(Dashboard!$B$11,MAX(0,C80-(D80-G80))),2))</x:f>
        <x:v>150</x:v>
      </x:c>
      <x:c r="F80" s="73">
        <x:f>IF(A80="","",ROUND(C80*Dashboard!$B$12/Dashboard!$B$9,2))</x:f>
        <x:v>45.4</x:v>
      </x:c>
      <x:c r="G80" s="73">
        <x:f>IF(A80="","",ROUND(C80*Moteur!$B$2,2))</x:f>
        <x:v>575.13</x:v>
      </x:c>
      <x:c r="H80" s="73">
        <x:f>IF(A80="","",ROUND(MIN(C80,D80-G80+E80),2))</x:f>
        <x:v>1063.6</x:v>
      </x:c>
      <x:c r="I80" s="73">
        <x:f>IF(A80="","",ROUND(D80+E80+F80,2))</x:f>
        <x:v>1684.13</x:v>
      </x:c>
      <x:c r="J80" s="73">
        <x:f>IF(A80="","",ROUND(MAX(0,C80-H80),2))</x:f>
        <x:v>180556.21</x:v>
      </x:c>
      <x:c r="K80" s="74">
        <x:f>IF(A80="","",1-(J80/Dashboard!$B$6))</x:f>
        <x:v>0.27777516</x:v>
      </x:c>
      <x:c r="L80" s="38" t="str">
        <x:f>IF(A80="","",IF(J80=0,"Soldé","En cours"))</x:f>
        <x:v>En cours</x:v>
      </x:c>
      <x:c r="M80" s="73">
        <x:f>IF(A80="","",ROUND(SUM($G$8:G80),2))</x:f>
        <x:v>50183.5</x:v>
      </x:c>
    </x:row>
    <x:row r="81" ht="20" customHeight="1">
      <x:c r="A81" s="75">
        <x:f>IF(OR($J80="",ROUND($J80,2)=0),"",$A80+1)</x:f>
        <x:v>74</x:v>
      </x:c>
      <x:c r="B81" s="76">
        <x:f>IF(A81="","",EDATE(Dashboard!$B$10,(A81-1)*(12/Dashboard!$B$9)))</x:f>
        <x:v>48335</x:v>
      </x:c>
      <x:c r="C81" s="77">
        <x:f>IF(A81="","",$J80)</x:f>
        <x:v>180556.21</x:v>
      </x:c>
      <x:c r="D81" s="77">
        <x:f>IF(A81="","",ROUND(MIN(Moteur!$B$3,C81+G81),2))</x:f>
        <x:v>1488.73</x:v>
      </x:c>
      <x:c r="E81" s="77">
        <x:f>IF(A81="","",ROUND(MIN(Dashboard!$B$11,MAX(0,C81-(D81-G81))),2))</x:f>
        <x:v>150</x:v>
      </x:c>
      <x:c r="F81" s="77">
        <x:f>IF(A81="","",ROUND(C81*Dashboard!$B$12/Dashboard!$B$9,2))</x:f>
        <x:v>45.14</x:v>
      </x:c>
      <x:c r="G81" s="77">
        <x:f>IF(A81="","",ROUND(C81*Moteur!$B$2,2))</x:f>
        <x:v>571.76</x:v>
      </x:c>
      <x:c r="H81" s="77">
        <x:f>IF(A81="","",ROUND(MIN(C81,D81-G81+E81),2))</x:f>
        <x:v>1066.97</x:v>
      </x:c>
      <x:c r="I81" s="77">
        <x:f>IF(A81="","",ROUND(D81+E81+F81,2))</x:f>
        <x:v>1683.87</x:v>
      </x:c>
      <x:c r="J81" s="77">
        <x:f>IF(A81="","",ROUND(MAX(0,C81-H81),2))</x:f>
        <x:v>179489.24</x:v>
      </x:c>
      <x:c r="K81" s="78">
        <x:f>IF(A81="","",1-(J81/Dashboard!$B$6))</x:f>
        <x:v>0.28204304</x:v>
      </x:c>
      <x:c r="L81" s="43" t="str">
        <x:f>IF(A81="","",IF(J81=0,"Soldé","En cours"))</x:f>
        <x:v>En cours</x:v>
      </x:c>
      <x:c r="M81" s="77">
        <x:f>IF(A81="","",ROUND(SUM($G$8:G81),2))</x:f>
        <x:v>50755.26</x:v>
      </x:c>
    </x:row>
    <x:row r="82" ht="20" customHeight="1">
      <x:c r="A82" s="71">
        <x:f>IF(OR($J81="",ROUND($J81,2)=0),"",$A81+1)</x:f>
        <x:v>75</x:v>
      </x:c>
      <x:c r="B82" s="72">
        <x:f>IF(A82="","",EDATE(Dashboard!$B$10,(A82-1)*(12/Dashboard!$B$9)))</x:f>
        <x:v>48366</x:v>
      </x:c>
      <x:c r="C82" s="73">
        <x:f>IF(A82="","",$J81)</x:f>
        <x:v>179489.24</x:v>
      </x:c>
      <x:c r="D82" s="73">
        <x:f>IF(A82="","",ROUND(MIN(Moteur!$B$3,C82+G82),2))</x:f>
        <x:v>1488.73</x:v>
      </x:c>
      <x:c r="E82" s="73">
        <x:f>IF(A82="","",ROUND(MIN(Dashboard!$B$11,MAX(0,C82-(D82-G82))),2))</x:f>
        <x:v>150</x:v>
      </x:c>
      <x:c r="F82" s="73">
        <x:f>IF(A82="","",ROUND(C82*Dashboard!$B$12/Dashboard!$B$9,2))</x:f>
        <x:v>44.87</x:v>
      </x:c>
      <x:c r="G82" s="73">
        <x:f>IF(A82="","",ROUND(C82*Moteur!$B$2,2))</x:f>
        <x:v>568.38</x:v>
      </x:c>
      <x:c r="H82" s="73">
        <x:f>IF(A82="","",ROUND(MIN(C82,D82-G82+E82),2))</x:f>
        <x:v>1070.35</x:v>
      </x:c>
      <x:c r="I82" s="73">
        <x:f>IF(A82="","",ROUND(D82+E82+F82,2))</x:f>
        <x:v>1683.6</x:v>
      </x:c>
      <x:c r="J82" s="73">
        <x:f>IF(A82="","",ROUND(MAX(0,C82-H82),2))</x:f>
        <x:v>178418.89</x:v>
      </x:c>
      <x:c r="K82" s="74">
        <x:f>IF(A82="","",1-(J82/Dashboard!$B$6))</x:f>
        <x:v>0.2863244399999999</x:v>
      </x:c>
      <x:c r="L82" s="38" t="str">
        <x:f>IF(A82="","",IF(J82=0,"Soldé","En cours"))</x:f>
        <x:v>En cours</x:v>
      </x:c>
      <x:c r="M82" s="73">
        <x:f>IF(A82="","",ROUND(SUM($G$8:G82),2))</x:f>
        <x:v>51323.64</x:v>
      </x:c>
    </x:row>
    <x:row r="83" ht="20" customHeight="1">
      <x:c r="A83" s="75">
        <x:f>IF(OR($J82="",ROUND($J82,2)=0),"",$A82+1)</x:f>
        <x:v>76</x:v>
      </x:c>
      <x:c r="B83" s="76">
        <x:f>IF(A83="","",EDATE(Dashboard!$B$10,(A83-1)*(12/Dashboard!$B$9)))</x:f>
        <x:v>48396</x:v>
      </x:c>
      <x:c r="C83" s="77">
        <x:f>IF(A83="","",$J82)</x:f>
        <x:v>178418.89</x:v>
      </x:c>
      <x:c r="D83" s="77">
        <x:f>IF(A83="","",ROUND(MIN(Moteur!$B$3,C83+G83),2))</x:f>
        <x:v>1488.73</x:v>
      </x:c>
      <x:c r="E83" s="77">
        <x:f>IF(A83="","",ROUND(MIN(Dashboard!$B$11,MAX(0,C83-(D83-G83))),2))</x:f>
        <x:v>150</x:v>
      </x:c>
      <x:c r="F83" s="77">
        <x:f>IF(A83="","",ROUND(C83*Dashboard!$B$12/Dashboard!$B$9,2))</x:f>
        <x:v>44.6</x:v>
      </x:c>
      <x:c r="G83" s="77">
        <x:f>IF(A83="","",ROUND(C83*Moteur!$B$2,2))</x:f>
        <x:v>564.99</x:v>
      </x:c>
      <x:c r="H83" s="77">
        <x:f>IF(A83="","",ROUND(MIN(C83,D83-G83+E83),2))</x:f>
        <x:v>1073.74</x:v>
      </x:c>
      <x:c r="I83" s="77">
        <x:f>IF(A83="","",ROUND(D83+E83+F83,2))</x:f>
        <x:v>1683.33</x:v>
      </x:c>
      <x:c r="J83" s="77">
        <x:f>IF(A83="","",ROUND(MAX(0,C83-H83),2))</x:f>
        <x:v>177345.15</x:v>
      </x:c>
      <x:c r="K83" s="78">
        <x:f>IF(A83="","",1-(J83/Dashboard!$B$6))</x:f>
        <x:v>0.29061939999999997</x:v>
      </x:c>
      <x:c r="L83" s="43" t="str">
        <x:f>IF(A83="","",IF(J83=0,"Soldé","En cours"))</x:f>
        <x:v>En cours</x:v>
      </x:c>
      <x:c r="M83" s="77">
        <x:f>IF(A83="","",ROUND(SUM($G$8:G83),2))</x:f>
        <x:v>51888.63</x:v>
      </x:c>
    </x:row>
    <x:row r="84" ht="20" customHeight="1">
      <x:c r="A84" s="71">
        <x:f>IF(OR($J83="",ROUND($J83,2)=0),"",$A83+1)</x:f>
        <x:v>77</x:v>
      </x:c>
      <x:c r="B84" s="72">
        <x:f>IF(A84="","",EDATE(Dashboard!$B$10,(A84-1)*(12/Dashboard!$B$9)))</x:f>
        <x:v>48427</x:v>
      </x:c>
      <x:c r="C84" s="73">
        <x:f>IF(A84="","",$J83)</x:f>
        <x:v>177345.15</x:v>
      </x:c>
      <x:c r="D84" s="73">
        <x:f>IF(A84="","",ROUND(MIN(Moteur!$B$3,C84+G84),2))</x:f>
        <x:v>1488.73</x:v>
      </x:c>
      <x:c r="E84" s="73">
        <x:f>IF(A84="","",ROUND(MIN(Dashboard!$B$11,MAX(0,C84-(D84-G84))),2))</x:f>
        <x:v>150</x:v>
      </x:c>
      <x:c r="F84" s="73">
        <x:f>IF(A84="","",ROUND(C84*Dashboard!$B$12/Dashboard!$B$9,2))</x:f>
        <x:v>44.34</x:v>
      </x:c>
      <x:c r="G84" s="73">
        <x:f>IF(A84="","",ROUND(C84*Moteur!$B$2,2))</x:f>
        <x:v>561.59</x:v>
      </x:c>
      <x:c r="H84" s="73">
        <x:f>IF(A84="","",ROUND(MIN(C84,D84-G84+E84),2))</x:f>
        <x:v>1077.14</x:v>
      </x:c>
      <x:c r="I84" s="73">
        <x:f>IF(A84="","",ROUND(D84+E84+F84,2))</x:f>
        <x:v>1683.07</x:v>
      </x:c>
      <x:c r="J84" s="73">
        <x:f>IF(A84="","",ROUND(MAX(0,C84-H84),2))</x:f>
        <x:v>176268.01</x:v>
      </x:c>
      <x:c r="K84" s="74">
        <x:f>IF(A84="","",1-(J84/Dashboard!$B$6))</x:f>
        <x:v>0.29492796</x:v>
      </x:c>
      <x:c r="L84" s="38" t="str">
        <x:f>IF(A84="","",IF(J84=0,"Soldé","En cours"))</x:f>
        <x:v>En cours</x:v>
      </x:c>
      <x:c r="M84" s="73">
        <x:f>IF(A84="","",ROUND(SUM($G$8:G84),2))</x:f>
        <x:v>52450.22</x:v>
      </x:c>
    </x:row>
    <x:row r="85" ht="20" customHeight="1">
      <x:c r="A85" s="75">
        <x:f>IF(OR($J84="",ROUND($J84,2)=0),"",$A84+1)</x:f>
        <x:v>78</x:v>
      </x:c>
      <x:c r="B85" s="76">
        <x:f>IF(A85="","",EDATE(Dashboard!$B$10,(A85-1)*(12/Dashboard!$B$9)))</x:f>
        <x:v>48458</x:v>
      </x:c>
      <x:c r="C85" s="77">
        <x:f>IF(A85="","",$J84)</x:f>
        <x:v>176268.01</x:v>
      </x:c>
      <x:c r="D85" s="77">
        <x:f>IF(A85="","",ROUND(MIN(Moteur!$B$3,C85+G85),2))</x:f>
        <x:v>1488.73</x:v>
      </x:c>
      <x:c r="E85" s="77">
        <x:f>IF(A85="","",ROUND(MIN(Dashboard!$B$11,MAX(0,C85-(D85-G85))),2))</x:f>
        <x:v>150</x:v>
      </x:c>
      <x:c r="F85" s="77">
        <x:f>IF(A85="","",ROUND(C85*Dashboard!$B$12/Dashboard!$B$9,2))</x:f>
        <x:v>44.07</x:v>
      </x:c>
      <x:c r="G85" s="77">
        <x:f>IF(A85="","",ROUND(C85*Moteur!$B$2,2))</x:f>
        <x:v>558.18</x:v>
      </x:c>
      <x:c r="H85" s="77">
        <x:f>IF(A85="","",ROUND(MIN(C85,D85-G85+E85),2))</x:f>
        <x:v>1080.55</x:v>
      </x:c>
      <x:c r="I85" s="77">
        <x:f>IF(A85="","",ROUND(D85+E85+F85,2))</x:f>
        <x:v>1682.8</x:v>
      </x:c>
      <x:c r="J85" s="77">
        <x:f>IF(A85="","",ROUND(MAX(0,C85-H85),2))</x:f>
        <x:v>175187.46</x:v>
      </x:c>
      <x:c r="K85" s="78">
        <x:f>IF(A85="","",1-(J85/Dashboard!$B$6))</x:f>
        <x:v>0.29925016000000004</x:v>
      </x:c>
      <x:c r="L85" s="43" t="str">
        <x:f>IF(A85="","",IF(J85=0,"Soldé","En cours"))</x:f>
        <x:v>En cours</x:v>
      </x:c>
      <x:c r="M85" s="77">
        <x:f>IF(A85="","",ROUND(SUM($G$8:G85),2))</x:f>
        <x:v>53008.4</x:v>
      </x:c>
    </x:row>
    <x:row r="86" ht="20" customHeight="1">
      <x:c r="A86" s="71">
        <x:f>IF(OR($J85="",ROUND($J85,2)=0),"",$A85+1)</x:f>
        <x:v>79</x:v>
      </x:c>
      <x:c r="B86" s="72">
        <x:f>IF(A86="","",EDATE(Dashboard!$B$10,(A86-1)*(12/Dashboard!$B$9)))</x:f>
        <x:v>48488</x:v>
      </x:c>
      <x:c r="C86" s="73">
        <x:f>IF(A86="","",$J85)</x:f>
        <x:v>175187.46</x:v>
      </x:c>
      <x:c r="D86" s="73">
        <x:f>IF(A86="","",ROUND(MIN(Moteur!$B$3,C86+G86),2))</x:f>
        <x:v>1488.73</x:v>
      </x:c>
      <x:c r="E86" s="73">
        <x:f>IF(A86="","",ROUND(MIN(Dashboard!$B$11,MAX(0,C86-(D86-G86))),2))</x:f>
        <x:v>150</x:v>
      </x:c>
      <x:c r="F86" s="73">
        <x:f>IF(A86="","",ROUND(C86*Dashboard!$B$12/Dashboard!$B$9,2))</x:f>
        <x:v>43.8</x:v>
      </x:c>
      <x:c r="G86" s="73">
        <x:f>IF(A86="","",ROUND(C86*Moteur!$B$2,2))</x:f>
        <x:v>554.76</x:v>
      </x:c>
      <x:c r="H86" s="73">
        <x:f>IF(A86="","",ROUND(MIN(C86,D86-G86+E86),2))</x:f>
        <x:v>1083.97</x:v>
      </x:c>
      <x:c r="I86" s="73">
        <x:f>IF(A86="","",ROUND(D86+E86+F86,2))</x:f>
        <x:v>1682.53</x:v>
      </x:c>
      <x:c r="J86" s="73">
        <x:f>IF(A86="","",ROUND(MAX(0,C86-H86),2))</x:f>
        <x:v>174103.49</x:v>
      </x:c>
      <x:c r="K86" s="74">
        <x:f>IF(A86="","",1-(J86/Dashboard!$B$6))</x:f>
        <x:v>0.30358604</x:v>
      </x:c>
      <x:c r="L86" s="38" t="str">
        <x:f>IF(A86="","",IF(J86=0,"Soldé","En cours"))</x:f>
        <x:v>En cours</x:v>
      </x:c>
      <x:c r="M86" s="73">
        <x:f>IF(A86="","",ROUND(SUM($G$8:G86),2))</x:f>
        <x:v>53563.16</x:v>
      </x:c>
    </x:row>
    <x:row r="87" ht="20" customHeight="1">
      <x:c r="A87" s="75">
        <x:f>IF(OR($J86="",ROUND($J86,2)=0),"",$A86+1)</x:f>
        <x:v>80</x:v>
      </x:c>
      <x:c r="B87" s="76">
        <x:f>IF(A87="","",EDATE(Dashboard!$B$10,(A87-1)*(12/Dashboard!$B$9)))</x:f>
        <x:v>48519</x:v>
      </x:c>
      <x:c r="C87" s="77">
        <x:f>IF(A87="","",$J86)</x:f>
        <x:v>174103.49</x:v>
      </x:c>
      <x:c r="D87" s="77">
        <x:f>IF(A87="","",ROUND(MIN(Moteur!$B$3,C87+G87),2))</x:f>
        <x:v>1488.73</x:v>
      </x:c>
      <x:c r="E87" s="77">
        <x:f>IF(A87="","",ROUND(MIN(Dashboard!$B$11,MAX(0,C87-(D87-G87))),2))</x:f>
        <x:v>150</x:v>
      </x:c>
      <x:c r="F87" s="77">
        <x:f>IF(A87="","",ROUND(C87*Dashboard!$B$12/Dashboard!$B$9,2))</x:f>
        <x:v>43.53</x:v>
      </x:c>
      <x:c r="G87" s="77">
        <x:f>IF(A87="","",ROUND(C87*Moteur!$B$2,2))</x:f>
        <x:v>551.33</x:v>
      </x:c>
      <x:c r="H87" s="77">
        <x:f>IF(A87="","",ROUND(MIN(C87,D87-G87+E87),2))</x:f>
        <x:v>1087.4</x:v>
      </x:c>
      <x:c r="I87" s="77">
        <x:f>IF(A87="","",ROUND(D87+E87+F87,2))</x:f>
        <x:v>1682.26</x:v>
      </x:c>
      <x:c r="J87" s="77">
        <x:f>IF(A87="","",ROUND(MAX(0,C87-H87),2))</x:f>
        <x:v>173016.09</x:v>
      </x:c>
      <x:c r="K87" s="78">
        <x:f>IF(A87="","",1-(J87/Dashboard!$B$6))</x:f>
        <x:v>0.30793564000000007</x:v>
      </x:c>
      <x:c r="L87" s="43" t="str">
        <x:f>IF(A87="","",IF(J87=0,"Soldé","En cours"))</x:f>
        <x:v>En cours</x:v>
      </x:c>
      <x:c r="M87" s="77">
        <x:f>IF(A87="","",ROUND(SUM($G$8:G87),2))</x:f>
        <x:v>54114.49</x:v>
      </x:c>
    </x:row>
    <x:row r="88" ht="20" customHeight="1">
      <x:c r="A88" s="71">
        <x:f>IF(OR($J87="",ROUND($J87,2)=0),"",$A87+1)</x:f>
        <x:v>81</x:v>
      </x:c>
      <x:c r="B88" s="72">
        <x:f>IF(A88="","",EDATE(Dashboard!$B$10,(A88-1)*(12/Dashboard!$B$9)))</x:f>
        <x:v>48549</x:v>
      </x:c>
      <x:c r="C88" s="73">
        <x:f>IF(A88="","",$J87)</x:f>
        <x:v>173016.09</x:v>
      </x:c>
      <x:c r="D88" s="73">
        <x:f>IF(A88="","",ROUND(MIN(Moteur!$B$3,C88+G88),2))</x:f>
        <x:v>1488.73</x:v>
      </x:c>
      <x:c r="E88" s="73">
        <x:f>IF(A88="","",ROUND(MIN(Dashboard!$B$11,MAX(0,C88-(D88-G88))),2))</x:f>
        <x:v>150</x:v>
      </x:c>
      <x:c r="F88" s="73">
        <x:f>IF(A88="","",ROUND(C88*Dashboard!$B$12/Dashboard!$B$9,2))</x:f>
        <x:v>43.25</x:v>
      </x:c>
      <x:c r="G88" s="73">
        <x:f>IF(A88="","",ROUND(C88*Moteur!$B$2,2))</x:f>
        <x:v>547.88</x:v>
      </x:c>
      <x:c r="H88" s="73">
        <x:f>IF(A88="","",ROUND(MIN(C88,D88-G88+E88),2))</x:f>
        <x:v>1090.85</x:v>
      </x:c>
      <x:c r="I88" s="73">
        <x:f>IF(A88="","",ROUND(D88+E88+F88,2))</x:f>
        <x:v>1681.98</x:v>
      </x:c>
      <x:c r="J88" s="73">
        <x:f>IF(A88="","",ROUND(MAX(0,C88-H88),2))</x:f>
        <x:v>171925.24</x:v>
      </x:c>
      <x:c r="K88" s="74">
        <x:f>IF(A88="","",1-(J88/Dashboard!$B$6))</x:f>
        <x:v>0.3122990400000001</x:v>
      </x:c>
      <x:c r="L88" s="38" t="str">
        <x:f>IF(A88="","",IF(J88=0,"Soldé","En cours"))</x:f>
        <x:v>En cours</x:v>
      </x:c>
      <x:c r="M88" s="73">
        <x:f>IF(A88="","",ROUND(SUM($G$8:G88),2))</x:f>
        <x:v>54662.37</x:v>
      </x:c>
    </x:row>
    <x:row r="89" ht="20" customHeight="1">
      <x:c r="A89" s="75">
        <x:f>IF(OR($J88="",ROUND($J88,2)=0),"",$A88+1)</x:f>
        <x:v>82</x:v>
      </x:c>
      <x:c r="B89" s="76">
        <x:f>IF(A89="","",EDATE(Dashboard!$B$10,(A89-1)*(12/Dashboard!$B$9)))</x:f>
        <x:v>48580</x:v>
      </x:c>
      <x:c r="C89" s="77">
        <x:f>IF(A89="","",$J88)</x:f>
        <x:v>171925.24</x:v>
      </x:c>
      <x:c r="D89" s="77">
        <x:f>IF(A89="","",ROUND(MIN(Moteur!$B$3,C89+G89),2))</x:f>
        <x:v>1488.73</x:v>
      </x:c>
      <x:c r="E89" s="77">
        <x:f>IF(A89="","",ROUND(MIN(Dashboard!$B$11,MAX(0,C89-(D89-G89))),2))</x:f>
        <x:v>150</x:v>
      </x:c>
      <x:c r="F89" s="77">
        <x:f>IF(A89="","",ROUND(C89*Dashboard!$B$12/Dashboard!$B$9,2))</x:f>
        <x:v>42.98</x:v>
      </x:c>
      <x:c r="G89" s="77">
        <x:f>IF(A89="","",ROUND(C89*Moteur!$B$2,2))</x:f>
        <x:v>544.43</x:v>
      </x:c>
      <x:c r="H89" s="77">
        <x:f>IF(A89="","",ROUND(MIN(C89,D89-G89+E89),2))</x:f>
        <x:v>1094.3</x:v>
      </x:c>
      <x:c r="I89" s="77">
        <x:f>IF(A89="","",ROUND(D89+E89+F89,2))</x:f>
        <x:v>1681.71</x:v>
      </x:c>
      <x:c r="J89" s="77">
        <x:f>IF(A89="","",ROUND(MAX(0,C89-H89),2))</x:f>
        <x:v>170830.94</x:v>
      </x:c>
      <x:c r="K89" s="78">
        <x:f>IF(A89="","",1-(J89/Dashboard!$B$6))</x:f>
        <x:v>0.31667623999999994</x:v>
      </x:c>
      <x:c r="L89" s="43" t="str">
        <x:f>IF(A89="","",IF(J89=0,"Soldé","En cours"))</x:f>
        <x:v>En cours</x:v>
      </x:c>
      <x:c r="M89" s="77">
        <x:f>IF(A89="","",ROUND(SUM($G$8:G89),2))</x:f>
        <x:v>55206.8</x:v>
      </x:c>
    </x:row>
    <x:row r="90" ht="20" customHeight="1">
      <x:c r="A90" s="71">
        <x:f>IF(OR($J89="",ROUND($J89,2)=0),"",$A89+1)</x:f>
        <x:v>83</x:v>
      </x:c>
      <x:c r="B90" s="72">
        <x:f>IF(A90="","",EDATE(Dashboard!$B$10,(A90-1)*(12/Dashboard!$B$9)))</x:f>
        <x:v>48611</x:v>
      </x:c>
      <x:c r="C90" s="73">
        <x:f>IF(A90="","",$J89)</x:f>
        <x:v>170830.94</x:v>
      </x:c>
      <x:c r="D90" s="73">
        <x:f>IF(A90="","",ROUND(MIN(Moteur!$B$3,C90+G90),2))</x:f>
        <x:v>1488.73</x:v>
      </x:c>
      <x:c r="E90" s="73">
        <x:f>IF(A90="","",ROUND(MIN(Dashboard!$B$11,MAX(0,C90-(D90-G90))),2))</x:f>
        <x:v>150</x:v>
      </x:c>
      <x:c r="F90" s="73">
        <x:f>IF(A90="","",ROUND(C90*Dashboard!$B$12/Dashboard!$B$9,2))</x:f>
        <x:v>42.71</x:v>
      </x:c>
      <x:c r="G90" s="73">
        <x:f>IF(A90="","",ROUND(C90*Moteur!$B$2,2))</x:f>
        <x:v>540.96</x:v>
      </x:c>
      <x:c r="H90" s="73">
        <x:f>IF(A90="","",ROUND(MIN(C90,D90-G90+E90),2))</x:f>
        <x:v>1097.77</x:v>
      </x:c>
      <x:c r="I90" s="73">
        <x:f>IF(A90="","",ROUND(D90+E90+F90,2))</x:f>
        <x:v>1681.44</x:v>
      </x:c>
      <x:c r="J90" s="73">
        <x:f>IF(A90="","",ROUND(MAX(0,C90-H90),2))</x:f>
        <x:v>169733.17</x:v>
      </x:c>
      <x:c r="K90" s="74">
        <x:f>IF(A90="","",1-(J90/Dashboard!$B$6))</x:f>
        <x:v>0.32106731999999993</x:v>
      </x:c>
      <x:c r="L90" s="38" t="str">
        <x:f>IF(A90="","",IF(J90=0,"Soldé","En cours"))</x:f>
        <x:v>En cours</x:v>
      </x:c>
      <x:c r="M90" s="73">
        <x:f>IF(A90="","",ROUND(SUM($G$8:G90),2))</x:f>
        <x:v>55747.76</x:v>
      </x:c>
    </x:row>
    <x:row r="91" ht="20" customHeight="1">
      <x:c r="A91" s="75">
        <x:f>IF(OR($J90="",ROUND($J90,2)=0),"",$A90+1)</x:f>
        <x:v>84</x:v>
      </x:c>
      <x:c r="B91" s="76">
        <x:f>IF(A91="","",EDATE(Dashboard!$B$10,(A91-1)*(12/Dashboard!$B$9)))</x:f>
        <x:v>48639</x:v>
      </x:c>
      <x:c r="C91" s="77">
        <x:f>IF(A91="","",$J90)</x:f>
        <x:v>169733.17</x:v>
      </x:c>
      <x:c r="D91" s="77">
        <x:f>IF(A91="","",ROUND(MIN(Moteur!$B$3,C91+G91),2))</x:f>
        <x:v>1488.73</x:v>
      </x:c>
      <x:c r="E91" s="77">
        <x:f>IF(A91="","",ROUND(MIN(Dashboard!$B$11,MAX(0,C91-(D91-G91))),2))</x:f>
        <x:v>150</x:v>
      </x:c>
      <x:c r="F91" s="77">
        <x:f>IF(A91="","",ROUND(C91*Dashboard!$B$12/Dashboard!$B$9,2))</x:f>
        <x:v>42.43</x:v>
      </x:c>
      <x:c r="G91" s="77">
        <x:f>IF(A91="","",ROUND(C91*Moteur!$B$2,2))</x:f>
        <x:v>537.49</x:v>
      </x:c>
      <x:c r="H91" s="77">
        <x:f>IF(A91="","",ROUND(MIN(C91,D91-G91+E91),2))</x:f>
        <x:v>1101.24</x:v>
      </x:c>
      <x:c r="I91" s="77">
        <x:f>IF(A91="","",ROUND(D91+E91+F91,2))</x:f>
        <x:v>1681.16</x:v>
      </x:c>
      <x:c r="J91" s="77">
        <x:f>IF(A91="","",ROUND(MAX(0,C91-H91),2))</x:f>
        <x:v>168631.93</x:v>
      </x:c>
      <x:c r="K91" s="78">
        <x:f>IF(A91="","",1-(J91/Dashboard!$B$6))</x:f>
        <x:v>0.32547228000000006</x:v>
      </x:c>
      <x:c r="L91" s="43" t="str">
        <x:f>IF(A91="","",IF(J91=0,"Soldé","En cours"))</x:f>
        <x:v>En cours</x:v>
      </x:c>
      <x:c r="M91" s="77">
        <x:f>IF(A91="","",ROUND(SUM($G$8:G91),2))</x:f>
        <x:v>56285.25</x:v>
      </x:c>
    </x:row>
    <x:row r="92" ht="20" customHeight="1">
      <x:c r="A92" s="71">
        <x:f>IF(OR($J91="",ROUND($J91,2)=0),"",$A91+1)</x:f>
        <x:v>85</x:v>
      </x:c>
      <x:c r="B92" s="72">
        <x:f>IF(A92="","",EDATE(Dashboard!$B$10,(A92-1)*(12/Dashboard!$B$9)))</x:f>
        <x:v>48670</x:v>
      </x:c>
      <x:c r="C92" s="73">
        <x:f>IF(A92="","",$J91)</x:f>
        <x:v>168631.93</x:v>
      </x:c>
      <x:c r="D92" s="73">
        <x:f>IF(A92="","",ROUND(MIN(Moteur!$B$3,C92+G92),2))</x:f>
        <x:v>1488.73</x:v>
      </x:c>
      <x:c r="E92" s="73">
        <x:f>IF(A92="","",ROUND(MIN(Dashboard!$B$11,MAX(0,C92-(D92-G92))),2))</x:f>
        <x:v>150</x:v>
      </x:c>
      <x:c r="F92" s="73">
        <x:f>IF(A92="","",ROUND(C92*Dashboard!$B$12/Dashboard!$B$9,2))</x:f>
        <x:v>42.16</x:v>
      </x:c>
      <x:c r="G92" s="73">
        <x:f>IF(A92="","",ROUND(C92*Moteur!$B$2,2))</x:f>
        <x:v>534</x:v>
      </x:c>
      <x:c r="H92" s="73">
        <x:f>IF(A92="","",ROUND(MIN(C92,D92-G92+E92),2))</x:f>
        <x:v>1104.73</x:v>
      </x:c>
      <x:c r="I92" s="73">
        <x:f>IF(A92="","",ROUND(D92+E92+F92,2))</x:f>
        <x:v>1680.89</x:v>
      </x:c>
      <x:c r="J92" s="73">
        <x:f>IF(A92="","",ROUND(MAX(0,C92-H92),2))</x:f>
        <x:v>167527.2</x:v>
      </x:c>
      <x:c r="K92" s="74">
        <x:f>IF(A92="","",1-(J92/Dashboard!$B$6))</x:f>
        <x:v>0.32989119999999994</x:v>
      </x:c>
      <x:c r="L92" s="38" t="str">
        <x:f>IF(A92="","",IF(J92=0,"Soldé","En cours"))</x:f>
        <x:v>En cours</x:v>
      </x:c>
      <x:c r="M92" s="73">
        <x:f>IF(A92="","",ROUND(SUM($G$8:G92),2))</x:f>
        <x:v>56819.25</x:v>
      </x:c>
    </x:row>
    <x:row r="93" ht="20" customHeight="1">
      <x:c r="A93" s="75">
        <x:f>IF(OR($J92="",ROUND($J92,2)=0),"",$A92+1)</x:f>
        <x:v>86</x:v>
      </x:c>
      <x:c r="B93" s="76">
        <x:f>IF(A93="","",EDATE(Dashboard!$B$10,(A93-1)*(12/Dashboard!$B$9)))</x:f>
        <x:v>48700</x:v>
      </x:c>
      <x:c r="C93" s="77">
        <x:f>IF(A93="","",$J92)</x:f>
        <x:v>167527.2</x:v>
      </x:c>
      <x:c r="D93" s="77">
        <x:f>IF(A93="","",ROUND(MIN(Moteur!$B$3,C93+G93),2))</x:f>
        <x:v>1488.73</x:v>
      </x:c>
      <x:c r="E93" s="77">
        <x:f>IF(A93="","",ROUND(MIN(Dashboard!$B$11,MAX(0,C93-(D93-G93))),2))</x:f>
        <x:v>150</x:v>
      </x:c>
      <x:c r="F93" s="77">
        <x:f>IF(A93="","",ROUND(C93*Dashboard!$B$12/Dashboard!$B$9,2))</x:f>
        <x:v>41.88</x:v>
      </x:c>
      <x:c r="G93" s="77">
        <x:f>IF(A93="","",ROUND(C93*Moteur!$B$2,2))</x:f>
        <x:v>530.5</x:v>
      </x:c>
      <x:c r="H93" s="77">
        <x:f>IF(A93="","",ROUND(MIN(C93,D93-G93+E93),2))</x:f>
        <x:v>1108.23</x:v>
      </x:c>
      <x:c r="I93" s="77">
        <x:f>IF(A93="","",ROUND(D93+E93+F93,2))</x:f>
        <x:v>1680.61</x:v>
      </x:c>
      <x:c r="J93" s="77">
        <x:f>IF(A93="","",ROUND(MAX(0,C93-H93),2))</x:f>
        <x:v>166418.97</x:v>
      </x:c>
      <x:c r="K93" s="78">
        <x:f>IF(A93="","",1-(J93/Dashboard!$B$6))</x:f>
        <x:v>0.33432412</x:v>
      </x:c>
      <x:c r="L93" s="43" t="str">
        <x:f>IF(A93="","",IF(J93=0,"Soldé","En cours"))</x:f>
        <x:v>En cours</x:v>
      </x:c>
      <x:c r="M93" s="77">
        <x:f>IF(A93="","",ROUND(SUM($G$8:G93),2))</x:f>
        <x:v>57349.75</x:v>
      </x:c>
    </x:row>
    <x:row r="94" ht="20" customHeight="1">
      <x:c r="A94" s="71">
        <x:f>IF(OR($J93="",ROUND($J93,2)=0),"",$A93+1)</x:f>
        <x:v>87</x:v>
      </x:c>
      <x:c r="B94" s="72">
        <x:f>IF(A94="","",EDATE(Dashboard!$B$10,(A94-1)*(12/Dashboard!$B$9)))</x:f>
        <x:v>48731</x:v>
      </x:c>
      <x:c r="C94" s="73">
        <x:f>IF(A94="","",$J93)</x:f>
        <x:v>166418.97</x:v>
      </x:c>
      <x:c r="D94" s="73">
        <x:f>IF(A94="","",ROUND(MIN(Moteur!$B$3,C94+G94),2))</x:f>
        <x:v>1488.73</x:v>
      </x:c>
      <x:c r="E94" s="73">
        <x:f>IF(A94="","",ROUND(MIN(Dashboard!$B$11,MAX(0,C94-(D94-G94))),2))</x:f>
        <x:v>150</x:v>
      </x:c>
      <x:c r="F94" s="73">
        <x:f>IF(A94="","",ROUND(C94*Dashboard!$B$12/Dashboard!$B$9,2))</x:f>
        <x:v>41.6</x:v>
      </x:c>
      <x:c r="G94" s="73">
        <x:f>IF(A94="","",ROUND(C94*Moteur!$B$2,2))</x:f>
        <x:v>526.99</x:v>
      </x:c>
      <x:c r="H94" s="73">
        <x:f>IF(A94="","",ROUND(MIN(C94,D94-G94+E94),2))</x:f>
        <x:v>1111.74</x:v>
      </x:c>
      <x:c r="I94" s="73">
        <x:f>IF(A94="","",ROUND(D94+E94+F94,2))</x:f>
        <x:v>1680.33</x:v>
      </x:c>
      <x:c r="J94" s="73">
        <x:f>IF(A94="","",ROUND(MAX(0,C94-H94),2))</x:f>
        <x:v>165307.23</x:v>
      </x:c>
      <x:c r="K94" s="74">
        <x:f>IF(A94="","",1-(J94/Dashboard!$B$6))</x:f>
        <x:v>0.33877108</x:v>
      </x:c>
      <x:c r="L94" s="38" t="str">
        <x:f>IF(A94="","",IF(J94=0,"Soldé","En cours"))</x:f>
        <x:v>En cours</x:v>
      </x:c>
      <x:c r="M94" s="73">
        <x:f>IF(A94="","",ROUND(SUM($G$8:G94),2))</x:f>
        <x:v>57876.74</x:v>
      </x:c>
    </x:row>
    <x:row r="95" ht="20" customHeight="1">
      <x:c r="A95" s="75">
        <x:f>IF(OR($J94="",ROUND($J94,2)=0),"",$A94+1)</x:f>
        <x:v>88</x:v>
      </x:c>
      <x:c r="B95" s="76">
        <x:f>IF(A95="","",EDATE(Dashboard!$B$10,(A95-1)*(12/Dashboard!$B$9)))</x:f>
        <x:v>48761</x:v>
      </x:c>
      <x:c r="C95" s="77">
        <x:f>IF(A95="","",$J94)</x:f>
        <x:v>165307.23</x:v>
      </x:c>
      <x:c r="D95" s="77">
        <x:f>IF(A95="","",ROUND(MIN(Moteur!$B$3,C95+G95),2))</x:f>
        <x:v>1488.73</x:v>
      </x:c>
      <x:c r="E95" s="77">
        <x:f>IF(A95="","",ROUND(MIN(Dashboard!$B$11,MAX(0,C95-(D95-G95))),2))</x:f>
        <x:v>150</x:v>
      </x:c>
      <x:c r="F95" s="77">
        <x:f>IF(A95="","",ROUND(C95*Dashboard!$B$12/Dashboard!$B$9,2))</x:f>
        <x:v>41.33</x:v>
      </x:c>
      <x:c r="G95" s="77">
        <x:f>IF(A95="","",ROUND(C95*Moteur!$B$2,2))</x:f>
        <x:v>523.47</x:v>
      </x:c>
      <x:c r="H95" s="77">
        <x:f>IF(A95="","",ROUND(MIN(C95,D95-G95+E95),2))</x:f>
        <x:v>1115.26</x:v>
      </x:c>
      <x:c r="I95" s="77">
        <x:f>IF(A95="","",ROUND(D95+E95+F95,2))</x:f>
        <x:v>1680.06</x:v>
      </x:c>
      <x:c r="J95" s="77">
        <x:f>IF(A95="","",ROUND(MAX(0,C95-H95),2))</x:f>
        <x:v>164191.97</x:v>
      </x:c>
      <x:c r="K95" s="78">
        <x:f>IF(A95="","",1-(J95/Dashboard!$B$6))</x:f>
        <x:v>0.34323212000000003</x:v>
      </x:c>
      <x:c r="L95" s="43" t="str">
        <x:f>IF(A95="","",IF(J95=0,"Soldé","En cours"))</x:f>
        <x:v>En cours</x:v>
      </x:c>
      <x:c r="M95" s="77">
        <x:f>IF(A95="","",ROUND(SUM($G$8:G95),2))</x:f>
        <x:v>58400.21</x:v>
      </x:c>
    </x:row>
    <x:row r="96" ht="20" customHeight="1">
      <x:c r="A96" s="71">
        <x:f>IF(OR($J95="",ROUND($J95,2)=0),"",$A95+1)</x:f>
        <x:v>89</x:v>
      </x:c>
      <x:c r="B96" s="72">
        <x:f>IF(A96="","",EDATE(Dashboard!$B$10,(A96-1)*(12/Dashboard!$B$9)))</x:f>
        <x:v>48792</x:v>
      </x:c>
      <x:c r="C96" s="73">
        <x:f>IF(A96="","",$J95)</x:f>
        <x:v>164191.97</x:v>
      </x:c>
      <x:c r="D96" s="73">
        <x:f>IF(A96="","",ROUND(MIN(Moteur!$B$3,C96+G96),2))</x:f>
        <x:v>1488.73</x:v>
      </x:c>
      <x:c r="E96" s="73">
        <x:f>IF(A96="","",ROUND(MIN(Dashboard!$B$11,MAX(0,C96-(D96-G96))),2))</x:f>
        <x:v>150</x:v>
      </x:c>
      <x:c r="F96" s="73">
        <x:f>IF(A96="","",ROUND(C96*Dashboard!$B$12/Dashboard!$B$9,2))</x:f>
        <x:v>41.05</x:v>
      </x:c>
      <x:c r="G96" s="73">
        <x:f>IF(A96="","",ROUND(C96*Moteur!$B$2,2))</x:f>
        <x:v>519.94</x:v>
      </x:c>
      <x:c r="H96" s="73">
        <x:f>IF(A96="","",ROUND(MIN(C96,D96-G96+E96),2))</x:f>
        <x:v>1118.79</x:v>
      </x:c>
      <x:c r="I96" s="73">
        <x:f>IF(A96="","",ROUND(D96+E96+F96,2))</x:f>
        <x:v>1679.78</x:v>
      </x:c>
      <x:c r="J96" s="73">
        <x:f>IF(A96="","",ROUND(MAX(0,C96-H96),2))</x:f>
        <x:v>163073.18</x:v>
      </x:c>
      <x:c r="K96" s="74">
        <x:f>IF(A96="","",1-(J96/Dashboard!$B$6))</x:f>
        <x:v>0.34770728000000006</x:v>
      </x:c>
      <x:c r="L96" s="38" t="str">
        <x:f>IF(A96="","",IF(J96=0,"Soldé","En cours"))</x:f>
        <x:v>En cours</x:v>
      </x:c>
      <x:c r="M96" s="73">
        <x:f>IF(A96="","",ROUND(SUM($G$8:G96),2))</x:f>
        <x:v>58920.15</x:v>
      </x:c>
    </x:row>
    <x:row r="97" ht="20" customHeight="1">
      <x:c r="A97" s="75">
        <x:f>IF(OR($J96="",ROUND($J96,2)=0),"",$A96+1)</x:f>
        <x:v>90</x:v>
      </x:c>
      <x:c r="B97" s="76">
        <x:f>IF(A97="","",EDATE(Dashboard!$B$10,(A97-1)*(12/Dashboard!$B$9)))</x:f>
        <x:v>48823</x:v>
      </x:c>
      <x:c r="C97" s="77">
        <x:f>IF(A97="","",$J96)</x:f>
        <x:v>163073.18</x:v>
      </x:c>
      <x:c r="D97" s="77">
        <x:f>IF(A97="","",ROUND(MIN(Moteur!$B$3,C97+G97),2))</x:f>
        <x:v>1488.73</x:v>
      </x:c>
      <x:c r="E97" s="77">
        <x:f>IF(A97="","",ROUND(MIN(Dashboard!$B$11,MAX(0,C97-(D97-G97))),2))</x:f>
        <x:v>150</x:v>
      </x:c>
      <x:c r="F97" s="77">
        <x:f>IF(A97="","",ROUND(C97*Dashboard!$B$12/Dashboard!$B$9,2))</x:f>
        <x:v>40.77</x:v>
      </x:c>
      <x:c r="G97" s="77">
        <x:f>IF(A97="","",ROUND(C97*Moteur!$B$2,2))</x:f>
        <x:v>516.4</x:v>
      </x:c>
      <x:c r="H97" s="77">
        <x:f>IF(A97="","",ROUND(MIN(C97,D97-G97+E97),2))</x:f>
        <x:v>1122.33</x:v>
      </x:c>
      <x:c r="I97" s="77">
        <x:f>IF(A97="","",ROUND(D97+E97+F97,2))</x:f>
        <x:v>1679.5</x:v>
      </x:c>
      <x:c r="J97" s="77">
        <x:f>IF(A97="","",ROUND(MAX(0,C97-H97),2))</x:f>
        <x:v>161950.85</x:v>
      </x:c>
      <x:c r="K97" s="78">
        <x:f>IF(A97="","",1-(J97/Dashboard!$B$6))</x:f>
        <x:v>0.35219659999999997</x:v>
      </x:c>
      <x:c r="L97" s="43" t="str">
        <x:f>IF(A97="","",IF(J97=0,"Soldé","En cours"))</x:f>
        <x:v>En cours</x:v>
      </x:c>
      <x:c r="M97" s="77">
        <x:f>IF(A97="","",ROUND(SUM($G$8:G97),2))</x:f>
        <x:v>59436.55</x:v>
      </x:c>
    </x:row>
    <x:row r="98" ht="20" customHeight="1">
      <x:c r="A98" s="71">
        <x:f>IF(OR($J97="",ROUND($J97,2)=0),"",$A97+1)</x:f>
        <x:v>91</x:v>
      </x:c>
      <x:c r="B98" s="72">
        <x:f>IF(A98="","",EDATE(Dashboard!$B$10,(A98-1)*(12/Dashboard!$B$9)))</x:f>
        <x:v>48853</x:v>
      </x:c>
      <x:c r="C98" s="73">
        <x:f>IF(A98="","",$J97)</x:f>
        <x:v>161950.85</x:v>
      </x:c>
      <x:c r="D98" s="73">
        <x:f>IF(A98="","",ROUND(MIN(Moteur!$B$3,C98+G98),2))</x:f>
        <x:v>1488.73</x:v>
      </x:c>
      <x:c r="E98" s="73">
        <x:f>IF(A98="","",ROUND(MIN(Dashboard!$B$11,MAX(0,C98-(D98-G98))),2))</x:f>
        <x:v>150</x:v>
      </x:c>
      <x:c r="F98" s="73">
        <x:f>IF(A98="","",ROUND(C98*Dashboard!$B$12/Dashboard!$B$9,2))</x:f>
        <x:v>40.49</x:v>
      </x:c>
      <x:c r="G98" s="73">
        <x:f>IF(A98="","",ROUND(C98*Moteur!$B$2,2))</x:f>
        <x:v>512.84</x:v>
      </x:c>
      <x:c r="H98" s="73">
        <x:f>IF(A98="","",ROUND(MIN(C98,D98-G98+E98),2))</x:f>
        <x:v>1125.89</x:v>
      </x:c>
      <x:c r="I98" s="73">
        <x:f>IF(A98="","",ROUND(D98+E98+F98,2))</x:f>
        <x:v>1679.22</x:v>
      </x:c>
      <x:c r="J98" s="73">
        <x:f>IF(A98="","",ROUND(MAX(0,C98-H98),2))</x:f>
        <x:v>160824.96</x:v>
      </x:c>
      <x:c r="K98" s="74">
        <x:f>IF(A98="","",1-(J98/Dashboard!$B$6))</x:f>
        <x:v>0.35670016000000004</x:v>
      </x:c>
      <x:c r="L98" s="38" t="str">
        <x:f>IF(A98="","",IF(J98=0,"Soldé","En cours"))</x:f>
        <x:v>En cours</x:v>
      </x:c>
      <x:c r="M98" s="73">
        <x:f>IF(A98="","",ROUND(SUM($G$8:G98),2))</x:f>
        <x:v>59949.39</x:v>
      </x:c>
    </x:row>
    <x:row r="99" ht="20" customHeight="1">
      <x:c r="A99" s="75">
        <x:f>IF(OR($J98="",ROUND($J98,2)=0),"",$A98+1)</x:f>
        <x:v>92</x:v>
      </x:c>
      <x:c r="B99" s="76">
        <x:f>IF(A99="","",EDATE(Dashboard!$B$10,(A99-1)*(12/Dashboard!$B$9)))</x:f>
        <x:v>48884</x:v>
      </x:c>
      <x:c r="C99" s="77">
        <x:f>IF(A99="","",$J98)</x:f>
        <x:v>160824.96</x:v>
      </x:c>
      <x:c r="D99" s="77">
        <x:f>IF(A99="","",ROUND(MIN(Moteur!$B$3,C99+G99),2))</x:f>
        <x:v>1488.73</x:v>
      </x:c>
      <x:c r="E99" s="77">
        <x:f>IF(A99="","",ROUND(MIN(Dashboard!$B$11,MAX(0,C99-(D99-G99))),2))</x:f>
        <x:v>150</x:v>
      </x:c>
      <x:c r="F99" s="77">
        <x:f>IF(A99="","",ROUND(C99*Dashboard!$B$12/Dashboard!$B$9,2))</x:f>
        <x:v>40.21</x:v>
      </x:c>
      <x:c r="G99" s="77">
        <x:f>IF(A99="","",ROUND(C99*Moteur!$B$2,2))</x:f>
        <x:v>509.28</x:v>
      </x:c>
      <x:c r="H99" s="77">
        <x:f>IF(A99="","",ROUND(MIN(C99,D99-G99+E99),2))</x:f>
        <x:v>1129.45</x:v>
      </x:c>
      <x:c r="I99" s="77">
        <x:f>IF(A99="","",ROUND(D99+E99+F99,2))</x:f>
        <x:v>1678.94</x:v>
      </x:c>
      <x:c r="J99" s="77">
        <x:f>IF(A99="","",ROUND(MAX(0,C99-H99),2))</x:f>
        <x:v>159695.51</x:v>
      </x:c>
      <x:c r="K99" s="78">
        <x:f>IF(A99="","",1-(J99/Dashboard!$B$6))</x:f>
        <x:v>0.36121795999999995</x:v>
      </x:c>
      <x:c r="L99" s="43" t="str">
        <x:f>IF(A99="","",IF(J99=0,"Soldé","En cours"))</x:f>
        <x:v>En cours</x:v>
      </x:c>
      <x:c r="M99" s="77">
        <x:f>IF(A99="","",ROUND(SUM($G$8:G99),2))</x:f>
        <x:v>60458.67</x:v>
      </x:c>
    </x:row>
    <x:row r="100" ht="20" customHeight="1">
      <x:c r="A100" s="71">
        <x:f>IF(OR($J99="",ROUND($J99,2)=0),"",$A99+1)</x:f>
        <x:v>93</x:v>
      </x:c>
      <x:c r="B100" s="72">
        <x:f>IF(A100="","",EDATE(Dashboard!$B$10,(A100-1)*(12/Dashboard!$B$9)))</x:f>
        <x:v>48914</x:v>
      </x:c>
      <x:c r="C100" s="73">
        <x:f>IF(A100="","",$J99)</x:f>
        <x:v>159695.51</x:v>
      </x:c>
      <x:c r="D100" s="73">
        <x:f>IF(A100="","",ROUND(MIN(Moteur!$B$3,C100+G100),2))</x:f>
        <x:v>1488.73</x:v>
      </x:c>
      <x:c r="E100" s="73">
        <x:f>IF(A100="","",ROUND(MIN(Dashboard!$B$11,MAX(0,C100-(D100-G100))),2))</x:f>
        <x:v>150</x:v>
      </x:c>
      <x:c r="F100" s="73">
        <x:f>IF(A100="","",ROUND(C100*Dashboard!$B$12/Dashboard!$B$9,2))</x:f>
        <x:v>39.92</x:v>
      </x:c>
      <x:c r="G100" s="73">
        <x:f>IF(A100="","",ROUND(C100*Moteur!$B$2,2))</x:f>
        <x:v>505.7</x:v>
      </x:c>
      <x:c r="H100" s="73">
        <x:f>IF(A100="","",ROUND(MIN(C100,D100-G100+E100),2))</x:f>
        <x:v>1133.03</x:v>
      </x:c>
      <x:c r="I100" s="73">
        <x:f>IF(A100="","",ROUND(D100+E100+F100,2))</x:f>
        <x:v>1678.65</x:v>
      </x:c>
      <x:c r="J100" s="73">
        <x:f>IF(A100="","",ROUND(MAX(0,C100-H100),2))</x:f>
        <x:v>158562.48</x:v>
      </x:c>
      <x:c r="K100" s="74">
        <x:f>IF(A100="","",1-(J100/Dashboard!$B$6))</x:f>
        <x:v>0.36575008</x:v>
      </x:c>
      <x:c r="L100" s="38" t="str">
        <x:f>IF(A100="","",IF(J100=0,"Soldé","En cours"))</x:f>
        <x:v>En cours</x:v>
      </x:c>
      <x:c r="M100" s="73">
        <x:f>IF(A100="","",ROUND(SUM($G$8:G100),2))</x:f>
        <x:v>60964.37</x:v>
      </x:c>
    </x:row>
    <x:row r="101" ht="20" customHeight="1">
      <x:c r="A101" s="75">
        <x:f>IF(OR($J100="",ROUND($J100,2)=0),"",$A100+1)</x:f>
        <x:v>94</x:v>
      </x:c>
      <x:c r="B101" s="76">
        <x:f>IF(A101="","",EDATE(Dashboard!$B$10,(A101-1)*(12/Dashboard!$B$9)))</x:f>
        <x:v>48945</x:v>
      </x:c>
      <x:c r="C101" s="77">
        <x:f>IF(A101="","",$J100)</x:f>
        <x:v>158562.48</x:v>
      </x:c>
      <x:c r="D101" s="77">
        <x:f>IF(A101="","",ROUND(MIN(Moteur!$B$3,C101+G101),2))</x:f>
        <x:v>1488.73</x:v>
      </x:c>
      <x:c r="E101" s="77">
        <x:f>IF(A101="","",ROUND(MIN(Dashboard!$B$11,MAX(0,C101-(D101-G101))),2))</x:f>
        <x:v>150</x:v>
      </x:c>
      <x:c r="F101" s="77">
        <x:f>IF(A101="","",ROUND(C101*Dashboard!$B$12/Dashboard!$B$9,2))</x:f>
        <x:v>39.64</x:v>
      </x:c>
      <x:c r="G101" s="77">
        <x:f>IF(A101="","",ROUND(C101*Moteur!$B$2,2))</x:f>
        <x:v>502.11</x:v>
      </x:c>
      <x:c r="H101" s="77">
        <x:f>IF(A101="","",ROUND(MIN(C101,D101-G101+E101),2))</x:f>
        <x:v>1136.62</x:v>
      </x:c>
      <x:c r="I101" s="77">
        <x:f>IF(A101="","",ROUND(D101+E101+F101,2))</x:f>
        <x:v>1678.37</x:v>
      </x:c>
      <x:c r="J101" s="77">
        <x:f>IF(A101="","",ROUND(MAX(0,C101-H101),2))</x:f>
        <x:v>157425.86</x:v>
      </x:c>
      <x:c r="K101" s="78">
        <x:f>IF(A101="","",1-(J101/Dashboard!$B$6))</x:f>
        <x:v>0.3702965600000001</x:v>
      </x:c>
      <x:c r="L101" s="43" t="str">
        <x:f>IF(A101="","",IF(J101=0,"Soldé","En cours"))</x:f>
        <x:v>En cours</x:v>
      </x:c>
      <x:c r="M101" s="77">
        <x:f>IF(A101="","",ROUND(SUM($G$8:G101),2))</x:f>
        <x:v>61466.48</x:v>
      </x:c>
    </x:row>
    <x:row r="102" ht="20" customHeight="1">
      <x:c r="A102" s="71">
        <x:f>IF(OR($J101="",ROUND($J101,2)=0),"",$A101+1)</x:f>
        <x:v>95</x:v>
      </x:c>
      <x:c r="B102" s="72">
        <x:f>IF(A102="","",EDATE(Dashboard!$B$10,(A102-1)*(12/Dashboard!$B$9)))</x:f>
        <x:v>48976</x:v>
      </x:c>
      <x:c r="C102" s="73">
        <x:f>IF(A102="","",$J101)</x:f>
        <x:v>157425.86</x:v>
      </x:c>
      <x:c r="D102" s="73">
        <x:f>IF(A102="","",ROUND(MIN(Moteur!$B$3,C102+G102),2))</x:f>
        <x:v>1488.73</x:v>
      </x:c>
      <x:c r="E102" s="73">
        <x:f>IF(A102="","",ROUND(MIN(Dashboard!$B$11,MAX(0,C102-(D102-G102))),2))</x:f>
        <x:v>150</x:v>
      </x:c>
      <x:c r="F102" s="73">
        <x:f>IF(A102="","",ROUND(C102*Dashboard!$B$12/Dashboard!$B$9,2))</x:f>
        <x:v>39.36</x:v>
      </x:c>
      <x:c r="G102" s="73">
        <x:f>IF(A102="","",ROUND(C102*Moteur!$B$2,2))</x:f>
        <x:v>498.52</x:v>
      </x:c>
      <x:c r="H102" s="73">
        <x:f>IF(A102="","",ROUND(MIN(C102,D102-G102+E102),2))</x:f>
        <x:v>1140.21</x:v>
      </x:c>
      <x:c r="I102" s="73">
        <x:f>IF(A102="","",ROUND(D102+E102+F102,2))</x:f>
        <x:v>1678.09</x:v>
      </x:c>
      <x:c r="J102" s="73">
        <x:f>IF(A102="","",ROUND(MAX(0,C102-H102),2))</x:f>
        <x:v>156285.65</x:v>
      </x:c>
      <x:c r="K102" s="74">
        <x:f>IF(A102="","",1-(J102/Dashboard!$B$6))</x:f>
        <x:v>0.3748574</x:v>
      </x:c>
      <x:c r="L102" s="38" t="str">
        <x:f>IF(A102="","",IF(J102=0,"Soldé","En cours"))</x:f>
        <x:v>En cours</x:v>
      </x:c>
      <x:c r="M102" s="73">
        <x:f>IF(A102="","",ROUND(SUM($G$8:G102),2))</x:f>
        <x:v>61965</x:v>
      </x:c>
    </x:row>
    <x:row r="103" ht="20" customHeight="1">
      <x:c r="A103" s="75">
        <x:f>IF(OR($J102="",ROUND($J102,2)=0),"",$A102+1)</x:f>
        <x:v>96</x:v>
      </x:c>
      <x:c r="B103" s="76">
        <x:f>IF(A103="","",EDATE(Dashboard!$B$10,(A103-1)*(12/Dashboard!$B$9)))</x:f>
        <x:v>49004</x:v>
      </x:c>
      <x:c r="C103" s="77">
        <x:f>IF(A103="","",$J102)</x:f>
        <x:v>156285.65</x:v>
      </x:c>
      <x:c r="D103" s="77">
        <x:f>IF(A103="","",ROUND(MIN(Moteur!$B$3,C103+G103),2))</x:f>
        <x:v>1488.73</x:v>
      </x:c>
      <x:c r="E103" s="77">
        <x:f>IF(A103="","",ROUND(MIN(Dashboard!$B$11,MAX(0,C103-(D103-G103))),2))</x:f>
        <x:v>150</x:v>
      </x:c>
      <x:c r="F103" s="77">
        <x:f>IF(A103="","",ROUND(C103*Dashboard!$B$12/Dashboard!$B$9,2))</x:f>
        <x:v>39.07</x:v>
      </x:c>
      <x:c r="G103" s="77">
        <x:f>IF(A103="","",ROUND(C103*Moteur!$B$2,2))</x:f>
        <x:v>494.9</x:v>
      </x:c>
      <x:c r="H103" s="77">
        <x:f>IF(A103="","",ROUND(MIN(C103,D103-G103+E103),2))</x:f>
        <x:v>1143.83</x:v>
      </x:c>
      <x:c r="I103" s="77">
        <x:f>IF(A103="","",ROUND(D103+E103+F103,2))</x:f>
        <x:v>1677.8</x:v>
      </x:c>
      <x:c r="J103" s="77">
        <x:f>IF(A103="","",ROUND(MAX(0,C103-H103),2))</x:f>
        <x:v>155141.82</x:v>
      </x:c>
      <x:c r="K103" s="78">
        <x:f>IF(A103="","",1-(J103/Dashboard!$B$6))</x:f>
        <x:v>0.37943271999999995</x:v>
      </x:c>
      <x:c r="L103" s="43" t="str">
        <x:f>IF(A103="","",IF(J103=0,"Soldé","En cours"))</x:f>
        <x:v>En cours</x:v>
      </x:c>
      <x:c r="M103" s="77">
        <x:f>IF(A103="","",ROUND(SUM($G$8:G103),2))</x:f>
        <x:v>62459.9</x:v>
      </x:c>
    </x:row>
    <x:row r="104" ht="20" customHeight="1">
      <x:c r="A104" s="71">
        <x:f>IF(OR($J103="",ROUND($J103,2)=0),"",$A103+1)</x:f>
        <x:v>97</x:v>
      </x:c>
      <x:c r="B104" s="72">
        <x:f>IF(A104="","",EDATE(Dashboard!$B$10,(A104-1)*(12/Dashboard!$B$9)))</x:f>
        <x:v>49035</x:v>
      </x:c>
      <x:c r="C104" s="73">
        <x:f>IF(A104="","",$J103)</x:f>
        <x:v>155141.82</x:v>
      </x:c>
      <x:c r="D104" s="73">
        <x:f>IF(A104="","",ROUND(MIN(Moteur!$B$3,C104+G104),2))</x:f>
        <x:v>1488.73</x:v>
      </x:c>
      <x:c r="E104" s="73">
        <x:f>IF(A104="","",ROUND(MIN(Dashboard!$B$11,MAX(0,C104-(D104-G104))),2))</x:f>
        <x:v>150</x:v>
      </x:c>
      <x:c r="F104" s="73">
        <x:f>IF(A104="","",ROUND(C104*Dashboard!$B$12/Dashboard!$B$9,2))</x:f>
        <x:v>38.79</x:v>
      </x:c>
      <x:c r="G104" s="73">
        <x:f>IF(A104="","",ROUND(C104*Moteur!$B$2,2))</x:f>
        <x:v>491.28</x:v>
      </x:c>
      <x:c r="H104" s="73">
        <x:f>IF(A104="","",ROUND(MIN(C104,D104-G104+E104),2))</x:f>
        <x:v>1147.45</x:v>
      </x:c>
      <x:c r="I104" s="73">
        <x:f>IF(A104="","",ROUND(D104+E104+F104,2))</x:f>
        <x:v>1677.52</x:v>
      </x:c>
      <x:c r="J104" s="73">
        <x:f>IF(A104="","",ROUND(MAX(0,C104-H104),2))</x:f>
        <x:v>153994.37</x:v>
      </x:c>
      <x:c r="K104" s="74">
        <x:f>IF(A104="","",1-(J104/Dashboard!$B$6))</x:f>
        <x:v>0.38402252000000003</x:v>
      </x:c>
      <x:c r="L104" s="38" t="str">
        <x:f>IF(A104="","",IF(J104=0,"Soldé","En cours"))</x:f>
        <x:v>En cours</x:v>
      </x:c>
      <x:c r="M104" s="73">
        <x:f>IF(A104="","",ROUND(SUM($G$8:G104),2))</x:f>
        <x:v>62951.18</x:v>
      </x:c>
    </x:row>
    <x:row r="105" ht="20" customHeight="1">
      <x:c r="A105" s="75">
        <x:f>IF(OR($J104="",ROUND($J104,2)=0),"",$A104+1)</x:f>
        <x:v>98</x:v>
      </x:c>
      <x:c r="B105" s="76">
        <x:f>IF(A105="","",EDATE(Dashboard!$B$10,(A105-1)*(12/Dashboard!$B$9)))</x:f>
        <x:v>49065</x:v>
      </x:c>
      <x:c r="C105" s="77">
        <x:f>IF(A105="","",$J104)</x:f>
        <x:v>153994.37</x:v>
      </x:c>
      <x:c r="D105" s="77">
        <x:f>IF(A105="","",ROUND(MIN(Moteur!$B$3,C105+G105),2))</x:f>
        <x:v>1488.73</x:v>
      </x:c>
      <x:c r="E105" s="77">
        <x:f>IF(A105="","",ROUND(MIN(Dashboard!$B$11,MAX(0,C105-(D105-G105))),2))</x:f>
        <x:v>150</x:v>
      </x:c>
      <x:c r="F105" s="77">
        <x:f>IF(A105="","",ROUND(C105*Dashboard!$B$12/Dashboard!$B$9,2))</x:f>
        <x:v>38.5</x:v>
      </x:c>
      <x:c r="G105" s="77">
        <x:f>IF(A105="","",ROUND(C105*Moteur!$B$2,2))</x:f>
        <x:v>487.65</x:v>
      </x:c>
      <x:c r="H105" s="77">
        <x:f>IF(A105="","",ROUND(MIN(C105,D105-G105+E105),2))</x:f>
        <x:v>1151.08</x:v>
      </x:c>
      <x:c r="I105" s="77">
        <x:f>IF(A105="","",ROUND(D105+E105+F105,2))</x:f>
        <x:v>1677.23</x:v>
      </x:c>
      <x:c r="J105" s="77">
        <x:f>IF(A105="","",ROUND(MAX(0,C105-H105),2))</x:f>
        <x:v>152843.29</x:v>
      </x:c>
      <x:c r="K105" s="78">
        <x:f>IF(A105="","",1-(J105/Dashboard!$B$6))</x:f>
        <x:v>0.3886268399999999</x:v>
      </x:c>
      <x:c r="L105" s="43" t="str">
        <x:f>IF(A105="","",IF(J105=0,"Soldé","En cours"))</x:f>
        <x:v>En cours</x:v>
      </x:c>
      <x:c r="M105" s="77">
        <x:f>IF(A105="","",ROUND(SUM($G$8:G105),2))</x:f>
        <x:v>63438.83</x:v>
      </x:c>
    </x:row>
    <x:row r="106" ht="20" customHeight="1">
      <x:c r="A106" s="71">
        <x:f>IF(OR($J105="",ROUND($J105,2)=0),"",$A105+1)</x:f>
        <x:v>99</x:v>
      </x:c>
      <x:c r="B106" s="72">
        <x:f>IF(A106="","",EDATE(Dashboard!$B$10,(A106-1)*(12/Dashboard!$B$9)))</x:f>
        <x:v>49096</x:v>
      </x:c>
      <x:c r="C106" s="73">
        <x:f>IF(A106="","",$J105)</x:f>
        <x:v>152843.29</x:v>
      </x:c>
      <x:c r="D106" s="73">
        <x:f>IF(A106="","",ROUND(MIN(Moteur!$B$3,C106+G106),2))</x:f>
        <x:v>1488.73</x:v>
      </x:c>
      <x:c r="E106" s="73">
        <x:f>IF(A106="","",ROUND(MIN(Dashboard!$B$11,MAX(0,C106-(D106-G106))),2))</x:f>
        <x:v>150</x:v>
      </x:c>
      <x:c r="F106" s="73">
        <x:f>IF(A106="","",ROUND(C106*Dashboard!$B$12/Dashboard!$B$9,2))</x:f>
        <x:v>38.21</x:v>
      </x:c>
      <x:c r="G106" s="73">
        <x:f>IF(A106="","",ROUND(C106*Moteur!$B$2,2))</x:f>
        <x:v>484</x:v>
      </x:c>
      <x:c r="H106" s="73">
        <x:f>IF(A106="","",ROUND(MIN(C106,D106-G106+E106),2))</x:f>
        <x:v>1154.73</x:v>
      </x:c>
      <x:c r="I106" s="73">
        <x:f>IF(A106="","",ROUND(D106+E106+F106,2))</x:f>
        <x:v>1676.94</x:v>
      </x:c>
      <x:c r="J106" s="73">
        <x:f>IF(A106="","",ROUND(MAX(0,C106-H106),2))</x:f>
        <x:v>151688.56</x:v>
      </x:c>
      <x:c r="K106" s="74">
        <x:f>IF(A106="","",1-(J106/Dashboard!$B$6))</x:f>
        <x:v>0.39324576</x:v>
      </x:c>
      <x:c r="L106" s="38" t="str">
        <x:f>IF(A106="","",IF(J106=0,"Soldé","En cours"))</x:f>
        <x:v>En cours</x:v>
      </x:c>
      <x:c r="M106" s="73">
        <x:f>IF(A106="","",ROUND(SUM($G$8:G106),2))</x:f>
        <x:v>63922.83</x:v>
      </x:c>
    </x:row>
    <x:row r="107" ht="20" customHeight="1">
      <x:c r="A107" s="75">
        <x:f>IF(OR($J106="",ROUND($J106,2)=0),"",$A106+1)</x:f>
        <x:v>100</x:v>
      </x:c>
      <x:c r="B107" s="76">
        <x:f>IF(A107="","",EDATE(Dashboard!$B$10,(A107-1)*(12/Dashboard!$B$9)))</x:f>
        <x:v>49126</x:v>
      </x:c>
      <x:c r="C107" s="77">
        <x:f>IF(A107="","",$J106)</x:f>
        <x:v>151688.56</x:v>
      </x:c>
      <x:c r="D107" s="77">
        <x:f>IF(A107="","",ROUND(MIN(Moteur!$B$3,C107+G107),2))</x:f>
        <x:v>1488.73</x:v>
      </x:c>
      <x:c r="E107" s="77">
        <x:f>IF(A107="","",ROUND(MIN(Dashboard!$B$11,MAX(0,C107-(D107-G107))),2))</x:f>
        <x:v>150</x:v>
      </x:c>
      <x:c r="F107" s="77">
        <x:f>IF(A107="","",ROUND(C107*Dashboard!$B$12/Dashboard!$B$9,2))</x:f>
        <x:v>37.92</x:v>
      </x:c>
      <x:c r="G107" s="77">
        <x:f>IF(A107="","",ROUND(C107*Moteur!$B$2,2))</x:f>
        <x:v>480.35</x:v>
      </x:c>
      <x:c r="H107" s="77">
        <x:f>IF(A107="","",ROUND(MIN(C107,D107-G107+E107),2))</x:f>
        <x:v>1158.38</x:v>
      </x:c>
      <x:c r="I107" s="77">
        <x:f>IF(A107="","",ROUND(D107+E107+F107,2))</x:f>
        <x:v>1676.65</x:v>
      </x:c>
      <x:c r="J107" s="77">
        <x:f>IF(A107="","",ROUND(MAX(0,C107-H107),2))</x:f>
        <x:v>150530.18</x:v>
      </x:c>
      <x:c r="K107" s="78">
        <x:f>IF(A107="","",1-(J107/Dashboard!$B$6))</x:f>
        <x:v>0.39787928000000006</x:v>
      </x:c>
      <x:c r="L107" s="43" t="str">
        <x:f>IF(A107="","",IF(J107=0,"Soldé","En cours"))</x:f>
        <x:v>En cours</x:v>
      </x:c>
      <x:c r="M107" s="77">
        <x:f>IF(A107="","",ROUND(SUM($G$8:G107),2))</x:f>
        <x:v>64403.18</x:v>
      </x:c>
    </x:row>
    <x:row r="108" ht="20" customHeight="1">
      <x:c r="A108" s="71">
        <x:f>IF(OR($J107="",ROUND($J107,2)=0),"",$A107+1)</x:f>
        <x:v>101</x:v>
      </x:c>
      <x:c r="B108" s="72">
        <x:f>IF(A108="","",EDATE(Dashboard!$B$10,(A108-1)*(12/Dashboard!$B$9)))</x:f>
        <x:v>49157</x:v>
      </x:c>
      <x:c r="C108" s="73">
        <x:f>IF(A108="","",$J107)</x:f>
        <x:v>150530.18</x:v>
      </x:c>
      <x:c r="D108" s="73">
        <x:f>IF(A108="","",ROUND(MIN(Moteur!$B$3,C108+G108),2))</x:f>
        <x:v>1488.73</x:v>
      </x:c>
      <x:c r="E108" s="73">
        <x:f>IF(A108="","",ROUND(MIN(Dashboard!$B$11,MAX(0,C108-(D108-G108))),2))</x:f>
        <x:v>150</x:v>
      </x:c>
      <x:c r="F108" s="73">
        <x:f>IF(A108="","",ROUND(C108*Dashboard!$B$12/Dashboard!$B$9,2))</x:f>
        <x:v>37.63</x:v>
      </x:c>
      <x:c r="G108" s="73">
        <x:f>IF(A108="","",ROUND(C108*Moteur!$B$2,2))</x:f>
        <x:v>476.68</x:v>
      </x:c>
      <x:c r="H108" s="73">
        <x:f>IF(A108="","",ROUND(MIN(C108,D108-G108+E108),2))</x:f>
        <x:v>1162.05</x:v>
      </x:c>
      <x:c r="I108" s="73">
        <x:f>IF(A108="","",ROUND(D108+E108+F108,2))</x:f>
        <x:v>1676.36</x:v>
      </x:c>
      <x:c r="J108" s="73">
        <x:f>IF(A108="","",ROUND(MAX(0,C108-H108),2))</x:f>
        <x:v>149368.13</x:v>
      </x:c>
      <x:c r="K108" s="74">
        <x:f>IF(A108="","",1-(J108/Dashboard!$B$6))</x:f>
        <x:v>0.40252747999999994</x:v>
      </x:c>
      <x:c r="L108" s="38" t="str">
        <x:f>IF(A108="","",IF(J108=0,"Soldé","En cours"))</x:f>
        <x:v>En cours</x:v>
      </x:c>
      <x:c r="M108" s="73">
        <x:f>IF(A108="","",ROUND(SUM($G$8:G108),2))</x:f>
        <x:v>64879.86</x:v>
      </x:c>
    </x:row>
    <x:row r="109" ht="20" customHeight="1">
      <x:c r="A109" s="75">
        <x:f>IF(OR($J108="",ROUND($J108,2)=0),"",$A108+1)</x:f>
        <x:v>102</x:v>
      </x:c>
      <x:c r="B109" s="76">
        <x:f>IF(A109="","",EDATE(Dashboard!$B$10,(A109-1)*(12/Dashboard!$B$9)))</x:f>
        <x:v>49188</x:v>
      </x:c>
      <x:c r="C109" s="77">
        <x:f>IF(A109="","",$J108)</x:f>
        <x:v>149368.13</x:v>
      </x:c>
      <x:c r="D109" s="77">
        <x:f>IF(A109="","",ROUND(MIN(Moteur!$B$3,C109+G109),2))</x:f>
        <x:v>1488.73</x:v>
      </x:c>
      <x:c r="E109" s="77">
        <x:f>IF(A109="","",ROUND(MIN(Dashboard!$B$11,MAX(0,C109-(D109-G109))),2))</x:f>
        <x:v>150</x:v>
      </x:c>
      <x:c r="F109" s="77">
        <x:f>IF(A109="","",ROUND(C109*Dashboard!$B$12/Dashboard!$B$9,2))</x:f>
        <x:v>37.34</x:v>
      </x:c>
      <x:c r="G109" s="77">
        <x:f>IF(A109="","",ROUND(C109*Moteur!$B$2,2))</x:f>
        <x:v>473</x:v>
      </x:c>
      <x:c r="H109" s="77">
        <x:f>IF(A109="","",ROUND(MIN(C109,D109-G109+E109),2))</x:f>
        <x:v>1165.73</x:v>
      </x:c>
      <x:c r="I109" s="77">
        <x:f>IF(A109="","",ROUND(D109+E109+F109,2))</x:f>
        <x:v>1676.07</x:v>
      </x:c>
      <x:c r="J109" s="77">
        <x:f>IF(A109="","",ROUND(MAX(0,C109-H109),2))</x:f>
        <x:v>148202.4</x:v>
      </x:c>
      <x:c r="K109" s="78">
        <x:f>IF(A109="","",1-(J109/Dashboard!$B$6))</x:f>
        <x:v>0.40719040000000006</x:v>
      </x:c>
      <x:c r="L109" s="43" t="str">
        <x:f>IF(A109="","",IF(J109=0,"Soldé","En cours"))</x:f>
        <x:v>En cours</x:v>
      </x:c>
      <x:c r="M109" s="77">
        <x:f>IF(A109="","",ROUND(SUM($G$8:G109),2))</x:f>
        <x:v>65352.86</x:v>
      </x:c>
    </x:row>
    <x:row r="110" ht="20" customHeight="1">
      <x:c r="A110" s="71">
        <x:f>IF(OR($J109="",ROUND($J109,2)=0),"",$A109+1)</x:f>
        <x:v>103</x:v>
      </x:c>
      <x:c r="B110" s="72">
        <x:f>IF(A110="","",EDATE(Dashboard!$B$10,(A110-1)*(12/Dashboard!$B$9)))</x:f>
        <x:v>49218</x:v>
      </x:c>
      <x:c r="C110" s="73">
        <x:f>IF(A110="","",$J109)</x:f>
        <x:v>148202.4</x:v>
      </x:c>
      <x:c r="D110" s="73">
        <x:f>IF(A110="","",ROUND(MIN(Moteur!$B$3,C110+G110),2))</x:f>
        <x:v>1488.73</x:v>
      </x:c>
      <x:c r="E110" s="73">
        <x:f>IF(A110="","",ROUND(MIN(Dashboard!$B$11,MAX(0,C110-(D110-G110))),2))</x:f>
        <x:v>150</x:v>
      </x:c>
      <x:c r="F110" s="73">
        <x:f>IF(A110="","",ROUND(C110*Dashboard!$B$12/Dashboard!$B$9,2))</x:f>
        <x:v>37.05</x:v>
      </x:c>
      <x:c r="G110" s="73">
        <x:f>IF(A110="","",ROUND(C110*Moteur!$B$2,2))</x:f>
        <x:v>469.31</x:v>
      </x:c>
      <x:c r="H110" s="73">
        <x:f>IF(A110="","",ROUND(MIN(C110,D110-G110+E110),2))</x:f>
        <x:v>1169.42</x:v>
      </x:c>
      <x:c r="I110" s="73">
        <x:f>IF(A110="","",ROUND(D110+E110+F110,2))</x:f>
        <x:v>1675.78</x:v>
      </x:c>
      <x:c r="J110" s="73">
        <x:f>IF(A110="","",ROUND(MAX(0,C110-H110),2))</x:f>
        <x:v>147032.98</x:v>
      </x:c>
      <x:c r="K110" s="74">
        <x:f>IF(A110="","",1-(J110/Dashboard!$B$6))</x:f>
        <x:v>0.41186807999999997</x:v>
      </x:c>
      <x:c r="L110" s="38" t="str">
        <x:f>IF(A110="","",IF(J110=0,"Soldé","En cours"))</x:f>
        <x:v>En cours</x:v>
      </x:c>
      <x:c r="M110" s="73">
        <x:f>IF(A110="","",ROUND(SUM($G$8:G110),2))</x:f>
        <x:v>65822.17</x:v>
      </x:c>
    </x:row>
    <x:row r="111" ht="20" customHeight="1">
      <x:c r="A111" s="75">
        <x:f>IF(OR($J110="",ROUND($J110,2)=0),"",$A110+1)</x:f>
        <x:v>104</x:v>
      </x:c>
      <x:c r="B111" s="76">
        <x:f>IF(A111="","",EDATE(Dashboard!$B$10,(A111-1)*(12/Dashboard!$B$9)))</x:f>
        <x:v>49249</x:v>
      </x:c>
      <x:c r="C111" s="77">
        <x:f>IF(A111="","",$J110)</x:f>
        <x:v>147032.98</x:v>
      </x:c>
      <x:c r="D111" s="77">
        <x:f>IF(A111="","",ROUND(MIN(Moteur!$B$3,C111+G111),2))</x:f>
        <x:v>1488.73</x:v>
      </x:c>
      <x:c r="E111" s="77">
        <x:f>IF(A111="","",ROUND(MIN(Dashboard!$B$11,MAX(0,C111-(D111-G111))),2))</x:f>
        <x:v>150</x:v>
      </x:c>
      <x:c r="F111" s="77">
        <x:f>IF(A111="","",ROUND(C111*Dashboard!$B$12/Dashboard!$B$9,2))</x:f>
        <x:v>36.76</x:v>
      </x:c>
      <x:c r="G111" s="77">
        <x:f>IF(A111="","",ROUND(C111*Moteur!$B$2,2))</x:f>
        <x:v>465.6</x:v>
      </x:c>
      <x:c r="H111" s="77">
        <x:f>IF(A111="","",ROUND(MIN(C111,D111-G111+E111),2))</x:f>
        <x:v>1173.13</x:v>
      </x:c>
      <x:c r="I111" s="77">
        <x:f>IF(A111="","",ROUND(D111+E111+F111,2))</x:f>
        <x:v>1675.49</x:v>
      </x:c>
      <x:c r="J111" s="77">
        <x:f>IF(A111="","",ROUND(MAX(0,C111-H111),2))</x:f>
        <x:v>145859.85</x:v>
      </x:c>
      <x:c r="K111" s="78">
        <x:f>IF(A111="","",1-(J111/Dashboard!$B$6))</x:f>
        <x:v>0.41656059999999995</x:v>
      </x:c>
      <x:c r="L111" s="43" t="str">
        <x:f>IF(A111="","",IF(J111=0,"Soldé","En cours"))</x:f>
        <x:v>En cours</x:v>
      </x:c>
      <x:c r="M111" s="77">
        <x:f>IF(A111="","",ROUND(SUM($G$8:G111),2))</x:f>
        <x:v>66287.77</x:v>
      </x:c>
    </x:row>
    <x:row r="112" ht="20" customHeight="1">
      <x:c r="A112" s="71">
        <x:f>IF(OR($J111="",ROUND($J111,2)=0),"",$A111+1)</x:f>
        <x:v>105</x:v>
      </x:c>
      <x:c r="B112" s="72">
        <x:f>IF(A112="","",EDATE(Dashboard!$B$10,(A112-1)*(12/Dashboard!$B$9)))</x:f>
        <x:v>49279</x:v>
      </x:c>
      <x:c r="C112" s="73">
        <x:f>IF(A112="","",$J111)</x:f>
        <x:v>145859.85</x:v>
      </x:c>
      <x:c r="D112" s="73">
        <x:f>IF(A112="","",ROUND(MIN(Moteur!$B$3,C112+G112),2))</x:f>
        <x:v>1488.73</x:v>
      </x:c>
      <x:c r="E112" s="73">
        <x:f>IF(A112="","",ROUND(MIN(Dashboard!$B$11,MAX(0,C112-(D112-G112))),2))</x:f>
        <x:v>150</x:v>
      </x:c>
      <x:c r="F112" s="73">
        <x:f>IF(A112="","",ROUND(C112*Dashboard!$B$12/Dashboard!$B$9,2))</x:f>
        <x:v>36.46</x:v>
      </x:c>
      <x:c r="G112" s="73">
        <x:f>IF(A112="","",ROUND(C112*Moteur!$B$2,2))</x:f>
        <x:v>461.89</x:v>
      </x:c>
      <x:c r="H112" s="73">
        <x:f>IF(A112="","",ROUND(MIN(C112,D112-G112+E112),2))</x:f>
        <x:v>1176.84</x:v>
      </x:c>
      <x:c r="I112" s="73">
        <x:f>IF(A112="","",ROUND(D112+E112+F112,2))</x:f>
        <x:v>1675.19</x:v>
      </x:c>
      <x:c r="J112" s="73">
        <x:f>IF(A112="","",ROUND(MAX(0,C112-H112),2))</x:f>
        <x:v>144683.01</x:v>
      </x:c>
      <x:c r="K112" s="74">
        <x:f>IF(A112="","",1-(J112/Dashboard!$B$6))</x:f>
        <x:v>0.42126796</x:v>
      </x:c>
      <x:c r="L112" s="38" t="str">
        <x:f>IF(A112="","",IF(J112=0,"Soldé","En cours"))</x:f>
        <x:v>En cours</x:v>
      </x:c>
      <x:c r="M112" s="73">
        <x:f>IF(A112="","",ROUND(SUM($G$8:G112),2))</x:f>
        <x:v>66749.66</x:v>
      </x:c>
    </x:row>
    <x:row r="113" ht="20" customHeight="1">
      <x:c r="A113" s="75">
        <x:f>IF(OR($J112="",ROUND($J112,2)=0),"",$A112+1)</x:f>
        <x:v>106</x:v>
      </x:c>
      <x:c r="B113" s="76">
        <x:f>IF(A113="","",EDATE(Dashboard!$B$10,(A113-1)*(12/Dashboard!$B$9)))</x:f>
        <x:v>49310</x:v>
      </x:c>
      <x:c r="C113" s="77">
        <x:f>IF(A113="","",$J112)</x:f>
        <x:v>144683.01</x:v>
      </x:c>
      <x:c r="D113" s="77">
        <x:f>IF(A113="","",ROUND(MIN(Moteur!$B$3,C113+G113),2))</x:f>
        <x:v>1488.73</x:v>
      </x:c>
      <x:c r="E113" s="77">
        <x:f>IF(A113="","",ROUND(MIN(Dashboard!$B$11,MAX(0,C113-(D113-G113))),2))</x:f>
        <x:v>150</x:v>
      </x:c>
      <x:c r="F113" s="77">
        <x:f>IF(A113="","",ROUND(C113*Dashboard!$B$12/Dashboard!$B$9,2))</x:f>
        <x:v>36.17</x:v>
      </x:c>
      <x:c r="G113" s="77">
        <x:f>IF(A113="","",ROUND(C113*Moteur!$B$2,2))</x:f>
        <x:v>458.16</x:v>
      </x:c>
      <x:c r="H113" s="77">
        <x:f>IF(A113="","",ROUND(MIN(C113,D113-G113+E113),2))</x:f>
        <x:v>1180.57</x:v>
      </x:c>
      <x:c r="I113" s="77">
        <x:f>IF(A113="","",ROUND(D113+E113+F113,2))</x:f>
        <x:v>1674.9</x:v>
      </x:c>
      <x:c r="J113" s="77">
        <x:f>IF(A113="","",ROUND(MAX(0,C113-H113),2))</x:f>
        <x:v>143502.44</x:v>
      </x:c>
      <x:c r="K113" s="78">
        <x:f>IF(A113="","",1-(J113/Dashboard!$B$6))</x:f>
        <x:v>0.42599023999999996</x:v>
      </x:c>
      <x:c r="L113" s="43" t="str">
        <x:f>IF(A113="","",IF(J113=0,"Soldé","En cours"))</x:f>
        <x:v>En cours</x:v>
      </x:c>
      <x:c r="M113" s="77">
        <x:f>IF(A113="","",ROUND(SUM($G$8:G113),2))</x:f>
        <x:v>67207.82</x:v>
      </x:c>
    </x:row>
    <x:row r="114" ht="20" customHeight="1">
      <x:c r="A114" s="71">
        <x:f>IF(OR($J113="",ROUND($J113,2)=0),"",$A113+1)</x:f>
        <x:v>107</x:v>
      </x:c>
      <x:c r="B114" s="72">
        <x:f>IF(A114="","",EDATE(Dashboard!$B$10,(A114-1)*(12/Dashboard!$B$9)))</x:f>
        <x:v>49341</x:v>
      </x:c>
      <x:c r="C114" s="73">
        <x:f>IF(A114="","",$J113)</x:f>
        <x:v>143502.44</x:v>
      </x:c>
      <x:c r="D114" s="73">
        <x:f>IF(A114="","",ROUND(MIN(Moteur!$B$3,C114+G114),2))</x:f>
        <x:v>1488.73</x:v>
      </x:c>
      <x:c r="E114" s="73">
        <x:f>IF(A114="","",ROUND(MIN(Dashboard!$B$11,MAX(0,C114-(D114-G114))),2))</x:f>
        <x:v>150</x:v>
      </x:c>
      <x:c r="F114" s="73">
        <x:f>IF(A114="","",ROUND(C114*Dashboard!$B$12/Dashboard!$B$9,2))</x:f>
        <x:v>35.88</x:v>
      </x:c>
      <x:c r="G114" s="73">
        <x:f>IF(A114="","",ROUND(C114*Moteur!$B$2,2))</x:f>
        <x:v>454.42</x:v>
      </x:c>
      <x:c r="H114" s="73">
        <x:f>IF(A114="","",ROUND(MIN(C114,D114-G114+E114),2))</x:f>
        <x:v>1184.31</x:v>
      </x:c>
      <x:c r="I114" s="73">
        <x:f>IF(A114="","",ROUND(D114+E114+F114,2))</x:f>
        <x:v>1674.61</x:v>
      </x:c>
      <x:c r="J114" s="73">
        <x:f>IF(A114="","",ROUND(MAX(0,C114-H114),2))</x:f>
        <x:v>142318.13</x:v>
      </x:c>
      <x:c r="K114" s="74">
        <x:f>IF(A114="","",1-(J114/Dashboard!$B$6))</x:f>
        <x:v>0.43072747999999994</x:v>
      </x:c>
      <x:c r="L114" s="38" t="str">
        <x:f>IF(A114="","",IF(J114=0,"Soldé","En cours"))</x:f>
        <x:v>En cours</x:v>
      </x:c>
      <x:c r="M114" s="73">
        <x:f>IF(A114="","",ROUND(SUM($G$8:G114),2))</x:f>
        <x:v>67662.24</x:v>
      </x:c>
    </x:row>
    <x:row r="115" ht="20" customHeight="1">
      <x:c r="A115" s="75">
        <x:f>IF(OR($J114="",ROUND($J114,2)=0),"",$A114+1)</x:f>
        <x:v>108</x:v>
      </x:c>
      <x:c r="B115" s="76">
        <x:f>IF(A115="","",EDATE(Dashboard!$B$10,(A115-1)*(12/Dashboard!$B$9)))</x:f>
        <x:v>49369</x:v>
      </x:c>
      <x:c r="C115" s="77">
        <x:f>IF(A115="","",$J114)</x:f>
        <x:v>142318.13</x:v>
      </x:c>
      <x:c r="D115" s="77">
        <x:f>IF(A115="","",ROUND(MIN(Moteur!$B$3,C115+G115),2))</x:f>
        <x:v>1488.73</x:v>
      </x:c>
      <x:c r="E115" s="77">
        <x:f>IF(A115="","",ROUND(MIN(Dashboard!$B$11,MAX(0,C115-(D115-G115))),2))</x:f>
        <x:v>150</x:v>
      </x:c>
      <x:c r="F115" s="77">
        <x:f>IF(A115="","",ROUND(C115*Dashboard!$B$12/Dashboard!$B$9,2))</x:f>
        <x:v>35.58</x:v>
      </x:c>
      <x:c r="G115" s="77">
        <x:f>IF(A115="","",ROUND(C115*Moteur!$B$2,2))</x:f>
        <x:v>450.67</x:v>
      </x:c>
      <x:c r="H115" s="77">
        <x:f>IF(A115="","",ROUND(MIN(C115,D115-G115+E115),2))</x:f>
        <x:v>1188.06</x:v>
      </x:c>
      <x:c r="I115" s="77">
        <x:f>IF(A115="","",ROUND(D115+E115+F115,2))</x:f>
        <x:v>1674.31</x:v>
      </x:c>
      <x:c r="J115" s="77">
        <x:f>IF(A115="","",ROUND(MAX(0,C115-H115),2))</x:f>
        <x:v>141130.07</x:v>
      </x:c>
      <x:c r="K115" s="78">
        <x:f>IF(A115="","",1-(J115/Dashboard!$B$6))</x:f>
        <x:v>0.43547972</x:v>
      </x:c>
      <x:c r="L115" s="43" t="str">
        <x:f>IF(A115="","",IF(J115=0,"Soldé","En cours"))</x:f>
        <x:v>En cours</x:v>
      </x:c>
      <x:c r="M115" s="77">
        <x:f>IF(A115="","",ROUND(SUM($G$8:G115),2))</x:f>
        <x:v>68112.91</x:v>
      </x:c>
    </x:row>
    <x:row r="116" ht="20" customHeight="1">
      <x:c r="A116" s="71">
        <x:f>IF(OR($J115="",ROUND($J115,2)=0),"",$A115+1)</x:f>
        <x:v>109</x:v>
      </x:c>
      <x:c r="B116" s="72">
        <x:f>IF(A116="","",EDATE(Dashboard!$B$10,(A116-1)*(12/Dashboard!$B$9)))</x:f>
        <x:v>49400</x:v>
      </x:c>
      <x:c r="C116" s="73">
        <x:f>IF(A116="","",$J115)</x:f>
        <x:v>141130.07</x:v>
      </x:c>
      <x:c r="D116" s="73">
        <x:f>IF(A116="","",ROUND(MIN(Moteur!$B$3,C116+G116),2))</x:f>
        <x:v>1488.73</x:v>
      </x:c>
      <x:c r="E116" s="73">
        <x:f>IF(A116="","",ROUND(MIN(Dashboard!$B$11,MAX(0,C116-(D116-G116))),2))</x:f>
        <x:v>150</x:v>
      </x:c>
      <x:c r="F116" s="73">
        <x:f>IF(A116="","",ROUND(C116*Dashboard!$B$12/Dashboard!$B$9,2))</x:f>
        <x:v>35.28</x:v>
      </x:c>
      <x:c r="G116" s="73">
        <x:f>IF(A116="","",ROUND(C116*Moteur!$B$2,2))</x:f>
        <x:v>446.91</x:v>
      </x:c>
      <x:c r="H116" s="73">
        <x:f>IF(A116="","",ROUND(MIN(C116,D116-G116+E116),2))</x:f>
        <x:v>1191.82</x:v>
      </x:c>
      <x:c r="I116" s="73">
        <x:f>IF(A116="","",ROUND(D116+E116+F116,2))</x:f>
        <x:v>1674.01</x:v>
      </x:c>
      <x:c r="J116" s="73">
        <x:f>IF(A116="","",ROUND(MAX(0,C116-H116),2))</x:f>
        <x:v>139938.25</x:v>
      </x:c>
      <x:c r="K116" s="74">
        <x:f>IF(A116="","",1-(J116/Dashboard!$B$6))</x:f>
        <x:v>0.44024700000000005</x:v>
      </x:c>
      <x:c r="L116" s="38" t="str">
        <x:f>IF(A116="","",IF(J116=0,"Soldé","En cours"))</x:f>
        <x:v>En cours</x:v>
      </x:c>
      <x:c r="M116" s="73">
        <x:f>IF(A116="","",ROUND(SUM($G$8:G116),2))</x:f>
        <x:v>68559.82</x:v>
      </x:c>
    </x:row>
    <x:row r="117" ht="20" customHeight="1">
      <x:c r="A117" s="75">
        <x:f>IF(OR($J116="",ROUND($J116,2)=0),"",$A116+1)</x:f>
        <x:v>110</x:v>
      </x:c>
      <x:c r="B117" s="76">
        <x:f>IF(A117="","",EDATE(Dashboard!$B$10,(A117-1)*(12/Dashboard!$B$9)))</x:f>
        <x:v>49430</x:v>
      </x:c>
      <x:c r="C117" s="77">
        <x:f>IF(A117="","",$J116)</x:f>
        <x:v>139938.25</x:v>
      </x:c>
      <x:c r="D117" s="77">
        <x:f>IF(A117="","",ROUND(MIN(Moteur!$B$3,C117+G117),2))</x:f>
        <x:v>1488.73</x:v>
      </x:c>
      <x:c r="E117" s="77">
        <x:f>IF(A117="","",ROUND(MIN(Dashboard!$B$11,MAX(0,C117-(D117-G117))),2))</x:f>
        <x:v>150</x:v>
      </x:c>
      <x:c r="F117" s="77">
        <x:f>IF(A117="","",ROUND(C117*Dashboard!$B$12/Dashboard!$B$9,2))</x:f>
        <x:v>34.98</x:v>
      </x:c>
      <x:c r="G117" s="77">
        <x:f>IF(A117="","",ROUND(C117*Moteur!$B$2,2))</x:f>
        <x:v>443.14</x:v>
      </x:c>
      <x:c r="H117" s="77">
        <x:f>IF(A117="","",ROUND(MIN(C117,D117-G117+E117),2))</x:f>
        <x:v>1195.59</x:v>
      </x:c>
      <x:c r="I117" s="77">
        <x:f>IF(A117="","",ROUND(D117+E117+F117,2))</x:f>
        <x:v>1673.71</x:v>
      </x:c>
      <x:c r="J117" s="77">
        <x:f>IF(A117="","",ROUND(MAX(0,C117-H117),2))</x:f>
        <x:v>138742.66</x:v>
      </x:c>
      <x:c r="K117" s="78">
        <x:f>IF(A117="","",1-(J117/Dashboard!$B$6))</x:f>
        <x:v>0.44502936000000004</x:v>
      </x:c>
      <x:c r="L117" s="43" t="str">
        <x:f>IF(A117="","",IF(J117=0,"Soldé","En cours"))</x:f>
        <x:v>En cours</x:v>
      </x:c>
      <x:c r="M117" s="77">
        <x:f>IF(A117="","",ROUND(SUM($G$8:G117),2))</x:f>
        <x:v>69002.96</x:v>
      </x:c>
    </x:row>
    <x:row r="118" ht="20" customHeight="1">
      <x:c r="A118" s="71">
        <x:f>IF(OR($J117="",ROUND($J117,2)=0),"",$A117+1)</x:f>
        <x:v>111</x:v>
      </x:c>
      <x:c r="B118" s="72">
        <x:f>IF(A118="","",EDATE(Dashboard!$B$10,(A118-1)*(12/Dashboard!$B$9)))</x:f>
        <x:v>49461</x:v>
      </x:c>
      <x:c r="C118" s="73">
        <x:f>IF(A118="","",$J117)</x:f>
        <x:v>138742.66</x:v>
      </x:c>
      <x:c r="D118" s="73">
        <x:f>IF(A118="","",ROUND(MIN(Moteur!$B$3,C118+G118),2))</x:f>
        <x:v>1488.73</x:v>
      </x:c>
      <x:c r="E118" s="73">
        <x:f>IF(A118="","",ROUND(MIN(Dashboard!$B$11,MAX(0,C118-(D118-G118))),2))</x:f>
        <x:v>150</x:v>
      </x:c>
      <x:c r="F118" s="73">
        <x:f>IF(A118="","",ROUND(C118*Dashboard!$B$12/Dashboard!$B$9,2))</x:f>
        <x:v>34.69</x:v>
      </x:c>
      <x:c r="G118" s="73">
        <x:f>IF(A118="","",ROUND(C118*Moteur!$B$2,2))</x:f>
        <x:v>439.35</x:v>
      </x:c>
      <x:c r="H118" s="73">
        <x:f>IF(A118="","",ROUND(MIN(C118,D118-G118+E118),2))</x:f>
        <x:v>1199.38</x:v>
      </x:c>
      <x:c r="I118" s="73">
        <x:f>IF(A118="","",ROUND(D118+E118+F118,2))</x:f>
        <x:v>1673.42</x:v>
      </x:c>
      <x:c r="J118" s="73">
        <x:f>IF(A118="","",ROUND(MAX(0,C118-H118),2))</x:f>
        <x:v>137543.28</x:v>
      </x:c>
      <x:c r="K118" s="74">
        <x:f>IF(A118="","",1-(J118/Dashboard!$B$6))</x:f>
        <x:v>0.44982688000000004</x:v>
      </x:c>
      <x:c r="L118" s="38" t="str">
        <x:f>IF(A118="","",IF(J118=0,"Soldé","En cours"))</x:f>
        <x:v>En cours</x:v>
      </x:c>
      <x:c r="M118" s="73">
        <x:f>IF(A118="","",ROUND(SUM($G$8:G118),2))</x:f>
        <x:v>69442.31</x:v>
      </x:c>
    </x:row>
    <x:row r="119" ht="20" customHeight="1">
      <x:c r="A119" s="75">
        <x:f>IF(OR($J118="",ROUND($J118,2)=0),"",$A118+1)</x:f>
        <x:v>112</x:v>
      </x:c>
      <x:c r="B119" s="76">
        <x:f>IF(A119="","",EDATE(Dashboard!$B$10,(A119-1)*(12/Dashboard!$B$9)))</x:f>
        <x:v>49491</x:v>
      </x:c>
      <x:c r="C119" s="77">
        <x:f>IF(A119="","",$J118)</x:f>
        <x:v>137543.28</x:v>
      </x:c>
      <x:c r="D119" s="77">
        <x:f>IF(A119="","",ROUND(MIN(Moteur!$B$3,C119+G119),2))</x:f>
        <x:v>1488.73</x:v>
      </x:c>
      <x:c r="E119" s="77">
        <x:f>IF(A119="","",ROUND(MIN(Dashboard!$B$11,MAX(0,C119-(D119-G119))),2))</x:f>
        <x:v>150</x:v>
      </x:c>
      <x:c r="F119" s="77">
        <x:f>IF(A119="","",ROUND(C119*Dashboard!$B$12/Dashboard!$B$9,2))</x:f>
        <x:v>34.39</x:v>
      </x:c>
      <x:c r="G119" s="77">
        <x:f>IF(A119="","",ROUND(C119*Moteur!$B$2,2))</x:f>
        <x:v>435.55</x:v>
      </x:c>
      <x:c r="H119" s="77">
        <x:f>IF(A119="","",ROUND(MIN(C119,D119-G119+E119),2))</x:f>
        <x:v>1203.18</x:v>
      </x:c>
      <x:c r="I119" s="77">
        <x:f>IF(A119="","",ROUND(D119+E119+F119,2))</x:f>
        <x:v>1673.12</x:v>
      </x:c>
      <x:c r="J119" s="77">
        <x:f>IF(A119="","",ROUND(MAX(0,C119-H119),2))</x:f>
        <x:v>136340.1</x:v>
      </x:c>
      <x:c r="K119" s="78">
        <x:f>IF(A119="","",1-(J119/Dashboard!$B$6))</x:f>
        <x:v>0.4546395999999999</x:v>
      </x:c>
      <x:c r="L119" s="43" t="str">
        <x:f>IF(A119="","",IF(J119=0,"Soldé","En cours"))</x:f>
        <x:v>En cours</x:v>
      </x:c>
      <x:c r="M119" s="77">
        <x:f>IF(A119="","",ROUND(SUM($G$8:G119),2))</x:f>
        <x:v>69877.86</x:v>
      </x:c>
    </x:row>
    <x:row r="120" ht="20" customHeight="1">
      <x:c r="A120" s="71">
        <x:f>IF(OR($J119="",ROUND($J119,2)=0),"",$A119+1)</x:f>
        <x:v>113</x:v>
      </x:c>
      <x:c r="B120" s="72">
        <x:f>IF(A120="","",EDATE(Dashboard!$B$10,(A120-1)*(12/Dashboard!$B$9)))</x:f>
        <x:v>49522</x:v>
      </x:c>
      <x:c r="C120" s="73">
        <x:f>IF(A120="","",$J119)</x:f>
        <x:v>136340.1</x:v>
      </x:c>
      <x:c r="D120" s="73">
        <x:f>IF(A120="","",ROUND(MIN(Moteur!$B$3,C120+G120),2))</x:f>
        <x:v>1488.73</x:v>
      </x:c>
      <x:c r="E120" s="73">
        <x:f>IF(A120="","",ROUND(MIN(Dashboard!$B$11,MAX(0,C120-(D120-G120))),2))</x:f>
        <x:v>150</x:v>
      </x:c>
      <x:c r="F120" s="73">
        <x:f>IF(A120="","",ROUND(C120*Dashboard!$B$12/Dashboard!$B$9,2))</x:f>
        <x:v>34.09</x:v>
      </x:c>
      <x:c r="G120" s="73">
        <x:f>IF(A120="","",ROUND(C120*Moteur!$B$2,2))</x:f>
        <x:v>431.74</x:v>
      </x:c>
      <x:c r="H120" s="73">
        <x:f>IF(A120="","",ROUND(MIN(C120,D120-G120+E120),2))</x:f>
        <x:v>1206.99</x:v>
      </x:c>
      <x:c r="I120" s="73">
        <x:f>IF(A120="","",ROUND(D120+E120+F120,2))</x:f>
        <x:v>1672.82</x:v>
      </x:c>
      <x:c r="J120" s="73">
        <x:f>IF(A120="","",ROUND(MAX(0,C120-H120),2))</x:f>
        <x:v>135133.11</x:v>
      </x:c>
      <x:c r="K120" s="74">
        <x:f>IF(A120="","",1-(J120/Dashboard!$B$6))</x:f>
        <x:v>0.4594675600000001</x:v>
      </x:c>
      <x:c r="L120" s="38" t="str">
        <x:f>IF(A120="","",IF(J120=0,"Soldé","En cours"))</x:f>
        <x:v>En cours</x:v>
      </x:c>
      <x:c r="M120" s="73">
        <x:f>IF(A120="","",ROUND(SUM($G$8:G120),2))</x:f>
        <x:v>70309.6</x:v>
      </x:c>
    </x:row>
    <x:row r="121" ht="20" customHeight="1">
      <x:c r="A121" s="75">
        <x:f>IF(OR($J120="",ROUND($J120,2)=0),"",$A120+1)</x:f>
        <x:v>114</x:v>
      </x:c>
      <x:c r="B121" s="76">
        <x:f>IF(A121="","",EDATE(Dashboard!$B$10,(A121-1)*(12/Dashboard!$B$9)))</x:f>
        <x:v>49553</x:v>
      </x:c>
      <x:c r="C121" s="77">
        <x:f>IF(A121="","",$J120)</x:f>
        <x:v>135133.11</x:v>
      </x:c>
      <x:c r="D121" s="77">
        <x:f>IF(A121="","",ROUND(MIN(Moteur!$B$3,C121+G121),2))</x:f>
        <x:v>1488.73</x:v>
      </x:c>
      <x:c r="E121" s="77">
        <x:f>IF(A121="","",ROUND(MIN(Dashboard!$B$11,MAX(0,C121-(D121-G121))),2))</x:f>
        <x:v>150</x:v>
      </x:c>
      <x:c r="F121" s="77">
        <x:f>IF(A121="","",ROUND(C121*Dashboard!$B$12/Dashboard!$B$9,2))</x:f>
        <x:v>33.78</x:v>
      </x:c>
      <x:c r="G121" s="77">
        <x:f>IF(A121="","",ROUND(C121*Moteur!$B$2,2))</x:f>
        <x:v>427.92</x:v>
      </x:c>
      <x:c r="H121" s="77">
        <x:f>IF(A121="","",ROUND(MIN(C121,D121-G121+E121),2))</x:f>
        <x:v>1210.81</x:v>
      </x:c>
      <x:c r="I121" s="77">
        <x:f>IF(A121="","",ROUND(D121+E121+F121,2))</x:f>
        <x:v>1672.51</x:v>
      </x:c>
      <x:c r="J121" s="77">
        <x:f>IF(A121="","",ROUND(MAX(0,C121-H121),2))</x:f>
        <x:v>133922.3</x:v>
      </x:c>
      <x:c r="K121" s="78">
        <x:f>IF(A121="","",1-(J121/Dashboard!$B$6))</x:f>
        <x:v>0.4643108</x:v>
      </x:c>
      <x:c r="L121" s="43" t="str">
        <x:f>IF(A121="","",IF(J121=0,"Soldé","En cours"))</x:f>
        <x:v>En cours</x:v>
      </x:c>
      <x:c r="M121" s="77">
        <x:f>IF(A121="","",ROUND(SUM($G$8:G121),2))</x:f>
        <x:v>70737.52</x:v>
      </x:c>
    </x:row>
    <x:row r="122" ht="20" customHeight="1">
      <x:c r="A122" s="71">
        <x:f>IF(OR($J121="",ROUND($J121,2)=0),"",$A121+1)</x:f>
        <x:v>115</x:v>
      </x:c>
      <x:c r="B122" s="72">
        <x:f>IF(A122="","",EDATE(Dashboard!$B$10,(A122-1)*(12/Dashboard!$B$9)))</x:f>
        <x:v>49583</x:v>
      </x:c>
      <x:c r="C122" s="73">
        <x:f>IF(A122="","",$J121)</x:f>
        <x:v>133922.3</x:v>
      </x:c>
      <x:c r="D122" s="73">
        <x:f>IF(A122="","",ROUND(MIN(Moteur!$B$3,C122+G122),2))</x:f>
        <x:v>1488.73</x:v>
      </x:c>
      <x:c r="E122" s="73">
        <x:f>IF(A122="","",ROUND(MIN(Dashboard!$B$11,MAX(0,C122-(D122-G122))),2))</x:f>
        <x:v>150</x:v>
      </x:c>
      <x:c r="F122" s="73">
        <x:f>IF(A122="","",ROUND(C122*Dashboard!$B$12/Dashboard!$B$9,2))</x:f>
        <x:v>33.48</x:v>
      </x:c>
      <x:c r="G122" s="73">
        <x:f>IF(A122="","",ROUND(C122*Moteur!$B$2,2))</x:f>
        <x:v>424.09</x:v>
      </x:c>
      <x:c r="H122" s="73">
        <x:f>IF(A122="","",ROUND(MIN(C122,D122-G122+E122),2))</x:f>
        <x:v>1214.64</x:v>
      </x:c>
      <x:c r="I122" s="73">
        <x:f>IF(A122="","",ROUND(D122+E122+F122,2))</x:f>
        <x:v>1672.21</x:v>
      </x:c>
      <x:c r="J122" s="73">
        <x:f>IF(A122="","",ROUND(MAX(0,C122-H122),2))</x:f>
        <x:v>132707.66</x:v>
      </x:c>
      <x:c r="K122" s="74">
        <x:f>IF(A122="","",1-(J122/Dashboard!$B$6))</x:f>
        <x:v>0.46916936</x:v>
      </x:c>
      <x:c r="L122" s="38" t="str">
        <x:f>IF(A122="","",IF(J122=0,"Soldé","En cours"))</x:f>
        <x:v>En cours</x:v>
      </x:c>
      <x:c r="M122" s="73">
        <x:f>IF(A122="","",ROUND(SUM($G$8:G122),2))</x:f>
        <x:v>71161.61</x:v>
      </x:c>
    </x:row>
    <x:row r="123" ht="20" customHeight="1">
      <x:c r="A123" s="75">
        <x:f>IF(OR($J122="",ROUND($J122,2)=0),"",$A122+1)</x:f>
        <x:v>116</x:v>
      </x:c>
      <x:c r="B123" s="76">
        <x:f>IF(A123="","",EDATE(Dashboard!$B$10,(A123-1)*(12/Dashboard!$B$9)))</x:f>
        <x:v>49614</x:v>
      </x:c>
      <x:c r="C123" s="77">
        <x:f>IF(A123="","",$J122)</x:f>
        <x:v>132707.66</x:v>
      </x:c>
      <x:c r="D123" s="77">
        <x:f>IF(A123="","",ROUND(MIN(Moteur!$B$3,C123+G123),2))</x:f>
        <x:v>1488.73</x:v>
      </x:c>
      <x:c r="E123" s="77">
        <x:f>IF(A123="","",ROUND(MIN(Dashboard!$B$11,MAX(0,C123-(D123-G123))),2))</x:f>
        <x:v>150</x:v>
      </x:c>
      <x:c r="F123" s="77">
        <x:f>IF(A123="","",ROUND(C123*Dashboard!$B$12/Dashboard!$B$9,2))</x:f>
        <x:v>33.18</x:v>
      </x:c>
      <x:c r="G123" s="77">
        <x:f>IF(A123="","",ROUND(C123*Moteur!$B$2,2))</x:f>
        <x:v>420.24</x:v>
      </x:c>
      <x:c r="H123" s="77">
        <x:f>IF(A123="","",ROUND(MIN(C123,D123-G123+E123),2))</x:f>
        <x:v>1218.49</x:v>
      </x:c>
      <x:c r="I123" s="77">
        <x:f>IF(A123="","",ROUND(D123+E123+F123,2))</x:f>
        <x:v>1671.91</x:v>
      </x:c>
      <x:c r="J123" s="77">
        <x:f>IF(A123="","",ROUND(MAX(0,C123-H123),2))</x:f>
        <x:v>131489.17</x:v>
      </x:c>
      <x:c r="K123" s="78">
        <x:f>IF(A123="","",1-(J123/Dashboard!$B$6))</x:f>
        <x:v>0.47404331999999993</x:v>
      </x:c>
      <x:c r="L123" s="43" t="str">
        <x:f>IF(A123="","",IF(J123=0,"Soldé","En cours"))</x:f>
        <x:v>En cours</x:v>
      </x:c>
      <x:c r="M123" s="77">
        <x:f>IF(A123="","",ROUND(SUM($G$8:G123),2))</x:f>
        <x:v>71581.85</x:v>
      </x:c>
    </x:row>
    <x:row r="124" ht="20" customHeight="1">
      <x:c r="A124" s="71">
        <x:f>IF(OR($J123="",ROUND($J123,2)=0),"",$A123+1)</x:f>
        <x:v>117</x:v>
      </x:c>
      <x:c r="B124" s="72">
        <x:f>IF(A124="","",EDATE(Dashboard!$B$10,(A124-1)*(12/Dashboard!$B$9)))</x:f>
        <x:v>49644</x:v>
      </x:c>
      <x:c r="C124" s="73">
        <x:f>IF(A124="","",$J123)</x:f>
        <x:v>131489.17</x:v>
      </x:c>
      <x:c r="D124" s="73">
        <x:f>IF(A124="","",ROUND(MIN(Moteur!$B$3,C124+G124),2))</x:f>
        <x:v>1488.73</x:v>
      </x:c>
      <x:c r="E124" s="73">
        <x:f>IF(A124="","",ROUND(MIN(Dashboard!$B$11,MAX(0,C124-(D124-G124))),2))</x:f>
        <x:v>150</x:v>
      </x:c>
      <x:c r="F124" s="73">
        <x:f>IF(A124="","",ROUND(C124*Dashboard!$B$12/Dashboard!$B$9,2))</x:f>
        <x:v>32.87</x:v>
      </x:c>
      <x:c r="G124" s="73">
        <x:f>IF(A124="","",ROUND(C124*Moteur!$B$2,2))</x:f>
        <x:v>416.38</x:v>
      </x:c>
      <x:c r="H124" s="73">
        <x:f>IF(A124="","",ROUND(MIN(C124,D124-G124+E124),2))</x:f>
        <x:v>1222.35</x:v>
      </x:c>
      <x:c r="I124" s="73">
        <x:f>IF(A124="","",ROUND(D124+E124+F124,2))</x:f>
        <x:v>1671.6</x:v>
      </x:c>
      <x:c r="J124" s="73">
        <x:f>IF(A124="","",ROUND(MAX(0,C124-H124),2))</x:f>
        <x:v>130266.82</x:v>
      </x:c>
      <x:c r="K124" s="74">
        <x:f>IF(A124="","",1-(J124/Dashboard!$B$6))</x:f>
        <x:v>0.47893272</x:v>
      </x:c>
      <x:c r="L124" s="38" t="str">
        <x:f>IF(A124="","",IF(J124=0,"Soldé","En cours"))</x:f>
        <x:v>En cours</x:v>
      </x:c>
      <x:c r="M124" s="73">
        <x:f>IF(A124="","",ROUND(SUM($G$8:G124),2))</x:f>
        <x:v>71998.23</x:v>
      </x:c>
    </x:row>
    <x:row r="125" ht="20" customHeight="1">
      <x:c r="A125" s="75">
        <x:f>IF(OR($J124="",ROUND($J124,2)=0),"",$A124+1)</x:f>
        <x:v>118</x:v>
      </x:c>
      <x:c r="B125" s="76">
        <x:f>IF(A125="","",EDATE(Dashboard!$B$10,(A125-1)*(12/Dashboard!$B$9)))</x:f>
        <x:v>49675</x:v>
      </x:c>
      <x:c r="C125" s="77">
        <x:f>IF(A125="","",$J124)</x:f>
        <x:v>130266.82</x:v>
      </x:c>
      <x:c r="D125" s="77">
        <x:f>IF(A125="","",ROUND(MIN(Moteur!$B$3,C125+G125),2))</x:f>
        <x:v>1488.73</x:v>
      </x:c>
      <x:c r="E125" s="77">
        <x:f>IF(A125="","",ROUND(MIN(Dashboard!$B$11,MAX(0,C125-(D125-G125))),2))</x:f>
        <x:v>150</x:v>
      </x:c>
      <x:c r="F125" s="77">
        <x:f>IF(A125="","",ROUND(C125*Dashboard!$B$12/Dashboard!$B$9,2))</x:f>
        <x:v>32.57</x:v>
      </x:c>
      <x:c r="G125" s="77">
        <x:f>IF(A125="","",ROUND(C125*Moteur!$B$2,2))</x:f>
        <x:v>412.51</x:v>
      </x:c>
      <x:c r="H125" s="77">
        <x:f>IF(A125="","",ROUND(MIN(C125,D125-G125+E125),2))</x:f>
        <x:v>1226.22</x:v>
      </x:c>
      <x:c r="I125" s="77">
        <x:f>IF(A125="","",ROUND(D125+E125+F125,2))</x:f>
        <x:v>1671.3</x:v>
      </x:c>
      <x:c r="J125" s="77">
        <x:f>IF(A125="","",ROUND(MAX(0,C125-H125),2))</x:f>
        <x:v>129040.6</x:v>
      </x:c>
      <x:c r="K125" s="78">
        <x:f>IF(A125="","",1-(J125/Dashboard!$B$6))</x:f>
        <x:v>0.4838376</x:v>
      </x:c>
      <x:c r="L125" s="43" t="str">
        <x:f>IF(A125="","",IF(J125=0,"Soldé","En cours"))</x:f>
        <x:v>En cours</x:v>
      </x:c>
      <x:c r="M125" s="77">
        <x:f>IF(A125="","",ROUND(SUM($G$8:G125),2))</x:f>
        <x:v>72410.74</x:v>
      </x:c>
    </x:row>
    <x:row r="126" ht="20" customHeight="1">
      <x:c r="A126" s="71">
        <x:f>IF(OR($J125="",ROUND($J125,2)=0),"",$A125+1)</x:f>
        <x:v>119</x:v>
      </x:c>
      <x:c r="B126" s="72">
        <x:f>IF(A126="","",EDATE(Dashboard!$B$10,(A126-1)*(12/Dashboard!$B$9)))</x:f>
        <x:v>49706</x:v>
      </x:c>
      <x:c r="C126" s="73">
        <x:f>IF(A126="","",$J125)</x:f>
        <x:v>129040.6</x:v>
      </x:c>
      <x:c r="D126" s="73">
        <x:f>IF(A126="","",ROUND(MIN(Moteur!$B$3,C126+G126),2))</x:f>
        <x:v>1488.73</x:v>
      </x:c>
      <x:c r="E126" s="73">
        <x:f>IF(A126="","",ROUND(MIN(Dashboard!$B$11,MAX(0,C126-(D126-G126))),2))</x:f>
        <x:v>150</x:v>
      </x:c>
      <x:c r="F126" s="73">
        <x:f>IF(A126="","",ROUND(C126*Dashboard!$B$12/Dashboard!$B$9,2))</x:f>
        <x:v>32.26</x:v>
      </x:c>
      <x:c r="G126" s="73">
        <x:f>IF(A126="","",ROUND(C126*Moteur!$B$2,2))</x:f>
        <x:v>408.63</x:v>
      </x:c>
      <x:c r="H126" s="73">
        <x:f>IF(A126="","",ROUND(MIN(C126,D126-G126+E126),2))</x:f>
        <x:v>1230.1</x:v>
      </x:c>
      <x:c r="I126" s="73">
        <x:f>IF(A126="","",ROUND(D126+E126+F126,2))</x:f>
        <x:v>1670.99</x:v>
      </x:c>
      <x:c r="J126" s="73">
        <x:f>IF(A126="","",ROUND(MAX(0,C126-H126),2))</x:f>
        <x:v>127810.5</x:v>
      </x:c>
      <x:c r="K126" s="74">
        <x:f>IF(A126="","",1-(J126/Dashboard!$B$6))</x:f>
        <x:v>0.488758</x:v>
      </x:c>
      <x:c r="L126" s="38" t="str">
        <x:f>IF(A126="","",IF(J126=0,"Soldé","En cours"))</x:f>
        <x:v>En cours</x:v>
      </x:c>
      <x:c r="M126" s="73">
        <x:f>IF(A126="","",ROUND(SUM($G$8:G126),2))</x:f>
        <x:v>72819.37</x:v>
      </x:c>
    </x:row>
    <x:row r="127" ht="20" customHeight="1">
      <x:c r="A127" s="75">
        <x:f>IF(OR($J126="",ROUND($J126,2)=0),"",$A126+1)</x:f>
        <x:v>120</x:v>
      </x:c>
      <x:c r="B127" s="76">
        <x:f>IF(A127="","",EDATE(Dashboard!$B$10,(A127-1)*(12/Dashboard!$B$9)))</x:f>
        <x:v>49735</x:v>
      </x:c>
      <x:c r="C127" s="77">
        <x:f>IF(A127="","",$J126)</x:f>
        <x:v>127810.5</x:v>
      </x:c>
      <x:c r="D127" s="77">
        <x:f>IF(A127="","",ROUND(MIN(Moteur!$B$3,C127+G127),2))</x:f>
        <x:v>1488.73</x:v>
      </x:c>
      <x:c r="E127" s="77">
        <x:f>IF(A127="","",ROUND(MIN(Dashboard!$B$11,MAX(0,C127-(D127-G127))),2))</x:f>
        <x:v>150</x:v>
      </x:c>
      <x:c r="F127" s="77">
        <x:f>IF(A127="","",ROUND(C127*Dashboard!$B$12/Dashboard!$B$9,2))</x:f>
        <x:v>31.95</x:v>
      </x:c>
      <x:c r="G127" s="77">
        <x:f>IF(A127="","",ROUND(C127*Moteur!$B$2,2))</x:f>
        <x:v>404.73</x:v>
      </x:c>
      <x:c r="H127" s="77">
        <x:f>IF(A127="","",ROUND(MIN(C127,D127-G127+E127),2))</x:f>
        <x:v>1234</x:v>
      </x:c>
      <x:c r="I127" s="77">
        <x:f>IF(A127="","",ROUND(D127+E127+F127,2))</x:f>
        <x:v>1670.68</x:v>
      </x:c>
      <x:c r="J127" s="77">
        <x:f>IF(A127="","",ROUND(MAX(0,C127-H127),2))</x:f>
        <x:v>126576.5</x:v>
      </x:c>
      <x:c r="K127" s="78">
        <x:f>IF(A127="","",1-(J127/Dashboard!$B$6))</x:f>
        <x:v>0.49369399999999997</x:v>
      </x:c>
      <x:c r="L127" s="43" t="str">
        <x:f>IF(A127="","",IF(J127=0,"Soldé","En cours"))</x:f>
        <x:v>En cours</x:v>
      </x:c>
      <x:c r="M127" s="77">
        <x:f>IF(A127="","",ROUND(SUM($G$8:G127),2))</x:f>
        <x:v>73224.1</x:v>
      </x:c>
    </x:row>
    <x:row r="128" ht="20" customHeight="1">
      <x:c r="A128" s="71">
        <x:f>IF(OR($J127="",ROUND($J127,2)=0),"",$A127+1)</x:f>
        <x:v>121</x:v>
      </x:c>
      <x:c r="B128" s="72">
        <x:f>IF(A128="","",EDATE(Dashboard!$B$10,(A128-1)*(12/Dashboard!$B$9)))</x:f>
        <x:v>49766</x:v>
      </x:c>
      <x:c r="C128" s="73">
        <x:f>IF(A128="","",$J127)</x:f>
        <x:v>126576.5</x:v>
      </x:c>
      <x:c r="D128" s="73">
        <x:f>IF(A128="","",ROUND(MIN(Moteur!$B$3,C128+G128),2))</x:f>
        <x:v>1488.73</x:v>
      </x:c>
      <x:c r="E128" s="73">
        <x:f>IF(A128="","",ROUND(MIN(Dashboard!$B$11,MAX(0,C128-(D128-G128))),2))</x:f>
        <x:v>150</x:v>
      </x:c>
      <x:c r="F128" s="73">
        <x:f>IF(A128="","",ROUND(C128*Dashboard!$B$12/Dashboard!$B$9,2))</x:f>
        <x:v>31.64</x:v>
      </x:c>
      <x:c r="G128" s="73">
        <x:f>IF(A128="","",ROUND(C128*Moteur!$B$2,2))</x:f>
        <x:v>400.83</x:v>
      </x:c>
      <x:c r="H128" s="73">
        <x:f>IF(A128="","",ROUND(MIN(C128,D128-G128+E128),2))</x:f>
        <x:v>1237.9</x:v>
      </x:c>
      <x:c r="I128" s="73">
        <x:f>IF(A128="","",ROUND(D128+E128+F128,2))</x:f>
        <x:v>1670.37</x:v>
      </x:c>
      <x:c r="J128" s="73">
        <x:f>IF(A128="","",ROUND(MAX(0,C128-H128),2))</x:f>
        <x:v>125338.6</x:v>
      </x:c>
      <x:c r="K128" s="74">
        <x:f>IF(A128="","",1-(J128/Dashboard!$B$6))</x:f>
        <x:v>0.4986456</x:v>
      </x:c>
      <x:c r="L128" s="38" t="str">
        <x:f>IF(A128="","",IF(J128=0,"Soldé","En cours"))</x:f>
        <x:v>En cours</x:v>
      </x:c>
      <x:c r="M128" s="73">
        <x:f>IF(A128="","",ROUND(SUM($G$8:G128),2))</x:f>
        <x:v>73624.93</x:v>
      </x:c>
    </x:row>
    <x:row r="129" ht="20" customHeight="1">
      <x:c r="A129" s="75">
        <x:f>IF(OR($J128="",ROUND($J128,2)=0),"",$A128+1)</x:f>
        <x:v>122</x:v>
      </x:c>
      <x:c r="B129" s="76">
        <x:f>IF(A129="","",EDATE(Dashboard!$B$10,(A129-1)*(12/Dashboard!$B$9)))</x:f>
        <x:v>49796</x:v>
      </x:c>
      <x:c r="C129" s="77">
        <x:f>IF(A129="","",$J128)</x:f>
        <x:v>125338.6</x:v>
      </x:c>
      <x:c r="D129" s="77">
        <x:f>IF(A129="","",ROUND(MIN(Moteur!$B$3,C129+G129),2))</x:f>
        <x:v>1488.73</x:v>
      </x:c>
      <x:c r="E129" s="77">
        <x:f>IF(A129="","",ROUND(MIN(Dashboard!$B$11,MAX(0,C129-(D129-G129))),2))</x:f>
        <x:v>150</x:v>
      </x:c>
      <x:c r="F129" s="77">
        <x:f>IF(A129="","",ROUND(C129*Dashboard!$B$12/Dashboard!$B$9,2))</x:f>
        <x:v>31.33</x:v>
      </x:c>
      <x:c r="G129" s="77">
        <x:f>IF(A129="","",ROUND(C129*Moteur!$B$2,2))</x:f>
        <x:v>396.91</x:v>
      </x:c>
      <x:c r="H129" s="77">
        <x:f>IF(A129="","",ROUND(MIN(C129,D129-G129+E129),2))</x:f>
        <x:v>1241.82</x:v>
      </x:c>
      <x:c r="I129" s="77">
        <x:f>IF(A129="","",ROUND(D129+E129+F129,2))</x:f>
        <x:v>1670.06</x:v>
      </x:c>
      <x:c r="J129" s="77">
        <x:f>IF(A129="","",ROUND(MAX(0,C129-H129),2))</x:f>
        <x:v>124096.78</x:v>
      </x:c>
      <x:c r="K129" s="78">
        <x:f>IF(A129="","",1-(J129/Dashboard!$B$6))</x:f>
        <x:v>0.5036128799999999</x:v>
      </x:c>
      <x:c r="L129" s="43" t="str">
        <x:f>IF(A129="","",IF(J129=0,"Soldé","En cours"))</x:f>
        <x:v>En cours</x:v>
      </x:c>
      <x:c r="M129" s="77">
        <x:f>IF(A129="","",ROUND(SUM($G$8:G129),2))</x:f>
        <x:v>74021.84</x:v>
      </x:c>
    </x:row>
    <x:row r="130" ht="20" customHeight="1">
      <x:c r="A130" s="71">
        <x:f>IF(OR($J129="",ROUND($J129,2)=0),"",$A129+1)</x:f>
        <x:v>123</x:v>
      </x:c>
      <x:c r="B130" s="72">
        <x:f>IF(A130="","",EDATE(Dashboard!$B$10,(A130-1)*(12/Dashboard!$B$9)))</x:f>
        <x:v>49827</x:v>
      </x:c>
      <x:c r="C130" s="73">
        <x:f>IF(A130="","",$J129)</x:f>
        <x:v>124096.78</x:v>
      </x:c>
      <x:c r="D130" s="73">
        <x:f>IF(A130="","",ROUND(MIN(Moteur!$B$3,C130+G130),2))</x:f>
        <x:v>1488.73</x:v>
      </x:c>
      <x:c r="E130" s="73">
        <x:f>IF(A130="","",ROUND(MIN(Dashboard!$B$11,MAX(0,C130-(D130-G130))),2))</x:f>
        <x:v>150</x:v>
      </x:c>
      <x:c r="F130" s="73">
        <x:f>IF(A130="","",ROUND(C130*Dashboard!$B$12/Dashboard!$B$9,2))</x:f>
        <x:v>31.02</x:v>
      </x:c>
      <x:c r="G130" s="73">
        <x:f>IF(A130="","",ROUND(C130*Moteur!$B$2,2))</x:f>
        <x:v>392.97</x:v>
      </x:c>
      <x:c r="H130" s="73">
        <x:f>IF(A130="","",ROUND(MIN(C130,D130-G130+E130),2))</x:f>
        <x:v>1245.76</x:v>
      </x:c>
      <x:c r="I130" s="73">
        <x:f>IF(A130="","",ROUND(D130+E130+F130,2))</x:f>
        <x:v>1669.75</x:v>
      </x:c>
      <x:c r="J130" s="73">
        <x:f>IF(A130="","",ROUND(MAX(0,C130-H130),2))</x:f>
        <x:v>122851.02</x:v>
      </x:c>
      <x:c r="K130" s="74">
        <x:f>IF(A130="","",1-(J130/Dashboard!$B$6))</x:f>
        <x:v>0.50859592</x:v>
      </x:c>
      <x:c r="L130" s="38" t="str">
        <x:f>IF(A130="","",IF(J130=0,"Soldé","En cours"))</x:f>
        <x:v>En cours</x:v>
      </x:c>
      <x:c r="M130" s="73">
        <x:f>IF(A130="","",ROUND(SUM($G$8:G130),2))</x:f>
        <x:v>74414.81</x:v>
      </x:c>
    </x:row>
    <x:row r="131" ht="20" customHeight="1">
      <x:c r="A131" s="75">
        <x:f>IF(OR($J130="",ROUND($J130,2)=0),"",$A130+1)</x:f>
        <x:v>124</x:v>
      </x:c>
      <x:c r="B131" s="76">
        <x:f>IF(A131="","",EDATE(Dashboard!$B$10,(A131-1)*(12/Dashboard!$B$9)))</x:f>
        <x:v>49857</x:v>
      </x:c>
      <x:c r="C131" s="77">
        <x:f>IF(A131="","",$J130)</x:f>
        <x:v>122851.02</x:v>
      </x:c>
      <x:c r="D131" s="77">
        <x:f>IF(A131="","",ROUND(MIN(Moteur!$B$3,C131+G131),2))</x:f>
        <x:v>1488.73</x:v>
      </x:c>
      <x:c r="E131" s="77">
        <x:f>IF(A131="","",ROUND(MIN(Dashboard!$B$11,MAX(0,C131-(D131-G131))),2))</x:f>
        <x:v>150</x:v>
      </x:c>
      <x:c r="F131" s="77">
        <x:f>IF(A131="","",ROUND(C131*Dashboard!$B$12/Dashboard!$B$9,2))</x:f>
        <x:v>30.71</x:v>
      </x:c>
      <x:c r="G131" s="77">
        <x:f>IF(A131="","",ROUND(C131*Moteur!$B$2,2))</x:f>
        <x:v>389.03</x:v>
      </x:c>
      <x:c r="H131" s="77">
        <x:f>IF(A131="","",ROUND(MIN(C131,D131-G131+E131),2))</x:f>
        <x:v>1249.7</x:v>
      </x:c>
      <x:c r="I131" s="77">
        <x:f>IF(A131="","",ROUND(D131+E131+F131,2))</x:f>
        <x:v>1669.44</x:v>
      </x:c>
      <x:c r="J131" s="77">
        <x:f>IF(A131="","",ROUND(MAX(0,C131-H131),2))</x:f>
        <x:v>121601.32</x:v>
      </x:c>
      <x:c r="K131" s="78">
        <x:f>IF(A131="","",1-(J131/Dashboard!$B$6))</x:f>
        <x:v>0.51359472</x:v>
      </x:c>
      <x:c r="L131" s="43" t="str">
        <x:f>IF(A131="","",IF(J131=0,"Soldé","En cours"))</x:f>
        <x:v>En cours</x:v>
      </x:c>
      <x:c r="M131" s="77">
        <x:f>IF(A131="","",ROUND(SUM($G$8:G131),2))</x:f>
        <x:v>74803.84</x:v>
      </x:c>
    </x:row>
    <x:row r="132" ht="20" customHeight="1">
      <x:c r="A132" s="71">
        <x:f>IF(OR($J131="",ROUND($J131,2)=0),"",$A131+1)</x:f>
        <x:v>125</x:v>
      </x:c>
      <x:c r="B132" s="72">
        <x:f>IF(A132="","",EDATE(Dashboard!$B$10,(A132-1)*(12/Dashboard!$B$9)))</x:f>
        <x:v>49888</x:v>
      </x:c>
      <x:c r="C132" s="73">
        <x:f>IF(A132="","",$J131)</x:f>
        <x:v>121601.32</x:v>
      </x:c>
      <x:c r="D132" s="73">
        <x:f>IF(A132="","",ROUND(MIN(Moteur!$B$3,C132+G132),2))</x:f>
        <x:v>1488.73</x:v>
      </x:c>
      <x:c r="E132" s="73">
        <x:f>IF(A132="","",ROUND(MIN(Dashboard!$B$11,MAX(0,C132-(D132-G132))),2))</x:f>
        <x:v>150</x:v>
      </x:c>
      <x:c r="F132" s="73">
        <x:f>IF(A132="","",ROUND(C132*Dashboard!$B$12/Dashboard!$B$9,2))</x:f>
        <x:v>30.4</x:v>
      </x:c>
      <x:c r="G132" s="73">
        <x:f>IF(A132="","",ROUND(C132*Moteur!$B$2,2))</x:f>
        <x:v>385.07</x:v>
      </x:c>
      <x:c r="H132" s="73">
        <x:f>IF(A132="","",ROUND(MIN(C132,D132-G132+E132),2))</x:f>
        <x:v>1253.66</x:v>
      </x:c>
      <x:c r="I132" s="73">
        <x:f>IF(A132="","",ROUND(D132+E132+F132,2))</x:f>
        <x:v>1669.13</x:v>
      </x:c>
      <x:c r="J132" s="73">
        <x:f>IF(A132="","",ROUND(MAX(0,C132-H132),2))</x:f>
        <x:v>120347.66</x:v>
      </x:c>
      <x:c r="K132" s="74">
        <x:f>IF(A132="","",1-(J132/Dashboard!$B$6))</x:f>
        <x:v>0.5186093599999999</x:v>
      </x:c>
      <x:c r="L132" s="38" t="str">
        <x:f>IF(A132="","",IF(J132=0,"Soldé","En cours"))</x:f>
        <x:v>En cours</x:v>
      </x:c>
      <x:c r="M132" s="73">
        <x:f>IF(A132="","",ROUND(SUM($G$8:G132),2))</x:f>
        <x:v>75188.91</x:v>
      </x:c>
    </x:row>
    <x:row r="133" ht="20" customHeight="1">
      <x:c r="A133" s="75">
        <x:f>IF(OR($J132="",ROUND($J132,2)=0),"",$A132+1)</x:f>
        <x:v>126</x:v>
      </x:c>
      <x:c r="B133" s="76">
        <x:f>IF(A133="","",EDATE(Dashboard!$B$10,(A133-1)*(12/Dashboard!$B$9)))</x:f>
        <x:v>49919</x:v>
      </x:c>
      <x:c r="C133" s="77">
        <x:f>IF(A133="","",$J132)</x:f>
        <x:v>120347.66</x:v>
      </x:c>
      <x:c r="D133" s="77">
        <x:f>IF(A133="","",ROUND(MIN(Moteur!$B$3,C133+G133),2))</x:f>
        <x:v>1488.73</x:v>
      </x:c>
      <x:c r="E133" s="77">
        <x:f>IF(A133="","",ROUND(MIN(Dashboard!$B$11,MAX(0,C133-(D133-G133))),2))</x:f>
        <x:v>150</x:v>
      </x:c>
      <x:c r="F133" s="77">
        <x:f>IF(A133="","",ROUND(C133*Dashboard!$B$12/Dashboard!$B$9,2))</x:f>
        <x:v>30.09</x:v>
      </x:c>
      <x:c r="G133" s="77">
        <x:f>IF(A133="","",ROUND(C133*Moteur!$B$2,2))</x:f>
        <x:v>381.1</x:v>
      </x:c>
      <x:c r="H133" s="77">
        <x:f>IF(A133="","",ROUND(MIN(C133,D133-G133+E133),2))</x:f>
        <x:v>1257.63</x:v>
      </x:c>
      <x:c r="I133" s="77">
        <x:f>IF(A133="","",ROUND(D133+E133+F133,2))</x:f>
        <x:v>1668.82</x:v>
      </x:c>
      <x:c r="J133" s="77">
        <x:f>IF(A133="","",ROUND(MAX(0,C133-H133),2))</x:f>
        <x:v>119090.03</x:v>
      </x:c>
      <x:c r="K133" s="78">
        <x:f>IF(A133="","",1-(J133/Dashboard!$B$6))</x:f>
        <x:v>0.52363988</x:v>
      </x:c>
      <x:c r="L133" s="43" t="str">
        <x:f>IF(A133="","",IF(J133=0,"Soldé","En cours"))</x:f>
        <x:v>En cours</x:v>
      </x:c>
      <x:c r="M133" s="77">
        <x:f>IF(A133="","",ROUND(SUM($G$8:G133),2))</x:f>
        <x:v>75570.01</x:v>
      </x:c>
    </x:row>
    <x:row r="134" ht="20" customHeight="1">
      <x:c r="A134" s="71">
        <x:f>IF(OR($J133="",ROUND($J133,2)=0),"",$A133+1)</x:f>
        <x:v>127</x:v>
      </x:c>
      <x:c r="B134" s="72">
        <x:f>IF(A134="","",EDATE(Dashboard!$B$10,(A134-1)*(12/Dashboard!$B$9)))</x:f>
        <x:v>49949</x:v>
      </x:c>
      <x:c r="C134" s="73">
        <x:f>IF(A134="","",$J133)</x:f>
        <x:v>119090.03</x:v>
      </x:c>
      <x:c r="D134" s="73">
        <x:f>IF(A134="","",ROUND(MIN(Moteur!$B$3,C134+G134),2))</x:f>
        <x:v>1488.73</x:v>
      </x:c>
      <x:c r="E134" s="73">
        <x:f>IF(A134="","",ROUND(MIN(Dashboard!$B$11,MAX(0,C134-(D134-G134))),2))</x:f>
        <x:v>150</x:v>
      </x:c>
      <x:c r="F134" s="73">
        <x:f>IF(A134="","",ROUND(C134*Dashboard!$B$12/Dashboard!$B$9,2))</x:f>
        <x:v>29.77</x:v>
      </x:c>
      <x:c r="G134" s="73">
        <x:f>IF(A134="","",ROUND(C134*Moteur!$B$2,2))</x:f>
        <x:v>377.12</x:v>
      </x:c>
      <x:c r="H134" s="73">
        <x:f>IF(A134="","",ROUND(MIN(C134,D134-G134+E134),2))</x:f>
        <x:v>1261.61</x:v>
      </x:c>
      <x:c r="I134" s="73">
        <x:f>IF(A134="","",ROUND(D134+E134+F134,2))</x:f>
        <x:v>1668.5</x:v>
      </x:c>
      <x:c r="J134" s="73">
        <x:f>IF(A134="","",ROUND(MAX(0,C134-H134),2))</x:f>
        <x:v>117828.42</x:v>
      </x:c>
      <x:c r="K134" s="74">
        <x:f>IF(A134="","",1-(J134/Dashboard!$B$6))</x:f>
        <x:v>0.52868632</x:v>
      </x:c>
      <x:c r="L134" s="38" t="str">
        <x:f>IF(A134="","",IF(J134=0,"Soldé","En cours"))</x:f>
        <x:v>En cours</x:v>
      </x:c>
      <x:c r="M134" s="73">
        <x:f>IF(A134="","",ROUND(SUM($G$8:G134),2))</x:f>
        <x:v>75947.13</x:v>
      </x:c>
    </x:row>
    <x:row r="135" ht="20" customHeight="1">
      <x:c r="A135" s="75">
        <x:f>IF(OR($J134="",ROUND($J134,2)=0),"",$A134+1)</x:f>
        <x:v>128</x:v>
      </x:c>
      <x:c r="B135" s="76">
        <x:f>IF(A135="","",EDATE(Dashboard!$B$10,(A135-1)*(12/Dashboard!$B$9)))</x:f>
        <x:v>49980</x:v>
      </x:c>
      <x:c r="C135" s="77">
        <x:f>IF(A135="","",$J134)</x:f>
        <x:v>117828.42</x:v>
      </x:c>
      <x:c r="D135" s="77">
        <x:f>IF(A135="","",ROUND(MIN(Moteur!$B$3,C135+G135),2))</x:f>
        <x:v>1488.73</x:v>
      </x:c>
      <x:c r="E135" s="77">
        <x:f>IF(A135="","",ROUND(MIN(Dashboard!$B$11,MAX(0,C135-(D135-G135))),2))</x:f>
        <x:v>150</x:v>
      </x:c>
      <x:c r="F135" s="77">
        <x:f>IF(A135="","",ROUND(C135*Dashboard!$B$12/Dashboard!$B$9,2))</x:f>
        <x:v>29.46</x:v>
      </x:c>
      <x:c r="G135" s="77">
        <x:f>IF(A135="","",ROUND(C135*Moteur!$B$2,2))</x:f>
        <x:v>373.12</x:v>
      </x:c>
      <x:c r="H135" s="77">
        <x:f>IF(A135="","",ROUND(MIN(C135,D135-G135+E135),2))</x:f>
        <x:v>1265.61</x:v>
      </x:c>
      <x:c r="I135" s="77">
        <x:f>IF(A135="","",ROUND(D135+E135+F135,2))</x:f>
        <x:v>1668.19</x:v>
      </x:c>
      <x:c r="J135" s="77">
        <x:f>IF(A135="","",ROUND(MAX(0,C135-H135),2))</x:f>
        <x:v>116562.81</x:v>
      </x:c>
      <x:c r="K135" s="78">
        <x:f>IF(A135="","",1-(J135/Dashboard!$B$6))</x:f>
        <x:v>0.5337487599999999</x:v>
      </x:c>
      <x:c r="L135" s="43" t="str">
        <x:f>IF(A135="","",IF(J135=0,"Soldé","En cours"))</x:f>
        <x:v>En cours</x:v>
      </x:c>
      <x:c r="M135" s="77">
        <x:f>IF(A135="","",ROUND(SUM($G$8:G135),2))</x:f>
        <x:v>76320.25</x:v>
      </x:c>
    </x:row>
    <x:row r="136" ht="20" customHeight="1">
      <x:c r="A136" s="71">
        <x:f>IF(OR($J135="",ROUND($J135,2)=0),"",$A135+1)</x:f>
        <x:v>129</x:v>
      </x:c>
      <x:c r="B136" s="72">
        <x:f>IF(A136="","",EDATE(Dashboard!$B$10,(A136-1)*(12/Dashboard!$B$9)))</x:f>
        <x:v>50010</x:v>
      </x:c>
      <x:c r="C136" s="73">
        <x:f>IF(A136="","",$J135)</x:f>
        <x:v>116562.81</x:v>
      </x:c>
      <x:c r="D136" s="73">
        <x:f>IF(A136="","",ROUND(MIN(Moteur!$B$3,C136+G136),2))</x:f>
        <x:v>1488.73</x:v>
      </x:c>
      <x:c r="E136" s="73">
        <x:f>IF(A136="","",ROUND(MIN(Dashboard!$B$11,MAX(0,C136-(D136-G136))),2))</x:f>
        <x:v>150</x:v>
      </x:c>
      <x:c r="F136" s="73">
        <x:f>IF(A136="","",ROUND(C136*Dashboard!$B$12/Dashboard!$B$9,2))</x:f>
        <x:v>29.14</x:v>
      </x:c>
      <x:c r="G136" s="73">
        <x:f>IF(A136="","",ROUND(C136*Moteur!$B$2,2))</x:f>
        <x:v>369.12</x:v>
      </x:c>
      <x:c r="H136" s="73">
        <x:f>IF(A136="","",ROUND(MIN(C136,D136-G136+E136),2))</x:f>
        <x:v>1269.61</x:v>
      </x:c>
      <x:c r="I136" s="73">
        <x:f>IF(A136="","",ROUND(D136+E136+F136,2))</x:f>
        <x:v>1667.87</x:v>
      </x:c>
      <x:c r="J136" s="73">
        <x:f>IF(A136="","",ROUND(MAX(0,C136-H136),2))</x:f>
        <x:v>115293.2</x:v>
      </x:c>
      <x:c r="K136" s="74">
        <x:f>IF(A136="","",1-(J136/Dashboard!$B$6))</x:f>
        <x:v>0.5388272000000001</x:v>
      </x:c>
      <x:c r="L136" s="38" t="str">
        <x:f>IF(A136="","",IF(J136=0,"Soldé","En cours"))</x:f>
        <x:v>En cours</x:v>
      </x:c>
      <x:c r="M136" s="73">
        <x:f>IF(A136="","",ROUND(SUM($G$8:G136),2))</x:f>
        <x:v>76689.37</x:v>
      </x:c>
    </x:row>
    <x:row r="137" ht="20" customHeight="1">
      <x:c r="A137" s="75">
        <x:f>IF(OR($J136="",ROUND($J136,2)=0),"",$A136+1)</x:f>
        <x:v>130</x:v>
      </x:c>
      <x:c r="B137" s="76">
        <x:f>IF(A137="","",EDATE(Dashboard!$B$10,(A137-1)*(12/Dashboard!$B$9)))</x:f>
        <x:v>50041</x:v>
      </x:c>
      <x:c r="C137" s="77">
        <x:f>IF(A137="","",$J136)</x:f>
        <x:v>115293.2</x:v>
      </x:c>
      <x:c r="D137" s="77">
        <x:f>IF(A137="","",ROUND(MIN(Moteur!$B$3,C137+G137),2))</x:f>
        <x:v>1488.73</x:v>
      </x:c>
      <x:c r="E137" s="77">
        <x:f>IF(A137="","",ROUND(MIN(Dashboard!$B$11,MAX(0,C137-(D137-G137))),2))</x:f>
        <x:v>150</x:v>
      </x:c>
      <x:c r="F137" s="77">
        <x:f>IF(A137="","",ROUND(C137*Dashboard!$B$12/Dashboard!$B$9,2))</x:f>
        <x:v>28.82</x:v>
      </x:c>
      <x:c r="G137" s="77">
        <x:f>IF(A137="","",ROUND(C137*Moteur!$B$2,2))</x:f>
        <x:v>365.1</x:v>
      </x:c>
      <x:c r="H137" s="77">
        <x:f>IF(A137="","",ROUND(MIN(C137,D137-G137+E137),2))</x:f>
        <x:v>1273.63</x:v>
      </x:c>
      <x:c r="I137" s="77">
        <x:f>IF(A137="","",ROUND(D137+E137+F137,2))</x:f>
        <x:v>1667.55</x:v>
      </x:c>
      <x:c r="J137" s="77">
        <x:f>IF(A137="","",ROUND(MAX(0,C137-H137),2))</x:f>
        <x:v>114019.57</x:v>
      </x:c>
      <x:c r="K137" s="78">
        <x:f>IF(A137="","",1-(J137/Dashboard!$B$6))</x:f>
        <x:v>0.5439217199999999</x:v>
      </x:c>
      <x:c r="L137" s="43" t="str">
        <x:f>IF(A137="","",IF(J137=0,"Soldé","En cours"))</x:f>
        <x:v>En cours</x:v>
      </x:c>
      <x:c r="M137" s="77">
        <x:f>IF(A137="","",ROUND(SUM($G$8:G137),2))</x:f>
        <x:v>77054.47</x:v>
      </x:c>
    </x:row>
    <x:row r="138" ht="20" customHeight="1">
      <x:c r="A138" s="71">
        <x:f>IF(OR($J137="",ROUND($J137,2)=0),"",$A137+1)</x:f>
        <x:v>131</x:v>
      </x:c>
      <x:c r="B138" s="72">
        <x:f>IF(A138="","",EDATE(Dashboard!$B$10,(A138-1)*(12/Dashboard!$B$9)))</x:f>
        <x:v>50072</x:v>
      </x:c>
      <x:c r="C138" s="73">
        <x:f>IF(A138="","",$J137)</x:f>
        <x:v>114019.57</x:v>
      </x:c>
      <x:c r="D138" s="73">
        <x:f>IF(A138="","",ROUND(MIN(Moteur!$B$3,C138+G138),2))</x:f>
        <x:v>1488.73</x:v>
      </x:c>
      <x:c r="E138" s="73">
        <x:f>IF(A138="","",ROUND(MIN(Dashboard!$B$11,MAX(0,C138-(D138-G138))),2))</x:f>
        <x:v>150</x:v>
      </x:c>
      <x:c r="F138" s="73">
        <x:f>IF(A138="","",ROUND(C138*Dashboard!$B$12/Dashboard!$B$9,2))</x:f>
        <x:v>28.5</x:v>
      </x:c>
      <x:c r="G138" s="73">
        <x:f>IF(A138="","",ROUND(C138*Moteur!$B$2,2))</x:f>
        <x:v>361.06</x:v>
      </x:c>
      <x:c r="H138" s="73">
        <x:f>IF(A138="","",ROUND(MIN(C138,D138-G138+E138),2))</x:f>
        <x:v>1277.67</x:v>
      </x:c>
      <x:c r="I138" s="73">
        <x:f>IF(A138="","",ROUND(D138+E138+F138,2))</x:f>
        <x:v>1667.23</x:v>
      </x:c>
      <x:c r="J138" s="73">
        <x:f>IF(A138="","",ROUND(MAX(0,C138-H138),2))</x:f>
        <x:v>112741.9</x:v>
      </x:c>
      <x:c r="K138" s="74">
        <x:f>IF(A138="","",1-(J138/Dashboard!$B$6))</x:f>
        <x:v>0.5490324</x:v>
      </x:c>
      <x:c r="L138" s="38" t="str">
        <x:f>IF(A138="","",IF(J138=0,"Soldé","En cours"))</x:f>
        <x:v>En cours</x:v>
      </x:c>
      <x:c r="M138" s="73">
        <x:f>IF(A138="","",ROUND(SUM($G$8:G138),2))</x:f>
        <x:v>77415.53</x:v>
      </x:c>
    </x:row>
    <x:row r="139" ht="20" customHeight="1">
      <x:c r="A139" s="75">
        <x:f>IF(OR($J138="",ROUND($J138,2)=0),"",$A138+1)</x:f>
        <x:v>132</x:v>
      </x:c>
      <x:c r="B139" s="76">
        <x:f>IF(A139="","",EDATE(Dashboard!$B$10,(A139-1)*(12/Dashboard!$B$9)))</x:f>
        <x:v>50100</x:v>
      </x:c>
      <x:c r="C139" s="77">
        <x:f>IF(A139="","",$J138)</x:f>
        <x:v>112741.9</x:v>
      </x:c>
      <x:c r="D139" s="77">
        <x:f>IF(A139="","",ROUND(MIN(Moteur!$B$3,C139+G139),2))</x:f>
        <x:v>1488.73</x:v>
      </x:c>
      <x:c r="E139" s="77">
        <x:f>IF(A139="","",ROUND(MIN(Dashboard!$B$11,MAX(0,C139-(D139-G139))),2))</x:f>
        <x:v>150</x:v>
      </x:c>
      <x:c r="F139" s="77">
        <x:f>IF(A139="","",ROUND(C139*Dashboard!$B$12/Dashboard!$B$9,2))</x:f>
        <x:v>28.19</x:v>
      </x:c>
      <x:c r="G139" s="77">
        <x:f>IF(A139="","",ROUND(C139*Moteur!$B$2,2))</x:f>
        <x:v>357.02</x:v>
      </x:c>
      <x:c r="H139" s="77">
        <x:f>IF(A139="","",ROUND(MIN(C139,D139-G139+E139),2))</x:f>
        <x:v>1281.71</x:v>
      </x:c>
      <x:c r="I139" s="77">
        <x:f>IF(A139="","",ROUND(D139+E139+F139,2))</x:f>
        <x:v>1666.92</x:v>
      </x:c>
      <x:c r="J139" s="77">
        <x:f>IF(A139="","",ROUND(MAX(0,C139-H139),2))</x:f>
        <x:v>111460.19</x:v>
      </x:c>
      <x:c r="K139" s="78">
        <x:f>IF(A139="","",1-(J139/Dashboard!$B$6))</x:f>
        <x:v>0.5541592399999999</x:v>
      </x:c>
      <x:c r="L139" s="43" t="str">
        <x:f>IF(A139="","",IF(J139=0,"Soldé","En cours"))</x:f>
        <x:v>En cours</x:v>
      </x:c>
      <x:c r="M139" s="77">
        <x:f>IF(A139="","",ROUND(SUM($G$8:G139),2))</x:f>
        <x:v>77772.55</x:v>
      </x:c>
    </x:row>
    <x:row r="140" ht="20" customHeight="1">
      <x:c r="A140" s="71">
        <x:f>IF(OR($J139="",ROUND($J139,2)=0),"",$A139+1)</x:f>
        <x:v>133</x:v>
      </x:c>
      <x:c r="B140" s="72">
        <x:f>IF(A140="","",EDATE(Dashboard!$B$10,(A140-1)*(12/Dashboard!$B$9)))</x:f>
        <x:v>50131</x:v>
      </x:c>
      <x:c r="C140" s="73">
        <x:f>IF(A140="","",$J139)</x:f>
        <x:v>111460.19</x:v>
      </x:c>
      <x:c r="D140" s="73">
        <x:f>IF(A140="","",ROUND(MIN(Moteur!$B$3,C140+G140),2))</x:f>
        <x:v>1488.73</x:v>
      </x:c>
      <x:c r="E140" s="73">
        <x:f>IF(A140="","",ROUND(MIN(Dashboard!$B$11,MAX(0,C140-(D140-G140))),2))</x:f>
        <x:v>150</x:v>
      </x:c>
      <x:c r="F140" s="73">
        <x:f>IF(A140="","",ROUND(C140*Dashboard!$B$12/Dashboard!$B$9,2))</x:f>
        <x:v>27.87</x:v>
      </x:c>
      <x:c r="G140" s="73">
        <x:f>IF(A140="","",ROUND(C140*Moteur!$B$2,2))</x:f>
        <x:v>352.96</x:v>
      </x:c>
      <x:c r="H140" s="73">
        <x:f>IF(A140="","",ROUND(MIN(C140,D140-G140+E140),2))</x:f>
        <x:v>1285.77</x:v>
      </x:c>
      <x:c r="I140" s="73">
        <x:f>IF(A140="","",ROUND(D140+E140+F140,2))</x:f>
        <x:v>1666.6</x:v>
      </x:c>
      <x:c r="J140" s="73">
        <x:f>IF(A140="","",ROUND(MAX(0,C140-H140),2))</x:f>
        <x:v>110174.42</x:v>
      </x:c>
      <x:c r="K140" s="74">
        <x:f>IF(A140="","",1-(J140/Dashboard!$B$6))</x:f>
        <x:v>0.55930232</x:v>
      </x:c>
      <x:c r="L140" s="38" t="str">
        <x:f>IF(A140="","",IF(J140=0,"Soldé","En cours"))</x:f>
        <x:v>En cours</x:v>
      </x:c>
      <x:c r="M140" s="73">
        <x:f>IF(A140="","",ROUND(SUM($G$8:G140),2))</x:f>
        <x:v>78125.51</x:v>
      </x:c>
    </x:row>
    <x:row r="141" ht="20" customHeight="1">
      <x:c r="A141" s="75">
        <x:f>IF(OR($J140="",ROUND($J140,2)=0),"",$A140+1)</x:f>
        <x:v>134</x:v>
      </x:c>
      <x:c r="B141" s="76">
        <x:f>IF(A141="","",EDATE(Dashboard!$B$10,(A141-1)*(12/Dashboard!$B$9)))</x:f>
        <x:v>50161</x:v>
      </x:c>
      <x:c r="C141" s="77">
        <x:f>IF(A141="","",$J140)</x:f>
        <x:v>110174.42</x:v>
      </x:c>
      <x:c r="D141" s="77">
        <x:f>IF(A141="","",ROUND(MIN(Moteur!$B$3,C141+G141),2))</x:f>
        <x:v>1488.73</x:v>
      </x:c>
      <x:c r="E141" s="77">
        <x:f>IF(A141="","",ROUND(MIN(Dashboard!$B$11,MAX(0,C141-(D141-G141))),2))</x:f>
        <x:v>150</x:v>
      </x:c>
      <x:c r="F141" s="77">
        <x:f>IF(A141="","",ROUND(C141*Dashboard!$B$12/Dashboard!$B$9,2))</x:f>
        <x:v>27.54</x:v>
      </x:c>
      <x:c r="G141" s="77">
        <x:f>IF(A141="","",ROUND(C141*Moteur!$B$2,2))</x:f>
        <x:v>348.89</x:v>
      </x:c>
      <x:c r="H141" s="77">
        <x:f>IF(A141="","",ROUND(MIN(C141,D141-G141+E141),2))</x:f>
        <x:v>1289.84</x:v>
      </x:c>
      <x:c r="I141" s="77">
        <x:f>IF(A141="","",ROUND(D141+E141+F141,2))</x:f>
        <x:v>1666.27</x:v>
      </x:c>
      <x:c r="J141" s="77">
        <x:f>IF(A141="","",ROUND(MAX(0,C141-H141),2))</x:f>
        <x:v>108884.58</x:v>
      </x:c>
      <x:c r="K141" s="78">
        <x:f>IF(A141="","",1-(J141/Dashboard!$B$6))</x:f>
        <x:v>0.56446168</x:v>
      </x:c>
      <x:c r="L141" s="43" t="str">
        <x:f>IF(A141="","",IF(J141=0,"Soldé","En cours"))</x:f>
        <x:v>En cours</x:v>
      </x:c>
      <x:c r="M141" s="77">
        <x:f>IF(A141="","",ROUND(SUM($G$8:G141),2))</x:f>
        <x:v>78474.4</x:v>
      </x:c>
    </x:row>
    <x:row r="142" ht="20" customHeight="1">
      <x:c r="A142" s="71">
        <x:f>IF(OR($J141="",ROUND($J141,2)=0),"",$A141+1)</x:f>
        <x:v>135</x:v>
      </x:c>
      <x:c r="B142" s="72">
        <x:f>IF(A142="","",EDATE(Dashboard!$B$10,(A142-1)*(12/Dashboard!$B$9)))</x:f>
        <x:v>50192</x:v>
      </x:c>
      <x:c r="C142" s="73">
        <x:f>IF(A142="","",$J141)</x:f>
        <x:v>108884.58</x:v>
      </x:c>
      <x:c r="D142" s="73">
        <x:f>IF(A142="","",ROUND(MIN(Moteur!$B$3,C142+G142),2))</x:f>
        <x:v>1488.73</x:v>
      </x:c>
      <x:c r="E142" s="73">
        <x:f>IF(A142="","",ROUND(MIN(Dashboard!$B$11,MAX(0,C142-(D142-G142))),2))</x:f>
        <x:v>150</x:v>
      </x:c>
      <x:c r="F142" s="73">
        <x:f>IF(A142="","",ROUND(C142*Dashboard!$B$12/Dashboard!$B$9,2))</x:f>
        <x:v>27.22</x:v>
      </x:c>
      <x:c r="G142" s="73">
        <x:f>IF(A142="","",ROUND(C142*Moteur!$B$2,2))</x:f>
        <x:v>344.8</x:v>
      </x:c>
      <x:c r="H142" s="73">
        <x:f>IF(A142="","",ROUND(MIN(C142,D142-G142+E142),2))</x:f>
        <x:v>1293.93</x:v>
      </x:c>
      <x:c r="I142" s="73">
        <x:f>IF(A142="","",ROUND(D142+E142+F142,2))</x:f>
        <x:v>1665.95</x:v>
      </x:c>
      <x:c r="J142" s="73">
        <x:f>IF(A142="","",ROUND(MAX(0,C142-H142),2))</x:f>
        <x:v>107590.65</x:v>
      </x:c>
      <x:c r="K142" s="74">
        <x:f>IF(A142="","",1-(J142/Dashboard!$B$6))</x:f>
        <x:v>0.5696374</x:v>
      </x:c>
      <x:c r="L142" s="38" t="str">
        <x:f>IF(A142="","",IF(J142=0,"Soldé","En cours"))</x:f>
        <x:v>En cours</x:v>
      </x:c>
      <x:c r="M142" s="73">
        <x:f>IF(A142="","",ROUND(SUM($G$8:G142),2))</x:f>
        <x:v>78819.2</x:v>
      </x:c>
    </x:row>
    <x:row r="143" ht="20" customHeight="1">
      <x:c r="A143" s="75">
        <x:f>IF(OR($J142="",ROUND($J142,2)=0),"",$A142+1)</x:f>
        <x:v>136</x:v>
      </x:c>
      <x:c r="B143" s="76">
        <x:f>IF(A143="","",EDATE(Dashboard!$B$10,(A143-1)*(12/Dashboard!$B$9)))</x:f>
        <x:v>50222</x:v>
      </x:c>
      <x:c r="C143" s="77">
        <x:f>IF(A143="","",$J142)</x:f>
        <x:v>107590.65</x:v>
      </x:c>
      <x:c r="D143" s="77">
        <x:f>IF(A143="","",ROUND(MIN(Moteur!$B$3,C143+G143),2))</x:f>
        <x:v>1488.73</x:v>
      </x:c>
      <x:c r="E143" s="77">
        <x:f>IF(A143="","",ROUND(MIN(Dashboard!$B$11,MAX(0,C143-(D143-G143))),2))</x:f>
        <x:v>150</x:v>
      </x:c>
      <x:c r="F143" s="77">
        <x:f>IF(A143="","",ROUND(C143*Dashboard!$B$12/Dashboard!$B$9,2))</x:f>
        <x:v>26.9</x:v>
      </x:c>
      <x:c r="G143" s="77">
        <x:f>IF(A143="","",ROUND(C143*Moteur!$B$2,2))</x:f>
        <x:v>340.7</x:v>
      </x:c>
      <x:c r="H143" s="77">
        <x:f>IF(A143="","",ROUND(MIN(C143,D143-G143+E143),2))</x:f>
        <x:v>1298.03</x:v>
      </x:c>
      <x:c r="I143" s="77">
        <x:f>IF(A143="","",ROUND(D143+E143+F143,2))</x:f>
        <x:v>1665.63</x:v>
      </x:c>
      <x:c r="J143" s="77">
        <x:f>IF(A143="","",ROUND(MAX(0,C143-H143),2))</x:f>
        <x:v>106292.62</x:v>
      </x:c>
      <x:c r="K143" s="78">
        <x:f>IF(A143="","",1-(J143/Dashboard!$B$6))</x:f>
        <x:v>0.57482952</x:v>
      </x:c>
      <x:c r="L143" s="43" t="str">
        <x:f>IF(A143="","",IF(J143=0,"Soldé","En cours"))</x:f>
        <x:v>En cours</x:v>
      </x:c>
      <x:c r="M143" s="77">
        <x:f>IF(A143="","",ROUND(SUM($G$8:G143),2))</x:f>
        <x:v>79159.9</x:v>
      </x:c>
    </x:row>
    <x:row r="144" ht="20" customHeight="1">
      <x:c r="A144" s="71">
        <x:f>IF(OR($J143="",ROUND($J143,2)=0),"",$A143+1)</x:f>
        <x:v>137</x:v>
      </x:c>
      <x:c r="B144" s="72">
        <x:f>IF(A144="","",EDATE(Dashboard!$B$10,(A144-1)*(12/Dashboard!$B$9)))</x:f>
        <x:v>50253</x:v>
      </x:c>
      <x:c r="C144" s="73">
        <x:f>IF(A144="","",$J143)</x:f>
        <x:v>106292.62</x:v>
      </x:c>
      <x:c r="D144" s="73">
        <x:f>IF(A144="","",ROUND(MIN(Moteur!$B$3,C144+G144),2))</x:f>
        <x:v>1488.73</x:v>
      </x:c>
      <x:c r="E144" s="73">
        <x:f>IF(A144="","",ROUND(MIN(Dashboard!$B$11,MAX(0,C144-(D144-G144))),2))</x:f>
        <x:v>150</x:v>
      </x:c>
      <x:c r="F144" s="73">
        <x:f>IF(A144="","",ROUND(C144*Dashboard!$B$12/Dashboard!$B$9,2))</x:f>
        <x:v>26.57</x:v>
      </x:c>
      <x:c r="G144" s="73">
        <x:f>IF(A144="","",ROUND(C144*Moteur!$B$2,2))</x:f>
        <x:v>336.59</x:v>
      </x:c>
      <x:c r="H144" s="73">
        <x:f>IF(A144="","",ROUND(MIN(C144,D144-G144+E144),2))</x:f>
        <x:v>1302.14</x:v>
      </x:c>
      <x:c r="I144" s="73">
        <x:f>IF(A144="","",ROUND(D144+E144+F144,2))</x:f>
        <x:v>1665.3</x:v>
      </x:c>
      <x:c r="J144" s="73">
        <x:f>IF(A144="","",ROUND(MAX(0,C144-H144),2))</x:f>
        <x:v>104990.48</x:v>
      </x:c>
      <x:c r="K144" s="74">
        <x:f>IF(A144="","",1-(J144/Dashboard!$B$6))</x:f>
        <x:v>0.58003808</x:v>
      </x:c>
      <x:c r="L144" s="38" t="str">
        <x:f>IF(A144="","",IF(J144=0,"Soldé","En cours"))</x:f>
        <x:v>En cours</x:v>
      </x:c>
      <x:c r="M144" s="73">
        <x:f>IF(A144="","",ROUND(SUM($G$8:G144),2))</x:f>
        <x:v>79496.49</x:v>
      </x:c>
    </x:row>
    <x:row r="145" ht="20" customHeight="1">
      <x:c r="A145" s="75">
        <x:f>IF(OR($J144="",ROUND($J144,2)=0),"",$A144+1)</x:f>
        <x:v>138</x:v>
      </x:c>
      <x:c r="B145" s="76">
        <x:f>IF(A145="","",EDATE(Dashboard!$B$10,(A145-1)*(12/Dashboard!$B$9)))</x:f>
        <x:v>50284</x:v>
      </x:c>
      <x:c r="C145" s="77">
        <x:f>IF(A145="","",$J144)</x:f>
        <x:v>104990.48</x:v>
      </x:c>
      <x:c r="D145" s="77">
        <x:f>IF(A145="","",ROUND(MIN(Moteur!$B$3,C145+G145),2))</x:f>
        <x:v>1488.73</x:v>
      </x:c>
      <x:c r="E145" s="77">
        <x:f>IF(A145="","",ROUND(MIN(Dashboard!$B$11,MAX(0,C145-(D145-G145))),2))</x:f>
        <x:v>150</x:v>
      </x:c>
      <x:c r="F145" s="77">
        <x:f>IF(A145="","",ROUND(C145*Dashboard!$B$12/Dashboard!$B$9,2))</x:f>
        <x:v>26.25</x:v>
      </x:c>
      <x:c r="G145" s="77">
        <x:f>IF(A145="","",ROUND(C145*Moteur!$B$2,2))</x:f>
        <x:v>332.47</x:v>
      </x:c>
      <x:c r="H145" s="77">
        <x:f>IF(A145="","",ROUND(MIN(C145,D145-G145+E145),2))</x:f>
        <x:v>1306.26</x:v>
      </x:c>
      <x:c r="I145" s="77">
        <x:f>IF(A145="","",ROUND(D145+E145+F145,2))</x:f>
        <x:v>1664.98</x:v>
      </x:c>
      <x:c r="J145" s="77">
        <x:f>IF(A145="","",ROUND(MAX(0,C145-H145),2))</x:f>
        <x:v>103684.22</x:v>
      </x:c>
      <x:c r="K145" s="78">
        <x:f>IF(A145="","",1-(J145/Dashboard!$B$6))</x:f>
        <x:v>0.58526312</x:v>
      </x:c>
      <x:c r="L145" s="43" t="str">
        <x:f>IF(A145="","",IF(J145=0,"Soldé","En cours"))</x:f>
        <x:v>En cours</x:v>
      </x:c>
      <x:c r="M145" s="77">
        <x:f>IF(A145="","",ROUND(SUM($G$8:G145),2))</x:f>
        <x:v>79828.96</x:v>
      </x:c>
    </x:row>
    <x:row r="146" ht="20" customHeight="1">
      <x:c r="A146" s="71">
        <x:f>IF(OR($J145="",ROUND($J145,2)=0),"",$A145+1)</x:f>
        <x:v>139</x:v>
      </x:c>
      <x:c r="B146" s="72">
        <x:f>IF(A146="","",EDATE(Dashboard!$B$10,(A146-1)*(12/Dashboard!$B$9)))</x:f>
        <x:v>50314</x:v>
      </x:c>
      <x:c r="C146" s="73">
        <x:f>IF(A146="","",$J145)</x:f>
        <x:v>103684.22</x:v>
      </x:c>
      <x:c r="D146" s="73">
        <x:f>IF(A146="","",ROUND(MIN(Moteur!$B$3,C146+G146),2))</x:f>
        <x:v>1488.73</x:v>
      </x:c>
      <x:c r="E146" s="73">
        <x:f>IF(A146="","",ROUND(MIN(Dashboard!$B$11,MAX(0,C146-(D146-G146))),2))</x:f>
        <x:v>150</x:v>
      </x:c>
      <x:c r="F146" s="73">
        <x:f>IF(A146="","",ROUND(C146*Dashboard!$B$12/Dashboard!$B$9,2))</x:f>
        <x:v>25.92</x:v>
      </x:c>
      <x:c r="G146" s="73">
        <x:f>IF(A146="","",ROUND(C146*Moteur!$B$2,2))</x:f>
        <x:v>328.33</x:v>
      </x:c>
      <x:c r="H146" s="73">
        <x:f>IF(A146="","",ROUND(MIN(C146,D146-G146+E146),2))</x:f>
        <x:v>1310.4</x:v>
      </x:c>
      <x:c r="I146" s="73">
        <x:f>IF(A146="","",ROUND(D146+E146+F146,2))</x:f>
        <x:v>1664.65</x:v>
      </x:c>
      <x:c r="J146" s="73">
        <x:f>IF(A146="","",ROUND(MAX(0,C146-H146),2))</x:f>
        <x:v>102373.82</x:v>
      </x:c>
      <x:c r="K146" s="74">
        <x:f>IF(A146="","",1-(J146/Dashboard!$B$6))</x:f>
        <x:v>0.59050472</x:v>
      </x:c>
      <x:c r="L146" s="38" t="str">
        <x:f>IF(A146="","",IF(J146=0,"Soldé","En cours"))</x:f>
        <x:v>En cours</x:v>
      </x:c>
      <x:c r="M146" s="73">
        <x:f>IF(A146="","",ROUND(SUM($G$8:G146),2))</x:f>
        <x:v>80157.29</x:v>
      </x:c>
    </x:row>
    <x:row r="147" ht="20" customHeight="1">
      <x:c r="A147" s="75">
        <x:f>IF(OR($J146="",ROUND($J146,2)=0),"",$A146+1)</x:f>
        <x:v>140</x:v>
      </x:c>
      <x:c r="B147" s="76">
        <x:f>IF(A147="","",EDATE(Dashboard!$B$10,(A147-1)*(12/Dashboard!$B$9)))</x:f>
        <x:v>50345</x:v>
      </x:c>
      <x:c r="C147" s="77">
        <x:f>IF(A147="","",$J146)</x:f>
        <x:v>102373.82</x:v>
      </x:c>
      <x:c r="D147" s="77">
        <x:f>IF(A147="","",ROUND(MIN(Moteur!$B$3,C147+G147),2))</x:f>
        <x:v>1488.73</x:v>
      </x:c>
      <x:c r="E147" s="77">
        <x:f>IF(A147="","",ROUND(MIN(Dashboard!$B$11,MAX(0,C147-(D147-G147))),2))</x:f>
        <x:v>150</x:v>
      </x:c>
      <x:c r="F147" s="77">
        <x:f>IF(A147="","",ROUND(C147*Dashboard!$B$12/Dashboard!$B$9,2))</x:f>
        <x:v>25.59</x:v>
      </x:c>
      <x:c r="G147" s="77">
        <x:f>IF(A147="","",ROUND(C147*Moteur!$B$2,2))</x:f>
        <x:v>324.18</x:v>
      </x:c>
      <x:c r="H147" s="77">
        <x:f>IF(A147="","",ROUND(MIN(C147,D147-G147+E147),2))</x:f>
        <x:v>1314.55</x:v>
      </x:c>
      <x:c r="I147" s="77">
        <x:f>IF(A147="","",ROUND(D147+E147+F147,2))</x:f>
        <x:v>1664.32</x:v>
      </x:c>
      <x:c r="J147" s="77">
        <x:f>IF(A147="","",ROUND(MAX(0,C147-H147),2))</x:f>
        <x:v>101059.27</x:v>
      </x:c>
      <x:c r="K147" s="78">
        <x:f>IF(A147="","",1-(J147/Dashboard!$B$6))</x:f>
        <x:v>0.59576292</x:v>
      </x:c>
      <x:c r="L147" s="43" t="str">
        <x:f>IF(A147="","",IF(J147=0,"Soldé","En cours"))</x:f>
        <x:v>En cours</x:v>
      </x:c>
      <x:c r="M147" s="77">
        <x:f>IF(A147="","",ROUND(SUM($G$8:G147),2))</x:f>
        <x:v>80481.47</x:v>
      </x:c>
    </x:row>
    <x:row r="148" ht="20" customHeight="1">
      <x:c r="A148" s="71">
        <x:f>IF(OR($J147="",ROUND($J147,2)=0),"",$A147+1)</x:f>
        <x:v>141</x:v>
      </x:c>
      <x:c r="B148" s="72">
        <x:f>IF(A148="","",EDATE(Dashboard!$B$10,(A148-1)*(12/Dashboard!$B$9)))</x:f>
        <x:v>50375</x:v>
      </x:c>
      <x:c r="C148" s="73">
        <x:f>IF(A148="","",$J147)</x:f>
        <x:v>101059.27</x:v>
      </x:c>
      <x:c r="D148" s="73">
        <x:f>IF(A148="","",ROUND(MIN(Moteur!$B$3,C148+G148),2))</x:f>
        <x:v>1488.73</x:v>
      </x:c>
      <x:c r="E148" s="73">
        <x:f>IF(A148="","",ROUND(MIN(Dashboard!$B$11,MAX(0,C148-(D148-G148))),2))</x:f>
        <x:v>150</x:v>
      </x:c>
      <x:c r="F148" s="73">
        <x:f>IF(A148="","",ROUND(C148*Dashboard!$B$12/Dashboard!$B$9,2))</x:f>
        <x:v>25.26</x:v>
      </x:c>
      <x:c r="G148" s="73">
        <x:f>IF(A148="","",ROUND(C148*Moteur!$B$2,2))</x:f>
        <x:v>320.02</x:v>
      </x:c>
      <x:c r="H148" s="73">
        <x:f>IF(A148="","",ROUND(MIN(C148,D148-G148+E148),2))</x:f>
        <x:v>1318.71</x:v>
      </x:c>
      <x:c r="I148" s="73">
        <x:f>IF(A148="","",ROUND(D148+E148+F148,2))</x:f>
        <x:v>1663.99</x:v>
      </x:c>
      <x:c r="J148" s="73">
        <x:f>IF(A148="","",ROUND(MAX(0,C148-H148),2))</x:f>
        <x:v>99740.56</x:v>
      </x:c>
      <x:c r="K148" s="74">
        <x:f>IF(A148="","",1-(J148/Dashboard!$B$6))</x:f>
        <x:v>0.6010377600000001</x:v>
      </x:c>
      <x:c r="L148" s="38" t="str">
        <x:f>IF(A148="","",IF(J148=0,"Soldé","En cours"))</x:f>
        <x:v>En cours</x:v>
      </x:c>
      <x:c r="M148" s="73">
        <x:f>IF(A148="","",ROUND(SUM($G$8:G148),2))</x:f>
        <x:v>80801.49</x:v>
      </x:c>
    </x:row>
    <x:row r="149" ht="20" customHeight="1">
      <x:c r="A149" s="75">
        <x:f>IF(OR($J148="",ROUND($J148,2)=0),"",$A148+1)</x:f>
        <x:v>142</x:v>
      </x:c>
      <x:c r="B149" s="76">
        <x:f>IF(A149="","",EDATE(Dashboard!$B$10,(A149-1)*(12/Dashboard!$B$9)))</x:f>
        <x:v>50406</x:v>
      </x:c>
      <x:c r="C149" s="77">
        <x:f>IF(A149="","",$J148)</x:f>
        <x:v>99740.56</x:v>
      </x:c>
      <x:c r="D149" s="77">
        <x:f>IF(A149="","",ROUND(MIN(Moteur!$B$3,C149+G149),2))</x:f>
        <x:v>1488.73</x:v>
      </x:c>
      <x:c r="E149" s="77">
        <x:f>IF(A149="","",ROUND(MIN(Dashboard!$B$11,MAX(0,C149-(D149-G149))),2))</x:f>
        <x:v>150</x:v>
      </x:c>
      <x:c r="F149" s="77">
        <x:f>IF(A149="","",ROUND(C149*Dashboard!$B$12/Dashboard!$B$9,2))</x:f>
        <x:v>24.94</x:v>
      </x:c>
      <x:c r="G149" s="77">
        <x:f>IF(A149="","",ROUND(C149*Moteur!$B$2,2))</x:f>
        <x:v>315.85</x:v>
      </x:c>
      <x:c r="H149" s="77">
        <x:f>IF(A149="","",ROUND(MIN(C149,D149-G149+E149),2))</x:f>
        <x:v>1322.88</x:v>
      </x:c>
      <x:c r="I149" s="77">
        <x:f>IF(A149="","",ROUND(D149+E149+F149,2))</x:f>
        <x:v>1663.67</x:v>
      </x:c>
      <x:c r="J149" s="77">
        <x:f>IF(A149="","",ROUND(MAX(0,C149-H149),2))</x:f>
        <x:v>98417.68</x:v>
      </x:c>
      <x:c r="K149" s="78">
        <x:f>IF(A149="","",1-(J149/Dashboard!$B$6))</x:f>
        <x:v>0.60632928</x:v>
      </x:c>
      <x:c r="L149" s="43" t="str">
        <x:f>IF(A149="","",IF(J149=0,"Soldé","En cours"))</x:f>
        <x:v>En cours</x:v>
      </x:c>
      <x:c r="M149" s="77">
        <x:f>IF(A149="","",ROUND(SUM($G$8:G149),2))</x:f>
        <x:v>81117.34</x:v>
      </x:c>
    </x:row>
    <x:row r="150" ht="20" customHeight="1">
      <x:c r="A150" s="71">
        <x:f>IF(OR($J149="",ROUND($J149,2)=0),"",$A149+1)</x:f>
        <x:v>143</x:v>
      </x:c>
      <x:c r="B150" s="72">
        <x:f>IF(A150="","",EDATE(Dashboard!$B$10,(A150-1)*(12/Dashboard!$B$9)))</x:f>
        <x:v>50437</x:v>
      </x:c>
      <x:c r="C150" s="73">
        <x:f>IF(A150="","",$J149)</x:f>
        <x:v>98417.68</x:v>
      </x:c>
      <x:c r="D150" s="73">
        <x:f>IF(A150="","",ROUND(MIN(Moteur!$B$3,C150+G150),2))</x:f>
        <x:v>1488.73</x:v>
      </x:c>
      <x:c r="E150" s="73">
        <x:f>IF(A150="","",ROUND(MIN(Dashboard!$B$11,MAX(0,C150-(D150-G150))),2))</x:f>
        <x:v>150</x:v>
      </x:c>
      <x:c r="F150" s="73">
        <x:f>IF(A150="","",ROUND(C150*Dashboard!$B$12/Dashboard!$B$9,2))</x:f>
        <x:v>24.6</x:v>
      </x:c>
      <x:c r="G150" s="73">
        <x:f>IF(A150="","",ROUND(C150*Moteur!$B$2,2))</x:f>
        <x:v>311.66</x:v>
      </x:c>
      <x:c r="H150" s="73">
        <x:f>IF(A150="","",ROUND(MIN(C150,D150-G150+E150),2))</x:f>
        <x:v>1327.07</x:v>
      </x:c>
      <x:c r="I150" s="73">
        <x:f>IF(A150="","",ROUND(D150+E150+F150,2))</x:f>
        <x:v>1663.33</x:v>
      </x:c>
      <x:c r="J150" s="73">
        <x:f>IF(A150="","",ROUND(MAX(0,C150-H150),2))</x:f>
        <x:v>97090.61</x:v>
      </x:c>
      <x:c r="K150" s="74">
        <x:f>IF(A150="","",1-(J150/Dashboard!$B$6))</x:f>
        <x:v>0.61163756</x:v>
      </x:c>
      <x:c r="L150" s="38" t="str">
        <x:f>IF(A150="","",IF(J150=0,"Soldé","En cours"))</x:f>
        <x:v>En cours</x:v>
      </x:c>
      <x:c r="M150" s="73">
        <x:f>IF(A150="","",ROUND(SUM($G$8:G150),2))</x:f>
        <x:v>81429</x:v>
      </x:c>
    </x:row>
    <x:row r="151" ht="20" customHeight="1">
      <x:c r="A151" s="75">
        <x:f>IF(OR($J150="",ROUND($J150,2)=0),"",$A150+1)</x:f>
        <x:v>144</x:v>
      </x:c>
      <x:c r="B151" s="76">
        <x:f>IF(A151="","",EDATE(Dashboard!$B$10,(A151-1)*(12/Dashboard!$B$9)))</x:f>
        <x:v>50465</x:v>
      </x:c>
      <x:c r="C151" s="77">
        <x:f>IF(A151="","",$J150)</x:f>
        <x:v>97090.61</x:v>
      </x:c>
      <x:c r="D151" s="77">
        <x:f>IF(A151="","",ROUND(MIN(Moteur!$B$3,C151+G151),2))</x:f>
        <x:v>1488.73</x:v>
      </x:c>
      <x:c r="E151" s="77">
        <x:f>IF(A151="","",ROUND(MIN(Dashboard!$B$11,MAX(0,C151-(D151-G151))),2))</x:f>
        <x:v>150</x:v>
      </x:c>
      <x:c r="F151" s="77">
        <x:f>IF(A151="","",ROUND(C151*Dashboard!$B$12/Dashboard!$B$9,2))</x:f>
        <x:v>24.27</x:v>
      </x:c>
      <x:c r="G151" s="77">
        <x:f>IF(A151="","",ROUND(C151*Moteur!$B$2,2))</x:f>
        <x:v>307.45</x:v>
      </x:c>
      <x:c r="H151" s="77">
        <x:f>IF(A151="","",ROUND(MIN(C151,D151-G151+E151),2))</x:f>
        <x:v>1331.28</x:v>
      </x:c>
      <x:c r="I151" s="77">
        <x:f>IF(A151="","",ROUND(D151+E151+F151,2))</x:f>
        <x:v>1663</x:v>
      </x:c>
      <x:c r="J151" s="77">
        <x:f>IF(A151="","",ROUND(MAX(0,C151-H151),2))</x:f>
        <x:v>95759.33</x:v>
      </x:c>
      <x:c r="K151" s="78">
        <x:f>IF(A151="","",1-(J151/Dashboard!$B$6))</x:f>
        <x:v>0.61696268</x:v>
      </x:c>
      <x:c r="L151" s="43" t="str">
        <x:f>IF(A151="","",IF(J151=0,"Soldé","En cours"))</x:f>
        <x:v>En cours</x:v>
      </x:c>
      <x:c r="M151" s="77">
        <x:f>IF(A151="","",ROUND(SUM($G$8:G151),2))</x:f>
        <x:v>81736.45</x:v>
      </x:c>
    </x:row>
    <x:row r="152" ht="20" customHeight="1">
      <x:c r="A152" s="71">
        <x:f>IF(OR($J151="",ROUND($J151,2)=0),"",$A151+1)</x:f>
        <x:v>145</x:v>
      </x:c>
      <x:c r="B152" s="72">
        <x:f>IF(A152="","",EDATE(Dashboard!$B$10,(A152-1)*(12/Dashboard!$B$9)))</x:f>
        <x:v>50496</x:v>
      </x:c>
      <x:c r="C152" s="73">
        <x:f>IF(A152="","",$J151)</x:f>
        <x:v>95759.33</x:v>
      </x:c>
      <x:c r="D152" s="73">
        <x:f>IF(A152="","",ROUND(MIN(Moteur!$B$3,C152+G152),2))</x:f>
        <x:v>1488.73</x:v>
      </x:c>
      <x:c r="E152" s="73">
        <x:f>IF(A152="","",ROUND(MIN(Dashboard!$B$11,MAX(0,C152-(D152-G152))),2))</x:f>
        <x:v>150</x:v>
      </x:c>
      <x:c r="F152" s="73">
        <x:f>IF(A152="","",ROUND(C152*Dashboard!$B$12/Dashboard!$B$9,2))</x:f>
        <x:v>23.94</x:v>
      </x:c>
      <x:c r="G152" s="73">
        <x:f>IF(A152="","",ROUND(C152*Moteur!$B$2,2))</x:f>
        <x:v>303.24</x:v>
      </x:c>
      <x:c r="H152" s="73">
        <x:f>IF(A152="","",ROUND(MIN(C152,D152-G152+E152),2))</x:f>
        <x:v>1335.49</x:v>
      </x:c>
      <x:c r="I152" s="73">
        <x:f>IF(A152="","",ROUND(D152+E152+F152,2))</x:f>
        <x:v>1662.67</x:v>
      </x:c>
      <x:c r="J152" s="73">
        <x:f>IF(A152="","",ROUND(MAX(0,C152-H152),2))</x:f>
        <x:v>94423.84</x:v>
      </x:c>
      <x:c r="K152" s="74">
        <x:f>IF(A152="","",1-(J152/Dashboard!$B$6))</x:f>
        <x:v>0.6223046400000001</x:v>
      </x:c>
      <x:c r="L152" s="38" t="str">
        <x:f>IF(A152="","",IF(J152=0,"Soldé","En cours"))</x:f>
        <x:v>En cours</x:v>
      </x:c>
      <x:c r="M152" s="73">
        <x:f>IF(A152="","",ROUND(SUM($G$8:G152),2))</x:f>
        <x:v>82039.69</x:v>
      </x:c>
    </x:row>
    <x:row r="153" ht="20" customHeight="1">
      <x:c r="A153" s="75">
        <x:f>IF(OR($J152="",ROUND($J152,2)=0),"",$A152+1)</x:f>
        <x:v>146</x:v>
      </x:c>
      <x:c r="B153" s="76">
        <x:f>IF(A153="","",EDATE(Dashboard!$B$10,(A153-1)*(12/Dashboard!$B$9)))</x:f>
        <x:v>50526</x:v>
      </x:c>
      <x:c r="C153" s="77">
        <x:f>IF(A153="","",$J152)</x:f>
        <x:v>94423.84</x:v>
      </x:c>
      <x:c r="D153" s="77">
        <x:f>IF(A153="","",ROUND(MIN(Moteur!$B$3,C153+G153),2))</x:f>
        <x:v>1488.73</x:v>
      </x:c>
      <x:c r="E153" s="77">
        <x:f>IF(A153="","",ROUND(MIN(Dashboard!$B$11,MAX(0,C153-(D153-G153))),2))</x:f>
        <x:v>150</x:v>
      </x:c>
      <x:c r="F153" s="77">
        <x:f>IF(A153="","",ROUND(C153*Dashboard!$B$12/Dashboard!$B$9,2))</x:f>
        <x:v>23.61</x:v>
      </x:c>
      <x:c r="G153" s="77">
        <x:f>IF(A153="","",ROUND(C153*Moteur!$B$2,2))</x:f>
        <x:v>299.01</x:v>
      </x:c>
      <x:c r="H153" s="77">
        <x:f>IF(A153="","",ROUND(MIN(C153,D153-G153+E153),2))</x:f>
        <x:v>1339.72</x:v>
      </x:c>
      <x:c r="I153" s="77">
        <x:f>IF(A153="","",ROUND(D153+E153+F153,2))</x:f>
        <x:v>1662.34</x:v>
      </x:c>
      <x:c r="J153" s="77">
        <x:f>IF(A153="","",ROUND(MAX(0,C153-H153),2))</x:f>
        <x:v>93084.12</x:v>
      </x:c>
      <x:c r="K153" s="78">
        <x:f>IF(A153="","",1-(J153/Dashboard!$B$6))</x:f>
        <x:v>0.62766352</x:v>
      </x:c>
      <x:c r="L153" s="43" t="str">
        <x:f>IF(A153="","",IF(J153=0,"Soldé","En cours"))</x:f>
        <x:v>En cours</x:v>
      </x:c>
      <x:c r="M153" s="77">
        <x:f>IF(A153="","",ROUND(SUM($G$8:G153),2))</x:f>
        <x:v>82338.7</x:v>
      </x:c>
    </x:row>
    <x:row r="154" ht="20" customHeight="1">
      <x:c r="A154" s="71">
        <x:f>IF(OR($J153="",ROUND($J153,2)=0),"",$A153+1)</x:f>
        <x:v>147</x:v>
      </x:c>
      <x:c r="B154" s="72">
        <x:f>IF(A154="","",EDATE(Dashboard!$B$10,(A154-1)*(12/Dashboard!$B$9)))</x:f>
        <x:v>50557</x:v>
      </x:c>
      <x:c r="C154" s="73">
        <x:f>IF(A154="","",$J153)</x:f>
        <x:v>93084.12</x:v>
      </x:c>
      <x:c r="D154" s="73">
        <x:f>IF(A154="","",ROUND(MIN(Moteur!$B$3,C154+G154),2))</x:f>
        <x:v>1488.73</x:v>
      </x:c>
      <x:c r="E154" s="73">
        <x:f>IF(A154="","",ROUND(MIN(Dashboard!$B$11,MAX(0,C154-(D154-G154))),2))</x:f>
        <x:v>150</x:v>
      </x:c>
      <x:c r="F154" s="73">
        <x:f>IF(A154="","",ROUND(C154*Dashboard!$B$12/Dashboard!$B$9,2))</x:f>
        <x:v>23.27</x:v>
      </x:c>
      <x:c r="G154" s="73">
        <x:f>IF(A154="","",ROUND(C154*Moteur!$B$2,2))</x:f>
        <x:v>294.77</x:v>
      </x:c>
      <x:c r="H154" s="73">
        <x:f>IF(A154="","",ROUND(MIN(C154,D154-G154+E154),2))</x:f>
        <x:v>1343.96</x:v>
      </x:c>
      <x:c r="I154" s="73">
        <x:f>IF(A154="","",ROUND(D154+E154+F154,2))</x:f>
        <x:v>1662</x:v>
      </x:c>
      <x:c r="J154" s="73">
        <x:f>IF(A154="","",ROUND(MAX(0,C154-H154),2))</x:f>
        <x:v>91740.16</x:v>
      </x:c>
      <x:c r="K154" s="74">
        <x:f>IF(A154="","",1-(J154/Dashboard!$B$6))</x:f>
        <x:v>0.6330393599999999</x:v>
      </x:c>
      <x:c r="L154" s="38" t="str">
        <x:f>IF(A154="","",IF(J154=0,"Soldé","En cours"))</x:f>
        <x:v>En cours</x:v>
      </x:c>
      <x:c r="M154" s="73">
        <x:f>IF(A154="","",ROUND(SUM($G$8:G154),2))</x:f>
        <x:v>82633.47</x:v>
      </x:c>
    </x:row>
    <x:row r="155" ht="20" customHeight="1">
      <x:c r="A155" s="75">
        <x:f>IF(OR($J154="",ROUND($J154,2)=0),"",$A154+1)</x:f>
        <x:v>148</x:v>
      </x:c>
      <x:c r="B155" s="76">
        <x:f>IF(A155="","",EDATE(Dashboard!$B$10,(A155-1)*(12/Dashboard!$B$9)))</x:f>
        <x:v>50587</x:v>
      </x:c>
      <x:c r="C155" s="77">
        <x:f>IF(A155="","",$J154)</x:f>
        <x:v>91740.16</x:v>
      </x:c>
      <x:c r="D155" s="77">
        <x:f>IF(A155="","",ROUND(MIN(Moteur!$B$3,C155+G155),2))</x:f>
        <x:v>1488.73</x:v>
      </x:c>
      <x:c r="E155" s="77">
        <x:f>IF(A155="","",ROUND(MIN(Dashboard!$B$11,MAX(0,C155-(D155-G155))),2))</x:f>
        <x:v>150</x:v>
      </x:c>
      <x:c r="F155" s="77">
        <x:f>IF(A155="","",ROUND(C155*Dashboard!$B$12/Dashboard!$B$9,2))</x:f>
        <x:v>22.94</x:v>
      </x:c>
      <x:c r="G155" s="77">
        <x:f>IF(A155="","",ROUND(C155*Moteur!$B$2,2))</x:f>
        <x:v>290.51</x:v>
      </x:c>
      <x:c r="H155" s="77">
        <x:f>IF(A155="","",ROUND(MIN(C155,D155-G155+E155),2))</x:f>
        <x:v>1348.22</x:v>
      </x:c>
      <x:c r="I155" s="77">
        <x:f>IF(A155="","",ROUND(D155+E155+F155,2))</x:f>
        <x:v>1661.67</x:v>
      </x:c>
      <x:c r="J155" s="77">
        <x:f>IF(A155="","",ROUND(MAX(0,C155-H155),2))</x:f>
        <x:v>90391.94</x:v>
      </x:c>
      <x:c r="K155" s="78">
        <x:f>IF(A155="","",1-(J155/Dashboard!$B$6))</x:f>
        <x:v>0.63843224</x:v>
      </x:c>
      <x:c r="L155" s="43" t="str">
        <x:f>IF(A155="","",IF(J155=0,"Soldé","En cours"))</x:f>
        <x:v>En cours</x:v>
      </x:c>
      <x:c r="M155" s="77">
        <x:f>IF(A155="","",ROUND(SUM($G$8:G155),2))</x:f>
        <x:v>82923.98</x:v>
      </x:c>
    </x:row>
    <x:row r="156" ht="20" customHeight="1">
      <x:c r="A156" s="71">
        <x:f>IF(OR($J155="",ROUND($J155,2)=0),"",$A155+1)</x:f>
        <x:v>149</x:v>
      </x:c>
      <x:c r="B156" s="72">
        <x:f>IF(A156="","",EDATE(Dashboard!$B$10,(A156-1)*(12/Dashboard!$B$9)))</x:f>
        <x:v>50618</x:v>
      </x:c>
      <x:c r="C156" s="73">
        <x:f>IF(A156="","",$J155)</x:f>
        <x:v>90391.94</x:v>
      </x:c>
      <x:c r="D156" s="73">
        <x:f>IF(A156="","",ROUND(MIN(Moteur!$B$3,C156+G156),2))</x:f>
        <x:v>1488.73</x:v>
      </x:c>
      <x:c r="E156" s="73">
        <x:f>IF(A156="","",ROUND(MIN(Dashboard!$B$11,MAX(0,C156-(D156-G156))),2))</x:f>
        <x:v>150</x:v>
      </x:c>
      <x:c r="F156" s="73">
        <x:f>IF(A156="","",ROUND(C156*Dashboard!$B$12/Dashboard!$B$9,2))</x:f>
        <x:v>22.6</x:v>
      </x:c>
      <x:c r="G156" s="73">
        <x:f>IF(A156="","",ROUND(C156*Moteur!$B$2,2))</x:f>
        <x:v>286.24</x:v>
      </x:c>
      <x:c r="H156" s="73">
        <x:f>IF(A156="","",ROUND(MIN(C156,D156-G156+E156),2))</x:f>
        <x:v>1352.49</x:v>
      </x:c>
      <x:c r="I156" s="73">
        <x:f>IF(A156="","",ROUND(D156+E156+F156,2))</x:f>
        <x:v>1661.33</x:v>
      </x:c>
      <x:c r="J156" s="73">
        <x:f>IF(A156="","",ROUND(MAX(0,C156-H156),2))</x:f>
        <x:v>89039.45</x:v>
      </x:c>
      <x:c r="K156" s="74">
        <x:f>IF(A156="","",1-(J156/Dashboard!$B$6))</x:f>
        <x:v>0.6438422</x:v>
      </x:c>
      <x:c r="L156" s="38" t="str">
        <x:f>IF(A156="","",IF(J156=0,"Soldé","En cours"))</x:f>
        <x:v>En cours</x:v>
      </x:c>
      <x:c r="M156" s="73">
        <x:f>IF(A156="","",ROUND(SUM($G$8:G156),2))</x:f>
        <x:v>83210.22</x:v>
      </x:c>
    </x:row>
    <x:row r="157" ht="20" customHeight="1">
      <x:c r="A157" s="75">
        <x:f>IF(OR($J156="",ROUND($J156,2)=0),"",$A156+1)</x:f>
        <x:v>150</x:v>
      </x:c>
      <x:c r="B157" s="76">
        <x:f>IF(A157="","",EDATE(Dashboard!$B$10,(A157-1)*(12/Dashboard!$B$9)))</x:f>
        <x:v>50649</x:v>
      </x:c>
      <x:c r="C157" s="77">
        <x:f>IF(A157="","",$J156)</x:f>
        <x:v>89039.45</x:v>
      </x:c>
      <x:c r="D157" s="77">
        <x:f>IF(A157="","",ROUND(MIN(Moteur!$B$3,C157+G157),2))</x:f>
        <x:v>1488.73</x:v>
      </x:c>
      <x:c r="E157" s="77">
        <x:f>IF(A157="","",ROUND(MIN(Dashboard!$B$11,MAX(0,C157-(D157-G157))),2))</x:f>
        <x:v>150</x:v>
      </x:c>
      <x:c r="F157" s="77">
        <x:f>IF(A157="","",ROUND(C157*Dashboard!$B$12/Dashboard!$B$9,2))</x:f>
        <x:v>22.26</x:v>
      </x:c>
      <x:c r="G157" s="77">
        <x:f>IF(A157="","",ROUND(C157*Moteur!$B$2,2))</x:f>
        <x:v>281.96</x:v>
      </x:c>
      <x:c r="H157" s="77">
        <x:f>IF(A157="","",ROUND(MIN(C157,D157-G157+E157),2))</x:f>
        <x:v>1356.77</x:v>
      </x:c>
      <x:c r="I157" s="77">
        <x:f>IF(A157="","",ROUND(D157+E157+F157,2))</x:f>
        <x:v>1660.99</x:v>
      </x:c>
      <x:c r="J157" s="77">
        <x:f>IF(A157="","",ROUND(MAX(0,C157-H157),2))</x:f>
        <x:v>87682.68</x:v>
      </x:c>
      <x:c r="K157" s="78">
        <x:f>IF(A157="","",1-(J157/Dashboard!$B$6))</x:f>
        <x:v>0.64926928</x:v>
      </x:c>
      <x:c r="L157" s="43" t="str">
        <x:f>IF(A157="","",IF(J157=0,"Soldé","En cours"))</x:f>
        <x:v>En cours</x:v>
      </x:c>
      <x:c r="M157" s="77">
        <x:f>IF(A157="","",ROUND(SUM($G$8:G157),2))</x:f>
        <x:v>83492.18</x:v>
      </x:c>
    </x:row>
    <x:row r="158" ht="20" customHeight="1">
      <x:c r="A158" s="71">
        <x:f>IF(OR($J157="",ROUND($J157,2)=0),"",$A157+1)</x:f>
        <x:v>151</x:v>
      </x:c>
      <x:c r="B158" s="72">
        <x:f>IF(A158="","",EDATE(Dashboard!$B$10,(A158-1)*(12/Dashboard!$B$9)))</x:f>
        <x:v>50679</x:v>
      </x:c>
      <x:c r="C158" s="73">
        <x:f>IF(A158="","",$J157)</x:f>
        <x:v>87682.68</x:v>
      </x:c>
      <x:c r="D158" s="73">
        <x:f>IF(A158="","",ROUND(MIN(Moteur!$B$3,C158+G158),2))</x:f>
        <x:v>1488.73</x:v>
      </x:c>
      <x:c r="E158" s="73">
        <x:f>IF(A158="","",ROUND(MIN(Dashboard!$B$11,MAX(0,C158-(D158-G158))),2))</x:f>
        <x:v>150</x:v>
      </x:c>
      <x:c r="F158" s="73">
        <x:f>IF(A158="","",ROUND(C158*Dashboard!$B$12/Dashboard!$B$9,2))</x:f>
        <x:v>21.92</x:v>
      </x:c>
      <x:c r="G158" s="73">
        <x:f>IF(A158="","",ROUND(C158*Moteur!$B$2,2))</x:f>
        <x:v>277.66</x:v>
      </x:c>
      <x:c r="H158" s="73">
        <x:f>IF(A158="","",ROUND(MIN(C158,D158-G158+E158),2))</x:f>
        <x:v>1361.07</x:v>
      </x:c>
      <x:c r="I158" s="73">
        <x:f>IF(A158="","",ROUND(D158+E158+F158,2))</x:f>
        <x:v>1660.65</x:v>
      </x:c>
      <x:c r="J158" s="73">
        <x:f>IF(A158="","",ROUND(MAX(0,C158-H158),2))</x:f>
        <x:v>86321.61</x:v>
      </x:c>
      <x:c r="K158" s="74">
        <x:f>IF(A158="","",1-(J158/Dashboard!$B$6))</x:f>
        <x:v>0.65471356</x:v>
      </x:c>
      <x:c r="L158" s="38" t="str">
        <x:f>IF(A158="","",IF(J158=0,"Soldé","En cours"))</x:f>
        <x:v>En cours</x:v>
      </x:c>
      <x:c r="M158" s="73">
        <x:f>IF(A158="","",ROUND(SUM($G$8:G158),2))</x:f>
        <x:v>83769.84</x:v>
      </x:c>
    </x:row>
    <x:row r="159" ht="20" customHeight="1">
      <x:c r="A159" s="75">
        <x:f>IF(OR($J158="",ROUND($J158,2)=0),"",$A158+1)</x:f>
        <x:v>152</x:v>
      </x:c>
      <x:c r="B159" s="76">
        <x:f>IF(A159="","",EDATE(Dashboard!$B$10,(A159-1)*(12/Dashboard!$B$9)))</x:f>
        <x:v>50710</x:v>
      </x:c>
      <x:c r="C159" s="77">
        <x:f>IF(A159="","",$J158)</x:f>
        <x:v>86321.61</x:v>
      </x:c>
      <x:c r="D159" s="77">
        <x:f>IF(A159="","",ROUND(MIN(Moteur!$B$3,C159+G159),2))</x:f>
        <x:v>1488.73</x:v>
      </x:c>
      <x:c r="E159" s="77">
        <x:f>IF(A159="","",ROUND(MIN(Dashboard!$B$11,MAX(0,C159-(D159-G159))),2))</x:f>
        <x:v>150</x:v>
      </x:c>
      <x:c r="F159" s="77">
        <x:f>IF(A159="","",ROUND(C159*Dashboard!$B$12/Dashboard!$B$9,2))</x:f>
        <x:v>21.58</x:v>
      </x:c>
      <x:c r="G159" s="77">
        <x:f>IF(A159="","",ROUND(C159*Moteur!$B$2,2))</x:f>
        <x:v>273.35</x:v>
      </x:c>
      <x:c r="H159" s="77">
        <x:f>IF(A159="","",ROUND(MIN(C159,D159-G159+E159),2))</x:f>
        <x:v>1365.38</x:v>
      </x:c>
      <x:c r="I159" s="77">
        <x:f>IF(A159="","",ROUND(D159+E159+F159,2))</x:f>
        <x:v>1660.31</x:v>
      </x:c>
      <x:c r="J159" s="77">
        <x:f>IF(A159="","",ROUND(MAX(0,C159-H159),2))</x:f>
        <x:v>84956.23</x:v>
      </x:c>
      <x:c r="K159" s="78">
        <x:f>IF(A159="","",1-(J159/Dashboard!$B$6))</x:f>
        <x:v>0.66017508</x:v>
      </x:c>
      <x:c r="L159" s="43" t="str">
        <x:f>IF(A159="","",IF(J159=0,"Soldé","En cours"))</x:f>
        <x:v>En cours</x:v>
      </x:c>
      <x:c r="M159" s="77">
        <x:f>IF(A159="","",ROUND(SUM($G$8:G159),2))</x:f>
        <x:v>84043.19</x:v>
      </x:c>
    </x:row>
    <x:row r="160" ht="20" customHeight="1">
      <x:c r="A160" s="71">
        <x:f>IF(OR($J159="",ROUND($J159,2)=0),"",$A159+1)</x:f>
        <x:v>153</x:v>
      </x:c>
      <x:c r="B160" s="72">
        <x:f>IF(A160="","",EDATE(Dashboard!$B$10,(A160-1)*(12/Dashboard!$B$9)))</x:f>
        <x:v>50740</x:v>
      </x:c>
      <x:c r="C160" s="73">
        <x:f>IF(A160="","",$J159)</x:f>
        <x:v>84956.23</x:v>
      </x:c>
      <x:c r="D160" s="73">
        <x:f>IF(A160="","",ROUND(MIN(Moteur!$B$3,C160+G160),2))</x:f>
        <x:v>1488.73</x:v>
      </x:c>
      <x:c r="E160" s="73">
        <x:f>IF(A160="","",ROUND(MIN(Dashboard!$B$11,MAX(0,C160-(D160-G160))),2))</x:f>
        <x:v>150</x:v>
      </x:c>
      <x:c r="F160" s="73">
        <x:f>IF(A160="","",ROUND(C160*Dashboard!$B$12/Dashboard!$B$9,2))</x:f>
        <x:v>21.24</x:v>
      </x:c>
      <x:c r="G160" s="73">
        <x:f>IF(A160="","",ROUND(C160*Moteur!$B$2,2))</x:f>
        <x:v>269.03</x:v>
      </x:c>
      <x:c r="H160" s="73">
        <x:f>IF(A160="","",ROUND(MIN(C160,D160-G160+E160),2))</x:f>
        <x:v>1369.7</x:v>
      </x:c>
      <x:c r="I160" s="73">
        <x:f>IF(A160="","",ROUND(D160+E160+F160,2))</x:f>
        <x:v>1659.97</x:v>
      </x:c>
      <x:c r="J160" s="73">
        <x:f>IF(A160="","",ROUND(MAX(0,C160-H160),2))</x:f>
        <x:v>83586.53</x:v>
      </x:c>
      <x:c r="K160" s="74">
        <x:f>IF(A160="","",1-(J160/Dashboard!$B$6))</x:f>
        <x:v>0.66565388</x:v>
      </x:c>
      <x:c r="L160" s="38" t="str">
        <x:f>IF(A160="","",IF(J160=0,"Soldé","En cours"))</x:f>
        <x:v>En cours</x:v>
      </x:c>
      <x:c r="M160" s="73">
        <x:f>IF(A160="","",ROUND(SUM($G$8:G160),2))</x:f>
        <x:v>84312.22</x:v>
      </x:c>
    </x:row>
    <x:row r="161" ht="20" customHeight="1">
      <x:c r="A161" s="75">
        <x:f>IF(OR($J160="",ROUND($J160,2)=0),"",$A160+1)</x:f>
        <x:v>154</x:v>
      </x:c>
      <x:c r="B161" s="76">
        <x:f>IF(A161="","",EDATE(Dashboard!$B$10,(A161-1)*(12/Dashboard!$B$9)))</x:f>
        <x:v>50771</x:v>
      </x:c>
      <x:c r="C161" s="77">
        <x:f>IF(A161="","",$J160)</x:f>
        <x:v>83586.53</x:v>
      </x:c>
      <x:c r="D161" s="77">
        <x:f>IF(A161="","",ROUND(MIN(Moteur!$B$3,C161+G161),2))</x:f>
        <x:v>1488.73</x:v>
      </x:c>
      <x:c r="E161" s="77">
        <x:f>IF(A161="","",ROUND(MIN(Dashboard!$B$11,MAX(0,C161-(D161-G161))),2))</x:f>
        <x:v>150</x:v>
      </x:c>
      <x:c r="F161" s="77">
        <x:f>IF(A161="","",ROUND(C161*Dashboard!$B$12/Dashboard!$B$9,2))</x:f>
        <x:v>20.9</x:v>
      </x:c>
      <x:c r="G161" s="77">
        <x:f>IF(A161="","",ROUND(C161*Moteur!$B$2,2))</x:f>
        <x:v>264.69</x:v>
      </x:c>
      <x:c r="H161" s="77">
        <x:f>IF(A161="","",ROUND(MIN(C161,D161-G161+E161),2))</x:f>
        <x:v>1374.04</x:v>
      </x:c>
      <x:c r="I161" s="77">
        <x:f>IF(A161="","",ROUND(D161+E161+F161,2))</x:f>
        <x:v>1659.63</x:v>
      </x:c>
      <x:c r="J161" s="77">
        <x:f>IF(A161="","",ROUND(MAX(0,C161-H161),2))</x:f>
        <x:v>82212.49</x:v>
      </x:c>
      <x:c r="K161" s="78">
        <x:f>IF(A161="","",1-(J161/Dashboard!$B$6))</x:f>
        <x:v>0.67115004</x:v>
      </x:c>
      <x:c r="L161" s="43" t="str">
        <x:f>IF(A161="","",IF(J161=0,"Soldé","En cours"))</x:f>
        <x:v>En cours</x:v>
      </x:c>
      <x:c r="M161" s="77">
        <x:f>IF(A161="","",ROUND(SUM($G$8:G161),2))</x:f>
        <x:v>84576.91</x:v>
      </x:c>
    </x:row>
    <x:row r="162" ht="20" customHeight="1">
      <x:c r="A162" s="71">
        <x:f>IF(OR($J161="",ROUND($J161,2)=0),"",$A161+1)</x:f>
        <x:v>155</x:v>
      </x:c>
      <x:c r="B162" s="72">
        <x:f>IF(A162="","",EDATE(Dashboard!$B$10,(A162-1)*(12/Dashboard!$B$9)))</x:f>
        <x:v>50802</x:v>
      </x:c>
      <x:c r="C162" s="73">
        <x:f>IF(A162="","",$J161)</x:f>
        <x:v>82212.49</x:v>
      </x:c>
      <x:c r="D162" s="73">
        <x:f>IF(A162="","",ROUND(MIN(Moteur!$B$3,C162+G162),2))</x:f>
        <x:v>1488.73</x:v>
      </x:c>
      <x:c r="E162" s="73">
        <x:f>IF(A162="","",ROUND(MIN(Dashboard!$B$11,MAX(0,C162-(D162-G162))),2))</x:f>
        <x:v>150</x:v>
      </x:c>
      <x:c r="F162" s="73">
        <x:f>IF(A162="","",ROUND(C162*Dashboard!$B$12/Dashboard!$B$9,2))</x:f>
        <x:v>20.55</x:v>
      </x:c>
      <x:c r="G162" s="73">
        <x:f>IF(A162="","",ROUND(C162*Moteur!$B$2,2))</x:f>
        <x:v>260.34</x:v>
      </x:c>
      <x:c r="H162" s="73">
        <x:f>IF(A162="","",ROUND(MIN(C162,D162-G162+E162),2))</x:f>
        <x:v>1378.39</x:v>
      </x:c>
      <x:c r="I162" s="73">
        <x:f>IF(A162="","",ROUND(D162+E162+F162,2))</x:f>
        <x:v>1659.28</x:v>
      </x:c>
      <x:c r="J162" s="73">
        <x:f>IF(A162="","",ROUND(MAX(0,C162-H162),2))</x:f>
        <x:v>80834.1</x:v>
      </x:c>
      <x:c r="K162" s="74">
        <x:f>IF(A162="","",1-(J162/Dashboard!$B$6))</x:f>
        <x:v>0.6766635999999999</x:v>
      </x:c>
      <x:c r="L162" s="38" t="str">
        <x:f>IF(A162="","",IF(J162=0,"Soldé","En cours"))</x:f>
        <x:v>En cours</x:v>
      </x:c>
      <x:c r="M162" s="73">
        <x:f>IF(A162="","",ROUND(SUM($G$8:G162),2))</x:f>
        <x:v>84837.25</x:v>
      </x:c>
    </x:row>
    <x:row r="163" ht="20" customHeight="1">
      <x:c r="A163" s="75">
        <x:f>IF(OR($J162="",ROUND($J162,2)=0),"",$A162+1)</x:f>
        <x:v>156</x:v>
      </x:c>
      <x:c r="B163" s="76">
        <x:f>IF(A163="","",EDATE(Dashboard!$B$10,(A163-1)*(12/Dashboard!$B$9)))</x:f>
        <x:v>50830</x:v>
      </x:c>
      <x:c r="C163" s="77">
        <x:f>IF(A163="","",$J162)</x:f>
        <x:v>80834.1</x:v>
      </x:c>
      <x:c r="D163" s="77">
        <x:f>IF(A163="","",ROUND(MIN(Moteur!$B$3,C163+G163),2))</x:f>
        <x:v>1488.73</x:v>
      </x:c>
      <x:c r="E163" s="77">
        <x:f>IF(A163="","",ROUND(MIN(Dashboard!$B$11,MAX(0,C163-(D163-G163))),2))</x:f>
        <x:v>150</x:v>
      </x:c>
      <x:c r="F163" s="77">
        <x:f>IF(A163="","",ROUND(C163*Dashboard!$B$12/Dashboard!$B$9,2))</x:f>
        <x:v>20.21</x:v>
      </x:c>
      <x:c r="G163" s="77">
        <x:f>IF(A163="","",ROUND(C163*Moteur!$B$2,2))</x:f>
        <x:v>255.97</x:v>
      </x:c>
      <x:c r="H163" s="77">
        <x:f>IF(A163="","",ROUND(MIN(C163,D163-G163+E163),2))</x:f>
        <x:v>1382.76</x:v>
      </x:c>
      <x:c r="I163" s="77">
        <x:f>IF(A163="","",ROUND(D163+E163+F163,2))</x:f>
        <x:v>1658.94</x:v>
      </x:c>
      <x:c r="J163" s="77">
        <x:f>IF(A163="","",ROUND(MAX(0,C163-H163),2))</x:f>
        <x:v>79451.34</x:v>
      </x:c>
      <x:c r="K163" s="78">
        <x:f>IF(A163="","",1-(J163/Dashboard!$B$6))</x:f>
        <x:v>0.6821946400000001</x:v>
      </x:c>
      <x:c r="L163" s="43" t="str">
        <x:f>IF(A163="","",IF(J163=0,"Soldé","En cours"))</x:f>
        <x:v>En cours</x:v>
      </x:c>
      <x:c r="M163" s="77">
        <x:f>IF(A163="","",ROUND(SUM($G$8:G163),2))</x:f>
        <x:v>85093.22</x:v>
      </x:c>
    </x:row>
    <x:row r="164" ht="20" customHeight="1">
      <x:c r="A164" s="71">
        <x:f>IF(OR($J163="",ROUND($J163,2)=0),"",$A163+1)</x:f>
        <x:v>157</x:v>
      </x:c>
      <x:c r="B164" s="72">
        <x:f>IF(A164="","",EDATE(Dashboard!$B$10,(A164-1)*(12/Dashboard!$B$9)))</x:f>
        <x:v>50861</x:v>
      </x:c>
      <x:c r="C164" s="73">
        <x:f>IF(A164="","",$J163)</x:f>
        <x:v>79451.34</x:v>
      </x:c>
      <x:c r="D164" s="73">
        <x:f>IF(A164="","",ROUND(MIN(Moteur!$B$3,C164+G164),2))</x:f>
        <x:v>1488.73</x:v>
      </x:c>
      <x:c r="E164" s="73">
        <x:f>IF(A164="","",ROUND(MIN(Dashboard!$B$11,MAX(0,C164-(D164-G164))),2))</x:f>
        <x:v>150</x:v>
      </x:c>
      <x:c r="F164" s="73">
        <x:f>IF(A164="","",ROUND(C164*Dashboard!$B$12/Dashboard!$B$9,2))</x:f>
        <x:v>19.86</x:v>
      </x:c>
      <x:c r="G164" s="73">
        <x:f>IF(A164="","",ROUND(C164*Moteur!$B$2,2))</x:f>
        <x:v>251.6</x:v>
      </x:c>
      <x:c r="H164" s="73">
        <x:f>IF(A164="","",ROUND(MIN(C164,D164-G164+E164),2))</x:f>
        <x:v>1387.13</x:v>
      </x:c>
      <x:c r="I164" s="73">
        <x:f>IF(A164="","",ROUND(D164+E164+F164,2))</x:f>
        <x:v>1658.59</x:v>
      </x:c>
      <x:c r="J164" s="73">
        <x:f>IF(A164="","",ROUND(MAX(0,C164-H164),2))</x:f>
        <x:v>78064.21</x:v>
      </x:c>
      <x:c r="K164" s="74">
        <x:f>IF(A164="","",1-(J164/Dashboard!$B$6))</x:f>
        <x:v>0.6877431599999999</x:v>
      </x:c>
      <x:c r="L164" s="38" t="str">
        <x:f>IF(A164="","",IF(J164=0,"Soldé","En cours"))</x:f>
        <x:v>En cours</x:v>
      </x:c>
      <x:c r="M164" s="73">
        <x:f>IF(A164="","",ROUND(SUM($G$8:G164),2))</x:f>
        <x:v>85344.82</x:v>
      </x:c>
    </x:row>
    <x:row r="165" ht="20" customHeight="1">
      <x:c r="A165" s="75">
        <x:f>IF(OR($J164="",ROUND($J164,2)=0),"",$A164+1)</x:f>
        <x:v>158</x:v>
      </x:c>
      <x:c r="B165" s="76">
        <x:f>IF(A165="","",EDATE(Dashboard!$B$10,(A165-1)*(12/Dashboard!$B$9)))</x:f>
        <x:v>50891</x:v>
      </x:c>
      <x:c r="C165" s="77">
        <x:f>IF(A165="","",$J164)</x:f>
        <x:v>78064.21</x:v>
      </x:c>
      <x:c r="D165" s="77">
        <x:f>IF(A165="","",ROUND(MIN(Moteur!$B$3,C165+G165),2))</x:f>
        <x:v>1488.73</x:v>
      </x:c>
      <x:c r="E165" s="77">
        <x:f>IF(A165="","",ROUND(MIN(Dashboard!$B$11,MAX(0,C165-(D165-G165))),2))</x:f>
        <x:v>150</x:v>
      </x:c>
      <x:c r="F165" s="77">
        <x:f>IF(A165="","",ROUND(C165*Dashboard!$B$12/Dashboard!$B$9,2))</x:f>
        <x:v>19.52</x:v>
      </x:c>
      <x:c r="G165" s="77">
        <x:f>IF(A165="","",ROUND(C165*Moteur!$B$2,2))</x:f>
        <x:v>247.2</x:v>
      </x:c>
      <x:c r="H165" s="77">
        <x:f>IF(A165="","",ROUND(MIN(C165,D165-G165+E165),2))</x:f>
        <x:v>1391.53</x:v>
      </x:c>
      <x:c r="I165" s="77">
        <x:f>IF(A165="","",ROUND(D165+E165+F165,2))</x:f>
        <x:v>1658.25</x:v>
      </x:c>
      <x:c r="J165" s="77">
        <x:f>IF(A165="","",ROUND(MAX(0,C165-H165),2))</x:f>
        <x:v>76672.68</x:v>
      </x:c>
      <x:c r="K165" s="78">
        <x:f>IF(A165="","",1-(J165/Dashboard!$B$6))</x:f>
        <x:v>0.69330928</x:v>
      </x:c>
      <x:c r="L165" s="43" t="str">
        <x:f>IF(A165="","",IF(J165=0,"Soldé","En cours"))</x:f>
        <x:v>En cours</x:v>
      </x:c>
      <x:c r="M165" s="77">
        <x:f>IF(A165="","",ROUND(SUM($G$8:G165),2))</x:f>
        <x:v>85592.02</x:v>
      </x:c>
    </x:row>
    <x:row r="166" ht="20" customHeight="1">
      <x:c r="A166" s="71">
        <x:f>IF(OR($J165="",ROUND($J165,2)=0),"",$A165+1)</x:f>
        <x:v>159</x:v>
      </x:c>
      <x:c r="B166" s="72">
        <x:f>IF(A166="","",EDATE(Dashboard!$B$10,(A166-1)*(12/Dashboard!$B$9)))</x:f>
        <x:v>50922</x:v>
      </x:c>
      <x:c r="C166" s="73">
        <x:f>IF(A166="","",$J165)</x:f>
        <x:v>76672.68</x:v>
      </x:c>
      <x:c r="D166" s="73">
        <x:f>IF(A166="","",ROUND(MIN(Moteur!$B$3,C166+G166),2))</x:f>
        <x:v>1488.73</x:v>
      </x:c>
      <x:c r="E166" s="73">
        <x:f>IF(A166="","",ROUND(MIN(Dashboard!$B$11,MAX(0,C166-(D166-G166))),2))</x:f>
        <x:v>150</x:v>
      </x:c>
      <x:c r="F166" s="73">
        <x:f>IF(A166="","",ROUND(C166*Dashboard!$B$12/Dashboard!$B$9,2))</x:f>
        <x:v>19.17</x:v>
      </x:c>
      <x:c r="G166" s="73">
        <x:f>IF(A166="","",ROUND(C166*Moteur!$B$2,2))</x:f>
        <x:v>242.8</x:v>
      </x:c>
      <x:c r="H166" s="73">
        <x:f>IF(A166="","",ROUND(MIN(C166,D166-G166+E166),2))</x:f>
        <x:v>1395.93</x:v>
      </x:c>
      <x:c r="I166" s="73">
        <x:f>IF(A166="","",ROUND(D166+E166+F166,2))</x:f>
        <x:v>1657.9</x:v>
      </x:c>
      <x:c r="J166" s="73">
        <x:f>IF(A166="","",ROUND(MAX(0,C166-H166),2))</x:f>
        <x:v>75276.75</x:v>
      </x:c>
      <x:c r="K166" s="74">
        <x:f>IF(A166="","",1-(J166/Dashboard!$B$6))</x:f>
        <x:v>0.698893</x:v>
      </x:c>
      <x:c r="L166" s="38" t="str">
        <x:f>IF(A166="","",IF(J166=0,"Soldé","En cours"))</x:f>
        <x:v>En cours</x:v>
      </x:c>
      <x:c r="M166" s="73">
        <x:f>IF(A166="","",ROUND(SUM($G$8:G166),2))</x:f>
        <x:v>85834.82</x:v>
      </x:c>
    </x:row>
    <x:row r="167" ht="20" customHeight="1">
      <x:c r="A167" s="75">
        <x:f>IF(OR($J166="",ROUND($J166,2)=0),"",$A166+1)</x:f>
        <x:v>160</x:v>
      </x:c>
      <x:c r="B167" s="76">
        <x:f>IF(A167="","",EDATE(Dashboard!$B$10,(A167-1)*(12/Dashboard!$B$9)))</x:f>
        <x:v>50952</x:v>
      </x:c>
      <x:c r="C167" s="77">
        <x:f>IF(A167="","",$J166)</x:f>
        <x:v>75276.75</x:v>
      </x:c>
      <x:c r="D167" s="77">
        <x:f>IF(A167="","",ROUND(MIN(Moteur!$B$3,C167+G167),2))</x:f>
        <x:v>1488.73</x:v>
      </x:c>
      <x:c r="E167" s="77">
        <x:f>IF(A167="","",ROUND(MIN(Dashboard!$B$11,MAX(0,C167-(D167-G167))),2))</x:f>
        <x:v>150</x:v>
      </x:c>
      <x:c r="F167" s="77">
        <x:f>IF(A167="","",ROUND(C167*Dashboard!$B$12/Dashboard!$B$9,2))</x:f>
        <x:v>18.82</x:v>
      </x:c>
      <x:c r="G167" s="77">
        <x:f>IF(A167="","",ROUND(C167*Moteur!$B$2,2))</x:f>
        <x:v>238.38</x:v>
      </x:c>
      <x:c r="H167" s="77">
        <x:f>IF(A167="","",ROUND(MIN(C167,D167-G167+E167),2))</x:f>
        <x:v>1400.35</x:v>
      </x:c>
      <x:c r="I167" s="77">
        <x:f>IF(A167="","",ROUND(D167+E167+F167,2))</x:f>
        <x:v>1657.55</x:v>
      </x:c>
      <x:c r="J167" s="77">
        <x:f>IF(A167="","",ROUND(MAX(0,C167-H167),2))</x:f>
        <x:v>73876.4</x:v>
      </x:c>
      <x:c r="K167" s="78">
        <x:f>IF(A167="","",1-(J167/Dashboard!$B$6))</x:f>
        <x:v>0.7044944</x:v>
      </x:c>
      <x:c r="L167" s="43" t="str">
        <x:f>IF(A167="","",IF(J167=0,"Soldé","En cours"))</x:f>
        <x:v>En cours</x:v>
      </x:c>
      <x:c r="M167" s="77">
        <x:f>IF(A167="","",ROUND(SUM($G$8:G167),2))</x:f>
        <x:v>86073.2</x:v>
      </x:c>
    </x:row>
    <x:row r="168" ht="20" customHeight="1">
      <x:c r="A168" s="71">
        <x:f>IF(OR($J167="",ROUND($J167,2)=0),"",$A167+1)</x:f>
        <x:v>161</x:v>
      </x:c>
      <x:c r="B168" s="72">
        <x:f>IF(A168="","",EDATE(Dashboard!$B$10,(A168-1)*(12/Dashboard!$B$9)))</x:f>
        <x:v>50983</x:v>
      </x:c>
      <x:c r="C168" s="73">
        <x:f>IF(A168="","",$J167)</x:f>
        <x:v>73876.4</x:v>
      </x:c>
      <x:c r="D168" s="73">
        <x:f>IF(A168="","",ROUND(MIN(Moteur!$B$3,C168+G168),2))</x:f>
        <x:v>1488.73</x:v>
      </x:c>
      <x:c r="E168" s="73">
        <x:f>IF(A168="","",ROUND(MIN(Dashboard!$B$11,MAX(0,C168-(D168-G168))),2))</x:f>
        <x:v>150</x:v>
      </x:c>
      <x:c r="F168" s="73">
        <x:f>IF(A168="","",ROUND(C168*Dashboard!$B$12/Dashboard!$B$9,2))</x:f>
        <x:v>18.47</x:v>
      </x:c>
      <x:c r="G168" s="73">
        <x:f>IF(A168="","",ROUND(C168*Moteur!$B$2,2))</x:f>
        <x:v>233.94</x:v>
      </x:c>
      <x:c r="H168" s="73">
        <x:f>IF(A168="","",ROUND(MIN(C168,D168-G168+E168),2))</x:f>
        <x:v>1404.79</x:v>
      </x:c>
      <x:c r="I168" s="73">
        <x:f>IF(A168="","",ROUND(D168+E168+F168,2))</x:f>
        <x:v>1657.2</x:v>
      </x:c>
      <x:c r="J168" s="73">
        <x:f>IF(A168="","",ROUND(MAX(0,C168-H168),2))</x:f>
        <x:v>72471.61</x:v>
      </x:c>
      <x:c r="K168" s="74">
        <x:f>IF(A168="","",1-(J168/Dashboard!$B$6))</x:f>
        <x:v>0.7101135599999999</x:v>
      </x:c>
      <x:c r="L168" s="38" t="str">
        <x:f>IF(A168="","",IF(J168=0,"Soldé","En cours"))</x:f>
        <x:v>En cours</x:v>
      </x:c>
      <x:c r="M168" s="73">
        <x:f>IF(A168="","",ROUND(SUM($G$8:G168),2))</x:f>
        <x:v>86307.14</x:v>
      </x:c>
    </x:row>
    <x:row r="169" ht="20" customHeight="1">
      <x:c r="A169" s="75">
        <x:f>IF(OR($J168="",ROUND($J168,2)=0),"",$A168+1)</x:f>
        <x:v>162</x:v>
      </x:c>
      <x:c r="B169" s="76">
        <x:f>IF(A169="","",EDATE(Dashboard!$B$10,(A169-1)*(12/Dashboard!$B$9)))</x:f>
        <x:v>51014</x:v>
      </x:c>
      <x:c r="C169" s="77">
        <x:f>IF(A169="","",$J168)</x:f>
        <x:v>72471.61</x:v>
      </x:c>
      <x:c r="D169" s="77">
        <x:f>IF(A169="","",ROUND(MIN(Moteur!$B$3,C169+G169),2))</x:f>
        <x:v>1488.73</x:v>
      </x:c>
      <x:c r="E169" s="77">
        <x:f>IF(A169="","",ROUND(MIN(Dashboard!$B$11,MAX(0,C169-(D169-G169))),2))</x:f>
        <x:v>150</x:v>
      </x:c>
      <x:c r="F169" s="77">
        <x:f>IF(A169="","",ROUND(C169*Dashboard!$B$12/Dashboard!$B$9,2))</x:f>
        <x:v>18.12</x:v>
      </x:c>
      <x:c r="G169" s="77">
        <x:f>IF(A169="","",ROUND(C169*Moteur!$B$2,2))</x:f>
        <x:v>229.49</x:v>
      </x:c>
      <x:c r="H169" s="77">
        <x:f>IF(A169="","",ROUND(MIN(C169,D169-G169+E169),2))</x:f>
        <x:v>1409.24</x:v>
      </x:c>
      <x:c r="I169" s="77">
        <x:f>IF(A169="","",ROUND(D169+E169+F169,2))</x:f>
        <x:v>1656.85</x:v>
      </x:c>
      <x:c r="J169" s="77">
        <x:f>IF(A169="","",ROUND(MAX(0,C169-H169),2))</x:f>
        <x:v>71062.37</x:v>
      </x:c>
      <x:c r="K169" s="78">
        <x:f>IF(A169="","",1-(J169/Dashboard!$B$6))</x:f>
        <x:v>0.7157505200000001</x:v>
      </x:c>
      <x:c r="L169" s="43" t="str">
        <x:f>IF(A169="","",IF(J169=0,"Soldé","En cours"))</x:f>
        <x:v>En cours</x:v>
      </x:c>
      <x:c r="M169" s="77">
        <x:f>IF(A169="","",ROUND(SUM($G$8:G169),2))</x:f>
        <x:v>86536.63</x:v>
      </x:c>
    </x:row>
    <x:row r="170" ht="20" customHeight="1">
      <x:c r="A170" s="71">
        <x:f>IF(OR($J169="",ROUND($J169,2)=0),"",$A169+1)</x:f>
        <x:v>163</x:v>
      </x:c>
      <x:c r="B170" s="72">
        <x:f>IF(A170="","",EDATE(Dashboard!$B$10,(A170-1)*(12/Dashboard!$B$9)))</x:f>
        <x:v>51044</x:v>
      </x:c>
      <x:c r="C170" s="73">
        <x:f>IF(A170="","",$J169)</x:f>
        <x:v>71062.37</x:v>
      </x:c>
      <x:c r="D170" s="73">
        <x:f>IF(A170="","",ROUND(MIN(Moteur!$B$3,C170+G170),2))</x:f>
        <x:v>1488.73</x:v>
      </x:c>
      <x:c r="E170" s="73">
        <x:f>IF(A170="","",ROUND(MIN(Dashboard!$B$11,MAX(0,C170-(D170-G170))),2))</x:f>
        <x:v>150</x:v>
      </x:c>
      <x:c r="F170" s="73">
        <x:f>IF(A170="","",ROUND(C170*Dashboard!$B$12/Dashboard!$B$9,2))</x:f>
        <x:v>17.77</x:v>
      </x:c>
      <x:c r="G170" s="73">
        <x:f>IF(A170="","",ROUND(C170*Moteur!$B$2,2))</x:f>
        <x:v>225.03</x:v>
      </x:c>
      <x:c r="H170" s="73">
        <x:f>IF(A170="","",ROUND(MIN(C170,D170-G170+E170),2))</x:f>
        <x:v>1413.7</x:v>
      </x:c>
      <x:c r="I170" s="73">
        <x:f>IF(A170="","",ROUND(D170+E170+F170,2))</x:f>
        <x:v>1656.5</x:v>
      </x:c>
      <x:c r="J170" s="73">
        <x:f>IF(A170="","",ROUND(MAX(0,C170-H170),2))</x:f>
        <x:v>69648.67</x:v>
      </x:c>
      <x:c r="K170" s="74">
        <x:f>IF(A170="","",1-(J170/Dashboard!$B$6))</x:f>
        <x:v>0.72140532</x:v>
      </x:c>
      <x:c r="L170" s="38" t="str">
        <x:f>IF(A170="","",IF(J170=0,"Soldé","En cours"))</x:f>
        <x:v>En cours</x:v>
      </x:c>
      <x:c r="M170" s="73">
        <x:f>IF(A170="","",ROUND(SUM($G$8:G170),2))</x:f>
        <x:v>86761.66</x:v>
      </x:c>
    </x:row>
    <x:row r="171" ht="20" customHeight="1">
      <x:c r="A171" s="75">
        <x:f>IF(OR($J170="",ROUND($J170,2)=0),"",$A170+1)</x:f>
        <x:v>164</x:v>
      </x:c>
      <x:c r="B171" s="76">
        <x:f>IF(A171="","",EDATE(Dashboard!$B$10,(A171-1)*(12/Dashboard!$B$9)))</x:f>
        <x:v>51075</x:v>
      </x:c>
      <x:c r="C171" s="77">
        <x:f>IF(A171="","",$J170)</x:f>
        <x:v>69648.67</x:v>
      </x:c>
      <x:c r="D171" s="77">
        <x:f>IF(A171="","",ROUND(MIN(Moteur!$B$3,C171+G171),2))</x:f>
        <x:v>1488.73</x:v>
      </x:c>
      <x:c r="E171" s="77">
        <x:f>IF(A171="","",ROUND(MIN(Dashboard!$B$11,MAX(0,C171-(D171-G171))),2))</x:f>
        <x:v>150</x:v>
      </x:c>
      <x:c r="F171" s="77">
        <x:f>IF(A171="","",ROUND(C171*Dashboard!$B$12/Dashboard!$B$9,2))</x:f>
        <x:v>17.41</x:v>
      </x:c>
      <x:c r="G171" s="77">
        <x:f>IF(A171="","",ROUND(C171*Moteur!$B$2,2))</x:f>
        <x:v>220.55</x:v>
      </x:c>
      <x:c r="H171" s="77">
        <x:f>IF(A171="","",ROUND(MIN(C171,D171-G171+E171),2))</x:f>
        <x:v>1418.18</x:v>
      </x:c>
      <x:c r="I171" s="77">
        <x:f>IF(A171="","",ROUND(D171+E171+F171,2))</x:f>
        <x:v>1656.14</x:v>
      </x:c>
      <x:c r="J171" s="77">
        <x:f>IF(A171="","",ROUND(MAX(0,C171-H171),2))</x:f>
        <x:v>68230.49</x:v>
      </x:c>
      <x:c r="K171" s="78">
        <x:f>IF(A171="","",1-(J171/Dashboard!$B$6))</x:f>
        <x:v>0.72707804</x:v>
      </x:c>
      <x:c r="L171" s="43" t="str">
        <x:f>IF(A171="","",IF(J171=0,"Soldé","En cours"))</x:f>
        <x:v>En cours</x:v>
      </x:c>
      <x:c r="M171" s="77">
        <x:f>IF(A171="","",ROUND(SUM($G$8:G171),2))</x:f>
        <x:v>86982.21</x:v>
      </x:c>
    </x:row>
    <x:row r="172" ht="20" customHeight="1">
      <x:c r="A172" s="71">
        <x:f>IF(OR($J171="",ROUND($J171,2)=0),"",$A171+1)</x:f>
        <x:v>165</x:v>
      </x:c>
      <x:c r="B172" s="72">
        <x:f>IF(A172="","",EDATE(Dashboard!$B$10,(A172-1)*(12/Dashboard!$B$9)))</x:f>
        <x:v>51105</x:v>
      </x:c>
      <x:c r="C172" s="73">
        <x:f>IF(A172="","",$J171)</x:f>
        <x:v>68230.49</x:v>
      </x:c>
      <x:c r="D172" s="73">
        <x:f>IF(A172="","",ROUND(MIN(Moteur!$B$3,C172+G172),2))</x:f>
        <x:v>1488.73</x:v>
      </x:c>
      <x:c r="E172" s="73">
        <x:f>IF(A172="","",ROUND(MIN(Dashboard!$B$11,MAX(0,C172-(D172-G172))),2))</x:f>
        <x:v>150</x:v>
      </x:c>
      <x:c r="F172" s="73">
        <x:f>IF(A172="","",ROUND(C172*Dashboard!$B$12/Dashboard!$B$9,2))</x:f>
        <x:v>17.06</x:v>
      </x:c>
      <x:c r="G172" s="73">
        <x:f>IF(A172="","",ROUND(C172*Moteur!$B$2,2))</x:f>
        <x:v>216.06</x:v>
      </x:c>
      <x:c r="H172" s="73">
        <x:f>IF(A172="","",ROUND(MIN(C172,D172-G172+E172),2))</x:f>
        <x:v>1422.67</x:v>
      </x:c>
      <x:c r="I172" s="73">
        <x:f>IF(A172="","",ROUND(D172+E172+F172,2))</x:f>
        <x:v>1655.79</x:v>
      </x:c>
      <x:c r="J172" s="73">
        <x:f>IF(A172="","",ROUND(MAX(0,C172-H172),2))</x:f>
        <x:v>66807.82</x:v>
      </x:c>
      <x:c r="K172" s="74">
        <x:f>IF(A172="","",1-(J172/Dashboard!$B$6))</x:f>
        <x:v>0.7327687199999999</x:v>
      </x:c>
      <x:c r="L172" s="38" t="str">
        <x:f>IF(A172="","",IF(J172=0,"Soldé","En cours"))</x:f>
        <x:v>En cours</x:v>
      </x:c>
      <x:c r="M172" s="73">
        <x:f>IF(A172="","",ROUND(SUM($G$8:G172),2))</x:f>
        <x:v>87198.27</x:v>
      </x:c>
    </x:row>
    <x:row r="173" ht="20" customHeight="1">
      <x:c r="A173" s="75">
        <x:f>IF(OR($J172="",ROUND($J172,2)=0),"",$A172+1)</x:f>
        <x:v>166</x:v>
      </x:c>
      <x:c r="B173" s="76">
        <x:f>IF(A173="","",EDATE(Dashboard!$B$10,(A173-1)*(12/Dashboard!$B$9)))</x:f>
        <x:v>51136</x:v>
      </x:c>
      <x:c r="C173" s="77">
        <x:f>IF(A173="","",$J172)</x:f>
        <x:v>66807.82</x:v>
      </x:c>
      <x:c r="D173" s="77">
        <x:f>IF(A173="","",ROUND(MIN(Moteur!$B$3,C173+G173),2))</x:f>
        <x:v>1488.73</x:v>
      </x:c>
      <x:c r="E173" s="77">
        <x:f>IF(A173="","",ROUND(MIN(Dashboard!$B$11,MAX(0,C173-(D173-G173))),2))</x:f>
        <x:v>150</x:v>
      </x:c>
      <x:c r="F173" s="77">
        <x:f>IF(A173="","",ROUND(C173*Dashboard!$B$12/Dashboard!$B$9,2))</x:f>
        <x:v>16.7</x:v>
      </x:c>
      <x:c r="G173" s="77">
        <x:f>IF(A173="","",ROUND(C173*Moteur!$B$2,2))</x:f>
        <x:v>211.56</x:v>
      </x:c>
      <x:c r="H173" s="77">
        <x:f>IF(A173="","",ROUND(MIN(C173,D173-G173+E173),2))</x:f>
        <x:v>1427.17</x:v>
      </x:c>
      <x:c r="I173" s="77">
        <x:f>IF(A173="","",ROUND(D173+E173+F173,2))</x:f>
        <x:v>1655.43</x:v>
      </x:c>
      <x:c r="J173" s="77">
        <x:f>IF(A173="","",ROUND(MAX(0,C173-H173),2))</x:f>
        <x:v>65380.65</x:v>
      </x:c>
      <x:c r="K173" s="78">
        <x:f>IF(A173="","",1-(J173/Dashboard!$B$6))</x:f>
        <x:v>0.7384774000000001</x:v>
      </x:c>
      <x:c r="L173" s="43" t="str">
        <x:f>IF(A173="","",IF(J173=0,"Soldé","En cours"))</x:f>
        <x:v>En cours</x:v>
      </x:c>
      <x:c r="M173" s="77">
        <x:f>IF(A173="","",ROUND(SUM($G$8:G173),2))</x:f>
        <x:v>87409.83</x:v>
      </x:c>
    </x:row>
    <x:row r="174" ht="20" customHeight="1">
      <x:c r="A174" s="71">
        <x:f>IF(OR($J173="",ROUND($J173,2)=0),"",$A173+1)</x:f>
        <x:v>167</x:v>
      </x:c>
      <x:c r="B174" s="72">
        <x:f>IF(A174="","",EDATE(Dashboard!$B$10,(A174-1)*(12/Dashboard!$B$9)))</x:f>
        <x:v>51167</x:v>
      </x:c>
      <x:c r="C174" s="73">
        <x:f>IF(A174="","",$J173)</x:f>
        <x:v>65380.65</x:v>
      </x:c>
      <x:c r="D174" s="73">
        <x:f>IF(A174="","",ROUND(MIN(Moteur!$B$3,C174+G174),2))</x:f>
        <x:v>1488.73</x:v>
      </x:c>
      <x:c r="E174" s="73">
        <x:f>IF(A174="","",ROUND(MIN(Dashboard!$B$11,MAX(0,C174-(D174-G174))),2))</x:f>
        <x:v>150</x:v>
      </x:c>
      <x:c r="F174" s="73">
        <x:f>IF(A174="","",ROUND(C174*Dashboard!$B$12/Dashboard!$B$9,2))</x:f>
        <x:v>16.35</x:v>
      </x:c>
      <x:c r="G174" s="73">
        <x:f>IF(A174="","",ROUND(C174*Moteur!$B$2,2))</x:f>
        <x:v>207.04</x:v>
      </x:c>
      <x:c r="H174" s="73">
        <x:f>IF(A174="","",ROUND(MIN(C174,D174-G174+E174),2))</x:f>
        <x:v>1431.69</x:v>
      </x:c>
      <x:c r="I174" s="73">
        <x:f>IF(A174="","",ROUND(D174+E174+F174,2))</x:f>
        <x:v>1655.08</x:v>
      </x:c>
      <x:c r="J174" s="73">
        <x:f>IF(A174="","",ROUND(MAX(0,C174-H174),2))</x:f>
        <x:v>63948.96</x:v>
      </x:c>
      <x:c r="K174" s="74">
        <x:f>IF(A174="","",1-(J174/Dashboard!$B$6))</x:f>
        <x:v>0.74420416</x:v>
      </x:c>
      <x:c r="L174" s="38" t="str">
        <x:f>IF(A174="","",IF(J174=0,"Soldé","En cours"))</x:f>
        <x:v>En cours</x:v>
      </x:c>
      <x:c r="M174" s="73">
        <x:f>IF(A174="","",ROUND(SUM($G$8:G174),2))</x:f>
        <x:v>87616.87</x:v>
      </x:c>
    </x:row>
    <x:row r="175" ht="20" customHeight="1">
      <x:c r="A175" s="75">
        <x:f>IF(OR($J174="",ROUND($J174,2)=0),"",$A174+1)</x:f>
        <x:v>168</x:v>
      </x:c>
      <x:c r="B175" s="76">
        <x:f>IF(A175="","",EDATE(Dashboard!$B$10,(A175-1)*(12/Dashboard!$B$9)))</x:f>
        <x:v>51196</x:v>
      </x:c>
      <x:c r="C175" s="77">
        <x:f>IF(A175="","",$J174)</x:f>
        <x:v>63948.96</x:v>
      </x:c>
      <x:c r="D175" s="77">
        <x:f>IF(A175="","",ROUND(MIN(Moteur!$B$3,C175+G175),2))</x:f>
        <x:v>1488.73</x:v>
      </x:c>
      <x:c r="E175" s="77">
        <x:f>IF(A175="","",ROUND(MIN(Dashboard!$B$11,MAX(0,C175-(D175-G175))),2))</x:f>
        <x:v>150</x:v>
      </x:c>
      <x:c r="F175" s="77">
        <x:f>IF(A175="","",ROUND(C175*Dashboard!$B$12/Dashboard!$B$9,2))</x:f>
        <x:v>15.99</x:v>
      </x:c>
      <x:c r="G175" s="77">
        <x:f>IF(A175="","",ROUND(C175*Moteur!$B$2,2))</x:f>
        <x:v>202.51</x:v>
      </x:c>
      <x:c r="H175" s="77">
        <x:f>IF(A175="","",ROUND(MIN(C175,D175-G175+E175),2))</x:f>
        <x:v>1436.22</x:v>
      </x:c>
      <x:c r="I175" s="77">
        <x:f>IF(A175="","",ROUND(D175+E175+F175,2))</x:f>
        <x:v>1654.72</x:v>
      </x:c>
      <x:c r="J175" s="77">
        <x:f>IF(A175="","",ROUND(MAX(0,C175-H175),2))</x:f>
        <x:v>62512.74</x:v>
      </x:c>
      <x:c r="K175" s="78">
        <x:f>IF(A175="","",1-(J175/Dashboard!$B$6))</x:f>
        <x:v>0.74994904</x:v>
      </x:c>
      <x:c r="L175" s="43" t="str">
        <x:f>IF(A175="","",IF(J175=0,"Soldé","En cours"))</x:f>
        <x:v>En cours</x:v>
      </x:c>
      <x:c r="M175" s="77">
        <x:f>IF(A175="","",ROUND(SUM($G$8:G175),2))</x:f>
        <x:v>87819.38</x:v>
      </x:c>
    </x:row>
    <x:row r="176" ht="20" customHeight="1">
      <x:c r="A176" s="71">
        <x:f>IF(OR($J175="",ROUND($J175,2)=0),"",$A175+1)</x:f>
        <x:v>169</x:v>
      </x:c>
      <x:c r="B176" s="72">
        <x:f>IF(A176="","",EDATE(Dashboard!$B$10,(A176-1)*(12/Dashboard!$B$9)))</x:f>
        <x:v>51227</x:v>
      </x:c>
      <x:c r="C176" s="73">
        <x:f>IF(A176="","",$J175)</x:f>
        <x:v>62512.74</x:v>
      </x:c>
      <x:c r="D176" s="73">
        <x:f>IF(A176="","",ROUND(MIN(Moteur!$B$3,C176+G176),2))</x:f>
        <x:v>1488.73</x:v>
      </x:c>
      <x:c r="E176" s="73">
        <x:f>IF(A176="","",ROUND(MIN(Dashboard!$B$11,MAX(0,C176-(D176-G176))),2))</x:f>
        <x:v>150</x:v>
      </x:c>
      <x:c r="F176" s="73">
        <x:f>IF(A176="","",ROUND(C176*Dashboard!$B$12/Dashboard!$B$9,2))</x:f>
        <x:v>15.63</x:v>
      </x:c>
      <x:c r="G176" s="73">
        <x:f>IF(A176="","",ROUND(C176*Moteur!$B$2,2))</x:f>
        <x:v>197.96</x:v>
      </x:c>
      <x:c r="H176" s="73">
        <x:f>IF(A176="","",ROUND(MIN(C176,D176-G176+E176),2))</x:f>
        <x:v>1440.77</x:v>
      </x:c>
      <x:c r="I176" s="73">
        <x:f>IF(A176="","",ROUND(D176+E176+F176,2))</x:f>
        <x:v>1654.36</x:v>
      </x:c>
      <x:c r="J176" s="73">
        <x:f>IF(A176="","",ROUND(MAX(0,C176-H176),2))</x:f>
        <x:v>61071.97</x:v>
      </x:c>
      <x:c r="K176" s="74">
        <x:f>IF(A176="","",1-(J176/Dashboard!$B$6))</x:f>
        <x:v>0.75571212</x:v>
      </x:c>
      <x:c r="L176" s="38" t="str">
        <x:f>IF(A176="","",IF(J176=0,"Soldé","En cours"))</x:f>
        <x:v>En cours</x:v>
      </x:c>
      <x:c r="M176" s="73">
        <x:f>IF(A176="","",ROUND(SUM($G$8:G176),2))</x:f>
        <x:v>88017.34</x:v>
      </x:c>
    </x:row>
    <x:row r="177" ht="20" customHeight="1">
      <x:c r="A177" s="75">
        <x:f>IF(OR($J176="",ROUND($J176,2)=0),"",$A176+1)</x:f>
        <x:v>170</x:v>
      </x:c>
      <x:c r="B177" s="76">
        <x:f>IF(A177="","",EDATE(Dashboard!$B$10,(A177-1)*(12/Dashboard!$B$9)))</x:f>
        <x:v>51257</x:v>
      </x:c>
      <x:c r="C177" s="77">
        <x:f>IF(A177="","",$J176)</x:f>
        <x:v>61071.97</x:v>
      </x:c>
      <x:c r="D177" s="77">
        <x:f>IF(A177="","",ROUND(MIN(Moteur!$B$3,C177+G177),2))</x:f>
        <x:v>1488.73</x:v>
      </x:c>
      <x:c r="E177" s="77">
        <x:f>IF(A177="","",ROUND(MIN(Dashboard!$B$11,MAX(0,C177-(D177-G177))),2))</x:f>
        <x:v>150</x:v>
      </x:c>
      <x:c r="F177" s="77">
        <x:f>IF(A177="","",ROUND(C177*Dashboard!$B$12/Dashboard!$B$9,2))</x:f>
        <x:v>15.27</x:v>
      </x:c>
      <x:c r="G177" s="77">
        <x:f>IF(A177="","",ROUND(C177*Moteur!$B$2,2))</x:f>
        <x:v>193.39</x:v>
      </x:c>
      <x:c r="H177" s="77">
        <x:f>IF(A177="","",ROUND(MIN(C177,D177-G177+E177),2))</x:f>
        <x:v>1445.34</x:v>
      </x:c>
      <x:c r="I177" s="77">
        <x:f>IF(A177="","",ROUND(D177+E177+F177,2))</x:f>
        <x:v>1654</x:v>
      </x:c>
      <x:c r="J177" s="77">
        <x:f>IF(A177="","",ROUND(MAX(0,C177-H177),2))</x:f>
        <x:v>59626.63</x:v>
      </x:c>
      <x:c r="K177" s="78">
        <x:f>IF(A177="","",1-(J177/Dashboard!$B$6))</x:f>
        <x:v>0.76149348</x:v>
      </x:c>
      <x:c r="L177" s="43" t="str">
        <x:f>IF(A177="","",IF(J177=0,"Soldé","En cours"))</x:f>
        <x:v>En cours</x:v>
      </x:c>
      <x:c r="M177" s="77">
        <x:f>IF(A177="","",ROUND(SUM($G$8:G177),2))</x:f>
        <x:v>88210.73</x:v>
      </x:c>
    </x:row>
    <x:row r="178" ht="20" customHeight="1">
      <x:c r="A178" s="71">
        <x:f>IF(OR($J177="",ROUND($J177,2)=0),"",$A177+1)</x:f>
        <x:v>171</x:v>
      </x:c>
      <x:c r="B178" s="72">
        <x:f>IF(A178="","",EDATE(Dashboard!$B$10,(A178-1)*(12/Dashboard!$B$9)))</x:f>
        <x:v>51288</x:v>
      </x:c>
      <x:c r="C178" s="73">
        <x:f>IF(A178="","",$J177)</x:f>
        <x:v>59626.63</x:v>
      </x:c>
      <x:c r="D178" s="73">
        <x:f>IF(A178="","",ROUND(MIN(Moteur!$B$3,C178+G178),2))</x:f>
        <x:v>1488.73</x:v>
      </x:c>
      <x:c r="E178" s="73">
        <x:f>IF(A178="","",ROUND(MIN(Dashboard!$B$11,MAX(0,C178-(D178-G178))),2))</x:f>
        <x:v>150</x:v>
      </x:c>
      <x:c r="F178" s="73">
        <x:f>IF(A178="","",ROUND(C178*Dashboard!$B$12/Dashboard!$B$9,2))</x:f>
        <x:v>14.91</x:v>
      </x:c>
      <x:c r="G178" s="73">
        <x:f>IF(A178="","",ROUND(C178*Moteur!$B$2,2))</x:f>
        <x:v>188.82</x:v>
      </x:c>
      <x:c r="H178" s="73">
        <x:f>IF(A178="","",ROUND(MIN(C178,D178-G178+E178),2))</x:f>
        <x:v>1449.91</x:v>
      </x:c>
      <x:c r="I178" s="73">
        <x:f>IF(A178="","",ROUND(D178+E178+F178,2))</x:f>
        <x:v>1653.64</x:v>
      </x:c>
      <x:c r="J178" s="73">
        <x:f>IF(A178="","",ROUND(MAX(0,C178-H178),2))</x:f>
        <x:v>58176.72</x:v>
      </x:c>
      <x:c r="K178" s="74">
        <x:f>IF(A178="","",1-(J178/Dashboard!$B$6))</x:f>
        <x:v>0.7672931199999999</x:v>
      </x:c>
      <x:c r="L178" s="38" t="str">
        <x:f>IF(A178="","",IF(J178=0,"Soldé","En cours"))</x:f>
        <x:v>En cours</x:v>
      </x:c>
      <x:c r="M178" s="73">
        <x:f>IF(A178="","",ROUND(SUM($G$8:G178),2))</x:f>
        <x:v>88399.55</x:v>
      </x:c>
    </x:row>
    <x:row r="179" ht="20" customHeight="1">
      <x:c r="A179" s="75">
        <x:f>IF(OR($J178="",ROUND($J178,2)=0),"",$A178+1)</x:f>
        <x:v>172</x:v>
      </x:c>
      <x:c r="B179" s="76">
        <x:f>IF(A179="","",EDATE(Dashboard!$B$10,(A179-1)*(12/Dashboard!$B$9)))</x:f>
        <x:v>51318</x:v>
      </x:c>
      <x:c r="C179" s="77">
        <x:f>IF(A179="","",$J178)</x:f>
        <x:v>58176.72</x:v>
      </x:c>
      <x:c r="D179" s="77">
        <x:f>IF(A179="","",ROUND(MIN(Moteur!$B$3,C179+G179),2))</x:f>
        <x:v>1488.73</x:v>
      </x:c>
      <x:c r="E179" s="77">
        <x:f>IF(A179="","",ROUND(MIN(Dashboard!$B$11,MAX(0,C179-(D179-G179))),2))</x:f>
        <x:v>150</x:v>
      </x:c>
      <x:c r="F179" s="77">
        <x:f>IF(A179="","",ROUND(C179*Dashboard!$B$12/Dashboard!$B$9,2))</x:f>
        <x:v>14.54</x:v>
      </x:c>
      <x:c r="G179" s="77">
        <x:f>IF(A179="","",ROUND(C179*Moteur!$B$2,2))</x:f>
        <x:v>184.23</x:v>
      </x:c>
      <x:c r="H179" s="77">
        <x:f>IF(A179="","",ROUND(MIN(C179,D179-G179+E179),2))</x:f>
        <x:v>1454.5</x:v>
      </x:c>
      <x:c r="I179" s="77">
        <x:f>IF(A179="","",ROUND(D179+E179+F179,2))</x:f>
        <x:v>1653.27</x:v>
      </x:c>
      <x:c r="J179" s="77">
        <x:f>IF(A179="","",ROUND(MAX(0,C179-H179),2))</x:f>
        <x:v>56722.22</x:v>
      </x:c>
      <x:c r="K179" s="78">
        <x:f>IF(A179="","",1-(J179/Dashboard!$B$6))</x:f>
        <x:v>0.77311112</x:v>
      </x:c>
      <x:c r="L179" s="43" t="str">
        <x:f>IF(A179="","",IF(J179=0,"Soldé","En cours"))</x:f>
        <x:v>En cours</x:v>
      </x:c>
      <x:c r="M179" s="77">
        <x:f>IF(A179="","",ROUND(SUM($G$8:G179),2))</x:f>
        <x:v>88583.78</x:v>
      </x:c>
    </x:row>
    <x:row r="180" ht="20" customHeight="1">
      <x:c r="A180" s="71">
        <x:f>IF(OR($J179="",ROUND($J179,2)=0),"",$A179+1)</x:f>
        <x:v>173</x:v>
      </x:c>
      <x:c r="B180" s="72">
        <x:f>IF(A180="","",EDATE(Dashboard!$B$10,(A180-1)*(12/Dashboard!$B$9)))</x:f>
        <x:v>51349</x:v>
      </x:c>
      <x:c r="C180" s="73">
        <x:f>IF(A180="","",$J179)</x:f>
        <x:v>56722.22</x:v>
      </x:c>
      <x:c r="D180" s="73">
        <x:f>IF(A180="","",ROUND(MIN(Moteur!$B$3,C180+G180),2))</x:f>
        <x:v>1488.73</x:v>
      </x:c>
      <x:c r="E180" s="73">
        <x:f>IF(A180="","",ROUND(MIN(Dashboard!$B$11,MAX(0,C180-(D180-G180))),2))</x:f>
        <x:v>150</x:v>
      </x:c>
      <x:c r="F180" s="73">
        <x:f>IF(A180="","",ROUND(C180*Dashboard!$B$12/Dashboard!$B$9,2))</x:f>
        <x:v>14.18</x:v>
      </x:c>
      <x:c r="G180" s="73">
        <x:f>IF(A180="","",ROUND(C180*Moteur!$B$2,2))</x:f>
        <x:v>179.62</x:v>
      </x:c>
      <x:c r="H180" s="73">
        <x:f>IF(A180="","",ROUND(MIN(C180,D180-G180+E180),2))</x:f>
        <x:v>1459.11</x:v>
      </x:c>
      <x:c r="I180" s="73">
        <x:f>IF(A180="","",ROUND(D180+E180+F180,2))</x:f>
        <x:v>1652.91</x:v>
      </x:c>
      <x:c r="J180" s="73">
        <x:f>IF(A180="","",ROUND(MAX(0,C180-H180),2))</x:f>
        <x:v>55263.11</x:v>
      </x:c>
      <x:c r="K180" s="74">
        <x:f>IF(A180="","",1-(J180/Dashboard!$B$6))</x:f>
        <x:v>0.77894756</x:v>
      </x:c>
      <x:c r="L180" s="38" t="str">
        <x:f>IF(A180="","",IF(J180=0,"Soldé","En cours"))</x:f>
        <x:v>En cours</x:v>
      </x:c>
      <x:c r="M180" s="73">
        <x:f>IF(A180="","",ROUND(SUM($G$8:G180),2))</x:f>
        <x:v>88763.4</x:v>
      </x:c>
    </x:row>
    <x:row r="181" ht="20" customHeight="1">
      <x:c r="A181" s="75">
        <x:f>IF(OR($J180="",ROUND($J180,2)=0),"",$A180+1)</x:f>
        <x:v>174</x:v>
      </x:c>
      <x:c r="B181" s="76">
        <x:f>IF(A181="","",EDATE(Dashboard!$B$10,(A181-1)*(12/Dashboard!$B$9)))</x:f>
        <x:v>51380</x:v>
      </x:c>
      <x:c r="C181" s="77">
        <x:f>IF(A181="","",$J180)</x:f>
        <x:v>55263.11</x:v>
      </x:c>
      <x:c r="D181" s="77">
        <x:f>IF(A181="","",ROUND(MIN(Moteur!$B$3,C181+G181),2))</x:f>
        <x:v>1488.73</x:v>
      </x:c>
      <x:c r="E181" s="77">
        <x:f>IF(A181="","",ROUND(MIN(Dashboard!$B$11,MAX(0,C181-(D181-G181))),2))</x:f>
        <x:v>150</x:v>
      </x:c>
      <x:c r="F181" s="77">
        <x:f>IF(A181="","",ROUND(C181*Dashboard!$B$12/Dashboard!$B$9,2))</x:f>
        <x:v>13.82</x:v>
      </x:c>
      <x:c r="G181" s="77">
        <x:f>IF(A181="","",ROUND(C181*Moteur!$B$2,2))</x:f>
        <x:v>175</x:v>
      </x:c>
      <x:c r="H181" s="77">
        <x:f>IF(A181="","",ROUND(MIN(C181,D181-G181+E181),2))</x:f>
        <x:v>1463.73</x:v>
      </x:c>
      <x:c r="I181" s="77">
        <x:f>IF(A181="","",ROUND(D181+E181+F181,2))</x:f>
        <x:v>1652.55</x:v>
      </x:c>
      <x:c r="J181" s="77">
        <x:f>IF(A181="","",ROUND(MAX(0,C181-H181),2))</x:f>
        <x:v>53799.38</x:v>
      </x:c>
      <x:c r="K181" s="78">
        <x:f>IF(A181="","",1-(J181/Dashboard!$B$6))</x:f>
        <x:v>0.78480248</x:v>
      </x:c>
      <x:c r="L181" s="43" t="str">
        <x:f>IF(A181="","",IF(J181=0,"Soldé","En cours"))</x:f>
        <x:v>En cours</x:v>
      </x:c>
      <x:c r="M181" s="77">
        <x:f>IF(A181="","",ROUND(SUM($G$8:G181),2))</x:f>
        <x:v>88938.4</x:v>
      </x:c>
    </x:row>
    <x:row r="182" ht="20" customHeight="1">
      <x:c r="A182" s="71">
        <x:f>IF(OR($J181="",ROUND($J181,2)=0),"",$A181+1)</x:f>
        <x:v>175</x:v>
      </x:c>
      <x:c r="B182" s="72">
        <x:f>IF(A182="","",EDATE(Dashboard!$B$10,(A182-1)*(12/Dashboard!$B$9)))</x:f>
        <x:v>51410</x:v>
      </x:c>
      <x:c r="C182" s="73">
        <x:f>IF(A182="","",$J181)</x:f>
        <x:v>53799.38</x:v>
      </x:c>
      <x:c r="D182" s="73">
        <x:f>IF(A182="","",ROUND(MIN(Moteur!$B$3,C182+G182),2))</x:f>
        <x:v>1488.73</x:v>
      </x:c>
      <x:c r="E182" s="73">
        <x:f>IF(A182="","",ROUND(MIN(Dashboard!$B$11,MAX(0,C182-(D182-G182))),2))</x:f>
        <x:v>150</x:v>
      </x:c>
      <x:c r="F182" s="73">
        <x:f>IF(A182="","",ROUND(C182*Dashboard!$B$12/Dashboard!$B$9,2))</x:f>
        <x:v>13.45</x:v>
      </x:c>
      <x:c r="G182" s="73">
        <x:f>IF(A182="","",ROUND(C182*Moteur!$B$2,2))</x:f>
        <x:v>170.36</x:v>
      </x:c>
      <x:c r="H182" s="73">
        <x:f>IF(A182="","",ROUND(MIN(C182,D182-G182+E182),2))</x:f>
        <x:v>1468.37</x:v>
      </x:c>
      <x:c r="I182" s="73">
        <x:f>IF(A182="","",ROUND(D182+E182+F182,2))</x:f>
        <x:v>1652.18</x:v>
      </x:c>
      <x:c r="J182" s="73">
        <x:f>IF(A182="","",ROUND(MAX(0,C182-H182),2))</x:f>
        <x:v>52331.01</x:v>
      </x:c>
      <x:c r="K182" s="74">
        <x:f>IF(A182="","",1-(J182/Dashboard!$B$6))</x:f>
        <x:v>0.79067596</x:v>
      </x:c>
      <x:c r="L182" s="38" t="str">
        <x:f>IF(A182="","",IF(J182=0,"Soldé","En cours"))</x:f>
        <x:v>En cours</x:v>
      </x:c>
      <x:c r="M182" s="73">
        <x:f>IF(A182="","",ROUND(SUM($G$8:G182),2))</x:f>
        <x:v>89108.76</x:v>
      </x:c>
    </x:row>
    <x:row r="183" ht="20" customHeight="1">
      <x:c r="A183" s="75">
        <x:f>IF(OR($J182="",ROUND($J182,2)=0),"",$A182+1)</x:f>
        <x:v>176</x:v>
      </x:c>
      <x:c r="B183" s="76">
        <x:f>IF(A183="","",EDATE(Dashboard!$B$10,(A183-1)*(12/Dashboard!$B$9)))</x:f>
        <x:v>51441</x:v>
      </x:c>
      <x:c r="C183" s="77">
        <x:f>IF(A183="","",$J182)</x:f>
        <x:v>52331.01</x:v>
      </x:c>
      <x:c r="D183" s="77">
        <x:f>IF(A183="","",ROUND(MIN(Moteur!$B$3,C183+G183),2))</x:f>
        <x:v>1488.73</x:v>
      </x:c>
      <x:c r="E183" s="77">
        <x:f>IF(A183="","",ROUND(MIN(Dashboard!$B$11,MAX(0,C183-(D183-G183))),2))</x:f>
        <x:v>150</x:v>
      </x:c>
      <x:c r="F183" s="77">
        <x:f>IF(A183="","",ROUND(C183*Dashboard!$B$12/Dashboard!$B$9,2))</x:f>
        <x:v>13.08</x:v>
      </x:c>
      <x:c r="G183" s="77">
        <x:f>IF(A183="","",ROUND(C183*Moteur!$B$2,2))</x:f>
        <x:v>165.71</x:v>
      </x:c>
      <x:c r="H183" s="77">
        <x:f>IF(A183="","",ROUND(MIN(C183,D183-G183+E183),2))</x:f>
        <x:v>1473.02</x:v>
      </x:c>
      <x:c r="I183" s="77">
        <x:f>IF(A183="","",ROUND(D183+E183+F183,2))</x:f>
        <x:v>1651.81</x:v>
      </x:c>
      <x:c r="J183" s="77">
        <x:f>IF(A183="","",ROUND(MAX(0,C183-H183),2))</x:f>
        <x:v>50857.99</x:v>
      </x:c>
      <x:c r="K183" s="78">
        <x:f>IF(A183="","",1-(J183/Dashboard!$B$6))</x:f>
        <x:v>0.79656804</x:v>
      </x:c>
      <x:c r="L183" s="43" t="str">
        <x:f>IF(A183="","",IF(J183=0,"Soldé","En cours"))</x:f>
        <x:v>En cours</x:v>
      </x:c>
      <x:c r="M183" s="77">
        <x:f>IF(A183="","",ROUND(SUM($G$8:G183),2))</x:f>
        <x:v>89274.47</x:v>
      </x:c>
    </x:row>
    <x:row r="184" ht="20" customHeight="1">
      <x:c r="A184" s="71">
        <x:f>IF(OR($J183="",ROUND($J183,2)=0),"",$A183+1)</x:f>
        <x:v>177</x:v>
      </x:c>
      <x:c r="B184" s="72">
        <x:f>IF(A184="","",EDATE(Dashboard!$B$10,(A184-1)*(12/Dashboard!$B$9)))</x:f>
        <x:v>51471</x:v>
      </x:c>
      <x:c r="C184" s="73">
        <x:f>IF(A184="","",$J183)</x:f>
        <x:v>50857.99</x:v>
      </x:c>
      <x:c r="D184" s="73">
        <x:f>IF(A184="","",ROUND(MIN(Moteur!$B$3,C184+G184),2))</x:f>
        <x:v>1488.73</x:v>
      </x:c>
      <x:c r="E184" s="73">
        <x:f>IF(A184="","",ROUND(MIN(Dashboard!$B$11,MAX(0,C184-(D184-G184))),2))</x:f>
        <x:v>150</x:v>
      </x:c>
      <x:c r="F184" s="73">
        <x:f>IF(A184="","",ROUND(C184*Dashboard!$B$12/Dashboard!$B$9,2))</x:f>
        <x:v>12.71</x:v>
      </x:c>
      <x:c r="G184" s="73">
        <x:f>IF(A184="","",ROUND(C184*Moteur!$B$2,2))</x:f>
        <x:v>161.05</x:v>
      </x:c>
      <x:c r="H184" s="73">
        <x:f>IF(A184="","",ROUND(MIN(C184,D184-G184+E184),2))</x:f>
        <x:v>1477.68</x:v>
      </x:c>
      <x:c r="I184" s="73">
        <x:f>IF(A184="","",ROUND(D184+E184+F184,2))</x:f>
        <x:v>1651.44</x:v>
      </x:c>
      <x:c r="J184" s="73">
        <x:f>IF(A184="","",ROUND(MAX(0,C184-H184),2))</x:f>
        <x:v>49380.31</x:v>
      </x:c>
      <x:c r="K184" s="74">
        <x:f>IF(A184="","",1-(J184/Dashboard!$B$6))</x:f>
        <x:v>0.8024787600000001</x:v>
      </x:c>
      <x:c r="L184" s="38" t="str">
        <x:f>IF(A184="","",IF(J184=0,"Soldé","En cours"))</x:f>
        <x:v>En cours</x:v>
      </x:c>
      <x:c r="M184" s="73">
        <x:f>IF(A184="","",ROUND(SUM($G$8:G184),2))</x:f>
        <x:v>89435.52</x:v>
      </x:c>
    </x:row>
    <x:row r="185" ht="20" customHeight="1">
      <x:c r="A185" s="75">
        <x:f>IF(OR($J184="",ROUND($J184,2)=0),"",$A184+1)</x:f>
        <x:v>178</x:v>
      </x:c>
      <x:c r="B185" s="76">
        <x:f>IF(A185="","",EDATE(Dashboard!$B$10,(A185-1)*(12/Dashboard!$B$9)))</x:f>
        <x:v>51502</x:v>
      </x:c>
      <x:c r="C185" s="77">
        <x:f>IF(A185="","",$J184)</x:f>
        <x:v>49380.31</x:v>
      </x:c>
      <x:c r="D185" s="77">
        <x:f>IF(A185="","",ROUND(MIN(Moteur!$B$3,C185+G185),2))</x:f>
        <x:v>1488.73</x:v>
      </x:c>
      <x:c r="E185" s="77">
        <x:f>IF(A185="","",ROUND(MIN(Dashboard!$B$11,MAX(0,C185-(D185-G185))),2))</x:f>
        <x:v>150</x:v>
      </x:c>
      <x:c r="F185" s="77">
        <x:f>IF(A185="","",ROUND(C185*Dashboard!$B$12/Dashboard!$B$9,2))</x:f>
        <x:v>12.35</x:v>
      </x:c>
      <x:c r="G185" s="77">
        <x:f>IF(A185="","",ROUND(C185*Moteur!$B$2,2))</x:f>
        <x:v>156.37</x:v>
      </x:c>
      <x:c r="H185" s="77">
        <x:f>IF(A185="","",ROUND(MIN(C185,D185-G185+E185),2))</x:f>
        <x:v>1482.36</x:v>
      </x:c>
      <x:c r="I185" s="77">
        <x:f>IF(A185="","",ROUND(D185+E185+F185,2))</x:f>
        <x:v>1651.08</x:v>
      </x:c>
      <x:c r="J185" s="77">
        <x:f>IF(A185="","",ROUND(MAX(0,C185-H185),2))</x:f>
        <x:v>47897.95</x:v>
      </x:c>
      <x:c r="K185" s="78">
        <x:f>IF(A185="","",1-(J185/Dashboard!$B$6))</x:f>
        <x:v>0.8084082</x:v>
      </x:c>
      <x:c r="L185" s="43" t="str">
        <x:f>IF(A185="","",IF(J185=0,"Soldé","En cours"))</x:f>
        <x:v>En cours</x:v>
      </x:c>
      <x:c r="M185" s="77">
        <x:f>IF(A185="","",ROUND(SUM($G$8:G185),2))</x:f>
        <x:v>89591.89</x:v>
      </x:c>
    </x:row>
    <x:row r="186" ht="20" customHeight="1">
      <x:c r="A186" s="71">
        <x:f>IF(OR($J185="",ROUND($J185,2)=0),"",$A185+1)</x:f>
        <x:v>179</x:v>
      </x:c>
      <x:c r="B186" s="72">
        <x:f>IF(A186="","",EDATE(Dashboard!$B$10,(A186-1)*(12/Dashboard!$B$9)))</x:f>
        <x:v>51533</x:v>
      </x:c>
      <x:c r="C186" s="73">
        <x:f>IF(A186="","",$J185)</x:f>
        <x:v>47897.95</x:v>
      </x:c>
      <x:c r="D186" s="73">
        <x:f>IF(A186="","",ROUND(MIN(Moteur!$B$3,C186+G186),2))</x:f>
        <x:v>1488.73</x:v>
      </x:c>
      <x:c r="E186" s="73">
        <x:f>IF(A186="","",ROUND(MIN(Dashboard!$B$11,MAX(0,C186-(D186-G186))),2))</x:f>
        <x:v>150</x:v>
      </x:c>
      <x:c r="F186" s="73">
        <x:f>IF(A186="","",ROUND(C186*Dashboard!$B$12/Dashboard!$B$9,2))</x:f>
        <x:v>11.97</x:v>
      </x:c>
      <x:c r="G186" s="73">
        <x:f>IF(A186="","",ROUND(C186*Moteur!$B$2,2))</x:f>
        <x:v>151.68</x:v>
      </x:c>
      <x:c r="H186" s="73">
        <x:f>IF(A186="","",ROUND(MIN(C186,D186-G186+E186),2))</x:f>
        <x:v>1487.05</x:v>
      </x:c>
      <x:c r="I186" s="73">
        <x:f>IF(A186="","",ROUND(D186+E186+F186,2))</x:f>
        <x:v>1650.7</x:v>
      </x:c>
      <x:c r="J186" s="73">
        <x:f>IF(A186="","",ROUND(MAX(0,C186-H186),2))</x:f>
        <x:v>46410.9</x:v>
      </x:c>
      <x:c r="K186" s="74">
        <x:f>IF(A186="","",1-(J186/Dashboard!$B$6))</x:f>
        <x:v>0.8143564</x:v>
      </x:c>
      <x:c r="L186" s="38" t="str">
        <x:f>IF(A186="","",IF(J186=0,"Soldé","En cours"))</x:f>
        <x:v>En cours</x:v>
      </x:c>
      <x:c r="M186" s="73">
        <x:f>IF(A186="","",ROUND(SUM($G$8:G186),2))</x:f>
        <x:v>89743.57</x:v>
      </x:c>
    </x:row>
    <x:row r="187" ht="20" customHeight="1">
      <x:c r="A187" s="75">
        <x:f>IF(OR($J186="",ROUND($J186,2)=0),"",$A186+1)</x:f>
        <x:v>180</x:v>
      </x:c>
      <x:c r="B187" s="76">
        <x:f>IF(A187="","",EDATE(Dashboard!$B$10,(A187-1)*(12/Dashboard!$B$9)))</x:f>
        <x:v>51561</x:v>
      </x:c>
      <x:c r="C187" s="77">
        <x:f>IF(A187="","",$J186)</x:f>
        <x:v>46410.9</x:v>
      </x:c>
      <x:c r="D187" s="77">
        <x:f>IF(A187="","",ROUND(MIN(Moteur!$B$3,C187+G187),2))</x:f>
        <x:v>1488.73</x:v>
      </x:c>
      <x:c r="E187" s="77">
        <x:f>IF(A187="","",ROUND(MIN(Dashboard!$B$11,MAX(0,C187-(D187-G187))),2))</x:f>
        <x:v>150</x:v>
      </x:c>
      <x:c r="F187" s="77">
        <x:f>IF(A187="","",ROUND(C187*Dashboard!$B$12/Dashboard!$B$9,2))</x:f>
        <x:v>11.6</x:v>
      </x:c>
      <x:c r="G187" s="77">
        <x:f>IF(A187="","",ROUND(C187*Moteur!$B$2,2))</x:f>
        <x:v>146.97</x:v>
      </x:c>
      <x:c r="H187" s="77">
        <x:f>IF(A187="","",ROUND(MIN(C187,D187-G187+E187),2))</x:f>
        <x:v>1491.76</x:v>
      </x:c>
      <x:c r="I187" s="77">
        <x:f>IF(A187="","",ROUND(D187+E187+F187,2))</x:f>
        <x:v>1650.33</x:v>
      </x:c>
      <x:c r="J187" s="77">
        <x:f>IF(A187="","",ROUND(MAX(0,C187-H187),2))</x:f>
        <x:v>44919.14</x:v>
      </x:c>
      <x:c r="K187" s="78">
        <x:f>IF(A187="","",1-(J187/Dashboard!$B$6))</x:f>
        <x:v>0.82032344</x:v>
      </x:c>
      <x:c r="L187" s="43" t="str">
        <x:f>IF(A187="","",IF(J187=0,"Soldé","En cours"))</x:f>
        <x:v>En cours</x:v>
      </x:c>
      <x:c r="M187" s="77">
        <x:f>IF(A187="","",ROUND(SUM($G$8:G187),2))</x:f>
        <x:v>89890.54</x:v>
      </x:c>
    </x:row>
    <x:row r="188" ht="20" customHeight="1">
      <x:c r="A188" s="71">
        <x:f>IF(OR($J187="",ROUND($J187,2)=0),"",$A187+1)</x:f>
        <x:v>181</x:v>
      </x:c>
      <x:c r="B188" s="72">
        <x:f>IF(A188="","",EDATE(Dashboard!$B$10,(A188-1)*(12/Dashboard!$B$9)))</x:f>
        <x:v>51592</x:v>
      </x:c>
      <x:c r="C188" s="73">
        <x:f>IF(A188="","",$J187)</x:f>
        <x:v>44919.14</x:v>
      </x:c>
      <x:c r="D188" s="73">
        <x:f>IF(A188="","",ROUND(MIN(Moteur!$B$3,C188+G188),2))</x:f>
        <x:v>1488.73</x:v>
      </x:c>
      <x:c r="E188" s="73">
        <x:f>IF(A188="","",ROUND(MIN(Dashboard!$B$11,MAX(0,C188-(D188-G188))),2))</x:f>
        <x:v>150</x:v>
      </x:c>
      <x:c r="F188" s="73">
        <x:f>IF(A188="","",ROUND(C188*Dashboard!$B$12/Dashboard!$B$9,2))</x:f>
        <x:v>11.23</x:v>
      </x:c>
      <x:c r="G188" s="73">
        <x:f>IF(A188="","",ROUND(C188*Moteur!$B$2,2))</x:f>
        <x:v>142.24</x:v>
      </x:c>
      <x:c r="H188" s="73">
        <x:f>IF(A188="","",ROUND(MIN(C188,D188-G188+E188),2))</x:f>
        <x:v>1496.49</x:v>
      </x:c>
      <x:c r="I188" s="73">
        <x:f>IF(A188="","",ROUND(D188+E188+F188,2))</x:f>
        <x:v>1649.96</x:v>
      </x:c>
      <x:c r="J188" s="73">
        <x:f>IF(A188="","",ROUND(MAX(0,C188-H188),2))</x:f>
        <x:v>43422.65</x:v>
      </x:c>
      <x:c r="K188" s="74">
        <x:f>IF(A188="","",1-(J188/Dashboard!$B$6))</x:f>
        <x:v>0.8263094</x:v>
      </x:c>
      <x:c r="L188" s="38" t="str">
        <x:f>IF(A188="","",IF(J188=0,"Soldé","En cours"))</x:f>
        <x:v>En cours</x:v>
      </x:c>
      <x:c r="M188" s="73">
        <x:f>IF(A188="","",ROUND(SUM($G$8:G188),2))</x:f>
        <x:v>90032.78</x:v>
      </x:c>
    </x:row>
    <x:row r="189" ht="20" customHeight="1">
      <x:c r="A189" s="75">
        <x:f>IF(OR($J188="",ROUND($J188,2)=0),"",$A188+1)</x:f>
        <x:v>182</x:v>
      </x:c>
      <x:c r="B189" s="76">
        <x:f>IF(A189="","",EDATE(Dashboard!$B$10,(A189-1)*(12/Dashboard!$B$9)))</x:f>
        <x:v>51622</x:v>
      </x:c>
      <x:c r="C189" s="77">
        <x:f>IF(A189="","",$J188)</x:f>
        <x:v>43422.65</x:v>
      </x:c>
      <x:c r="D189" s="77">
        <x:f>IF(A189="","",ROUND(MIN(Moteur!$B$3,C189+G189),2))</x:f>
        <x:v>1488.73</x:v>
      </x:c>
      <x:c r="E189" s="77">
        <x:f>IF(A189="","",ROUND(MIN(Dashboard!$B$11,MAX(0,C189-(D189-G189))),2))</x:f>
        <x:v>150</x:v>
      </x:c>
      <x:c r="F189" s="77">
        <x:f>IF(A189="","",ROUND(C189*Dashboard!$B$12/Dashboard!$B$9,2))</x:f>
        <x:v>10.86</x:v>
      </x:c>
      <x:c r="G189" s="77">
        <x:f>IF(A189="","",ROUND(C189*Moteur!$B$2,2))</x:f>
        <x:v>137.51</x:v>
      </x:c>
      <x:c r="H189" s="77">
        <x:f>IF(A189="","",ROUND(MIN(C189,D189-G189+E189),2))</x:f>
        <x:v>1501.22</x:v>
      </x:c>
      <x:c r="I189" s="77">
        <x:f>IF(A189="","",ROUND(D189+E189+F189,2))</x:f>
        <x:v>1649.59</x:v>
      </x:c>
      <x:c r="J189" s="77">
        <x:f>IF(A189="","",ROUND(MAX(0,C189-H189),2))</x:f>
        <x:v>41921.43</x:v>
      </x:c>
      <x:c r="K189" s="78">
        <x:f>IF(A189="","",1-(J189/Dashboard!$B$6))</x:f>
        <x:v>0.83231428</x:v>
      </x:c>
      <x:c r="L189" s="43" t="str">
        <x:f>IF(A189="","",IF(J189=0,"Soldé","En cours"))</x:f>
        <x:v>En cours</x:v>
      </x:c>
      <x:c r="M189" s="77">
        <x:f>IF(A189="","",ROUND(SUM($G$8:G189),2))</x:f>
        <x:v>90170.29</x:v>
      </x:c>
    </x:row>
    <x:row r="190" ht="20" customHeight="1">
      <x:c r="A190" s="71">
        <x:f>IF(OR($J189="",ROUND($J189,2)=0),"",$A189+1)</x:f>
        <x:v>183</x:v>
      </x:c>
      <x:c r="B190" s="72">
        <x:f>IF(A190="","",EDATE(Dashboard!$B$10,(A190-1)*(12/Dashboard!$B$9)))</x:f>
        <x:v>51653</x:v>
      </x:c>
      <x:c r="C190" s="73">
        <x:f>IF(A190="","",$J189)</x:f>
        <x:v>41921.43</x:v>
      </x:c>
      <x:c r="D190" s="73">
        <x:f>IF(A190="","",ROUND(MIN(Moteur!$B$3,C190+G190),2))</x:f>
        <x:v>1488.73</x:v>
      </x:c>
      <x:c r="E190" s="73">
        <x:f>IF(A190="","",ROUND(MIN(Dashboard!$B$11,MAX(0,C190-(D190-G190))),2))</x:f>
        <x:v>150</x:v>
      </x:c>
      <x:c r="F190" s="73">
        <x:f>IF(A190="","",ROUND(C190*Dashboard!$B$12/Dashboard!$B$9,2))</x:f>
        <x:v>10.48</x:v>
      </x:c>
      <x:c r="G190" s="73">
        <x:f>IF(A190="","",ROUND(C190*Moteur!$B$2,2))</x:f>
        <x:v>132.75</x:v>
      </x:c>
      <x:c r="H190" s="73">
        <x:f>IF(A190="","",ROUND(MIN(C190,D190-G190+E190),2))</x:f>
        <x:v>1505.98</x:v>
      </x:c>
      <x:c r="I190" s="73">
        <x:f>IF(A190="","",ROUND(D190+E190+F190,2))</x:f>
        <x:v>1649.21</x:v>
      </x:c>
      <x:c r="J190" s="73">
        <x:f>IF(A190="","",ROUND(MAX(0,C190-H190),2))</x:f>
        <x:v>40415.45</x:v>
      </x:c>
      <x:c r="K190" s="74">
        <x:f>IF(A190="","",1-(J190/Dashboard!$B$6))</x:f>
        <x:v>0.8383382</x:v>
      </x:c>
      <x:c r="L190" s="38" t="str">
        <x:f>IF(A190="","",IF(J190=0,"Soldé","En cours"))</x:f>
        <x:v>En cours</x:v>
      </x:c>
      <x:c r="M190" s="73">
        <x:f>IF(A190="","",ROUND(SUM($G$8:G190),2))</x:f>
        <x:v>90303.04</x:v>
      </x:c>
    </x:row>
    <x:row r="191" ht="20" customHeight="1">
      <x:c r="A191" s="75">
        <x:f>IF(OR($J190="",ROUND($J190,2)=0),"",$A190+1)</x:f>
        <x:v>184</x:v>
      </x:c>
      <x:c r="B191" s="76">
        <x:f>IF(A191="","",EDATE(Dashboard!$B$10,(A191-1)*(12/Dashboard!$B$9)))</x:f>
        <x:v>51683</x:v>
      </x:c>
      <x:c r="C191" s="77">
        <x:f>IF(A191="","",$J190)</x:f>
        <x:v>40415.45</x:v>
      </x:c>
      <x:c r="D191" s="77">
        <x:f>IF(A191="","",ROUND(MIN(Moteur!$B$3,C191+G191),2))</x:f>
        <x:v>1488.73</x:v>
      </x:c>
      <x:c r="E191" s="77">
        <x:f>IF(A191="","",ROUND(MIN(Dashboard!$B$11,MAX(0,C191-(D191-G191))),2))</x:f>
        <x:v>150</x:v>
      </x:c>
      <x:c r="F191" s="77">
        <x:f>IF(A191="","",ROUND(C191*Dashboard!$B$12/Dashboard!$B$9,2))</x:f>
        <x:v>10.1</x:v>
      </x:c>
      <x:c r="G191" s="77">
        <x:f>IF(A191="","",ROUND(C191*Moteur!$B$2,2))</x:f>
        <x:v>127.98</x:v>
      </x:c>
      <x:c r="H191" s="77">
        <x:f>IF(A191="","",ROUND(MIN(C191,D191-G191+E191),2))</x:f>
        <x:v>1510.75</x:v>
      </x:c>
      <x:c r="I191" s="77">
        <x:f>IF(A191="","",ROUND(D191+E191+F191,2))</x:f>
        <x:v>1648.83</x:v>
      </x:c>
      <x:c r="J191" s="77">
        <x:f>IF(A191="","",ROUND(MAX(0,C191-H191),2))</x:f>
        <x:v>38904.7</x:v>
      </x:c>
      <x:c r="K191" s="78">
        <x:f>IF(A191="","",1-(J191/Dashboard!$B$6))</x:f>
        <x:v>0.8443811999999999</x:v>
      </x:c>
      <x:c r="L191" s="43" t="str">
        <x:f>IF(A191="","",IF(J191=0,"Soldé","En cours"))</x:f>
        <x:v>En cours</x:v>
      </x:c>
      <x:c r="M191" s="77">
        <x:f>IF(A191="","",ROUND(SUM($G$8:G191),2))</x:f>
        <x:v>90431.02</x:v>
      </x:c>
    </x:row>
    <x:row r="192" ht="20" customHeight="1">
      <x:c r="A192" s="71">
        <x:f>IF(OR($J191="",ROUND($J191,2)=0),"",$A191+1)</x:f>
        <x:v>185</x:v>
      </x:c>
      <x:c r="B192" s="72">
        <x:f>IF(A192="","",EDATE(Dashboard!$B$10,(A192-1)*(12/Dashboard!$B$9)))</x:f>
        <x:v>51714</x:v>
      </x:c>
      <x:c r="C192" s="73">
        <x:f>IF(A192="","",$J191)</x:f>
        <x:v>38904.7</x:v>
      </x:c>
      <x:c r="D192" s="73">
        <x:f>IF(A192="","",ROUND(MIN(Moteur!$B$3,C192+G192),2))</x:f>
        <x:v>1488.73</x:v>
      </x:c>
      <x:c r="E192" s="73">
        <x:f>IF(A192="","",ROUND(MIN(Dashboard!$B$11,MAX(0,C192-(D192-G192))),2))</x:f>
        <x:v>150</x:v>
      </x:c>
      <x:c r="F192" s="73">
        <x:f>IF(A192="","",ROUND(C192*Dashboard!$B$12/Dashboard!$B$9,2))</x:f>
        <x:v>9.73</x:v>
      </x:c>
      <x:c r="G192" s="73">
        <x:f>IF(A192="","",ROUND(C192*Moteur!$B$2,2))</x:f>
        <x:v>123.2</x:v>
      </x:c>
      <x:c r="H192" s="73">
        <x:f>IF(A192="","",ROUND(MIN(C192,D192-G192+E192),2))</x:f>
        <x:v>1515.53</x:v>
      </x:c>
      <x:c r="I192" s="73">
        <x:f>IF(A192="","",ROUND(D192+E192+F192,2))</x:f>
        <x:v>1648.46</x:v>
      </x:c>
      <x:c r="J192" s="73">
        <x:f>IF(A192="","",ROUND(MAX(0,C192-H192),2))</x:f>
        <x:v>37389.17</x:v>
      </x:c>
      <x:c r="K192" s="74">
        <x:f>IF(A192="","",1-(J192/Dashboard!$B$6))</x:f>
        <x:v>0.85044332</x:v>
      </x:c>
      <x:c r="L192" s="38" t="str">
        <x:f>IF(A192="","",IF(J192=0,"Soldé","En cours"))</x:f>
        <x:v>En cours</x:v>
      </x:c>
      <x:c r="M192" s="73">
        <x:f>IF(A192="","",ROUND(SUM($G$8:G192),2))</x:f>
        <x:v>90554.22</x:v>
      </x:c>
    </x:row>
    <x:row r="193" ht="20" customHeight="1">
      <x:c r="A193" s="75">
        <x:f>IF(OR($J192="",ROUND($J192,2)=0),"",$A192+1)</x:f>
        <x:v>186</x:v>
      </x:c>
      <x:c r="B193" s="76">
        <x:f>IF(A193="","",EDATE(Dashboard!$B$10,(A193-1)*(12/Dashboard!$B$9)))</x:f>
        <x:v>51745</x:v>
      </x:c>
      <x:c r="C193" s="77">
        <x:f>IF(A193="","",$J192)</x:f>
        <x:v>37389.17</x:v>
      </x:c>
      <x:c r="D193" s="77">
        <x:f>IF(A193="","",ROUND(MIN(Moteur!$B$3,C193+G193),2))</x:f>
        <x:v>1488.73</x:v>
      </x:c>
      <x:c r="E193" s="77">
        <x:f>IF(A193="","",ROUND(MIN(Dashboard!$B$11,MAX(0,C193-(D193-G193))),2))</x:f>
        <x:v>150</x:v>
      </x:c>
      <x:c r="F193" s="77">
        <x:f>IF(A193="","",ROUND(C193*Dashboard!$B$12/Dashboard!$B$9,2))</x:f>
        <x:v>9.35</x:v>
      </x:c>
      <x:c r="G193" s="77">
        <x:f>IF(A193="","",ROUND(C193*Moteur!$B$2,2))</x:f>
        <x:v>118.4</x:v>
      </x:c>
      <x:c r="H193" s="77">
        <x:f>IF(A193="","",ROUND(MIN(C193,D193-G193+E193),2))</x:f>
        <x:v>1520.33</x:v>
      </x:c>
      <x:c r="I193" s="77">
        <x:f>IF(A193="","",ROUND(D193+E193+F193,2))</x:f>
        <x:v>1648.08</x:v>
      </x:c>
      <x:c r="J193" s="77">
        <x:f>IF(A193="","",ROUND(MAX(0,C193-H193),2))</x:f>
        <x:v>35868.84</x:v>
      </x:c>
      <x:c r="K193" s="78">
        <x:f>IF(A193="","",1-(J193/Dashboard!$B$6))</x:f>
        <x:v>0.85652464</x:v>
      </x:c>
      <x:c r="L193" s="43" t="str">
        <x:f>IF(A193="","",IF(J193=0,"Soldé","En cours"))</x:f>
        <x:v>En cours</x:v>
      </x:c>
      <x:c r="M193" s="77">
        <x:f>IF(A193="","",ROUND(SUM($G$8:G193),2))</x:f>
        <x:v>90672.62</x:v>
      </x:c>
    </x:row>
    <x:row r="194" ht="20" customHeight="1">
      <x:c r="A194" s="71">
        <x:f>IF(OR($J193="",ROUND($J193,2)=0),"",$A193+1)</x:f>
        <x:v>187</x:v>
      </x:c>
      <x:c r="B194" s="72">
        <x:f>IF(A194="","",EDATE(Dashboard!$B$10,(A194-1)*(12/Dashboard!$B$9)))</x:f>
        <x:v>51775</x:v>
      </x:c>
      <x:c r="C194" s="73">
        <x:f>IF(A194="","",$J193)</x:f>
        <x:v>35868.84</x:v>
      </x:c>
      <x:c r="D194" s="73">
        <x:f>IF(A194="","",ROUND(MIN(Moteur!$B$3,C194+G194),2))</x:f>
        <x:v>1488.73</x:v>
      </x:c>
      <x:c r="E194" s="73">
        <x:f>IF(A194="","",ROUND(MIN(Dashboard!$B$11,MAX(0,C194-(D194-G194))),2))</x:f>
        <x:v>150</x:v>
      </x:c>
      <x:c r="F194" s="73">
        <x:f>IF(A194="","",ROUND(C194*Dashboard!$B$12/Dashboard!$B$9,2))</x:f>
        <x:v>8.97</x:v>
      </x:c>
      <x:c r="G194" s="73">
        <x:f>IF(A194="","",ROUND(C194*Moteur!$B$2,2))</x:f>
        <x:v>113.58</x:v>
      </x:c>
      <x:c r="H194" s="73">
        <x:f>IF(A194="","",ROUND(MIN(C194,D194-G194+E194),2))</x:f>
        <x:v>1525.15</x:v>
      </x:c>
      <x:c r="I194" s="73">
        <x:f>IF(A194="","",ROUND(D194+E194+F194,2))</x:f>
        <x:v>1647.7</x:v>
      </x:c>
      <x:c r="J194" s="73">
        <x:f>IF(A194="","",ROUND(MAX(0,C194-H194),2))</x:f>
        <x:v>34343.69</x:v>
      </x:c>
      <x:c r="K194" s="74">
        <x:f>IF(A194="","",1-(J194/Dashboard!$B$6))</x:f>
        <x:v>0.86262524</x:v>
      </x:c>
      <x:c r="L194" s="38" t="str">
        <x:f>IF(A194="","",IF(J194=0,"Soldé","En cours"))</x:f>
        <x:v>En cours</x:v>
      </x:c>
      <x:c r="M194" s="73">
        <x:f>IF(A194="","",ROUND(SUM($G$8:G194),2))</x:f>
        <x:v>90786.2</x:v>
      </x:c>
    </x:row>
    <x:row r="195" ht="20" customHeight="1">
      <x:c r="A195" s="75">
        <x:f>IF(OR($J194="",ROUND($J194,2)=0),"",$A194+1)</x:f>
        <x:v>188</x:v>
      </x:c>
      <x:c r="B195" s="76">
        <x:f>IF(A195="","",EDATE(Dashboard!$B$10,(A195-1)*(12/Dashboard!$B$9)))</x:f>
        <x:v>51806</x:v>
      </x:c>
      <x:c r="C195" s="77">
        <x:f>IF(A195="","",$J194)</x:f>
        <x:v>34343.69</x:v>
      </x:c>
      <x:c r="D195" s="77">
        <x:f>IF(A195="","",ROUND(MIN(Moteur!$B$3,C195+G195),2))</x:f>
        <x:v>1488.73</x:v>
      </x:c>
      <x:c r="E195" s="77">
        <x:f>IF(A195="","",ROUND(MIN(Dashboard!$B$11,MAX(0,C195-(D195-G195))),2))</x:f>
        <x:v>150</x:v>
      </x:c>
      <x:c r="F195" s="77">
        <x:f>IF(A195="","",ROUND(C195*Dashboard!$B$12/Dashboard!$B$9,2))</x:f>
        <x:v>8.59</x:v>
      </x:c>
      <x:c r="G195" s="77">
        <x:f>IF(A195="","",ROUND(C195*Moteur!$B$2,2))</x:f>
        <x:v>108.76</x:v>
      </x:c>
      <x:c r="H195" s="77">
        <x:f>IF(A195="","",ROUND(MIN(C195,D195-G195+E195),2))</x:f>
        <x:v>1529.97</x:v>
      </x:c>
      <x:c r="I195" s="77">
        <x:f>IF(A195="","",ROUND(D195+E195+F195,2))</x:f>
        <x:v>1647.32</x:v>
      </x:c>
      <x:c r="J195" s="77">
        <x:f>IF(A195="","",ROUND(MAX(0,C195-H195),2))</x:f>
        <x:v>32813.72</x:v>
      </x:c>
      <x:c r="K195" s="78">
        <x:f>IF(A195="","",1-(J195/Dashboard!$B$6))</x:f>
        <x:v>0.86874512</x:v>
      </x:c>
      <x:c r="L195" s="43" t="str">
        <x:f>IF(A195="","",IF(J195=0,"Soldé","En cours"))</x:f>
        <x:v>En cours</x:v>
      </x:c>
      <x:c r="M195" s="77">
        <x:f>IF(A195="","",ROUND(SUM($G$8:G195),2))</x:f>
        <x:v>90894.96</x:v>
      </x:c>
    </x:row>
    <x:row r="196" ht="20" customHeight="1">
      <x:c r="A196" s="71">
        <x:f>IF(OR($J195="",ROUND($J195,2)=0),"",$A195+1)</x:f>
        <x:v>189</x:v>
      </x:c>
      <x:c r="B196" s="72">
        <x:f>IF(A196="","",EDATE(Dashboard!$B$10,(A196-1)*(12/Dashboard!$B$9)))</x:f>
        <x:v>51836</x:v>
      </x:c>
      <x:c r="C196" s="73">
        <x:f>IF(A196="","",$J195)</x:f>
        <x:v>32813.72</x:v>
      </x:c>
      <x:c r="D196" s="73">
        <x:f>IF(A196="","",ROUND(MIN(Moteur!$B$3,C196+G196),2))</x:f>
        <x:v>1488.73</x:v>
      </x:c>
      <x:c r="E196" s="73">
        <x:f>IF(A196="","",ROUND(MIN(Dashboard!$B$11,MAX(0,C196-(D196-G196))),2))</x:f>
        <x:v>150</x:v>
      </x:c>
      <x:c r="F196" s="73">
        <x:f>IF(A196="","",ROUND(C196*Dashboard!$B$12/Dashboard!$B$9,2))</x:f>
        <x:v>8.2</x:v>
      </x:c>
      <x:c r="G196" s="73">
        <x:f>IF(A196="","",ROUND(C196*Moteur!$B$2,2))</x:f>
        <x:v>103.91</x:v>
      </x:c>
      <x:c r="H196" s="73">
        <x:f>IF(A196="","",ROUND(MIN(C196,D196-G196+E196),2))</x:f>
        <x:v>1534.82</x:v>
      </x:c>
      <x:c r="I196" s="73">
        <x:f>IF(A196="","",ROUND(D196+E196+F196,2))</x:f>
        <x:v>1646.93</x:v>
      </x:c>
      <x:c r="J196" s="73">
        <x:f>IF(A196="","",ROUND(MAX(0,C196-H196),2))</x:f>
        <x:v>31278.9</x:v>
      </x:c>
      <x:c r="K196" s="74">
        <x:f>IF(A196="","",1-(J196/Dashboard!$B$6))</x:f>
        <x:v>0.8748844</x:v>
      </x:c>
      <x:c r="L196" s="38" t="str">
        <x:f>IF(A196="","",IF(J196=0,"Soldé","En cours"))</x:f>
        <x:v>En cours</x:v>
      </x:c>
      <x:c r="M196" s="73">
        <x:f>IF(A196="","",ROUND(SUM($G$8:G196),2))</x:f>
        <x:v>90998.87</x:v>
      </x:c>
    </x:row>
    <x:row r="197" ht="20" customHeight="1">
      <x:c r="A197" s="75">
        <x:f>IF(OR($J196="",ROUND($J196,2)=0),"",$A196+1)</x:f>
        <x:v>190</x:v>
      </x:c>
      <x:c r="B197" s="76">
        <x:f>IF(A197="","",EDATE(Dashboard!$B$10,(A197-1)*(12/Dashboard!$B$9)))</x:f>
        <x:v>51867</x:v>
      </x:c>
      <x:c r="C197" s="77">
        <x:f>IF(A197="","",$J196)</x:f>
        <x:v>31278.9</x:v>
      </x:c>
      <x:c r="D197" s="77">
        <x:f>IF(A197="","",ROUND(MIN(Moteur!$B$3,C197+G197),2))</x:f>
        <x:v>1488.73</x:v>
      </x:c>
      <x:c r="E197" s="77">
        <x:f>IF(A197="","",ROUND(MIN(Dashboard!$B$11,MAX(0,C197-(D197-G197))),2))</x:f>
        <x:v>150</x:v>
      </x:c>
      <x:c r="F197" s="77">
        <x:f>IF(A197="","",ROUND(C197*Dashboard!$B$12/Dashboard!$B$9,2))</x:f>
        <x:v>7.82</x:v>
      </x:c>
      <x:c r="G197" s="77">
        <x:f>IF(A197="","",ROUND(C197*Moteur!$B$2,2))</x:f>
        <x:v>99.05</x:v>
      </x:c>
      <x:c r="H197" s="77">
        <x:f>IF(A197="","",ROUND(MIN(C197,D197-G197+E197),2))</x:f>
        <x:v>1539.68</x:v>
      </x:c>
      <x:c r="I197" s="77">
        <x:f>IF(A197="","",ROUND(D197+E197+F197,2))</x:f>
        <x:v>1646.55</x:v>
      </x:c>
      <x:c r="J197" s="77">
        <x:f>IF(A197="","",ROUND(MAX(0,C197-H197),2))</x:f>
        <x:v>29739.22</x:v>
      </x:c>
      <x:c r="K197" s="78">
        <x:f>IF(A197="","",1-(J197/Dashboard!$B$6))</x:f>
        <x:v>0.88104312</x:v>
      </x:c>
      <x:c r="L197" s="43" t="str">
        <x:f>IF(A197="","",IF(J197=0,"Soldé","En cours"))</x:f>
        <x:v>En cours</x:v>
      </x:c>
      <x:c r="M197" s="77">
        <x:f>IF(A197="","",ROUND(SUM($G$8:G197),2))</x:f>
        <x:v>91097.92</x:v>
      </x:c>
    </x:row>
    <x:row r="198" ht="20" customHeight="1">
      <x:c r="A198" s="71">
        <x:f>IF(OR($J197="",ROUND($J197,2)=0),"",$A197+1)</x:f>
        <x:v>191</x:v>
      </x:c>
      <x:c r="B198" s="72">
        <x:f>IF(A198="","",EDATE(Dashboard!$B$10,(A198-1)*(12/Dashboard!$B$9)))</x:f>
        <x:v>51898</x:v>
      </x:c>
      <x:c r="C198" s="73">
        <x:f>IF(A198="","",$J197)</x:f>
        <x:v>29739.22</x:v>
      </x:c>
      <x:c r="D198" s="73">
        <x:f>IF(A198="","",ROUND(MIN(Moteur!$B$3,C198+G198),2))</x:f>
        <x:v>1488.73</x:v>
      </x:c>
      <x:c r="E198" s="73">
        <x:f>IF(A198="","",ROUND(MIN(Dashboard!$B$11,MAX(0,C198-(D198-G198))),2))</x:f>
        <x:v>150</x:v>
      </x:c>
      <x:c r="F198" s="73">
        <x:f>IF(A198="","",ROUND(C198*Dashboard!$B$12/Dashboard!$B$9,2))</x:f>
        <x:v>7.43</x:v>
      </x:c>
      <x:c r="G198" s="73">
        <x:f>IF(A198="","",ROUND(C198*Moteur!$B$2,2))</x:f>
        <x:v>94.17</x:v>
      </x:c>
      <x:c r="H198" s="73">
        <x:f>IF(A198="","",ROUND(MIN(C198,D198-G198+E198),2))</x:f>
        <x:v>1544.56</x:v>
      </x:c>
      <x:c r="I198" s="73">
        <x:f>IF(A198="","",ROUND(D198+E198+F198,2))</x:f>
        <x:v>1646.16</x:v>
      </x:c>
      <x:c r="J198" s="73">
        <x:f>IF(A198="","",ROUND(MAX(0,C198-H198),2))</x:f>
        <x:v>28194.66</x:v>
      </x:c>
      <x:c r="K198" s="74">
        <x:f>IF(A198="","",1-(J198/Dashboard!$B$6))</x:f>
        <x:v>0.88722136</x:v>
      </x:c>
      <x:c r="L198" s="38" t="str">
        <x:f>IF(A198="","",IF(J198=0,"Soldé","En cours"))</x:f>
        <x:v>En cours</x:v>
      </x:c>
      <x:c r="M198" s="73">
        <x:f>IF(A198="","",ROUND(SUM($G$8:G198),2))</x:f>
        <x:v>91192.09</x:v>
      </x:c>
    </x:row>
    <x:row r="199" ht="20" customHeight="1">
      <x:c r="A199" s="75">
        <x:f>IF(OR($J198="",ROUND($J198,2)=0),"",$A198+1)</x:f>
        <x:v>192</x:v>
      </x:c>
      <x:c r="B199" s="76">
        <x:f>IF(A199="","",EDATE(Dashboard!$B$10,(A199-1)*(12/Dashboard!$B$9)))</x:f>
        <x:v>51926</x:v>
      </x:c>
      <x:c r="C199" s="77">
        <x:f>IF(A199="","",$J198)</x:f>
        <x:v>28194.66</x:v>
      </x:c>
      <x:c r="D199" s="77">
        <x:f>IF(A199="","",ROUND(MIN(Moteur!$B$3,C199+G199),2))</x:f>
        <x:v>1488.73</x:v>
      </x:c>
      <x:c r="E199" s="77">
        <x:f>IF(A199="","",ROUND(MIN(Dashboard!$B$11,MAX(0,C199-(D199-G199))),2))</x:f>
        <x:v>150</x:v>
      </x:c>
      <x:c r="F199" s="77">
        <x:f>IF(A199="","",ROUND(C199*Dashboard!$B$12/Dashboard!$B$9,2))</x:f>
        <x:v>7.05</x:v>
      </x:c>
      <x:c r="G199" s="77">
        <x:f>IF(A199="","",ROUND(C199*Moteur!$B$2,2))</x:f>
        <x:v>89.28</x:v>
      </x:c>
      <x:c r="H199" s="77">
        <x:f>IF(A199="","",ROUND(MIN(C199,D199-G199+E199),2))</x:f>
        <x:v>1549.45</x:v>
      </x:c>
      <x:c r="I199" s="77">
        <x:f>IF(A199="","",ROUND(D199+E199+F199,2))</x:f>
        <x:v>1645.78</x:v>
      </x:c>
      <x:c r="J199" s="77">
        <x:f>IF(A199="","",ROUND(MAX(0,C199-H199),2))</x:f>
        <x:v>26645.21</x:v>
      </x:c>
      <x:c r="K199" s="78">
        <x:f>IF(A199="","",1-(J199/Dashboard!$B$6))</x:f>
        <x:v>0.89341916</x:v>
      </x:c>
      <x:c r="L199" s="43" t="str">
        <x:f>IF(A199="","",IF(J199=0,"Soldé","En cours"))</x:f>
        <x:v>En cours</x:v>
      </x:c>
      <x:c r="M199" s="77">
        <x:f>IF(A199="","",ROUND(SUM($G$8:G199),2))</x:f>
        <x:v>91281.37</x:v>
      </x:c>
    </x:row>
    <x:row r="200" ht="20" customHeight="1">
      <x:c r="A200" s="71">
        <x:f>IF(OR($J199="",ROUND($J199,2)=0),"",$A199+1)</x:f>
        <x:v>193</x:v>
      </x:c>
      <x:c r="B200" s="72">
        <x:f>IF(A200="","",EDATE(Dashboard!$B$10,(A200-1)*(12/Dashboard!$B$9)))</x:f>
        <x:v>51957</x:v>
      </x:c>
      <x:c r="C200" s="73">
        <x:f>IF(A200="","",$J199)</x:f>
        <x:v>26645.21</x:v>
      </x:c>
      <x:c r="D200" s="73">
        <x:f>IF(A200="","",ROUND(MIN(Moteur!$B$3,C200+G200),2))</x:f>
        <x:v>1488.73</x:v>
      </x:c>
      <x:c r="E200" s="73">
        <x:f>IF(A200="","",ROUND(MIN(Dashboard!$B$11,MAX(0,C200-(D200-G200))),2))</x:f>
        <x:v>150</x:v>
      </x:c>
      <x:c r="F200" s="73">
        <x:f>IF(A200="","",ROUND(C200*Dashboard!$B$12/Dashboard!$B$9,2))</x:f>
        <x:v>6.66</x:v>
      </x:c>
      <x:c r="G200" s="73">
        <x:f>IF(A200="","",ROUND(C200*Moteur!$B$2,2))</x:f>
        <x:v>84.38</x:v>
      </x:c>
      <x:c r="H200" s="73">
        <x:f>IF(A200="","",ROUND(MIN(C200,D200-G200+E200),2))</x:f>
        <x:v>1554.35</x:v>
      </x:c>
      <x:c r="I200" s="73">
        <x:f>IF(A200="","",ROUND(D200+E200+F200,2))</x:f>
        <x:v>1645.39</x:v>
      </x:c>
      <x:c r="J200" s="73">
        <x:f>IF(A200="","",ROUND(MAX(0,C200-H200),2))</x:f>
        <x:v>25090.86</x:v>
      </x:c>
      <x:c r="K200" s="74">
        <x:f>IF(A200="","",1-(J200/Dashboard!$B$6))</x:f>
        <x:v>0.89963656</x:v>
      </x:c>
      <x:c r="L200" s="38" t="str">
        <x:f>IF(A200="","",IF(J200=0,"Soldé","En cours"))</x:f>
        <x:v>En cours</x:v>
      </x:c>
      <x:c r="M200" s="73">
        <x:f>IF(A200="","",ROUND(SUM($G$8:G200),2))</x:f>
        <x:v>91365.75</x:v>
      </x:c>
    </x:row>
    <x:row r="201" ht="20" customHeight="1">
      <x:c r="A201" s="75">
        <x:f>IF(OR($J200="",ROUND($J200,2)=0),"",$A200+1)</x:f>
        <x:v>194</x:v>
      </x:c>
      <x:c r="B201" s="76">
        <x:f>IF(A201="","",EDATE(Dashboard!$B$10,(A201-1)*(12/Dashboard!$B$9)))</x:f>
        <x:v>51987</x:v>
      </x:c>
      <x:c r="C201" s="77">
        <x:f>IF(A201="","",$J200)</x:f>
        <x:v>25090.86</x:v>
      </x:c>
      <x:c r="D201" s="77">
        <x:f>IF(A201="","",ROUND(MIN(Moteur!$B$3,C201+G201),2))</x:f>
        <x:v>1488.73</x:v>
      </x:c>
      <x:c r="E201" s="77">
        <x:f>IF(A201="","",ROUND(MIN(Dashboard!$B$11,MAX(0,C201-(D201-G201))),2))</x:f>
        <x:v>150</x:v>
      </x:c>
      <x:c r="F201" s="77">
        <x:f>IF(A201="","",ROUND(C201*Dashboard!$B$12/Dashboard!$B$9,2))</x:f>
        <x:v>6.27</x:v>
      </x:c>
      <x:c r="G201" s="77">
        <x:f>IF(A201="","",ROUND(C201*Moteur!$B$2,2))</x:f>
        <x:v>79.45</x:v>
      </x:c>
      <x:c r="H201" s="77">
        <x:f>IF(A201="","",ROUND(MIN(C201,D201-G201+E201),2))</x:f>
        <x:v>1559.28</x:v>
      </x:c>
      <x:c r="I201" s="77">
        <x:f>IF(A201="","",ROUND(D201+E201+F201,2))</x:f>
        <x:v>1645</x:v>
      </x:c>
      <x:c r="J201" s="77">
        <x:f>IF(A201="","",ROUND(MAX(0,C201-H201),2))</x:f>
        <x:v>23531.58</x:v>
      </x:c>
      <x:c r="K201" s="78">
        <x:f>IF(A201="","",1-(J201/Dashboard!$B$6))</x:f>
        <x:v>0.90587368</x:v>
      </x:c>
      <x:c r="L201" s="43" t="str">
        <x:f>IF(A201="","",IF(J201=0,"Soldé","En cours"))</x:f>
        <x:v>En cours</x:v>
      </x:c>
      <x:c r="M201" s="77">
        <x:f>IF(A201="","",ROUND(SUM($G$8:G201),2))</x:f>
        <x:v>91445.2</x:v>
      </x:c>
    </x:row>
    <x:row r="202" ht="20" customHeight="1">
      <x:c r="A202" s="71">
        <x:f>IF(OR($J201="",ROUND($J201,2)=0),"",$A201+1)</x:f>
        <x:v>195</x:v>
      </x:c>
      <x:c r="B202" s="72">
        <x:f>IF(A202="","",EDATE(Dashboard!$B$10,(A202-1)*(12/Dashboard!$B$9)))</x:f>
        <x:v>52018</x:v>
      </x:c>
      <x:c r="C202" s="73">
        <x:f>IF(A202="","",$J201)</x:f>
        <x:v>23531.58</x:v>
      </x:c>
      <x:c r="D202" s="73">
        <x:f>IF(A202="","",ROUND(MIN(Moteur!$B$3,C202+G202),2))</x:f>
        <x:v>1488.73</x:v>
      </x:c>
      <x:c r="E202" s="73">
        <x:f>IF(A202="","",ROUND(MIN(Dashboard!$B$11,MAX(0,C202-(D202-G202))),2))</x:f>
        <x:v>150</x:v>
      </x:c>
      <x:c r="F202" s="73">
        <x:f>IF(A202="","",ROUND(C202*Dashboard!$B$12/Dashboard!$B$9,2))</x:f>
        <x:v>5.88</x:v>
      </x:c>
      <x:c r="G202" s="73">
        <x:f>IF(A202="","",ROUND(C202*Moteur!$B$2,2))</x:f>
        <x:v>74.52</x:v>
      </x:c>
      <x:c r="H202" s="73">
        <x:f>IF(A202="","",ROUND(MIN(C202,D202-G202+E202),2))</x:f>
        <x:v>1564.21</x:v>
      </x:c>
      <x:c r="I202" s="73">
        <x:f>IF(A202="","",ROUND(D202+E202+F202,2))</x:f>
        <x:v>1644.61</x:v>
      </x:c>
      <x:c r="J202" s="73">
        <x:f>IF(A202="","",ROUND(MAX(0,C202-H202),2))</x:f>
        <x:v>21967.37</x:v>
      </x:c>
      <x:c r="K202" s="74">
        <x:f>IF(A202="","",1-(J202/Dashboard!$B$6))</x:f>
        <x:v>0.9121305200000001</x:v>
      </x:c>
      <x:c r="L202" s="38" t="str">
        <x:f>IF(A202="","",IF(J202=0,"Soldé","En cours"))</x:f>
        <x:v>En cours</x:v>
      </x:c>
      <x:c r="M202" s="73">
        <x:f>IF(A202="","",ROUND(SUM($G$8:G202),2))</x:f>
        <x:v>91519.72</x:v>
      </x:c>
    </x:row>
    <x:row r="203" ht="20" customHeight="1">
      <x:c r="A203" s="75">
        <x:f>IF(OR($J202="",ROUND($J202,2)=0),"",$A202+1)</x:f>
        <x:v>196</x:v>
      </x:c>
      <x:c r="B203" s="76">
        <x:f>IF(A203="","",EDATE(Dashboard!$B$10,(A203-1)*(12/Dashboard!$B$9)))</x:f>
        <x:v>52048</x:v>
      </x:c>
      <x:c r="C203" s="77">
        <x:f>IF(A203="","",$J202)</x:f>
        <x:v>21967.37</x:v>
      </x:c>
      <x:c r="D203" s="77">
        <x:f>IF(A203="","",ROUND(MIN(Moteur!$B$3,C203+G203),2))</x:f>
        <x:v>1488.73</x:v>
      </x:c>
      <x:c r="E203" s="77">
        <x:f>IF(A203="","",ROUND(MIN(Dashboard!$B$11,MAX(0,C203-(D203-G203))),2))</x:f>
        <x:v>150</x:v>
      </x:c>
      <x:c r="F203" s="77">
        <x:f>IF(A203="","",ROUND(C203*Dashboard!$B$12/Dashboard!$B$9,2))</x:f>
        <x:v>5.49</x:v>
      </x:c>
      <x:c r="G203" s="77">
        <x:f>IF(A203="","",ROUND(C203*Moteur!$B$2,2))</x:f>
        <x:v>69.56</x:v>
      </x:c>
      <x:c r="H203" s="77">
        <x:f>IF(A203="","",ROUND(MIN(C203,D203-G203+E203),2))</x:f>
        <x:v>1569.17</x:v>
      </x:c>
      <x:c r="I203" s="77">
        <x:f>IF(A203="","",ROUND(D203+E203+F203,2))</x:f>
        <x:v>1644.22</x:v>
      </x:c>
      <x:c r="J203" s="77">
        <x:f>IF(A203="","",ROUND(MAX(0,C203-H203),2))</x:f>
        <x:v>20398.2</x:v>
      </x:c>
      <x:c r="K203" s="78">
        <x:f>IF(A203="","",1-(J203/Dashboard!$B$6))</x:f>
        <x:v>0.9184072</x:v>
      </x:c>
      <x:c r="L203" s="43" t="str">
        <x:f>IF(A203="","",IF(J203=0,"Soldé","En cours"))</x:f>
        <x:v>En cours</x:v>
      </x:c>
      <x:c r="M203" s="77">
        <x:f>IF(A203="","",ROUND(SUM($G$8:G203),2))</x:f>
        <x:v>91589.28</x:v>
      </x:c>
    </x:row>
    <x:row r="204" ht="20" customHeight="1">
      <x:c r="A204" s="71">
        <x:f>IF(OR($J203="",ROUND($J203,2)=0),"",$A203+1)</x:f>
        <x:v>197</x:v>
      </x:c>
      <x:c r="B204" s="72">
        <x:f>IF(A204="","",EDATE(Dashboard!$B$10,(A204-1)*(12/Dashboard!$B$9)))</x:f>
        <x:v>52079</x:v>
      </x:c>
      <x:c r="C204" s="73">
        <x:f>IF(A204="","",$J203)</x:f>
        <x:v>20398.2</x:v>
      </x:c>
      <x:c r="D204" s="73">
        <x:f>IF(A204="","",ROUND(MIN(Moteur!$B$3,C204+G204),2))</x:f>
        <x:v>1488.73</x:v>
      </x:c>
      <x:c r="E204" s="73">
        <x:f>IF(A204="","",ROUND(MIN(Dashboard!$B$11,MAX(0,C204-(D204-G204))),2))</x:f>
        <x:v>150</x:v>
      </x:c>
      <x:c r="F204" s="73">
        <x:f>IF(A204="","",ROUND(C204*Dashboard!$B$12/Dashboard!$B$9,2))</x:f>
        <x:v>5.1</x:v>
      </x:c>
      <x:c r="G204" s="73">
        <x:f>IF(A204="","",ROUND(C204*Moteur!$B$2,2))</x:f>
        <x:v>64.59</x:v>
      </x:c>
      <x:c r="H204" s="73">
        <x:f>IF(A204="","",ROUND(MIN(C204,D204-G204+E204),2))</x:f>
        <x:v>1574.14</x:v>
      </x:c>
      <x:c r="I204" s="73">
        <x:f>IF(A204="","",ROUND(D204+E204+F204,2))</x:f>
        <x:v>1643.83</x:v>
      </x:c>
      <x:c r="J204" s="73">
        <x:f>IF(A204="","",ROUND(MAX(0,C204-H204),2))</x:f>
        <x:v>18824.06</x:v>
      </x:c>
      <x:c r="K204" s="74">
        <x:f>IF(A204="","",1-(J204/Dashboard!$B$6))</x:f>
        <x:v>0.92470376</x:v>
      </x:c>
      <x:c r="L204" s="38" t="str">
        <x:f>IF(A204="","",IF(J204=0,"Soldé","En cours"))</x:f>
        <x:v>En cours</x:v>
      </x:c>
      <x:c r="M204" s="73">
        <x:f>IF(A204="","",ROUND(SUM($G$8:G204),2))</x:f>
        <x:v>91653.87</x:v>
      </x:c>
    </x:row>
    <x:row r="205" ht="20" customHeight="1">
      <x:c r="A205" s="75">
        <x:f>IF(OR($J204="",ROUND($J204,2)=0),"",$A204+1)</x:f>
        <x:v>198</x:v>
      </x:c>
      <x:c r="B205" s="76">
        <x:f>IF(A205="","",EDATE(Dashboard!$B$10,(A205-1)*(12/Dashboard!$B$9)))</x:f>
        <x:v>52110</x:v>
      </x:c>
      <x:c r="C205" s="77">
        <x:f>IF(A205="","",$J204)</x:f>
        <x:v>18824.06</x:v>
      </x:c>
      <x:c r="D205" s="77">
        <x:f>IF(A205="","",ROUND(MIN(Moteur!$B$3,C205+G205),2))</x:f>
        <x:v>1488.73</x:v>
      </x:c>
      <x:c r="E205" s="77">
        <x:f>IF(A205="","",ROUND(MIN(Dashboard!$B$11,MAX(0,C205-(D205-G205))),2))</x:f>
        <x:v>150</x:v>
      </x:c>
      <x:c r="F205" s="77">
        <x:f>IF(A205="","",ROUND(C205*Dashboard!$B$12/Dashboard!$B$9,2))</x:f>
        <x:v>4.71</x:v>
      </x:c>
      <x:c r="G205" s="77">
        <x:f>IF(A205="","",ROUND(C205*Moteur!$B$2,2))</x:f>
        <x:v>59.61</x:v>
      </x:c>
      <x:c r="H205" s="77">
        <x:f>IF(A205="","",ROUND(MIN(C205,D205-G205+E205),2))</x:f>
        <x:v>1579.12</x:v>
      </x:c>
      <x:c r="I205" s="77">
        <x:f>IF(A205="","",ROUND(D205+E205+F205,2))</x:f>
        <x:v>1643.44</x:v>
      </x:c>
      <x:c r="J205" s="77">
        <x:f>IF(A205="","",ROUND(MAX(0,C205-H205),2))</x:f>
        <x:v>17244.94</x:v>
      </x:c>
      <x:c r="K205" s="78">
        <x:f>IF(A205="","",1-(J205/Dashboard!$B$6))</x:f>
        <x:v>0.93102024</x:v>
      </x:c>
      <x:c r="L205" s="43" t="str">
        <x:f>IF(A205="","",IF(J205=0,"Soldé","En cours"))</x:f>
        <x:v>En cours</x:v>
      </x:c>
      <x:c r="M205" s="77">
        <x:f>IF(A205="","",ROUND(SUM($G$8:G205),2))</x:f>
        <x:v>91713.48</x:v>
      </x:c>
    </x:row>
    <x:row r="206" ht="20" customHeight="1">
      <x:c r="A206" s="71">
        <x:f>IF(OR($J205="",ROUND($J205,2)=0),"",$A205+1)</x:f>
        <x:v>199</x:v>
      </x:c>
      <x:c r="B206" s="72">
        <x:f>IF(A206="","",EDATE(Dashboard!$B$10,(A206-1)*(12/Dashboard!$B$9)))</x:f>
        <x:v>52140</x:v>
      </x:c>
      <x:c r="C206" s="73">
        <x:f>IF(A206="","",$J205)</x:f>
        <x:v>17244.94</x:v>
      </x:c>
      <x:c r="D206" s="73">
        <x:f>IF(A206="","",ROUND(MIN(Moteur!$B$3,C206+G206),2))</x:f>
        <x:v>1488.73</x:v>
      </x:c>
      <x:c r="E206" s="73">
        <x:f>IF(A206="","",ROUND(MIN(Dashboard!$B$11,MAX(0,C206-(D206-G206))),2))</x:f>
        <x:v>150</x:v>
      </x:c>
      <x:c r="F206" s="73">
        <x:f>IF(A206="","",ROUND(C206*Dashboard!$B$12/Dashboard!$B$9,2))</x:f>
        <x:v>4.31</x:v>
      </x:c>
      <x:c r="G206" s="73">
        <x:f>IF(A206="","",ROUND(C206*Moteur!$B$2,2))</x:f>
        <x:v>54.61</x:v>
      </x:c>
      <x:c r="H206" s="73">
        <x:f>IF(A206="","",ROUND(MIN(C206,D206-G206+E206),2))</x:f>
        <x:v>1584.12</x:v>
      </x:c>
      <x:c r="I206" s="73">
        <x:f>IF(A206="","",ROUND(D206+E206+F206,2))</x:f>
        <x:v>1643.04</x:v>
      </x:c>
      <x:c r="J206" s="73">
        <x:f>IF(A206="","",ROUND(MAX(0,C206-H206),2))</x:f>
        <x:v>15660.82</x:v>
      </x:c>
      <x:c r="K206" s="74">
        <x:f>IF(A206="","",1-(J206/Dashboard!$B$6))</x:f>
        <x:v>0.93735672</x:v>
      </x:c>
      <x:c r="L206" s="38" t="str">
        <x:f>IF(A206="","",IF(J206=0,"Soldé","En cours"))</x:f>
        <x:v>En cours</x:v>
      </x:c>
      <x:c r="M206" s="73">
        <x:f>IF(A206="","",ROUND(SUM($G$8:G206),2))</x:f>
        <x:v>91768.09</x:v>
      </x:c>
    </x:row>
    <x:row r="207" ht="20" customHeight="1">
      <x:c r="A207" s="75">
        <x:f>IF(OR($J206="",ROUND($J206,2)=0),"",$A206+1)</x:f>
        <x:v>200</x:v>
      </x:c>
      <x:c r="B207" s="76">
        <x:f>IF(A207="","",EDATE(Dashboard!$B$10,(A207-1)*(12/Dashboard!$B$9)))</x:f>
        <x:v>52171</x:v>
      </x:c>
      <x:c r="C207" s="77">
        <x:f>IF(A207="","",$J206)</x:f>
        <x:v>15660.82</x:v>
      </x:c>
      <x:c r="D207" s="77">
        <x:f>IF(A207="","",ROUND(MIN(Moteur!$B$3,C207+G207),2))</x:f>
        <x:v>1488.73</x:v>
      </x:c>
      <x:c r="E207" s="77">
        <x:f>IF(A207="","",ROUND(MIN(Dashboard!$B$11,MAX(0,C207-(D207-G207))),2))</x:f>
        <x:v>150</x:v>
      </x:c>
      <x:c r="F207" s="77">
        <x:f>IF(A207="","",ROUND(C207*Dashboard!$B$12/Dashboard!$B$9,2))</x:f>
        <x:v>3.92</x:v>
      </x:c>
      <x:c r="G207" s="77">
        <x:f>IF(A207="","",ROUND(C207*Moteur!$B$2,2))</x:f>
        <x:v>49.59</x:v>
      </x:c>
      <x:c r="H207" s="77">
        <x:f>IF(A207="","",ROUND(MIN(C207,D207-G207+E207),2))</x:f>
        <x:v>1589.14</x:v>
      </x:c>
      <x:c r="I207" s="77">
        <x:f>IF(A207="","",ROUND(D207+E207+F207,2))</x:f>
        <x:v>1642.65</x:v>
      </x:c>
      <x:c r="J207" s="77">
        <x:f>IF(A207="","",ROUND(MAX(0,C207-H207),2))</x:f>
        <x:v>14071.68</x:v>
      </x:c>
      <x:c r="K207" s="78">
        <x:f>IF(A207="","",1-(J207/Dashboard!$B$6))</x:f>
        <x:v>0.94371328</x:v>
      </x:c>
      <x:c r="L207" s="43" t="str">
        <x:f>IF(A207="","",IF(J207=0,"Soldé","En cours"))</x:f>
        <x:v>En cours</x:v>
      </x:c>
      <x:c r="M207" s="77">
        <x:f>IF(A207="","",ROUND(SUM($G$8:G207),2))</x:f>
        <x:v>91817.68</x:v>
      </x:c>
    </x:row>
    <x:row r="208" ht="20" customHeight="1">
      <x:c r="A208" s="71">
        <x:f>IF(OR($J207="",ROUND($J207,2)=0),"",$A207+1)</x:f>
        <x:v>201</x:v>
      </x:c>
      <x:c r="B208" s="72">
        <x:f>IF(A208="","",EDATE(Dashboard!$B$10,(A208-1)*(12/Dashboard!$B$9)))</x:f>
        <x:v>52201</x:v>
      </x:c>
      <x:c r="C208" s="73">
        <x:f>IF(A208="","",$J207)</x:f>
        <x:v>14071.68</x:v>
      </x:c>
      <x:c r="D208" s="73">
        <x:f>IF(A208="","",ROUND(MIN(Moteur!$B$3,C208+G208),2))</x:f>
        <x:v>1488.73</x:v>
      </x:c>
      <x:c r="E208" s="73">
        <x:f>IF(A208="","",ROUND(MIN(Dashboard!$B$11,MAX(0,C208-(D208-G208))),2))</x:f>
        <x:v>150</x:v>
      </x:c>
      <x:c r="F208" s="73">
        <x:f>IF(A208="","",ROUND(C208*Dashboard!$B$12/Dashboard!$B$9,2))</x:f>
        <x:v>3.52</x:v>
      </x:c>
      <x:c r="G208" s="73">
        <x:f>IF(A208="","",ROUND(C208*Moteur!$B$2,2))</x:f>
        <x:v>44.56</x:v>
      </x:c>
      <x:c r="H208" s="73">
        <x:f>IF(A208="","",ROUND(MIN(C208,D208-G208+E208),2))</x:f>
        <x:v>1594.17</x:v>
      </x:c>
      <x:c r="I208" s="73">
        <x:f>IF(A208="","",ROUND(D208+E208+F208,2))</x:f>
        <x:v>1642.25</x:v>
      </x:c>
      <x:c r="J208" s="73">
        <x:f>IF(A208="","",ROUND(MAX(0,C208-H208),2))</x:f>
        <x:v>12477.51</x:v>
      </x:c>
      <x:c r="K208" s="74">
        <x:f>IF(A208="","",1-(J208/Dashboard!$B$6))</x:f>
        <x:v>0.95008996</x:v>
      </x:c>
      <x:c r="L208" s="38" t="str">
        <x:f>IF(A208="","",IF(J208=0,"Soldé","En cours"))</x:f>
        <x:v>En cours</x:v>
      </x:c>
      <x:c r="M208" s="73">
        <x:f>IF(A208="","",ROUND(SUM($G$8:G208),2))</x:f>
        <x:v>91862.24</x:v>
      </x:c>
    </x:row>
    <x:row r="209" ht="20" customHeight="1">
      <x:c r="A209" s="75">
        <x:f>IF(OR($J208="",ROUND($J208,2)=0),"",$A208+1)</x:f>
        <x:v>202</x:v>
      </x:c>
      <x:c r="B209" s="76">
        <x:f>IF(A209="","",EDATE(Dashboard!$B$10,(A209-1)*(12/Dashboard!$B$9)))</x:f>
        <x:v>52232</x:v>
      </x:c>
      <x:c r="C209" s="77">
        <x:f>IF(A209="","",$J208)</x:f>
        <x:v>12477.51</x:v>
      </x:c>
      <x:c r="D209" s="77">
        <x:f>IF(A209="","",ROUND(MIN(Moteur!$B$3,C209+G209),2))</x:f>
        <x:v>1488.73</x:v>
      </x:c>
      <x:c r="E209" s="77">
        <x:f>IF(A209="","",ROUND(MIN(Dashboard!$B$11,MAX(0,C209-(D209-G209))),2))</x:f>
        <x:v>150</x:v>
      </x:c>
      <x:c r="F209" s="77">
        <x:f>IF(A209="","",ROUND(C209*Dashboard!$B$12/Dashboard!$B$9,2))</x:f>
        <x:v>3.12</x:v>
      </x:c>
      <x:c r="G209" s="77">
        <x:f>IF(A209="","",ROUND(C209*Moteur!$B$2,2))</x:f>
        <x:v>39.51</x:v>
      </x:c>
      <x:c r="H209" s="77">
        <x:f>IF(A209="","",ROUND(MIN(C209,D209-G209+E209),2))</x:f>
        <x:v>1599.22</x:v>
      </x:c>
      <x:c r="I209" s="77">
        <x:f>IF(A209="","",ROUND(D209+E209+F209,2))</x:f>
        <x:v>1641.85</x:v>
      </x:c>
      <x:c r="J209" s="77">
        <x:f>IF(A209="","",ROUND(MAX(0,C209-H209),2))</x:f>
        <x:v>10878.29</x:v>
      </x:c>
      <x:c r="K209" s="78">
        <x:f>IF(A209="","",1-(J209/Dashboard!$B$6))</x:f>
        <x:v>0.95648684</x:v>
      </x:c>
      <x:c r="L209" s="43" t="str">
        <x:f>IF(A209="","",IF(J209=0,"Soldé","En cours"))</x:f>
        <x:v>En cours</x:v>
      </x:c>
      <x:c r="M209" s="77">
        <x:f>IF(A209="","",ROUND(SUM($G$8:G209),2))</x:f>
        <x:v>91901.75</x:v>
      </x:c>
    </x:row>
    <x:row r="210" ht="20" customHeight="1">
      <x:c r="A210" s="71">
        <x:f>IF(OR($J209="",ROUND($J209,2)=0),"",$A209+1)</x:f>
        <x:v>203</x:v>
      </x:c>
      <x:c r="B210" s="72">
        <x:f>IF(A210="","",EDATE(Dashboard!$B$10,(A210-1)*(12/Dashboard!$B$9)))</x:f>
        <x:v>52263</x:v>
      </x:c>
      <x:c r="C210" s="73">
        <x:f>IF(A210="","",$J209)</x:f>
        <x:v>10878.29</x:v>
      </x:c>
      <x:c r="D210" s="73">
        <x:f>IF(A210="","",ROUND(MIN(Moteur!$B$3,C210+G210),2))</x:f>
        <x:v>1488.73</x:v>
      </x:c>
      <x:c r="E210" s="73">
        <x:f>IF(A210="","",ROUND(MIN(Dashboard!$B$11,MAX(0,C210-(D210-G210))),2))</x:f>
        <x:v>150</x:v>
      </x:c>
      <x:c r="F210" s="73">
        <x:f>IF(A210="","",ROUND(C210*Dashboard!$B$12/Dashboard!$B$9,2))</x:f>
        <x:v>2.72</x:v>
      </x:c>
      <x:c r="G210" s="73">
        <x:f>IF(A210="","",ROUND(C210*Moteur!$B$2,2))</x:f>
        <x:v>34.45</x:v>
      </x:c>
      <x:c r="H210" s="73">
        <x:f>IF(A210="","",ROUND(MIN(C210,D210-G210+E210),2))</x:f>
        <x:v>1604.28</x:v>
      </x:c>
      <x:c r="I210" s="73">
        <x:f>IF(A210="","",ROUND(D210+E210+F210,2))</x:f>
        <x:v>1641.45</x:v>
      </x:c>
      <x:c r="J210" s="73">
        <x:f>IF(A210="","",ROUND(MAX(0,C210-H210),2))</x:f>
        <x:v>9274.01</x:v>
      </x:c>
      <x:c r="K210" s="74">
        <x:f>IF(A210="","",1-(J210/Dashboard!$B$6))</x:f>
        <x:v>0.96290396</x:v>
      </x:c>
      <x:c r="L210" s="38" t="str">
        <x:f>IF(A210="","",IF(J210=0,"Soldé","En cours"))</x:f>
        <x:v>En cours</x:v>
      </x:c>
      <x:c r="M210" s="73">
        <x:f>IF(A210="","",ROUND(SUM($G$8:G210),2))</x:f>
        <x:v>91936.2</x:v>
      </x:c>
    </x:row>
    <x:row r="211" ht="20" customHeight="1">
      <x:c r="A211" s="75">
        <x:f>IF(OR($J210="",ROUND($J210,2)=0),"",$A210+1)</x:f>
        <x:v>204</x:v>
      </x:c>
      <x:c r="B211" s="76">
        <x:f>IF(A211="","",EDATE(Dashboard!$B$10,(A211-1)*(12/Dashboard!$B$9)))</x:f>
        <x:v>52291</x:v>
      </x:c>
      <x:c r="C211" s="77">
        <x:f>IF(A211="","",$J210)</x:f>
        <x:v>9274.01</x:v>
      </x:c>
      <x:c r="D211" s="77">
        <x:f>IF(A211="","",ROUND(MIN(Moteur!$B$3,C211+G211),2))</x:f>
        <x:v>1488.73</x:v>
      </x:c>
      <x:c r="E211" s="77">
        <x:f>IF(A211="","",ROUND(MIN(Dashboard!$B$11,MAX(0,C211-(D211-G211))),2))</x:f>
        <x:v>150</x:v>
      </x:c>
      <x:c r="F211" s="77">
        <x:f>IF(A211="","",ROUND(C211*Dashboard!$B$12/Dashboard!$B$9,2))</x:f>
        <x:v>2.32</x:v>
      </x:c>
      <x:c r="G211" s="77">
        <x:f>IF(A211="","",ROUND(C211*Moteur!$B$2,2))</x:f>
        <x:v>29.37</x:v>
      </x:c>
      <x:c r="H211" s="77">
        <x:f>IF(A211="","",ROUND(MIN(C211,D211-G211+E211),2))</x:f>
        <x:v>1609.36</x:v>
      </x:c>
      <x:c r="I211" s="77">
        <x:f>IF(A211="","",ROUND(D211+E211+F211,2))</x:f>
        <x:v>1641.05</x:v>
      </x:c>
      <x:c r="J211" s="77">
        <x:f>IF(A211="","",ROUND(MAX(0,C211-H211),2))</x:f>
        <x:v>7664.65</x:v>
      </x:c>
      <x:c r="K211" s="78">
        <x:f>IF(A211="","",1-(J211/Dashboard!$B$6))</x:f>
        <x:v>0.9693414</x:v>
      </x:c>
      <x:c r="L211" s="43" t="str">
        <x:f>IF(A211="","",IF(J211=0,"Soldé","En cours"))</x:f>
        <x:v>En cours</x:v>
      </x:c>
      <x:c r="M211" s="77">
        <x:f>IF(A211="","",ROUND(SUM($G$8:G211),2))</x:f>
        <x:v>91965.57</x:v>
      </x:c>
    </x:row>
    <x:row r="212" ht="20" customHeight="1">
      <x:c r="A212" s="71">
        <x:f>IF(OR($J211="",ROUND($J211,2)=0),"",$A211+1)</x:f>
        <x:v>205</x:v>
      </x:c>
      <x:c r="B212" s="72">
        <x:f>IF(A212="","",EDATE(Dashboard!$B$10,(A212-1)*(12/Dashboard!$B$9)))</x:f>
        <x:v>52322</x:v>
      </x:c>
      <x:c r="C212" s="73">
        <x:f>IF(A212="","",$J211)</x:f>
        <x:v>7664.65</x:v>
      </x:c>
      <x:c r="D212" s="73">
        <x:f>IF(A212="","",ROUND(MIN(Moteur!$B$3,C212+G212),2))</x:f>
        <x:v>1488.73</x:v>
      </x:c>
      <x:c r="E212" s="73">
        <x:f>IF(A212="","",ROUND(MIN(Dashboard!$B$11,MAX(0,C212-(D212-G212))),2))</x:f>
        <x:v>150</x:v>
      </x:c>
      <x:c r="F212" s="73">
        <x:f>IF(A212="","",ROUND(C212*Dashboard!$B$12/Dashboard!$B$9,2))</x:f>
        <x:v>1.92</x:v>
      </x:c>
      <x:c r="G212" s="73">
        <x:f>IF(A212="","",ROUND(C212*Moteur!$B$2,2))</x:f>
        <x:v>24.27</x:v>
      </x:c>
      <x:c r="H212" s="73">
        <x:f>IF(A212="","",ROUND(MIN(C212,D212-G212+E212),2))</x:f>
        <x:v>1614.46</x:v>
      </x:c>
      <x:c r="I212" s="73">
        <x:f>IF(A212="","",ROUND(D212+E212+F212,2))</x:f>
        <x:v>1640.65</x:v>
      </x:c>
      <x:c r="J212" s="73">
        <x:f>IF(A212="","",ROUND(MAX(0,C212-H212),2))</x:f>
        <x:v>6050.19</x:v>
      </x:c>
      <x:c r="K212" s="74">
        <x:f>IF(A212="","",1-(J212/Dashboard!$B$6))</x:f>
        <x:v>0.97579924</x:v>
      </x:c>
      <x:c r="L212" s="38" t="str">
        <x:f>IF(A212="","",IF(J212=0,"Soldé","En cours"))</x:f>
        <x:v>En cours</x:v>
      </x:c>
      <x:c r="M212" s="73">
        <x:f>IF(A212="","",ROUND(SUM($G$8:G212),2))</x:f>
        <x:v>91989.84</x:v>
      </x:c>
    </x:row>
    <x:row r="213" ht="20" customHeight="1">
      <x:c r="A213" s="75">
        <x:f>IF(OR($J212="",ROUND($J212,2)=0),"",$A212+1)</x:f>
        <x:v>206</x:v>
      </x:c>
      <x:c r="B213" s="76">
        <x:f>IF(A213="","",EDATE(Dashboard!$B$10,(A213-1)*(12/Dashboard!$B$9)))</x:f>
        <x:v>52352</x:v>
      </x:c>
      <x:c r="C213" s="77">
        <x:f>IF(A213="","",$J212)</x:f>
        <x:v>6050.19</x:v>
      </x:c>
      <x:c r="D213" s="77">
        <x:f>IF(A213="","",ROUND(MIN(Moteur!$B$3,C213+G213),2))</x:f>
        <x:v>1488.73</x:v>
      </x:c>
      <x:c r="E213" s="77">
        <x:f>IF(A213="","",ROUND(MIN(Dashboard!$B$11,MAX(0,C213-(D213-G213))),2))</x:f>
        <x:v>150</x:v>
      </x:c>
      <x:c r="F213" s="77">
        <x:f>IF(A213="","",ROUND(C213*Dashboard!$B$12/Dashboard!$B$9,2))</x:f>
        <x:v>1.51</x:v>
      </x:c>
      <x:c r="G213" s="77">
        <x:f>IF(A213="","",ROUND(C213*Moteur!$B$2,2))</x:f>
        <x:v>19.16</x:v>
      </x:c>
      <x:c r="H213" s="77">
        <x:f>IF(A213="","",ROUND(MIN(C213,D213-G213+E213),2))</x:f>
        <x:v>1619.57</x:v>
      </x:c>
      <x:c r="I213" s="77">
        <x:f>IF(A213="","",ROUND(D213+E213+F213,2))</x:f>
        <x:v>1640.24</x:v>
      </x:c>
      <x:c r="J213" s="77">
        <x:f>IF(A213="","",ROUND(MAX(0,C213-H213),2))</x:f>
        <x:v>4430.62</x:v>
      </x:c>
      <x:c r="K213" s="78">
        <x:f>IF(A213="","",1-(J213/Dashboard!$B$6))</x:f>
        <x:v>0.98227752</x:v>
      </x:c>
      <x:c r="L213" s="43" t="str">
        <x:f>IF(A213="","",IF(J213=0,"Soldé","En cours"))</x:f>
        <x:v>En cours</x:v>
      </x:c>
      <x:c r="M213" s="77">
        <x:f>IF(A213="","",ROUND(SUM($G$8:G213),2))</x:f>
        <x:v>92009</x:v>
      </x:c>
    </x:row>
    <x:row r="214" ht="20" customHeight="1">
      <x:c r="A214" s="71">
        <x:f>IF(OR($J213="",ROUND($J213,2)=0),"",$A213+1)</x:f>
        <x:v>207</x:v>
      </x:c>
      <x:c r="B214" s="72">
        <x:f>IF(A214="","",EDATE(Dashboard!$B$10,(A214-1)*(12/Dashboard!$B$9)))</x:f>
        <x:v>52383</x:v>
      </x:c>
      <x:c r="C214" s="73">
        <x:f>IF(A214="","",$J213)</x:f>
        <x:v>4430.62</x:v>
      </x:c>
      <x:c r="D214" s="73">
        <x:f>IF(A214="","",ROUND(MIN(Moteur!$B$3,C214+G214),2))</x:f>
        <x:v>1488.73</x:v>
      </x:c>
      <x:c r="E214" s="73">
        <x:f>IF(A214="","",ROUND(MIN(Dashboard!$B$11,MAX(0,C214-(D214-G214))),2))</x:f>
        <x:v>150</x:v>
      </x:c>
      <x:c r="F214" s="73">
        <x:f>IF(A214="","",ROUND(C214*Dashboard!$B$12/Dashboard!$B$9,2))</x:f>
        <x:v>1.11</x:v>
      </x:c>
      <x:c r="G214" s="73">
        <x:f>IF(A214="","",ROUND(C214*Moteur!$B$2,2))</x:f>
        <x:v>14.03</x:v>
      </x:c>
      <x:c r="H214" s="73">
        <x:f>IF(A214="","",ROUND(MIN(C214,D214-G214+E214),2))</x:f>
        <x:v>1624.7</x:v>
      </x:c>
      <x:c r="I214" s="73">
        <x:f>IF(A214="","",ROUND(D214+E214+F214,2))</x:f>
        <x:v>1639.84</x:v>
      </x:c>
      <x:c r="J214" s="73">
        <x:f>IF(A214="","",ROUND(MAX(0,C214-H214),2))</x:f>
        <x:v>2805.92</x:v>
      </x:c>
      <x:c r="K214" s="74">
        <x:f>IF(A214="","",1-(J214/Dashboard!$B$6))</x:f>
        <x:v>0.98877632</x:v>
      </x:c>
      <x:c r="L214" s="38" t="str">
        <x:f>IF(A214="","",IF(J214=0,"Soldé","En cours"))</x:f>
        <x:v>En cours</x:v>
      </x:c>
      <x:c r="M214" s="73">
        <x:f>IF(A214="","",ROUND(SUM($G$8:G214),2))</x:f>
        <x:v>92023.03</x:v>
      </x:c>
    </x:row>
    <x:row r="215" ht="20" customHeight="1">
      <x:c r="A215" s="75">
        <x:f>IF(OR($J214="",ROUND($J214,2)=0),"",$A214+1)</x:f>
        <x:v>208</x:v>
      </x:c>
      <x:c r="B215" s="76">
        <x:f>IF(A215="","",EDATE(Dashboard!$B$10,(A215-1)*(12/Dashboard!$B$9)))</x:f>
        <x:v>52413</x:v>
      </x:c>
      <x:c r="C215" s="77">
        <x:f>IF(A215="","",$J214)</x:f>
        <x:v>2805.92</x:v>
      </x:c>
      <x:c r="D215" s="77">
        <x:f>IF(A215="","",ROUND(MIN(Moteur!$B$3,C215+G215),2))</x:f>
        <x:v>1488.73</x:v>
      </x:c>
      <x:c r="E215" s="77">
        <x:f>IF(A215="","",ROUND(MIN(Dashboard!$B$11,MAX(0,C215-(D215-G215))),2))</x:f>
        <x:v>150</x:v>
      </x:c>
      <x:c r="F215" s="77">
        <x:f>IF(A215="","",ROUND(C215*Dashboard!$B$12/Dashboard!$B$9,2))</x:f>
        <x:v>0.7</x:v>
      </x:c>
      <x:c r="G215" s="77">
        <x:f>IF(A215="","",ROUND(C215*Moteur!$B$2,2))</x:f>
        <x:v>8.89</x:v>
      </x:c>
      <x:c r="H215" s="77">
        <x:f>IF(A215="","",ROUND(MIN(C215,D215-G215+E215),2))</x:f>
        <x:v>1629.84</x:v>
      </x:c>
      <x:c r="I215" s="77">
        <x:f>IF(A215="","",ROUND(D215+E215+F215,2))</x:f>
        <x:v>1639.43</x:v>
      </x:c>
      <x:c r="J215" s="77">
        <x:f>IF(A215="","",ROUND(MAX(0,C215-H215),2))</x:f>
        <x:v>1176.08</x:v>
      </x:c>
      <x:c r="K215" s="78">
        <x:f>IF(A215="","",1-(J215/Dashboard!$B$6))</x:f>
        <x:v>0.99529568</x:v>
      </x:c>
      <x:c r="L215" s="43" t="str">
        <x:f>IF(A215="","",IF(J215=0,"Soldé","En cours"))</x:f>
        <x:v>En cours</x:v>
      </x:c>
      <x:c r="M215" s="77">
        <x:f>IF(A215="","",ROUND(SUM($G$8:G215),2))</x:f>
        <x:v>92031.92</x:v>
      </x:c>
    </x:row>
    <x:row r="216" ht="20" customHeight="1">
      <x:c r="A216" s="71">
        <x:f>IF(OR($J215="",ROUND($J215,2)=0),"",$A215+1)</x:f>
        <x:v>209</x:v>
      </x:c>
      <x:c r="B216" s="72">
        <x:f>IF(A216="","",EDATE(Dashboard!$B$10,(A216-1)*(12/Dashboard!$B$9)))</x:f>
        <x:v>52444</x:v>
      </x:c>
      <x:c r="C216" s="73">
        <x:f>IF(A216="","",$J215)</x:f>
        <x:v>1176.08</x:v>
      </x:c>
      <x:c r="D216" s="73">
        <x:f>IF(A216="","",ROUND(MIN(Moteur!$B$3,C216+G216),2))</x:f>
        <x:v>1179.8</x:v>
      </x:c>
      <x:c r="E216" s="73">
        <x:f>IF(A216="","",ROUND(MIN(Dashboard!$B$11,MAX(0,C216-(D216-G216))),2))</x:f>
        <x:v>0</x:v>
      </x:c>
      <x:c r="F216" s="73">
        <x:f>IF(A216="","",ROUND(C216*Dashboard!$B$12/Dashboard!$B$9,2))</x:f>
        <x:v>0.29</x:v>
      </x:c>
      <x:c r="G216" s="73">
        <x:f>IF(A216="","",ROUND(C216*Moteur!$B$2,2))</x:f>
        <x:v>3.72</x:v>
      </x:c>
      <x:c r="H216" s="73">
        <x:f>IF(A216="","",ROUND(MIN(C216,D216-G216+E216),2))</x:f>
        <x:v>1176.08</x:v>
      </x:c>
      <x:c r="I216" s="73">
        <x:f>IF(A216="","",ROUND(D216+E216+F216,2))</x:f>
        <x:v>1180.09</x:v>
      </x:c>
      <x:c r="J216" s="73">
        <x:f>IF(A216="","",ROUND(MAX(0,C216-H216),2))</x:f>
        <x:v>0</x:v>
      </x:c>
      <x:c r="K216" s="74">
        <x:f>IF(A216="","",1-(J216/Dashboard!$B$6))</x:f>
        <x:v>1</x:v>
      </x:c>
      <x:c r="L216" s="38" t="str">
        <x:f>IF(A216="","",IF(J216=0,"Soldé","En cours"))</x:f>
        <x:v>Soldé</x:v>
      </x:c>
      <x:c r="M216" s="73">
        <x:f>IF(A216="","",ROUND(SUM($G$8:G216),2))</x:f>
        <x:v>92035.64</x:v>
      </x:c>
    </x:row>
    <x:row r="217" ht="20" customHeight="1">
      <x:c r="A217" s="75">
        <x:f>IF(OR($J216="",ROUND($J216,2)=0),"",$A216+1)</x:f>
      </x:c>
      <x:c r="B217" s="76">
        <x:f>IF(A217="","",EDATE(Dashboard!$B$10,(A217-1)*(12/Dashboard!$B$9)))</x:f>
      </x:c>
      <x:c r="C217" s="77">
        <x:f>IF(A217="","",$J216)</x:f>
      </x:c>
      <x:c r="D217" s="77">
        <x:f>IF(A217="","",ROUND(MIN(Moteur!$B$3,C217+G217),2))</x:f>
      </x:c>
      <x:c r="E217" s="77">
        <x:f>IF(A217="","",ROUND(MIN(Dashboard!$B$11,MAX(0,C217-(D217-G217))),2))</x:f>
      </x:c>
      <x:c r="F217" s="77">
        <x:f>IF(A217="","",ROUND(C217*Dashboard!$B$12/Dashboard!$B$9,2))</x:f>
      </x:c>
      <x:c r="G217" s="77">
        <x:f>IF(A217="","",ROUND(C217*Moteur!$B$2,2))</x:f>
      </x:c>
      <x:c r="H217" s="77">
        <x:f>IF(A217="","",ROUND(MIN(C217,D217-G217+E217),2))</x:f>
      </x:c>
      <x:c r="I217" s="77">
        <x:f>IF(A217="","",ROUND(D217+E217+F217,2))</x:f>
      </x:c>
      <x:c r="J217" s="77">
        <x:f>IF(A217="","",ROUND(MAX(0,C217-H217),2))</x:f>
      </x:c>
      <x:c r="K217" s="78">
        <x:f>IF(A217="","",1-(J217/Dashboard!$B$6))</x:f>
      </x:c>
      <x:c r="L217" s="43">
        <x:f>IF(A217="","",IF(J217=0,"Soldé","En cours"))</x:f>
      </x:c>
      <x:c r="M217" s="77">
        <x:f>IF(A217="","",ROUND(SUM($G$8:G217),2))</x:f>
      </x:c>
    </x:row>
    <x:row r="218" ht="20" customHeight="1">
      <x:c r="A218" s="71">
        <x:f>IF(OR($J217="",ROUND($J217,2)=0),"",$A217+1)</x:f>
      </x:c>
      <x:c r="B218" s="72">
        <x:f>IF(A218="","",EDATE(Dashboard!$B$10,(A218-1)*(12/Dashboard!$B$9)))</x:f>
      </x:c>
      <x:c r="C218" s="73">
        <x:f>IF(A218="","",$J217)</x:f>
      </x:c>
      <x:c r="D218" s="73">
        <x:f>IF(A218="","",ROUND(MIN(Moteur!$B$3,C218+G218),2))</x:f>
      </x:c>
      <x:c r="E218" s="73">
        <x:f>IF(A218="","",ROUND(MIN(Dashboard!$B$11,MAX(0,C218-(D218-G218))),2))</x:f>
      </x:c>
      <x:c r="F218" s="73">
        <x:f>IF(A218="","",ROUND(C218*Dashboard!$B$12/Dashboard!$B$9,2))</x:f>
      </x:c>
      <x:c r="G218" s="73">
        <x:f>IF(A218="","",ROUND(C218*Moteur!$B$2,2))</x:f>
      </x:c>
      <x:c r="H218" s="73">
        <x:f>IF(A218="","",ROUND(MIN(C218,D218-G218+E218),2))</x:f>
      </x:c>
      <x:c r="I218" s="73">
        <x:f>IF(A218="","",ROUND(D218+E218+F218,2))</x:f>
      </x:c>
      <x:c r="J218" s="73">
        <x:f>IF(A218="","",ROUND(MAX(0,C218-H218),2))</x:f>
      </x:c>
      <x:c r="K218" s="74">
        <x:f>IF(A218="","",1-(J218/Dashboard!$B$6))</x:f>
      </x:c>
      <x:c r="L218" s="38">
        <x:f>IF(A218="","",IF(J218=0,"Soldé","En cours"))</x:f>
      </x:c>
      <x:c r="M218" s="73">
        <x:f>IF(A218="","",ROUND(SUM($G$8:G218),2))</x:f>
      </x:c>
    </x:row>
    <x:row r="219" ht="20" customHeight="1">
      <x:c r="A219" s="75">
        <x:f>IF(OR($J218="",ROUND($J218,2)=0),"",$A218+1)</x:f>
      </x:c>
      <x:c r="B219" s="76">
        <x:f>IF(A219="","",EDATE(Dashboard!$B$10,(A219-1)*(12/Dashboard!$B$9)))</x:f>
      </x:c>
      <x:c r="C219" s="77">
        <x:f>IF(A219="","",$J218)</x:f>
      </x:c>
      <x:c r="D219" s="77">
        <x:f>IF(A219="","",ROUND(MIN(Moteur!$B$3,C219+G219),2))</x:f>
      </x:c>
      <x:c r="E219" s="77">
        <x:f>IF(A219="","",ROUND(MIN(Dashboard!$B$11,MAX(0,C219-(D219-G219))),2))</x:f>
      </x:c>
      <x:c r="F219" s="77">
        <x:f>IF(A219="","",ROUND(C219*Dashboard!$B$12/Dashboard!$B$9,2))</x:f>
      </x:c>
      <x:c r="G219" s="77">
        <x:f>IF(A219="","",ROUND(C219*Moteur!$B$2,2))</x:f>
      </x:c>
      <x:c r="H219" s="77">
        <x:f>IF(A219="","",ROUND(MIN(C219,D219-G219+E219),2))</x:f>
      </x:c>
      <x:c r="I219" s="77">
        <x:f>IF(A219="","",ROUND(D219+E219+F219,2))</x:f>
      </x:c>
      <x:c r="J219" s="77">
        <x:f>IF(A219="","",ROUND(MAX(0,C219-H219),2))</x:f>
      </x:c>
      <x:c r="K219" s="78">
        <x:f>IF(A219="","",1-(J219/Dashboard!$B$6))</x:f>
      </x:c>
      <x:c r="L219" s="43">
        <x:f>IF(A219="","",IF(J219=0,"Soldé","En cours"))</x:f>
      </x:c>
      <x:c r="M219" s="77">
        <x:f>IF(A219="","",ROUND(SUM($G$8:G219),2))</x:f>
      </x:c>
    </x:row>
    <x:row r="220" ht="20" customHeight="1">
      <x:c r="A220" s="71">
        <x:f>IF(OR($J219="",ROUND($J219,2)=0),"",$A219+1)</x:f>
      </x:c>
      <x:c r="B220" s="72">
        <x:f>IF(A220="","",EDATE(Dashboard!$B$10,(A220-1)*(12/Dashboard!$B$9)))</x:f>
      </x:c>
      <x:c r="C220" s="73">
        <x:f>IF(A220="","",$J219)</x:f>
      </x:c>
      <x:c r="D220" s="73">
        <x:f>IF(A220="","",ROUND(MIN(Moteur!$B$3,C220+G220),2))</x:f>
      </x:c>
      <x:c r="E220" s="73">
        <x:f>IF(A220="","",ROUND(MIN(Dashboard!$B$11,MAX(0,C220-(D220-G220))),2))</x:f>
      </x:c>
      <x:c r="F220" s="73">
        <x:f>IF(A220="","",ROUND(C220*Dashboard!$B$12/Dashboard!$B$9,2))</x:f>
      </x:c>
      <x:c r="G220" s="73">
        <x:f>IF(A220="","",ROUND(C220*Moteur!$B$2,2))</x:f>
      </x:c>
      <x:c r="H220" s="73">
        <x:f>IF(A220="","",ROUND(MIN(C220,D220-G220+E220),2))</x:f>
      </x:c>
      <x:c r="I220" s="73">
        <x:f>IF(A220="","",ROUND(D220+E220+F220,2))</x:f>
      </x:c>
      <x:c r="J220" s="73">
        <x:f>IF(A220="","",ROUND(MAX(0,C220-H220),2))</x:f>
      </x:c>
      <x:c r="K220" s="74">
        <x:f>IF(A220="","",1-(J220/Dashboard!$B$6))</x:f>
      </x:c>
      <x:c r="L220" s="38">
        <x:f>IF(A220="","",IF(J220=0,"Soldé","En cours"))</x:f>
      </x:c>
      <x:c r="M220" s="73">
        <x:f>IF(A220="","",ROUND(SUM($G$8:G220),2))</x:f>
      </x:c>
    </x:row>
    <x:row r="221" ht="20" customHeight="1">
      <x:c r="A221" s="75">
        <x:f>IF(OR($J220="",ROUND($J220,2)=0),"",$A220+1)</x:f>
      </x:c>
      <x:c r="B221" s="76">
        <x:f>IF(A221="","",EDATE(Dashboard!$B$10,(A221-1)*(12/Dashboard!$B$9)))</x:f>
      </x:c>
      <x:c r="C221" s="77">
        <x:f>IF(A221="","",$J220)</x:f>
      </x:c>
      <x:c r="D221" s="77">
        <x:f>IF(A221="","",ROUND(MIN(Moteur!$B$3,C221+G221),2))</x:f>
      </x:c>
      <x:c r="E221" s="77">
        <x:f>IF(A221="","",ROUND(MIN(Dashboard!$B$11,MAX(0,C221-(D221-G221))),2))</x:f>
      </x:c>
      <x:c r="F221" s="77">
        <x:f>IF(A221="","",ROUND(C221*Dashboard!$B$12/Dashboard!$B$9,2))</x:f>
      </x:c>
      <x:c r="G221" s="77">
        <x:f>IF(A221="","",ROUND(C221*Moteur!$B$2,2))</x:f>
      </x:c>
      <x:c r="H221" s="77">
        <x:f>IF(A221="","",ROUND(MIN(C221,D221-G221+E221),2))</x:f>
      </x:c>
      <x:c r="I221" s="77">
        <x:f>IF(A221="","",ROUND(D221+E221+F221,2))</x:f>
      </x:c>
      <x:c r="J221" s="77">
        <x:f>IF(A221="","",ROUND(MAX(0,C221-H221),2))</x:f>
      </x:c>
      <x:c r="K221" s="78">
        <x:f>IF(A221="","",1-(J221/Dashboard!$B$6))</x:f>
      </x:c>
      <x:c r="L221" s="43">
        <x:f>IF(A221="","",IF(J221=0,"Soldé","En cours"))</x:f>
      </x:c>
      <x:c r="M221" s="77">
        <x:f>IF(A221="","",ROUND(SUM($G$8:G221),2))</x:f>
      </x:c>
    </x:row>
    <x:row r="222" ht="20" customHeight="1">
      <x:c r="A222" s="71">
        <x:f>IF(OR($J221="",ROUND($J221,2)=0),"",$A221+1)</x:f>
      </x:c>
      <x:c r="B222" s="72">
        <x:f>IF(A222="","",EDATE(Dashboard!$B$10,(A222-1)*(12/Dashboard!$B$9)))</x:f>
      </x:c>
      <x:c r="C222" s="73">
        <x:f>IF(A222="","",$J221)</x:f>
      </x:c>
      <x:c r="D222" s="73">
        <x:f>IF(A222="","",ROUND(MIN(Moteur!$B$3,C222+G222),2))</x:f>
      </x:c>
      <x:c r="E222" s="73">
        <x:f>IF(A222="","",ROUND(MIN(Dashboard!$B$11,MAX(0,C222-(D222-G222))),2))</x:f>
      </x:c>
      <x:c r="F222" s="73">
        <x:f>IF(A222="","",ROUND(C222*Dashboard!$B$12/Dashboard!$B$9,2))</x:f>
      </x:c>
      <x:c r="G222" s="73">
        <x:f>IF(A222="","",ROUND(C222*Moteur!$B$2,2))</x:f>
      </x:c>
      <x:c r="H222" s="73">
        <x:f>IF(A222="","",ROUND(MIN(C222,D222-G222+E222),2))</x:f>
      </x:c>
      <x:c r="I222" s="73">
        <x:f>IF(A222="","",ROUND(D222+E222+F222,2))</x:f>
      </x:c>
      <x:c r="J222" s="73">
        <x:f>IF(A222="","",ROUND(MAX(0,C222-H222),2))</x:f>
      </x:c>
      <x:c r="K222" s="74">
        <x:f>IF(A222="","",1-(J222/Dashboard!$B$6))</x:f>
      </x:c>
      <x:c r="L222" s="38">
        <x:f>IF(A222="","",IF(J222=0,"Soldé","En cours"))</x:f>
      </x:c>
      <x:c r="M222" s="73">
        <x:f>IF(A222="","",ROUND(SUM($G$8:G222),2))</x:f>
      </x:c>
    </x:row>
    <x:row r="223" ht="20" customHeight="1">
      <x:c r="A223" s="75">
        <x:f>IF(OR($J222="",ROUND($J222,2)=0),"",$A222+1)</x:f>
      </x:c>
      <x:c r="B223" s="76">
        <x:f>IF(A223="","",EDATE(Dashboard!$B$10,(A223-1)*(12/Dashboard!$B$9)))</x:f>
      </x:c>
      <x:c r="C223" s="77">
        <x:f>IF(A223="","",$J222)</x:f>
      </x:c>
      <x:c r="D223" s="77">
        <x:f>IF(A223="","",ROUND(MIN(Moteur!$B$3,C223+G223),2))</x:f>
      </x:c>
      <x:c r="E223" s="77">
        <x:f>IF(A223="","",ROUND(MIN(Dashboard!$B$11,MAX(0,C223-(D223-G223))),2))</x:f>
      </x:c>
      <x:c r="F223" s="77">
        <x:f>IF(A223="","",ROUND(C223*Dashboard!$B$12/Dashboard!$B$9,2))</x:f>
      </x:c>
      <x:c r="G223" s="77">
        <x:f>IF(A223="","",ROUND(C223*Moteur!$B$2,2))</x:f>
      </x:c>
      <x:c r="H223" s="77">
        <x:f>IF(A223="","",ROUND(MIN(C223,D223-G223+E223),2))</x:f>
      </x:c>
      <x:c r="I223" s="77">
        <x:f>IF(A223="","",ROUND(D223+E223+F223,2))</x:f>
      </x:c>
      <x:c r="J223" s="77">
        <x:f>IF(A223="","",ROUND(MAX(0,C223-H223),2))</x:f>
      </x:c>
      <x:c r="K223" s="78">
        <x:f>IF(A223="","",1-(J223/Dashboard!$B$6))</x:f>
      </x:c>
      <x:c r="L223" s="43">
        <x:f>IF(A223="","",IF(J223=0,"Soldé","En cours"))</x:f>
      </x:c>
      <x:c r="M223" s="77">
        <x:f>IF(A223="","",ROUND(SUM($G$8:G223),2))</x:f>
      </x:c>
    </x:row>
    <x:row r="224" ht="20" customHeight="1">
      <x:c r="A224" s="71">
        <x:f>IF(OR($J223="",ROUND($J223,2)=0),"",$A223+1)</x:f>
      </x:c>
      <x:c r="B224" s="72">
        <x:f>IF(A224="","",EDATE(Dashboard!$B$10,(A224-1)*(12/Dashboard!$B$9)))</x:f>
      </x:c>
      <x:c r="C224" s="73">
        <x:f>IF(A224="","",$J223)</x:f>
      </x:c>
      <x:c r="D224" s="73">
        <x:f>IF(A224="","",ROUND(MIN(Moteur!$B$3,C224+G224),2))</x:f>
      </x:c>
      <x:c r="E224" s="73">
        <x:f>IF(A224="","",ROUND(MIN(Dashboard!$B$11,MAX(0,C224-(D224-G224))),2))</x:f>
      </x:c>
      <x:c r="F224" s="73">
        <x:f>IF(A224="","",ROUND(C224*Dashboard!$B$12/Dashboard!$B$9,2))</x:f>
      </x:c>
      <x:c r="G224" s="73">
        <x:f>IF(A224="","",ROUND(C224*Moteur!$B$2,2))</x:f>
      </x:c>
      <x:c r="H224" s="73">
        <x:f>IF(A224="","",ROUND(MIN(C224,D224-G224+E224),2))</x:f>
      </x:c>
      <x:c r="I224" s="73">
        <x:f>IF(A224="","",ROUND(D224+E224+F224,2))</x:f>
      </x:c>
      <x:c r="J224" s="73">
        <x:f>IF(A224="","",ROUND(MAX(0,C224-H224),2))</x:f>
      </x:c>
      <x:c r="K224" s="74">
        <x:f>IF(A224="","",1-(J224/Dashboard!$B$6))</x:f>
      </x:c>
      <x:c r="L224" s="38">
        <x:f>IF(A224="","",IF(J224=0,"Soldé","En cours"))</x:f>
      </x:c>
      <x:c r="M224" s="73">
        <x:f>IF(A224="","",ROUND(SUM($G$8:G224),2))</x:f>
      </x:c>
    </x:row>
    <x:row r="225" ht="20" customHeight="1">
      <x:c r="A225" s="75">
        <x:f>IF(OR($J224="",ROUND($J224,2)=0),"",$A224+1)</x:f>
      </x:c>
      <x:c r="B225" s="76">
        <x:f>IF(A225="","",EDATE(Dashboard!$B$10,(A225-1)*(12/Dashboard!$B$9)))</x:f>
      </x:c>
      <x:c r="C225" s="77">
        <x:f>IF(A225="","",$J224)</x:f>
      </x:c>
      <x:c r="D225" s="77">
        <x:f>IF(A225="","",ROUND(MIN(Moteur!$B$3,C225+G225),2))</x:f>
      </x:c>
      <x:c r="E225" s="77">
        <x:f>IF(A225="","",ROUND(MIN(Dashboard!$B$11,MAX(0,C225-(D225-G225))),2))</x:f>
      </x:c>
      <x:c r="F225" s="77">
        <x:f>IF(A225="","",ROUND(C225*Dashboard!$B$12/Dashboard!$B$9,2))</x:f>
      </x:c>
      <x:c r="G225" s="77">
        <x:f>IF(A225="","",ROUND(C225*Moteur!$B$2,2))</x:f>
      </x:c>
      <x:c r="H225" s="77">
        <x:f>IF(A225="","",ROUND(MIN(C225,D225-G225+E225),2))</x:f>
      </x:c>
      <x:c r="I225" s="77">
        <x:f>IF(A225="","",ROUND(D225+E225+F225,2))</x:f>
      </x:c>
      <x:c r="J225" s="77">
        <x:f>IF(A225="","",ROUND(MAX(0,C225-H225),2))</x:f>
      </x:c>
      <x:c r="K225" s="78">
        <x:f>IF(A225="","",1-(J225/Dashboard!$B$6))</x:f>
      </x:c>
      <x:c r="L225" s="43">
        <x:f>IF(A225="","",IF(J225=0,"Soldé","En cours"))</x:f>
      </x:c>
      <x:c r="M225" s="77">
        <x:f>IF(A225="","",ROUND(SUM($G$8:G225),2))</x:f>
      </x:c>
    </x:row>
    <x:row r="226" ht="20" customHeight="1">
      <x:c r="A226" s="71">
        <x:f>IF(OR($J225="",ROUND($J225,2)=0),"",$A225+1)</x:f>
      </x:c>
      <x:c r="B226" s="72">
        <x:f>IF(A226="","",EDATE(Dashboard!$B$10,(A226-1)*(12/Dashboard!$B$9)))</x:f>
      </x:c>
      <x:c r="C226" s="73">
        <x:f>IF(A226="","",$J225)</x:f>
      </x:c>
      <x:c r="D226" s="73">
        <x:f>IF(A226="","",ROUND(MIN(Moteur!$B$3,C226+G226),2))</x:f>
      </x:c>
      <x:c r="E226" s="73">
        <x:f>IF(A226="","",ROUND(MIN(Dashboard!$B$11,MAX(0,C226-(D226-G226))),2))</x:f>
      </x:c>
      <x:c r="F226" s="73">
        <x:f>IF(A226="","",ROUND(C226*Dashboard!$B$12/Dashboard!$B$9,2))</x:f>
      </x:c>
      <x:c r="G226" s="73">
        <x:f>IF(A226="","",ROUND(C226*Moteur!$B$2,2))</x:f>
      </x:c>
      <x:c r="H226" s="73">
        <x:f>IF(A226="","",ROUND(MIN(C226,D226-G226+E226),2))</x:f>
      </x:c>
      <x:c r="I226" s="73">
        <x:f>IF(A226="","",ROUND(D226+E226+F226,2))</x:f>
      </x:c>
      <x:c r="J226" s="73">
        <x:f>IF(A226="","",ROUND(MAX(0,C226-H226),2))</x:f>
      </x:c>
      <x:c r="K226" s="74">
        <x:f>IF(A226="","",1-(J226/Dashboard!$B$6))</x:f>
      </x:c>
      <x:c r="L226" s="38">
        <x:f>IF(A226="","",IF(J226=0,"Soldé","En cours"))</x:f>
      </x:c>
      <x:c r="M226" s="73">
        <x:f>IF(A226="","",ROUND(SUM($G$8:G226),2))</x:f>
      </x:c>
    </x:row>
    <x:row r="227" ht="20" customHeight="1">
      <x:c r="A227" s="75">
        <x:f>IF(OR($J226="",ROUND($J226,2)=0),"",$A226+1)</x:f>
      </x:c>
      <x:c r="B227" s="76">
        <x:f>IF(A227="","",EDATE(Dashboard!$B$10,(A227-1)*(12/Dashboard!$B$9)))</x:f>
      </x:c>
      <x:c r="C227" s="77">
        <x:f>IF(A227="","",$J226)</x:f>
      </x:c>
      <x:c r="D227" s="77">
        <x:f>IF(A227="","",ROUND(MIN(Moteur!$B$3,C227+G227),2))</x:f>
      </x:c>
      <x:c r="E227" s="77">
        <x:f>IF(A227="","",ROUND(MIN(Dashboard!$B$11,MAX(0,C227-(D227-G227))),2))</x:f>
      </x:c>
      <x:c r="F227" s="77">
        <x:f>IF(A227="","",ROUND(C227*Dashboard!$B$12/Dashboard!$B$9,2))</x:f>
      </x:c>
      <x:c r="G227" s="77">
        <x:f>IF(A227="","",ROUND(C227*Moteur!$B$2,2))</x:f>
      </x:c>
      <x:c r="H227" s="77">
        <x:f>IF(A227="","",ROUND(MIN(C227,D227-G227+E227),2))</x:f>
      </x:c>
      <x:c r="I227" s="77">
        <x:f>IF(A227="","",ROUND(D227+E227+F227,2))</x:f>
      </x:c>
      <x:c r="J227" s="77">
        <x:f>IF(A227="","",ROUND(MAX(0,C227-H227),2))</x:f>
      </x:c>
      <x:c r="K227" s="78">
        <x:f>IF(A227="","",1-(J227/Dashboard!$B$6))</x:f>
      </x:c>
      <x:c r="L227" s="43">
        <x:f>IF(A227="","",IF(J227=0,"Soldé","En cours"))</x:f>
      </x:c>
      <x:c r="M227" s="77">
        <x:f>IF(A227="","",ROUND(SUM($G$8:G227),2))</x:f>
      </x:c>
    </x:row>
    <x:row r="228" ht="20" customHeight="1">
      <x:c r="A228" s="71">
        <x:f>IF(OR($J227="",ROUND($J227,2)=0),"",$A227+1)</x:f>
      </x:c>
      <x:c r="B228" s="72">
        <x:f>IF(A228="","",EDATE(Dashboard!$B$10,(A228-1)*(12/Dashboard!$B$9)))</x:f>
      </x:c>
      <x:c r="C228" s="73">
        <x:f>IF(A228="","",$J227)</x:f>
      </x:c>
      <x:c r="D228" s="73">
        <x:f>IF(A228="","",ROUND(MIN(Moteur!$B$3,C228+G228),2))</x:f>
      </x:c>
      <x:c r="E228" s="73">
        <x:f>IF(A228="","",ROUND(MIN(Dashboard!$B$11,MAX(0,C228-(D228-G228))),2))</x:f>
      </x:c>
      <x:c r="F228" s="73">
        <x:f>IF(A228="","",ROUND(C228*Dashboard!$B$12/Dashboard!$B$9,2))</x:f>
      </x:c>
      <x:c r="G228" s="73">
        <x:f>IF(A228="","",ROUND(C228*Moteur!$B$2,2))</x:f>
      </x:c>
      <x:c r="H228" s="73">
        <x:f>IF(A228="","",ROUND(MIN(C228,D228-G228+E228),2))</x:f>
      </x:c>
      <x:c r="I228" s="73">
        <x:f>IF(A228="","",ROUND(D228+E228+F228,2))</x:f>
      </x:c>
      <x:c r="J228" s="73">
        <x:f>IF(A228="","",ROUND(MAX(0,C228-H228),2))</x:f>
      </x:c>
      <x:c r="K228" s="74">
        <x:f>IF(A228="","",1-(J228/Dashboard!$B$6))</x:f>
      </x:c>
      <x:c r="L228" s="38">
        <x:f>IF(A228="","",IF(J228=0,"Soldé","En cours"))</x:f>
      </x:c>
      <x:c r="M228" s="73">
        <x:f>IF(A228="","",ROUND(SUM($G$8:G228),2))</x:f>
      </x:c>
    </x:row>
    <x:row r="229" ht="20" customHeight="1">
      <x:c r="A229" s="75">
        <x:f>IF(OR($J228="",ROUND($J228,2)=0),"",$A228+1)</x:f>
      </x:c>
      <x:c r="B229" s="76">
        <x:f>IF(A229="","",EDATE(Dashboard!$B$10,(A229-1)*(12/Dashboard!$B$9)))</x:f>
      </x:c>
      <x:c r="C229" s="77">
        <x:f>IF(A229="","",$J228)</x:f>
      </x:c>
      <x:c r="D229" s="77">
        <x:f>IF(A229="","",ROUND(MIN(Moteur!$B$3,C229+G229),2))</x:f>
      </x:c>
      <x:c r="E229" s="77">
        <x:f>IF(A229="","",ROUND(MIN(Dashboard!$B$11,MAX(0,C229-(D229-G229))),2))</x:f>
      </x:c>
      <x:c r="F229" s="77">
        <x:f>IF(A229="","",ROUND(C229*Dashboard!$B$12/Dashboard!$B$9,2))</x:f>
      </x:c>
      <x:c r="G229" s="77">
        <x:f>IF(A229="","",ROUND(C229*Moteur!$B$2,2))</x:f>
      </x:c>
      <x:c r="H229" s="77">
        <x:f>IF(A229="","",ROUND(MIN(C229,D229-G229+E229),2))</x:f>
      </x:c>
      <x:c r="I229" s="77">
        <x:f>IF(A229="","",ROUND(D229+E229+F229,2))</x:f>
      </x:c>
      <x:c r="J229" s="77">
        <x:f>IF(A229="","",ROUND(MAX(0,C229-H229),2))</x:f>
      </x:c>
      <x:c r="K229" s="78">
        <x:f>IF(A229="","",1-(J229/Dashboard!$B$6))</x:f>
      </x:c>
      <x:c r="L229" s="43">
        <x:f>IF(A229="","",IF(J229=0,"Soldé","En cours"))</x:f>
      </x:c>
      <x:c r="M229" s="77">
        <x:f>IF(A229="","",ROUND(SUM($G$8:G229),2))</x:f>
      </x:c>
    </x:row>
    <x:row r="230" ht="20" customHeight="1">
      <x:c r="A230" s="71">
        <x:f>IF(OR($J229="",ROUND($J229,2)=0),"",$A229+1)</x:f>
      </x:c>
      <x:c r="B230" s="72">
        <x:f>IF(A230="","",EDATE(Dashboard!$B$10,(A230-1)*(12/Dashboard!$B$9)))</x:f>
      </x:c>
      <x:c r="C230" s="73">
        <x:f>IF(A230="","",$J229)</x:f>
      </x:c>
      <x:c r="D230" s="73">
        <x:f>IF(A230="","",ROUND(MIN(Moteur!$B$3,C230+G230),2))</x:f>
      </x:c>
      <x:c r="E230" s="73">
        <x:f>IF(A230="","",ROUND(MIN(Dashboard!$B$11,MAX(0,C230-(D230-G230))),2))</x:f>
      </x:c>
      <x:c r="F230" s="73">
        <x:f>IF(A230="","",ROUND(C230*Dashboard!$B$12/Dashboard!$B$9,2))</x:f>
      </x:c>
      <x:c r="G230" s="73">
        <x:f>IF(A230="","",ROUND(C230*Moteur!$B$2,2))</x:f>
      </x:c>
      <x:c r="H230" s="73">
        <x:f>IF(A230="","",ROUND(MIN(C230,D230-G230+E230),2))</x:f>
      </x:c>
      <x:c r="I230" s="73">
        <x:f>IF(A230="","",ROUND(D230+E230+F230,2))</x:f>
      </x:c>
      <x:c r="J230" s="73">
        <x:f>IF(A230="","",ROUND(MAX(0,C230-H230),2))</x:f>
      </x:c>
      <x:c r="K230" s="74">
        <x:f>IF(A230="","",1-(J230/Dashboard!$B$6))</x:f>
      </x:c>
      <x:c r="L230" s="38">
        <x:f>IF(A230="","",IF(J230=0,"Soldé","En cours"))</x:f>
      </x:c>
      <x:c r="M230" s="73">
        <x:f>IF(A230="","",ROUND(SUM($G$8:G230),2))</x:f>
      </x:c>
    </x:row>
    <x:row r="231" ht="20" customHeight="1">
      <x:c r="A231" s="75">
        <x:f>IF(OR($J230="",ROUND($J230,2)=0),"",$A230+1)</x:f>
      </x:c>
      <x:c r="B231" s="76">
        <x:f>IF(A231="","",EDATE(Dashboard!$B$10,(A231-1)*(12/Dashboard!$B$9)))</x:f>
      </x:c>
      <x:c r="C231" s="77">
        <x:f>IF(A231="","",$J230)</x:f>
      </x:c>
      <x:c r="D231" s="77">
        <x:f>IF(A231="","",ROUND(MIN(Moteur!$B$3,C231+G231),2))</x:f>
      </x:c>
      <x:c r="E231" s="77">
        <x:f>IF(A231="","",ROUND(MIN(Dashboard!$B$11,MAX(0,C231-(D231-G231))),2))</x:f>
      </x:c>
      <x:c r="F231" s="77">
        <x:f>IF(A231="","",ROUND(C231*Dashboard!$B$12/Dashboard!$B$9,2))</x:f>
      </x:c>
      <x:c r="G231" s="77">
        <x:f>IF(A231="","",ROUND(C231*Moteur!$B$2,2))</x:f>
      </x:c>
      <x:c r="H231" s="77">
        <x:f>IF(A231="","",ROUND(MIN(C231,D231-G231+E231),2))</x:f>
      </x:c>
      <x:c r="I231" s="77">
        <x:f>IF(A231="","",ROUND(D231+E231+F231,2))</x:f>
      </x:c>
      <x:c r="J231" s="77">
        <x:f>IF(A231="","",ROUND(MAX(0,C231-H231),2))</x:f>
      </x:c>
      <x:c r="K231" s="78">
        <x:f>IF(A231="","",1-(J231/Dashboard!$B$6))</x:f>
      </x:c>
      <x:c r="L231" s="43">
        <x:f>IF(A231="","",IF(J231=0,"Soldé","En cours"))</x:f>
      </x:c>
      <x:c r="M231" s="77">
        <x:f>IF(A231="","",ROUND(SUM($G$8:G231),2))</x:f>
      </x:c>
    </x:row>
    <x:row r="232" ht="20" customHeight="1">
      <x:c r="A232" s="71">
        <x:f>IF(OR($J231="",ROUND($J231,2)=0),"",$A231+1)</x:f>
      </x:c>
      <x:c r="B232" s="72">
        <x:f>IF(A232="","",EDATE(Dashboard!$B$10,(A232-1)*(12/Dashboard!$B$9)))</x:f>
      </x:c>
      <x:c r="C232" s="73">
        <x:f>IF(A232="","",$J231)</x:f>
      </x:c>
      <x:c r="D232" s="73">
        <x:f>IF(A232="","",ROUND(MIN(Moteur!$B$3,C232+G232),2))</x:f>
      </x:c>
      <x:c r="E232" s="73">
        <x:f>IF(A232="","",ROUND(MIN(Dashboard!$B$11,MAX(0,C232-(D232-G232))),2))</x:f>
      </x:c>
      <x:c r="F232" s="73">
        <x:f>IF(A232="","",ROUND(C232*Dashboard!$B$12/Dashboard!$B$9,2))</x:f>
      </x:c>
      <x:c r="G232" s="73">
        <x:f>IF(A232="","",ROUND(C232*Moteur!$B$2,2))</x:f>
      </x:c>
      <x:c r="H232" s="73">
        <x:f>IF(A232="","",ROUND(MIN(C232,D232-G232+E232),2))</x:f>
      </x:c>
      <x:c r="I232" s="73">
        <x:f>IF(A232="","",ROUND(D232+E232+F232,2))</x:f>
      </x:c>
      <x:c r="J232" s="73">
        <x:f>IF(A232="","",ROUND(MAX(0,C232-H232),2))</x:f>
      </x:c>
      <x:c r="K232" s="74">
        <x:f>IF(A232="","",1-(J232/Dashboard!$B$6))</x:f>
      </x:c>
      <x:c r="L232" s="38">
        <x:f>IF(A232="","",IF(J232=0,"Soldé","En cours"))</x:f>
      </x:c>
      <x:c r="M232" s="73">
        <x:f>IF(A232="","",ROUND(SUM($G$8:G232),2))</x:f>
      </x:c>
    </x:row>
    <x:row r="233" ht="20" customHeight="1">
      <x:c r="A233" s="75">
        <x:f>IF(OR($J232="",ROUND($J232,2)=0),"",$A232+1)</x:f>
      </x:c>
      <x:c r="B233" s="76">
        <x:f>IF(A233="","",EDATE(Dashboard!$B$10,(A233-1)*(12/Dashboard!$B$9)))</x:f>
      </x:c>
      <x:c r="C233" s="77">
        <x:f>IF(A233="","",$J232)</x:f>
      </x:c>
      <x:c r="D233" s="77">
        <x:f>IF(A233="","",ROUND(MIN(Moteur!$B$3,C233+G233),2))</x:f>
      </x:c>
      <x:c r="E233" s="77">
        <x:f>IF(A233="","",ROUND(MIN(Dashboard!$B$11,MAX(0,C233-(D233-G233))),2))</x:f>
      </x:c>
      <x:c r="F233" s="77">
        <x:f>IF(A233="","",ROUND(C233*Dashboard!$B$12/Dashboard!$B$9,2))</x:f>
      </x:c>
      <x:c r="G233" s="77">
        <x:f>IF(A233="","",ROUND(C233*Moteur!$B$2,2))</x:f>
      </x:c>
      <x:c r="H233" s="77">
        <x:f>IF(A233="","",ROUND(MIN(C233,D233-G233+E233),2))</x:f>
      </x:c>
      <x:c r="I233" s="77">
        <x:f>IF(A233="","",ROUND(D233+E233+F233,2))</x:f>
      </x:c>
      <x:c r="J233" s="77">
        <x:f>IF(A233="","",ROUND(MAX(0,C233-H233),2))</x:f>
      </x:c>
      <x:c r="K233" s="78">
        <x:f>IF(A233="","",1-(J233/Dashboard!$B$6))</x:f>
      </x:c>
      <x:c r="L233" s="43">
        <x:f>IF(A233="","",IF(J233=0,"Soldé","En cours"))</x:f>
      </x:c>
      <x:c r="M233" s="77">
        <x:f>IF(A233="","",ROUND(SUM($G$8:G233),2))</x:f>
      </x:c>
    </x:row>
    <x:row r="234" ht="20" customHeight="1">
      <x:c r="A234" s="71">
        <x:f>IF(OR($J233="",ROUND($J233,2)=0),"",$A233+1)</x:f>
      </x:c>
      <x:c r="B234" s="72">
        <x:f>IF(A234="","",EDATE(Dashboard!$B$10,(A234-1)*(12/Dashboard!$B$9)))</x:f>
      </x:c>
      <x:c r="C234" s="73">
        <x:f>IF(A234="","",$J233)</x:f>
      </x:c>
      <x:c r="D234" s="73">
        <x:f>IF(A234="","",ROUND(MIN(Moteur!$B$3,C234+G234),2))</x:f>
      </x:c>
      <x:c r="E234" s="73">
        <x:f>IF(A234="","",ROUND(MIN(Dashboard!$B$11,MAX(0,C234-(D234-G234))),2))</x:f>
      </x:c>
      <x:c r="F234" s="73">
        <x:f>IF(A234="","",ROUND(C234*Dashboard!$B$12/Dashboard!$B$9,2))</x:f>
      </x:c>
      <x:c r="G234" s="73">
        <x:f>IF(A234="","",ROUND(C234*Moteur!$B$2,2))</x:f>
      </x:c>
      <x:c r="H234" s="73">
        <x:f>IF(A234="","",ROUND(MIN(C234,D234-G234+E234),2))</x:f>
      </x:c>
      <x:c r="I234" s="73">
        <x:f>IF(A234="","",ROUND(D234+E234+F234,2))</x:f>
      </x:c>
      <x:c r="J234" s="73">
        <x:f>IF(A234="","",ROUND(MAX(0,C234-H234),2))</x:f>
      </x:c>
      <x:c r="K234" s="74">
        <x:f>IF(A234="","",1-(J234/Dashboard!$B$6))</x:f>
      </x:c>
      <x:c r="L234" s="38">
        <x:f>IF(A234="","",IF(J234=0,"Soldé","En cours"))</x:f>
      </x:c>
      <x:c r="M234" s="73">
        <x:f>IF(A234="","",ROUND(SUM($G$8:G234),2))</x:f>
      </x:c>
    </x:row>
    <x:row r="235" ht="20" customHeight="1">
      <x:c r="A235" s="75">
        <x:f>IF(OR($J234="",ROUND($J234,2)=0),"",$A234+1)</x:f>
      </x:c>
      <x:c r="B235" s="76">
        <x:f>IF(A235="","",EDATE(Dashboard!$B$10,(A235-1)*(12/Dashboard!$B$9)))</x:f>
      </x:c>
      <x:c r="C235" s="77">
        <x:f>IF(A235="","",$J234)</x:f>
      </x:c>
      <x:c r="D235" s="77">
        <x:f>IF(A235="","",ROUND(MIN(Moteur!$B$3,C235+G235),2))</x:f>
      </x:c>
      <x:c r="E235" s="77">
        <x:f>IF(A235="","",ROUND(MIN(Dashboard!$B$11,MAX(0,C235-(D235-G235))),2))</x:f>
      </x:c>
      <x:c r="F235" s="77">
        <x:f>IF(A235="","",ROUND(C235*Dashboard!$B$12/Dashboard!$B$9,2))</x:f>
      </x:c>
      <x:c r="G235" s="77">
        <x:f>IF(A235="","",ROUND(C235*Moteur!$B$2,2))</x:f>
      </x:c>
      <x:c r="H235" s="77">
        <x:f>IF(A235="","",ROUND(MIN(C235,D235-G235+E235),2))</x:f>
      </x:c>
      <x:c r="I235" s="77">
        <x:f>IF(A235="","",ROUND(D235+E235+F235,2))</x:f>
      </x:c>
      <x:c r="J235" s="77">
        <x:f>IF(A235="","",ROUND(MAX(0,C235-H235),2))</x:f>
      </x:c>
      <x:c r="K235" s="78">
        <x:f>IF(A235="","",1-(J235/Dashboard!$B$6))</x:f>
      </x:c>
      <x:c r="L235" s="43">
        <x:f>IF(A235="","",IF(J235=0,"Soldé","En cours"))</x:f>
      </x:c>
      <x:c r="M235" s="77">
        <x:f>IF(A235="","",ROUND(SUM($G$8:G235),2))</x:f>
      </x:c>
    </x:row>
    <x:row r="236" ht="20" customHeight="1">
      <x:c r="A236" s="71">
        <x:f>IF(OR($J235="",ROUND($J235,2)=0),"",$A235+1)</x:f>
      </x:c>
      <x:c r="B236" s="72">
        <x:f>IF(A236="","",EDATE(Dashboard!$B$10,(A236-1)*(12/Dashboard!$B$9)))</x:f>
      </x:c>
      <x:c r="C236" s="73">
        <x:f>IF(A236="","",$J235)</x:f>
      </x:c>
      <x:c r="D236" s="73">
        <x:f>IF(A236="","",ROUND(MIN(Moteur!$B$3,C236+G236),2))</x:f>
      </x:c>
      <x:c r="E236" s="73">
        <x:f>IF(A236="","",ROUND(MIN(Dashboard!$B$11,MAX(0,C236-(D236-G236))),2))</x:f>
      </x:c>
      <x:c r="F236" s="73">
        <x:f>IF(A236="","",ROUND(C236*Dashboard!$B$12/Dashboard!$B$9,2))</x:f>
      </x:c>
      <x:c r="G236" s="73">
        <x:f>IF(A236="","",ROUND(C236*Moteur!$B$2,2))</x:f>
      </x:c>
      <x:c r="H236" s="73">
        <x:f>IF(A236="","",ROUND(MIN(C236,D236-G236+E236),2))</x:f>
      </x:c>
      <x:c r="I236" s="73">
        <x:f>IF(A236="","",ROUND(D236+E236+F236,2))</x:f>
      </x:c>
      <x:c r="J236" s="73">
        <x:f>IF(A236="","",ROUND(MAX(0,C236-H236),2))</x:f>
      </x:c>
      <x:c r="K236" s="74">
        <x:f>IF(A236="","",1-(J236/Dashboard!$B$6))</x:f>
      </x:c>
      <x:c r="L236" s="38">
        <x:f>IF(A236="","",IF(J236=0,"Soldé","En cours"))</x:f>
      </x:c>
      <x:c r="M236" s="73">
        <x:f>IF(A236="","",ROUND(SUM($G$8:G236),2))</x:f>
      </x:c>
    </x:row>
    <x:row r="237" ht="20" customHeight="1">
      <x:c r="A237" s="75">
        <x:f>IF(OR($J236="",ROUND($J236,2)=0),"",$A236+1)</x:f>
      </x:c>
      <x:c r="B237" s="76">
        <x:f>IF(A237="","",EDATE(Dashboard!$B$10,(A237-1)*(12/Dashboard!$B$9)))</x:f>
      </x:c>
      <x:c r="C237" s="77">
        <x:f>IF(A237="","",$J236)</x:f>
      </x:c>
      <x:c r="D237" s="77">
        <x:f>IF(A237="","",ROUND(MIN(Moteur!$B$3,C237+G237),2))</x:f>
      </x:c>
      <x:c r="E237" s="77">
        <x:f>IF(A237="","",ROUND(MIN(Dashboard!$B$11,MAX(0,C237-(D237-G237))),2))</x:f>
      </x:c>
      <x:c r="F237" s="77">
        <x:f>IF(A237="","",ROUND(C237*Dashboard!$B$12/Dashboard!$B$9,2))</x:f>
      </x:c>
      <x:c r="G237" s="77">
        <x:f>IF(A237="","",ROUND(C237*Moteur!$B$2,2))</x:f>
      </x:c>
      <x:c r="H237" s="77">
        <x:f>IF(A237="","",ROUND(MIN(C237,D237-G237+E237),2))</x:f>
      </x:c>
      <x:c r="I237" s="77">
        <x:f>IF(A237="","",ROUND(D237+E237+F237,2))</x:f>
      </x:c>
      <x:c r="J237" s="77">
        <x:f>IF(A237="","",ROUND(MAX(0,C237-H237),2))</x:f>
      </x:c>
      <x:c r="K237" s="78">
        <x:f>IF(A237="","",1-(J237/Dashboard!$B$6))</x:f>
      </x:c>
      <x:c r="L237" s="43">
        <x:f>IF(A237="","",IF(J237=0,"Soldé","En cours"))</x:f>
      </x:c>
      <x:c r="M237" s="77">
        <x:f>IF(A237="","",ROUND(SUM($G$8:G237),2))</x:f>
      </x:c>
    </x:row>
    <x:row r="238" ht="20" customHeight="1">
      <x:c r="A238" s="71">
        <x:f>IF(OR($J237="",ROUND($J237,2)=0),"",$A237+1)</x:f>
      </x:c>
      <x:c r="B238" s="72">
        <x:f>IF(A238="","",EDATE(Dashboard!$B$10,(A238-1)*(12/Dashboard!$B$9)))</x:f>
      </x:c>
      <x:c r="C238" s="73">
        <x:f>IF(A238="","",$J237)</x:f>
      </x:c>
      <x:c r="D238" s="73">
        <x:f>IF(A238="","",ROUND(MIN(Moteur!$B$3,C238+G238),2))</x:f>
      </x:c>
      <x:c r="E238" s="73">
        <x:f>IF(A238="","",ROUND(MIN(Dashboard!$B$11,MAX(0,C238-(D238-G238))),2))</x:f>
      </x:c>
      <x:c r="F238" s="73">
        <x:f>IF(A238="","",ROUND(C238*Dashboard!$B$12/Dashboard!$B$9,2))</x:f>
      </x:c>
      <x:c r="G238" s="73">
        <x:f>IF(A238="","",ROUND(C238*Moteur!$B$2,2))</x:f>
      </x:c>
      <x:c r="H238" s="73">
        <x:f>IF(A238="","",ROUND(MIN(C238,D238-G238+E238),2))</x:f>
      </x:c>
      <x:c r="I238" s="73">
        <x:f>IF(A238="","",ROUND(D238+E238+F238,2))</x:f>
      </x:c>
      <x:c r="J238" s="73">
        <x:f>IF(A238="","",ROUND(MAX(0,C238-H238),2))</x:f>
      </x:c>
      <x:c r="K238" s="74">
        <x:f>IF(A238="","",1-(J238/Dashboard!$B$6))</x:f>
      </x:c>
      <x:c r="L238" s="38">
        <x:f>IF(A238="","",IF(J238=0,"Soldé","En cours"))</x:f>
      </x:c>
      <x:c r="M238" s="73">
        <x:f>IF(A238="","",ROUND(SUM($G$8:G238),2))</x:f>
      </x:c>
    </x:row>
    <x:row r="239" ht="20" customHeight="1">
      <x:c r="A239" s="75">
        <x:f>IF(OR($J238="",ROUND($J238,2)=0),"",$A238+1)</x:f>
      </x:c>
      <x:c r="B239" s="76">
        <x:f>IF(A239="","",EDATE(Dashboard!$B$10,(A239-1)*(12/Dashboard!$B$9)))</x:f>
      </x:c>
      <x:c r="C239" s="77">
        <x:f>IF(A239="","",$J238)</x:f>
      </x:c>
      <x:c r="D239" s="77">
        <x:f>IF(A239="","",ROUND(MIN(Moteur!$B$3,C239+G239),2))</x:f>
      </x:c>
      <x:c r="E239" s="77">
        <x:f>IF(A239="","",ROUND(MIN(Dashboard!$B$11,MAX(0,C239-(D239-G239))),2))</x:f>
      </x:c>
      <x:c r="F239" s="77">
        <x:f>IF(A239="","",ROUND(C239*Dashboard!$B$12/Dashboard!$B$9,2))</x:f>
      </x:c>
      <x:c r="G239" s="77">
        <x:f>IF(A239="","",ROUND(C239*Moteur!$B$2,2))</x:f>
      </x:c>
      <x:c r="H239" s="77">
        <x:f>IF(A239="","",ROUND(MIN(C239,D239-G239+E239),2))</x:f>
      </x:c>
      <x:c r="I239" s="77">
        <x:f>IF(A239="","",ROUND(D239+E239+F239,2))</x:f>
      </x:c>
      <x:c r="J239" s="77">
        <x:f>IF(A239="","",ROUND(MAX(0,C239-H239),2))</x:f>
      </x:c>
      <x:c r="K239" s="78">
        <x:f>IF(A239="","",1-(J239/Dashboard!$B$6))</x:f>
      </x:c>
      <x:c r="L239" s="43">
        <x:f>IF(A239="","",IF(J239=0,"Soldé","En cours"))</x:f>
      </x:c>
      <x:c r="M239" s="77">
        <x:f>IF(A239="","",ROUND(SUM($G$8:G239),2))</x:f>
      </x:c>
    </x:row>
    <x:row r="240" ht="20" customHeight="1">
      <x:c r="A240" s="71">
        <x:f>IF(OR($J239="",ROUND($J239,2)=0),"",$A239+1)</x:f>
      </x:c>
      <x:c r="B240" s="72">
        <x:f>IF(A240="","",EDATE(Dashboard!$B$10,(A240-1)*(12/Dashboard!$B$9)))</x:f>
      </x:c>
      <x:c r="C240" s="73">
        <x:f>IF(A240="","",$J239)</x:f>
      </x:c>
      <x:c r="D240" s="73">
        <x:f>IF(A240="","",ROUND(MIN(Moteur!$B$3,C240+G240),2))</x:f>
      </x:c>
      <x:c r="E240" s="73">
        <x:f>IF(A240="","",ROUND(MIN(Dashboard!$B$11,MAX(0,C240-(D240-G240))),2))</x:f>
      </x:c>
      <x:c r="F240" s="73">
        <x:f>IF(A240="","",ROUND(C240*Dashboard!$B$12/Dashboard!$B$9,2))</x:f>
      </x:c>
      <x:c r="G240" s="73">
        <x:f>IF(A240="","",ROUND(C240*Moteur!$B$2,2))</x:f>
      </x:c>
      <x:c r="H240" s="73">
        <x:f>IF(A240="","",ROUND(MIN(C240,D240-G240+E240),2))</x:f>
      </x:c>
      <x:c r="I240" s="73">
        <x:f>IF(A240="","",ROUND(D240+E240+F240,2))</x:f>
      </x:c>
      <x:c r="J240" s="73">
        <x:f>IF(A240="","",ROUND(MAX(0,C240-H240),2))</x:f>
      </x:c>
      <x:c r="K240" s="74">
        <x:f>IF(A240="","",1-(J240/Dashboard!$B$6))</x:f>
      </x:c>
      <x:c r="L240" s="38">
        <x:f>IF(A240="","",IF(J240=0,"Soldé","En cours"))</x:f>
      </x:c>
      <x:c r="M240" s="73">
        <x:f>IF(A240="","",ROUND(SUM($G$8:G240),2))</x:f>
      </x:c>
    </x:row>
    <x:row r="241" ht="20" customHeight="1">
      <x:c r="A241" s="75">
        <x:f>IF(OR($J240="",ROUND($J240,2)=0),"",$A240+1)</x:f>
      </x:c>
      <x:c r="B241" s="76">
        <x:f>IF(A241="","",EDATE(Dashboard!$B$10,(A241-1)*(12/Dashboard!$B$9)))</x:f>
      </x:c>
      <x:c r="C241" s="77">
        <x:f>IF(A241="","",$J240)</x:f>
      </x:c>
      <x:c r="D241" s="77">
        <x:f>IF(A241="","",ROUND(MIN(Moteur!$B$3,C241+G241),2))</x:f>
      </x:c>
      <x:c r="E241" s="77">
        <x:f>IF(A241="","",ROUND(MIN(Dashboard!$B$11,MAX(0,C241-(D241-G241))),2))</x:f>
      </x:c>
      <x:c r="F241" s="77">
        <x:f>IF(A241="","",ROUND(C241*Dashboard!$B$12/Dashboard!$B$9,2))</x:f>
      </x:c>
      <x:c r="G241" s="77">
        <x:f>IF(A241="","",ROUND(C241*Moteur!$B$2,2))</x:f>
      </x:c>
      <x:c r="H241" s="77">
        <x:f>IF(A241="","",ROUND(MIN(C241,D241-G241+E241),2))</x:f>
      </x:c>
      <x:c r="I241" s="77">
        <x:f>IF(A241="","",ROUND(D241+E241+F241,2))</x:f>
      </x:c>
      <x:c r="J241" s="77">
        <x:f>IF(A241="","",ROUND(MAX(0,C241-H241),2))</x:f>
      </x:c>
      <x:c r="K241" s="78">
        <x:f>IF(A241="","",1-(J241/Dashboard!$B$6))</x:f>
      </x:c>
      <x:c r="L241" s="43">
        <x:f>IF(A241="","",IF(J241=0,"Soldé","En cours"))</x:f>
      </x:c>
      <x:c r="M241" s="77">
        <x:f>IF(A241="","",ROUND(SUM($G$8:G241),2))</x:f>
      </x:c>
    </x:row>
    <x:row r="242" ht="20" customHeight="1">
      <x:c r="A242" s="71">
        <x:f>IF(OR($J241="",ROUND($J241,2)=0),"",$A241+1)</x:f>
      </x:c>
      <x:c r="B242" s="72">
        <x:f>IF(A242="","",EDATE(Dashboard!$B$10,(A242-1)*(12/Dashboard!$B$9)))</x:f>
      </x:c>
      <x:c r="C242" s="73">
        <x:f>IF(A242="","",$J241)</x:f>
      </x:c>
      <x:c r="D242" s="73">
        <x:f>IF(A242="","",ROUND(MIN(Moteur!$B$3,C242+G242),2))</x:f>
      </x:c>
      <x:c r="E242" s="73">
        <x:f>IF(A242="","",ROUND(MIN(Dashboard!$B$11,MAX(0,C242-(D242-G242))),2))</x:f>
      </x:c>
      <x:c r="F242" s="73">
        <x:f>IF(A242="","",ROUND(C242*Dashboard!$B$12/Dashboard!$B$9,2))</x:f>
      </x:c>
      <x:c r="G242" s="73">
        <x:f>IF(A242="","",ROUND(C242*Moteur!$B$2,2))</x:f>
      </x:c>
      <x:c r="H242" s="73">
        <x:f>IF(A242="","",ROUND(MIN(C242,D242-G242+E242),2))</x:f>
      </x:c>
      <x:c r="I242" s="73">
        <x:f>IF(A242="","",ROUND(D242+E242+F242,2))</x:f>
      </x:c>
      <x:c r="J242" s="73">
        <x:f>IF(A242="","",ROUND(MAX(0,C242-H242),2))</x:f>
      </x:c>
      <x:c r="K242" s="74">
        <x:f>IF(A242="","",1-(J242/Dashboard!$B$6))</x:f>
      </x:c>
      <x:c r="L242" s="38">
        <x:f>IF(A242="","",IF(J242=0,"Soldé","En cours"))</x:f>
      </x:c>
      <x:c r="M242" s="73">
        <x:f>IF(A242="","",ROUND(SUM($G$8:G242),2))</x:f>
      </x:c>
    </x:row>
    <x:row r="243" ht="20" customHeight="1">
      <x:c r="A243" s="75">
        <x:f>IF(OR($J242="",ROUND($J242,2)=0),"",$A242+1)</x:f>
      </x:c>
      <x:c r="B243" s="76">
        <x:f>IF(A243="","",EDATE(Dashboard!$B$10,(A243-1)*(12/Dashboard!$B$9)))</x:f>
      </x:c>
      <x:c r="C243" s="77">
        <x:f>IF(A243="","",$J242)</x:f>
      </x:c>
      <x:c r="D243" s="77">
        <x:f>IF(A243="","",ROUND(MIN(Moteur!$B$3,C243+G243),2))</x:f>
      </x:c>
      <x:c r="E243" s="77">
        <x:f>IF(A243="","",ROUND(MIN(Dashboard!$B$11,MAX(0,C243-(D243-G243))),2))</x:f>
      </x:c>
      <x:c r="F243" s="77">
        <x:f>IF(A243="","",ROUND(C243*Dashboard!$B$12/Dashboard!$B$9,2))</x:f>
      </x:c>
      <x:c r="G243" s="77">
        <x:f>IF(A243="","",ROUND(C243*Moteur!$B$2,2))</x:f>
      </x:c>
      <x:c r="H243" s="77">
        <x:f>IF(A243="","",ROUND(MIN(C243,D243-G243+E243),2))</x:f>
      </x:c>
      <x:c r="I243" s="77">
        <x:f>IF(A243="","",ROUND(D243+E243+F243,2))</x:f>
      </x:c>
      <x:c r="J243" s="77">
        <x:f>IF(A243="","",ROUND(MAX(0,C243-H243),2))</x:f>
      </x:c>
      <x:c r="K243" s="78">
        <x:f>IF(A243="","",1-(J243/Dashboard!$B$6))</x:f>
      </x:c>
      <x:c r="L243" s="43">
        <x:f>IF(A243="","",IF(J243=0,"Soldé","En cours"))</x:f>
      </x:c>
      <x:c r="M243" s="77">
        <x:f>IF(A243="","",ROUND(SUM($G$8:G243),2))</x:f>
      </x:c>
    </x:row>
    <x:row r="244" ht="20" customHeight="1">
      <x:c r="A244" s="71">
        <x:f>IF(OR($J243="",ROUND($J243,2)=0),"",$A243+1)</x:f>
      </x:c>
      <x:c r="B244" s="72">
        <x:f>IF(A244="","",EDATE(Dashboard!$B$10,(A244-1)*(12/Dashboard!$B$9)))</x:f>
      </x:c>
      <x:c r="C244" s="73">
        <x:f>IF(A244="","",$J243)</x:f>
      </x:c>
      <x:c r="D244" s="73">
        <x:f>IF(A244="","",ROUND(MIN(Moteur!$B$3,C244+G244),2))</x:f>
      </x:c>
      <x:c r="E244" s="73">
        <x:f>IF(A244="","",ROUND(MIN(Dashboard!$B$11,MAX(0,C244-(D244-G244))),2))</x:f>
      </x:c>
      <x:c r="F244" s="73">
        <x:f>IF(A244="","",ROUND(C244*Dashboard!$B$12/Dashboard!$B$9,2))</x:f>
      </x:c>
      <x:c r="G244" s="73">
        <x:f>IF(A244="","",ROUND(C244*Moteur!$B$2,2))</x:f>
      </x:c>
      <x:c r="H244" s="73">
        <x:f>IF(A244="","",ROUND(MIN(C244,D244-G244+E244),2))</x:f>
      </x:c>
      <x:c r="I244" s="73">
        <x:f>IF(A244="","",ROUND(D244+E244+F244,2))</x:f>
      </x:c>
      <x:c r="J244" s="73">
        <x:f>IF(A244="","",ROUND(MAX(0,C244-H244),2))</x:f>
      </x:c>
      <x:c r="K244" s="74">
        <x:f>IF(A244="","",1-(J244/Dashboard!$B$6))</x:f>
      </x:c>
      <x:c r="L244" s="38">
        <x:f>IF(A244="","",IF(J244=0,"Soldé","En cours"))</x:f>
      </x:c>
      <x:c r="M244" s="73">
        <x:f>IF(A244="","",ROUND(SUM($G$8:G244),2))</x:f>
      </x:c>
    </x:row>
    <x:row r="245" ht="20" customHeight="1">
      <x:c r="A245" s="75">
        <x:f>IF(OR($J244="",ROUND($J244,2)=0),"",$A244+1)</x:f>
      </x:c>
      <x:c r="B245" s="76">
        <x:f>IF(A245="","",EDATE(Dashboard!$B$10,(A245-1)*(12/Dashboard!$B$9)))</x:f>
      </x:c>
      <x:c r="C245" s="77">
        <x:f>IF(A245="","",$J244)</x:f>
      </x:c>
      <x:c r="D245" s="77">
        <x:f>IF(A245="","",ROUND(MIN(Moteur!$B$3,C245+G245),2))</x:f>
      </x:c>
      <x:c r="E245" s="77">
        <x:f>IF(A245="","",ROUND(MIN(Dashboard!$B$11,MAX(0,C245-(D245-G245))),2))</x:f>
      </x:c>
      <x:c r="F245" s="77">
        <x:f>IF(A245="","",ROUND(C245*Dashboard!$B$12/Dashboard!$B$9,2))</x:f>
      </x:c>
      <x:c r="G245" s="77">
        <x:f>IF(A245="","",ROUND(C245*Moteur!$B$2,2))</x:f>
      </x:c>
      <x:c r="H245" s="77">
        <x:f>IF(A245="","",ROUND(MIN(C245,D245-G245+E245),2))</x:f>
      </x:c>
      <x:c r="I245" s="77">
        <x:f>IF(A245="","",ROUND(D245+E245+F245,2))</x:f>
      </x:c>
      <x:c r="J245" s="77">
        <x:f>IF(A245="","",ROUND(MAX(0,C245-H245),2))</x:f>
      </x:c>
      <x:c r="K245" s="78">
        <x:f>IF(A245="","",1-(J245/Dashboard!$B$6))</x:f>
      </x:c>
      <x:c r="L245" s="43">
        <x:f>IF(A245="","",IF(J245=0,"Soldé","En cours"))</x:f>
      </x:c>
      <x:c r="M245" s="77">
        <x:f>IF(A245="","",ROUND(SUM($G$8:G245),2))</x:f>
      </x:c>
    </x:row>
    <x:row r="246" ht="20" customHeight="1">
      <x:c r="A246" s="71">
        <x:f>IF(OR($J245="",ROUND($J245,2)=0),"",$A245+1)</x:f>
      </x:c>
      <x:c r="B246" s="72">
        <x:f>IF(A246="","",EDATE(Dashboard!$B$10,(A246-1)*(12/Dashboard!$B$9)))</x:f>
      </x:c>
      <x:c r="C246" s="73">
        <x:f>IF(A246="","",$J245)</x:f>
      </x:c>
      <x:c r="D246" s="73">
        <x:f>IF(A246="","",ROUND(MIN(Moteur!$B$3,C246+G246),2))</x:f>
      </x:c>
      <x:c r="E246" s="73">
        <x:f>IF(A246="","",ROUND(MIN(Dashboard!$B$11,MAX(0,C246-(D246-G246))),2))</x:f>
      </x:c>
      <x:c r="F246" s="73">
        <x:f>IF(A246="","",ROUND(C246*Dashboard!$B$12/Dashboard!$B$9,2))</x:f>
      </x:c>
      <x:c r="G246" s="73">
        <x:f>IF(A246="","",ROUND(C246*Moteur!$B$2,2))</x:f>
      </x:c>
      <x:c r="H246" s="73">
        <x:f>IF(A246="","",ROUND(MIN(C246,D246-G246+E246),2))</x:f>
      </x:c>
      <x:c r="I246" s="73">
        <x:f>IF(A246="","",ROUND(D246+E246+F246,2))</x:f>
      </x:c>
      <x:c r="J246" s="73">
        <x:f>IF(A246="","",ROUND(MAX(0,C246-H246),2))</x:f>
      </x:c>
      <x:c r="K246" s="74">
        <x:f>IF(A246="","",1-(J246/Dashboard!$B$6))</x:f>
      </x:c>
      <x:c r="L246" s="38">
        <x:f>IF(A246="","",IF(J246=0,"Soldé","En cours"))</x:f>
      </x:c>
      <x:c r="M246" s="73">
        <x:f>IF(A246="","",ROUND(SUM($G$8:G246),2))</x:f>
      </x:c>
    </x:row>
    <x:row r="247" ht="20" customHeight="1">
      <x:c r="A247" s="75">
        <x:f>IF(OR($J246="",ROUND($J246,2)=0),"",$A246+1)</x:f>
      </x:c>
      <x:c r="B247" s="76">
        <x:f>IF(A247="","",EDATE(Dashboard!$B$10,(A247-1)*(12/Dashboard!$B$9)))</x:f>
      </x:c>
      <x:c r="C247" s="77">
        <x:f>IF(A247="","",$J246)</x:f>
      </x:c>
      <x:c r="D247" s="77">
        <x:f>IF(A247="","",ROUND(MIN(Moteur!$B$3,C247+G247),2))</x:f>
      </x:c>
      <x:c r="E247" s="77">
        <x:f>IF(A247="","",ROUND(MIN(Dashboard!$B$11,MAX(0,C247-(D247-G247))),2))</x:f>
      </x:c>
      <x:c r="F247" s="77">
        <x:f>IF(A247="","",ROUND(C247*Dashboard!$B$12/Dashboard!$B$9,2))</x:f>
      </x:c>
      <x:c r="G247" s="77">
        <x:f>IF(A247="","",ROUND(C247*Moteur!$B$2,2))</x:f>
      </x:c>
      <x:c r="H247" s="77">
        <x:f>IF(A247="","",ROUND(MIN(C247,D247-G247+E247),2))</x:f>
      </x:c>
      <x:c r="I247" s="77">
        <x:f>IF(A247="","",ROUND(D247+E247+F247,2))</x:f>
      </x:c>
      <x:c r="J247" s="77">
        <x:f>IF(A247="","",ROUND(MAX(0,C247-H247),2))</x:f>
      </x:c>
      <x:c r="K247" s="78">
        <x:f>IF(A247="","",1-(J247/Dashboard!$B$6))</x:f>
      </x:c>
      <x:c r="L247" s="43">
        <x:f>IF(A247="","",IF(J247=0,"Soldé","En cours"))</x:f>
      </x:c>
      <x:c r="M247" s="77">
        <x:f>IF(A247="","",ROUND(SUM($G$8:G247),2))</x:f>
      </x:c>
    </x:row>
    <x:row r="248" ht="20" customHeight="1">
      <x:c r="A248" s="71">
        <x:f>IF(OR($J247="",ROUND($J247,2)=0),"",$A247+1)</x:f>
      </x:c>
      <x:c r="B248" s="72">
        <x:f>IF(A248="","",EDATE(Dashboard!$B$10,(A248-1)*(12/Dashboard!$B$9)))</x:f>
      </x:c>
      <x:c r="C248" s="73">
        <x:f>IF(A248="","",$J247)</x:f>
      </x:c>
      <x:c r="D248" s="73">
        <x:f>IF(A248="","",ROUND(MIN(Moteur!$B$3,C248+G248),2))</x:f>
      </x:c>
      <x:c r="E248" s="73">
        <x:f>IF(A248="","",ROUND(MIN(Dashboard!$B$11,MAX(0,C248-(D248-G248))),2))</x:f>
      </x:c>
      <x:c r="F248" s="73">
        <x:f>IF(A248="","",ROUND(C248*Dashboard!$B$12/Dashboard!$B$9,2))</x:f>
      </x:c>
      <x:c r="G248" s="73">
        <x:f>IF(A248="","",ROUND(C248*Moteur!$B$2,2))</x:f>
      </x:c>
      <x:c r="H248" s="73">
        <x:f>IF(A248="","",ROUND(MIN(C248,D248-G248+E248),2))</x:f>
      </x:c>
      <x:c r="I248" s="73">
        <x:f>IF(A248="","",ROUND(D248+E248+F248,2))</x:f>
      </x:c>
      <x:c r="J248" s="73">
        <x:f>IF(A248="","",ROUND(MAX(0,C248-H248),2))</x:f>
      </x:c>
      <x:c r="K248" s="74">
        <x:f>IF(A248="","",1-(J248/Dashboard!$B$6))</x:f>
      </x:c>
      <x:c r="L248" s="38">
        <x:f>IF(A248="","",IF(J248=0,"Soldé","En cours"))</x:f>
      </x:c>
      <x:c r="M248" s="73">
        <x:f>IF(A248="","",ROUND(SUM($G$8:G248),2))</x:f>
      </x:c>
    </x:row>
    <x:row r="249" ht="20" customHeight="1">
      <x:c r="A249" s="75">
        <x:f>IF(OR($J248="",ROUND($J248,2)=0),"",$A248+1)</x:f>
      </x:c>
      <x:c r="B249" s="76">
        <x:f>IF(A249="","",EDATE(Dashboard!$B$10,(A249-1)*(12/Dashboard!$B$9)))</x:f>
      </x:c>
      <x:c r="C249" s="77">
        <x:f>IF(A249="","",$J248)</x:f>
      </x:c>
      <x:c r="D249" s="77">
        <x:f>IF(A249="","",ROUND(MIN(Moteur!$B$3,C249+G249),2))</x:f>
      </x:c>
      <x:c r="E249" s="77">
        <x:f>IF(A249="","",ROUND(MIN(Dashboard!$B$11,MAX(0,C249-(D249-G249))),2))</x:f>
      </x:c>
      <x:c r="F249" s="77">
        <x:f>IF(A249="","",ROUND(C249*Dashboard!$B$12/Dashboard!$B$9,2))</x:f>
      </x:c>
      <x:c r="G249" s="77">
        <x:f>IF(A249="","",ROUND(C249*Moteur!$B$2,2))</x:f>
      </x:c>
      <x:c r="H249" s="77">
        <x:f>IF(A249="","",ROUND(MIN(C249,D249-G249+E249),2))</x:f>
      </x:c>
      <x:c r="I249" s="77">
        <x:f>IF(A249="","",ROUND(D249+E249+F249,2))</x:f>
      </x:c>
      <x:c r="J249" s="77">
        <x:f>IF(A249="","",ROUND(MAX(0,C249-H249),2))</x:f>
      </x:c>
      <x:c r="K249" s="78">
        <x:f>IF(A249="","",1-(J249/Dashboard!$B$6))</x:f>
      </x:c>
      <x:c r="L249" s="43">
        <x:f>IF(A249="","",IF(J249=0,"Soldé","En cours"))</x:f>
      </x:c>
      <x:c r="M249" s="77">
        <x:f>IF(A249="","",ROUND(SUM($G$8:G249),2))</x:f>
      </x:c>
    </x:row>
    <x:row r="250" ht="20" customHeight="1">
      <x:c r="A250" s="71">
        <x:f>IF(OR($J249="",ROUND($J249,2)=0),"",$A249+1)</x:f>
      </x:c>
      <x:c r="B250" s="72">
        <x:f>IF(A250="","",EDATE(Dashboard!$B$10,(A250-1)*(12/Dashboard!$B$9)))</x:f>
      </x:c>
      <x:c r="C250" s="73">
        <x:f>IF(A250="","",$J249)</x:f>
      </x:c>
      <x:c r="D250" s="73">
        <x:f>IF(A250="","",ROUND(MIN(Moteur!$B$3,C250+G250),2))</x:f>
      </x:c>
      <x:c r="E250" s="73">
        <x:f>IF(A250="","",ROUND(MIN(Dashboard!$B$11,MAX(0,C250-(D250-G250))),2))</x:f>
      </x:c>
      <x:c r="F250" s="73">
        <x:f>IF(A250="","",ROUND(C250*Dashboard!$B$12/Dashboard!$B$9,2))</x:f>
      </x:c>
      <x:c r="G250" s="73">
        <x:f>IF(A250="","",ROUND(C250*Moteur!$B$2,2))</x:f>
      </x:c>
      <x:c r="H250" s="73">
        <x:f>IF(A250="","",ROUND(MIN(C250,D250-G250+E250),2))</x:f>
      </x:c>
      <x:c r="I250" s="73">
        <x:f>IF(A250="","",ROUND(D250+E250+F250,2))</x:f>
      </x:c>
      <x:c r="J250" s="73">
        <x:f>IF(A250="","",ROUND(MAX(0,C250-H250),2))</x:f>
      </x:c>
      <x:c r="K250" s="74">
        <x:f>IF(A250="","",1-(J250/Dashboard!$B$6))</x:f>
      </x:c>
      <x:c r="L250" s="38">
        <x:f>IF(A250="","",IF(J250=0,"Soldé","En cours"))</x:f>
      </x:c>
      <x:c r="M250" s="73">
        <x:f>IF(A250="","",ROUND(SUM($G$8:G250),2))</x:f>
      </x:c>
    </x:row>
    <x:row r="251" ht="20" customHeight="1">
      <x:c r="A251" s="75">
        <x:f>IF(OR($J250="",ROUND($J250,2)=0),"",$A250+1)</x:f>
      </x:c>
      <x:c r="B251" s="76">
        <x:f>IF(A251="","",EDATE(Dashboard!$B$10,(A251-1)*(12/Dashboard!$B$9)))</x:f>
      </x:c>
      <x:c r="C251" s="77">
        <x:f>IF(A251="","",$J250)</x:f>
      </x:c>
      <x:c r="D251" s="77">
        <x:f>IF(A251="","",ROUND(MIN(Moteur!$B$3,C251+G251),2))</x:f>
      </x:c>
      <x:c r="E251" s="77">
        <x:f>IF(A251="","",ROUND(MIN(Dashboard!$B$11,MAX(0,C251-(D251-G251))),2))</x:f>
      </x:c>
      <x:c r="F251" s="77">
        <x:f>IF(A251="","",ROUND(C251*Dashboard!$B$12/Dashboard!$B$9,2))</x:f>
      </x:c>
      <x:c r="G251" s="77">
        <x:f>IF(A251="","",ROUND(C251*Moteur!$B$2,2))</x:f>
      </x:c>
      <x:c r="H251" s="77">
        <x:f>IF(A251="","",ROUND(MIN(C251,D251-G251+E251),2))</x:f>
      </x:c>
      <x:c r="I251" s="77">
        <x:f>IF(A251="","",ROUND(D251+E251+F251,2))</x:f>
      </x:c>
      <x:c r="J251" s="77">
        <x:f>IF(A251="","",ROUND(MAX(0,C251-H251),2))</x:f>
      </x:c>
      <x:c r="K251" s="78">
        <x:f>IF(A251="","",1-(J251/Dashboard!$B$6))</x:f>
      </x:c>
      <x:c r="L251" s="43">
        <x:f>IF(A251="","",IF(J251=0,"Soldé","En cours"))</x:f>
      </x:c>
      <x:c r="M251" s="77">
        <x:f>IF(A251="","",ROUND(SUM($G$8:G251),2))</x:f>
      </x:c>
    </x:row>
    <x:row r="252" ht="20" customHeight="1">
      <x:c r="A252" s="71">
        <x:f>IF(OR($J251="",ROUND($J251,2)=0),"",$A251+1)</x:f>
      </x:c>
      <x:c r="B252" s="72">
        <x:f>IF(A252="","",EDATE(Dashboard!$B$10,(A252-1)*(12/Dashboard!$B$9)))</x:f>
      </x:c>
      <x:c r="C252" s="73">
        <x:f>IF(A252="","",$J251)</x:f>
      </x:c>
      <x:c r="D252" s="73">
        <x:f>IF(A252="","",ROUND(MIN(Moteur!$B$3,C252+G252),2))</x:f>
      </x:c>
      <x:c r="E252" s="73">
        <x:f>IF(A252="","",ROUND(MIN(Dashboard!$B$11,MAX(0,C252-(D252-G252))),2))</x:f>
      </x:c>
      <x:c r="F252" s="73">
        <x:f>IF(A252="","",ROUND(C252*Dashboard!$B$12/Dashboard!$B$9,2))</x:f>
      </x:c>
      <x:c r="G252" s="73">
        <x:f>IF(A252="","",ROUND(C252*Moteur!$B$2,2))</x:f>
      </x:c>
      <x:c r="H252" s="73">
        <x:f>IF(A252="","",ROUND(MIN(C252,D252-G252+E252),2))</x:f>
      </x:c>
      <x:c r="I252" s="73">
        <x:f>IF(A252="","",ROUND(D252+E252+F252,2))</x:f>
      </x:c>
      <x:c r="J252" s="73">
        <x:f>IF(A252="","",ROUND(MAX(0,C252-H252),2))</x:f>
      </x:c>
      <x:c r="K252" s="74">
        <x:f>IF(A252="","",1-(J252/Dashboard!$B$6))</x:f>
      </x:c>
      <x:c r="L252" s="38">
        <x:f>IF(A252="","",IF(J252=0,"Soldé","En cours"))</x:f>
      </x:c>
      <x:c r="M252" s="73">
        <x:f>IF(A252="","",ROUND(SUM($G$8:G252),2))</x:f>
      </x:c>
    </x:row>
    <x:row r="253" ht="20" customHeight="1">
      <x:c r="A253" s="75">
        <x:f>IF(OR($J252="",ROUND($J252,2)=0),"",$A252+1)</x:f>
      </x:c>
      <x:c r="B253" s="76">
        <x:f>IF(A253="","",EDATE(Dashboard!$B$10,(A253-1)*(12/Dashboard!$B$9)))</x:f>
      </x:c>
      <x:c r="C253" s="77">
        <x:f>IF(A253="","",$J252)</x:f>
      </x:c>
      <x:c r="D253" s="77">
        <x:f>IF(A253="","",ROUND(MIN(Moteur!$B$3,C253+G253),2))</x:f>
      </x:c>
      <x:c r="E253" s="77">
        <x:f>IF(A253="","",ROUND(MIN(Dashboard!$B$11,MAX(0,C253-(D253-G253))),2))</x:f>
      </x:c>
      <x:c r="F253" s="77">
        <x:f>IF(A253="","",ROUND(C253*Dashboard!$B$12/Dashboard!$B$9,2))</x:f>
      </x:c>
      <x:c r="G253" s="77">
        <x:f>IF(A253="","",ROUND(C253*Moteur!$B$2,2))</x:f>
      </x:c>
      <x:c r="H253" s="77">
        <x:f>IF(A253="","",ROUND(MIN(C253,D253-G253+E253),2))</x:f>
      </x:c>
      <x:c r="I253" s="77">
        <x:f>IF(A253="","",ROUND(D253+E253+F253,2))</x:f>
      </x:c>
      <x:c r="J253" s="77">
        <x:f>IF(A253="","",ROUND(MAX(0,C253-H253),2))</x:f>
      </x:c>
      <x:c r="K253" s="78">
        <x:f>IF(A253="","",1-(J253/Dashboard!$B$6))</x:f>
      </x:c>
      <x:c r="L253" s="43">
        <x:f>IF(A253="","",IF(J253=0,"Soldé","En cours"))</x:f>
      </x:c>
      <x:c r="M253" s="77">
        <x:f>IF(A253="","",ROUND(SUM($G$8:G253),2))</x:f>
      </x:c>
    </x:row>
    <x:row r="254" ht="20" customHeight="1">
      <x:c r="A254" s="71">
        <x:f>IF(OR($J253="",ROUND($J253,2)=0),"",$A253+1)</x:f>
      </x:c>
      <x:c r="B254" s="72">
        <x:f>IF(A254="","",EDATE(Dashboard!$B$10,(A254-1)*(12/Dashboard!$B$9)))</x:f>
      </x:c>
      <x:c r="C254" s="73">
        <x:f>IF(A254="","",$J253)</x:f>
      </x:c>
      <x:c r="D254" s="73">
        <x:f>IF(A254="","",ROUND(MIN(Moteur!$B$3,C254+G254),2))</x:f>
      </x:c>
      <x:c r="E254" s="73">
        <x:f>IF(A254="","",ROUND(MIN(Dashboard!$B$11,MAX(0,C254-(D254-G254))),2))</x:f>
      </x:c>
      <x:c r="F254" s="73">
        <x:f>IF(A254="","",ROUND(C254*Dashboard!$B$12/Dashboard!$B$9,2))</x:f>
      </x:c>
      <x:c r="G254" s="73">
        <x:f>IF(A254="","",ROUND(C254*Moteur!$B$2,2))</x:f>
      </x:c>
      <x:c r="H254" s="73">
        <x:f>IF(A254="","",ROUND(MIN(C254,D254-G254+E254),2))</x:f>
      </x:c>
      <x:c r="I254" s="73">
        <x:f>IF(A254="","",ROUND(D254+E254+F254,2))</x:f>
      </x:c>
      <x:c r="J254" s="73">
        <x:f>IF(A254="","",ROUND(MAX(0,C254-H254),2))</x:f>
      </x:c>
      <x:c r="K254" s="74">
        <x:f>IF(A254="","",1-(J254/Dashboard!$B$6))</x:f>
      </x:c>
      <x:c r="L254" s="38">
        <x:f>IF(A254="","",IF(J254=0,"Soldé","En cours"))</x:f>
      </x:c>
      <x:c r="M254" s="73">
        <x:f>IF(A254="","",ROUND(SUM($G$8:G254),2))</x:f>
      </x:c>
    </x:row>
    <x:row r="255" ht="20" customHeight="1">
      <x:c r="A255" s="75">
        <x:f>IF(OR($J254="",ROUND($J254,2)=0),"",$A254+1)</x:f>
      </x:c>
      <x:c r="B255" s="76">
        <x:f>IF(A255="","",EDATE(Dashboard!$B$10,(A255-1)*(12/Dashboard!$B$9)))</x:f>
      </x:c>
      <x:c r="C255" s="77">
        <x:f>IF(A255="","",$J254)</x:f>
      </x:c>
      <x:c r="D255" s="77">
        <x:f>IF(A255="","",ROUND(MIN(Moteur!$B$3,C255+G255),2))</x:f>
      </x:c>
      <x:c r="E255" s="77">
        <x:f>IF(A255="","",ROUND(MIN(Dashboard!$B$11,MAX(0,C255-(D255-G255))),2))</x:f>
      </x:c>
      <x:c r="F255" s="77">
        <x:f>IF(A255="","",ROUND(C255*Dashboard!$B$12/Dashboard!$B$9,2))</x:f>
      </x:c>
      <x:c r="G255" s="77">
        <x:f>IF(A255="","",ROUND(C255*Moteur!$B$2,2))</x:f>
      </x:c>
      <x:c r="H255" s="77">
        <x:f>IF(A255="","",ROUND(MIN(C255,D255-G255+E255),2))</x:f>
      </x:c>
      <x:c r="I255" s="77">
        <x:f>IF(A255="","",ROUND(D255+E255+F255,2))</x:f>
      </x:c>
      <x:c r="J255" s="77">
        <x:f>IF(A255="","",ROUND(MAX(0,C255-H255),2))</x:f>
      </x:c>
      <x:c r="K255" s="78">
        <x:f>IF(A255="","",1-(J255/Dashboard!$B$6))</x:f>
      </x:c>
      <x:c r="L255" s="43">
        <x:f>IF(A255="","",IF(J255=0,"Soldé","En cours"))</x:f>
      </x:c>
      <x:c r="M255" s="77">
        <x:f>IF(A255="","",ROUND(SUM($G$8:G255),2))</x:f>
      </x:c>
    </x:row>
    <x:row r="256" ht="20" customHeight="1">
      <x:c r="A256" s="71">
        <x:f>IF(OR($J255="",ROUND($J255,2)=0),"",$A255+1)</x:f>
      </x:c>
      <x:c r="B256" s="72">
        <x:f>IF(A256="","",EDATE(Dashboard!$B$10,(A256-1)*(12/Dashboard!$B$9)))</x:f>
      </x:c>
      <x:c r="C256" s="73">
        <x:f>IF(A256="","",$J255)</x:f>
      </x:c>
      <x:c r="D256" s="73">
        <x:f>IF(A256="","",ROUND(MIN(Moteur!$B$3,C256+G256),2))</x:f>
      </x:c>
      <x:c r="E256" s="73">
        <x:f>IF(A256="","",ROUND(MIN(Dashboard!$B$11,MAX(0,C256-(D256-G256))),2))</x:f>
      </x:c>
      <x:c r="F256" s="73">
        <x:f>IF(A256="","",ROUND(C256*Dashboard!$B$12/Dashboard!$B$9,2))</x:f>
      </x:c>
      <x:c r="G256" s="73">
        <x:f>IF(A256="","",ROUND(C256*Moteur!$B$2,2))</x:f>
      </x:c>
      <x:c r="H256" s="73">
        <x:f>IF(A256="","",ROUND(MIN(C256,D256-G256+E256),2))</x:f>
      </x:c>
      <x:c r="I256" s="73">
        <x:f>IF(A256="","",ROUND(D256+E256+F256,2))</x:f>
      </x:c>
      <x:c r="J256" s="73">
        <x:f>IF(A256="","",ROUND(MAX(0,C256-H256),2))</x:f>
      </x:c>
      <x:c r="K256" s="74">
        <x:f>IF(A256="","",1-(J256/Dashboard!$B$6))</x:f>
      </x:c>
      <x:c r="L256" s="38">
        <x:f>IF(A256="","",IF(J256=0,"Soldé","En cours"))</x:f>
      </x:c>
      <x:c r="M256" s="73">
        <x:f>IF(A256="","",ROUND(SUM($G$8:G256),2))</x:f>
      </x:c>
    </x:row>
    <x:row r="257" ht="20" customHeight="1">
      <x:c r="A257" s="75">
        <x:f>IF(OR($J256="",ROUND($J256,2)=0),"",$A256+1)</x:f>
      </x:c>
      <x:c r="B257" s="76">
        <x:f>IF(A257="","",EDATE(Dashboard!$B$10,(A257-1)*(12/Dashboard!$B$9)))</x:f>
      </x:c>
      <x:c r="C257" s="77">
        <x:f>IF(A257="","",$J256)</x:f>
      </x:c>
      <x:c r="D257" s="77">
        <x:f>IF(A257="","",ROUND(MIN(Moteur!$B$3,C257+G257),2))</x:f>
      </x:c>
      <x:c r="E257" s="77">
        <x:f>IF(A257="","",ROUND(MIN(Dashboard!$B$11,MAX(0,C257-(D257-G257))),2))</x:f>
      </x:c>
      <x:c r="F257" s="77">
        <x:f>IF(A257="","",ROUND(C257*Dashboard!$B$12/Dashboard!$B$9,2))</x:f>
      </x:c>
      <x:c r="G257" s="77">
        <x:f>IF(A257="","",ROUND(C257*Moteur!$B$2,2))</x:f>
      </x:c>
      <x:c r="H257" s="77">
        <x:f>IF(A257="","",ROUND(MIN(C257,D257-G257+E257),2))</x:f>
      </x:c>
      <x:c r="I257" s="77">
        <x:f>IF(A257="","",ROUND(D257+E257+F257,2))</x:f>
      </x:c>
      <x:c r="J257" s="77">
        <x:f>IF(A257="","",ROUND(MAX(0,C257-H257),2))</x:f>
      </x:c>
      <x:c r="K257" s="78">
        <x:f>IF(A257="","",1-(J257/Dashboard!$B$6))</x:f>
      </x:c>
      <x:c r="L257" s="43">
        <x:f>IF(A257="","",IF(J257=0,"Soldé","En cours"))</x:f>
      </x:c>
      <x:c r="M257" s="77">
        <x:f>IF(A257="","",ROUND(SUM($G$8:G257),2))</x:f>
      </x:c>
    </x:row>
    <x:row r="258" ht="20" customHeight="1">
      <x:c r="A258" s="71">
        <x:f>IF(OR($J257="",ROUND($J257,2)=0),"",$A257+1)</x:f>
      </x:c>
      <x:c r="B258" s="72">
        <x:f>IF(A258="","",EDATE(Dashboard!$B$10,(A258-1)*(12/Dashboard!$B$9)))</x:f>
      </x:c>
      <x:c r="C258" s="73">
        <x:f>IF(A258="","",$J257)</x:f>
      </x:c>
      <x:c r="D258" s="73">
        <x:f>IF(A258="","",ROUND(MIN(Moteur!$B$3,C258+G258),2))</x:f>
      </x:c>
      <x:c r="E258" s="73">
        <x:f>IF(A258="","",ROUND(MIN(Dashboard!$B$11,MAX(0,C258-(D258-G258))),2))</x:f>
      </x:c>
      <x:c r="F258" s="73">
        <x:f>IF(A258="","",ROUND(C258*Dashboard!$B$12/Dashboard!$B$9,2))</x:f>
      </x:c>
      <x:c r="G258" s="73">
        <x:f>IF(A258="","",ROUND(C258*Moteur!$B$2,2))</x:f>
      </x:c>
      <x:c r="H258" s="73">
        <x:f>IF(A258="","",ROUND(MIN(C258,D258-G258+E258),2))</x:f>
      </x:c>
      <x:c r="I258" s="73">
        <x:f>IF(A258="","",ROUND(D258+E258+F258,2))</x:f>
      </x:c>
      <x:c r="J258" s="73">
        <x:f>IF(A258="","",ROUND(MAX(0,C258-H258),2))</x:f>
      </x:c>
      <x:c r="K258" s="74">
        <x:f>IF(A258="","",1-(J258/Dashboard!$B$6))</x:f>
      </x:c>
      <x:c r="L258" s="38">
        <x:f>IF(A258="","",IF(J258=0,"Soldé","En cours"))</x:f>
      </x:c>
      <x:c r="M258" s="73">
        <x:f>IF(A258="","",ROUND(SUM($G$8:G258),2))</x:f>
      </x:c>
    </x:row>
    <x:row r="259" ht="20" customHeight="1">
      <x:c r="A259" s="75">
        <x:f>IF(OR($J258="",ROUND($J258,2)=0),"",$A258+1)</x:f>
      </x:c>
      <x:c r="B259" s="76">
        <x:f>IF(A259="","",EDATE(Dashboard!$B$10,(A259-1)*(12/Dashboard!$B$9)))</x:f>
      </x:c>
      <x:c r="C259" s="77">
        <x:f>IF(A259="","",$J258)</x:f>
      </x:c>
      <x:c r="D259" s="77">
        <x:f>IF(A259="","",ROUND(MIN(Moteur!$B$3,C259+G259),2))</x:f>
      </x:c>
      <x:c r="E259" s="77">
        <x:f>IF(A259="","",ROUND(MIN(Dashboard!$B$11,MAX(0,C259-(D259-G259))),2))</x:f>
      </x:c>
      <x:c r="F259" s="77">
        <x:f>IF(A259="","",ROUND(C259*Dashboard!$B$12/Dashboard!$B$9,2))</x:f>
      </x:c>
      <x:c r="G259" s="77">
        <x:f>IF(A259="","",ROUND(C259*Moteur!$B$2,2))</x:f>
      </x:c>
      <x:c r="H259" s="77">
        <x:f>IF(A259="","",ROUND(MIN(C259,D259-G259+E259),2))</x:f>
      </x:c>
      <x:c r="I259" s="77">
        <x:f>IF(A259="","",ROUND(D259+E259+F259,2))</x:f>
      </x:c>
      <x:c r="J259" s="77">
        <x:f>IF(A259="","",ROUND(MAX(0,C259-H259),2))</x:f>
      </x:c>
      <x:c r="K259" s="78">
        <x:f>IF(A259="","",1-(J259/Dashboard!$B$6))</x:f>
      </x:c>
      <x:c r="L259" s="43">
        <x:f>IF(A259="","",IF(J259=0,"Soldé","En cours"))</x:f>
      </x:c>
      <x:c r="M259" s="77">
        <x:f>IF(A259="","",ROUND(SUM($G$8:G259),2))</x:f>
      </x:c>
    </x:row>
    <x:row r="260" ht="20" customHeight="1">
      <x:c r="A260" s="71">
        <x:f>IF(OR($J259="",ROUND($J259,2)=0),"",$A259+1)</x:f>
      </x:c>
      <x:c r="B260" s="72">
        <x:f>IF(A260="","",EDATE(Dashboard!$B$10,(A260-1)*(12/Dashboard!$B$9)))</x:f>
      </x:c>
      <x:c r="C260" s="73">
        <x:f>IF(A260="","",$J259)</x:f>
      </x:c>
      <x:c r="D260" s="73">
        <x:f>IF(A260="","",ROUND(MIN(Moteur!$B$3,C260+G260),2))</x:f>
      </x:c>
      <x:c r="E260" s="73">
        <x:f>IF(A260="","",ROUND(MIN(Dashboard!$B$11,MAX(0,C260-(D260-G260))),2))</x:f>
      </x:c>
      <x:c r="F260" s="73">
        <x:f>IF(A260="","",ROUND(C260*Dashboard!$B$12/Dashboard!$B$9,2))</x:f>
      </x:c>
      <x:c r="G260" s="73">
        <x:f>IF(A260="","",ROUND(C260*Moteur!$B$2,2))</x:f>
      </x:c>
      <x:c r="H260" s="73">
        <x:f>IF(A260="","",ROUND(MIN(C260,D260-G260+E260),2))</x:f>
      </x:c>
      <x:c r="I260" s="73">
        <x:f>IF(A260="","",ROUND(D260+E260+F260,2))</x:f>
      </x:c>
      <x:c r="J260" s="73">
        <x:f>IF(A260="","",ROUND(MAX(0,C260-H260),2))</x:f>
      </x:c>
      <x:c r="K260" s="74">
        <x:f>IF(A260="","",1-(J260/Dashboard!$B$6))</x:f>
      </x:c>
      <x:c r="L260" s="38">
        <x:f>IF(A260="","",IF(J260=0,"Soldé","En cours"))</x:f>
      </x:c>
      <x:c r="M260" s="73">
        <x:f>IF(A260="","",ROUND(SUM($G$8:G260),2))</x:f>
      </x:c>
    </x:row>
    <x:row r="261" ht="20" customHeight="1">
      <x:c r="A261" s="75">
        <x:f>IF(OR($J260="",ROUND($J260,2)=0),"",$A260+1)</x:f>
      </x:c>
      <x:c r="B261" s="76">
        <x:f>IF(A261="","",EDATE(Dashboard!$B$10,(A261-1)*(12/Dashboard!$B$9)))</x:f>
      </x:c>
      <x:c r="C261" s="77">
        <x:f>IF(A261="","",$J260)</x:f>
      </x:c>
      <x:c r="D261" s="77">
        <x:f>IF(A261="","",ROUND(MIN(Moteur!$B$3,C261+G261),2))</x:f>
      </x:c>
      <x:c r="E261" s="77">
        <x:f>IF(A261="","",ROUND(MIN(Dashboard!$B$11,MAX(0,C261-(D261-G261))),2))</x:f>
      </x:c>
      <x:c r="F261" s="77">
        <x:f>IF(A261="","",ROUND(C261*Dashboard!$B$12/Dashboard!$B$9,2))</x:f>
      </x:c>
      <x:c r="G261" s="77">
        <x:f>IF(A261="","",ROUND(C261*Moteur!$B$2,2))</x:f>
      </x:c>
      <x:c r="H261" s="77">
        <x:f>IF(A261="","",ROUND(MIN(C261,D261-G261+E261),2))</x:f>
      </x:c>
      <x:c r="I261" s="77">
        <x:f>IF(A261="","",ROUND(D261+E261+F261,2))</x:f>
      </x:c>
      <x:c r="J261" s="77">
        <x:f>IF(A261="","",ROUND(MAX(0,C261-H261),2))</x:f>
      </x:c>
      <x:c r="K261" s="78">
        <x:f>IF(A261="","",1-(J261/Dashboard!$B$6))</x:f>
      </x:c>
      <x:c r="L261" s="43">
        <x:f>IF(A261="","",IF(J261=0,"Soldé","En cours"))</x:f>
      </x:c>
      <x:c r="M261" s="77">
        <x:f>IF(A261="","",ROUND(SUM($G$8:G261),2))</x:f>
      </x:c>
    </x:row>
    <x:row r="262" ht="20" customHeight="1">
      <x:c r="A262" s="71">
        <x:f>IF(OR($J261="",ROUND($J261,2)=0),"",$A261+1)</x:f>
      </x:c>
      <x:c r="B262" s="72">
        <x:f>IF(A262="","",EDATE(Dashboard!$B$10,(A262-1)*(12/Dashboard!$B$9)))</x:f>
      </x:c>
      <x:c r="C262" s="73">
        <x:f>IF(A262="","",$J261)</x:f>
      </x:c>
      <x:c r="D262" s="73">
        <x:f>IF(A262="","",ROUND(MIN(Moteur!$B$3,C262+G262),2))</x:f>
      </x:c>
      <x:c r="E262" s="73">
        <x:f>IF(A262="","",ROUND(MIN(Dashboard!$B$11,MAX(0,C262-(D262-G262))),2))</x:f>
      </x:c>
      <x:c r="F262" s="73">
        <x:f>IF(A262="","",ROUND(C262*Dashboard!$B$12/Dashboard!$B$9,2))</x:f>
      </x:c>
      <x:c r="G262" s="73">
        <x:f>IF(A262="","",ROUND(C262*Moteur!$B$2,2))</x:f>
      </x:c>
      <x:c r="H262" s="73">
        <x:f>IF(A262="","",ROUND(MIN(C262,D262-G262+E262),2))</x:f>
      </x:c>
      <x:c r="I262" s="73">
        <x:f>IF(A262="","",ROUND(D262+E262+F262,2))</x:f>
      </x:c>
      <x:c r="J262" s="73">
        <x:f>IF(A262="","",ROUND(MAX(0,C262-H262),2))</x:f>
      </x:c>
      <x:c r="K262" s="74">
        <x:f>IF(A262="","",1-(J262/Dashboard!$B$6))</x:f>
      </x:c>
      <x:c r="L262" s="38">
        <x:f>IF(A262="","",IF(J262=0,"Soldé","En cours"))</x:f>
      </x:c>
      <x:c r="M262" s="73">
        <x:f>IF(A262="","",ROUND(SUM($G$8:G262),2))</x:f>
      </x:c>
    </x:row>
    <x:row r="263" ht="20" customHeight="1">
      <x:c r="A263" s="75">
        <x:f>IF(OR($J262="",ROUND($J262,2)=0),"",$A262+1)</x:f>
      </x:c>
      <x:c r="B263" s="76">
        <x:f>IF(A263="","",EDATE(Dashboard!$B$10,(A263-1)*(12/Dashboard!$B$9)))</x:f>
      </x:c>
      <x:c r="C263" s="77">
        <x:f>IF(A263="","",$J262)</x:f>
      </x:c>
      <x:c r="D263" s="77">
        <x:f>IF(A263="","",ROUND(MIN(Moteur!$B$3,C263+G263),2))</x:f>
      </x:c>
      <x:c r="E263" s="77">
        <x:f>IF(A263="","",ROUND(MIN(Dashboard!$B$11,MAX(0,C263-(D263-G263))),2))</x:f>
      </x:c>
      <x:c r="F263" s="77">
        <x:f>IF(A263="","",ROUND(C263*Dashboard!$B$12/Dashboard!$B$9,2))</x:f>
      </x:c>
      <x:c r="G263" s="77">
        <x:f>IF(A263="","",ROUND(C263*Moteur!$B$2,2))</x:f>
      </x:c>
      <x:c r="H263" s="77">
        <x:f>IF(A263="","",ROUND(MIN(C263,D263-G263+E263),2))</x:f>
      </x:c>
      <x:c r="I263" s="77">
        <x:f>IF(A263="","",ROUND(D263+E263+F263,2))</x:f>
      </x:c>
      <x:c r="J263" s="77">
        <x:f>IF(A263="","",ROUND(MAX(0,C263-H263),2))</x:f>
      </x:c>
      <x:c r="K263" s="78">
        <x:f>IF(A263="","",1-(J263/Dashboard!$B$6))</x:f>
      </x:c>
      <x:c r="L263" s="43">
        <x:f>IF(A263="","",IF(J263=0,"Soldé","En cours"))</x:f>
      </x:c>
      <x:c r="M263" s="77">
        <x:f>IF(A263="","",ROUND(SUM($G$8:G263),2))</x:f>
      </x:c>
    </x:row>
    <x:row r="264" ht="20" customHeight="1">
      <x:c r="A264" s="71">
        <x:f>IF(OR($J263="",ROUND($J263,2)=0),"",$A263+1)</x:f>
      </x:c>
      <x:c r="B264" s="72">
        <x:f>IF(A264="","",EDATE(Dashboard!$B$10,(A264-1)*(12/Dashboard!$B$9)))</x:f>
      </x:c>
      <x:c r="C264" s="73">
        <x:f>IF(A264="","",$J263)</x:f>
      </x:c>
      <x:c r="D264" s="73">
        <x:f>IF(A264="","",ROUND(MIN(Moteur!$B$3,C264+G264),2))</x:f>
      </x:c>
      <x:c r="E264" s="73">
        <x:f>IF(A264="","",ROUND(MIN(Dashboard!$B$11,MAX(0,C264-(D264-G264))),2))</x:f>
      </x:c>
      <x:c r="F264" s="73">
        <x:f>IF(A264="","",ROUND(C264*Dashboard!$B$12/Dashboard!$B$9,2))</x:f>
      </x:c>
      <x:c r="G264" s="73">
        <x:f>IF(A264="","",ROUND(C264*Moteur!$B$2,2))</x:f>
      </x:c>
      <x:c r="H264" s="73">
        <x:f>IF(A264="","",ROUND(MIN(C264,D264-G264+E264),2))</x:f>
      </x:c>
      <x:c r="I264" s="73">
        <x:f>IF(A264="","",ROUND(D264+E264+F264,2))</x:f>
      </x:c>
      <x:c r="J264" s="73">
        <x:f>IF(A264="","",ROUND(MAX(0,C264-H264),2))</x:f>
      </x:c>
      <x:c r="K264" s="74">
        <x:f>IF(A264="","",1-(J264/Dashboard!$B$6))</x:f>
      </x:c>
      <x:c r="L264" s="38">
        <x:f>IF(A264="","",IF(J264=0,"Soldé","En cours"))</x:f>
      </x:c>
      <x:c r="M264" s="73">
        <x:f>IF(A264="","",ROUND(SUM($G$8:G264),2))</x:f>
      </x:c>
    </x:row>
    <x:row r="265" ht="20" customHeight="1">
      <x:c r="A265" s="75">
        <x:f>IF(OR($J264="",ROUND($J264,2)=0),"",$A264+1)</x:f>
      </x:c>
      <x:c r="B265" s="76">
        <x:f>IF(A265="","",EDATE(Dashboard!$B$10,(A265-1)*(12/Dashboard!$B$9)))</x:f>
      </x:c>
      <x:c r="C265" s="77">
        <x:f>IF(A265="","",$J264)</x:f>
      </x:c>
      <x:c r="D265" s="77">
        <x:f>IF(A265="","",ROUND(MIN(Moteur!$B$3,C265+G265),2))</x:f>
      </x:c>
      <x:c r="E265" s="77">
        <x:f>IF(A265="","",ROUND(MIN(Dashboard!$B$11,MAX(0,C265-(D265-G265))),2))</x:f>
      </x:c>
      <x:c r="F265" s="77">
        <x:f>IF(A265="","",ROUND(C265*Dashboard!$B$12/Dashboard!$B$9,2))</x:f>
      </x:c>
      <x:c r="G265" s="77">
        <x:f>IF(A265="","",ROUND(C265*Moteur!$B$2,2))</x:f>
      </x:c>
      <x:c r="H265" s="77">
        <x:f>IF(A265="","",ROUND(MIN(C265,D265-G265+E265),2))</x:f>
      </x:c>
      <x:c r="I265" s="77">
        <x:f>IF(A265="","",ROUND(D265+E265+F265,2))</x:f>
      </x:c>
      <x:c r="J265" s="77">
        <x:f>IF(A265="","",ROUND(MAX(0,C265-H265),2))</x:f>
      </x:c>
      <x:c r="K265" s="78">
        <x:f>IF(A265="","",1-(J265/Dashboard!$B$6))</x:f>
      </x:c>
      <x:c r="L265" s="43">
        <x:f>IF(A265="","",IF(J265=0,"Soldé","En cours"))</x:f>
      </x:c>
      <x:c r="M265" s="77">
        <x:f>IF(A265="","",ROUND(SUM($G$8:G265),2))</x:f>
      </x:c>
    </x:row>
    <x:row r="266" ht="20" customHeight="1">
      <x:c r="A266" s="71">
        <x:f>IF(OR($J265="",ROUND($J265,2)=0),"",$A265+1)</x:f>
      </x:c>
      <x:c r="B266" s="72">
        <x:f>IF(A266="","",EDATE(Dashboard!$B$10,(A266-1)*(12/Dashboard!$B$9)))</x:f>
      </x:c>
      <x:c r="C266" s="73">
        <x:f>IF(A266="","",$J265)</x:f>
      </x:c>
      <x:c r="D266" s="73">
        <x:f>IF(A266="","",ROUND(MIN(Moteur!$B$3,C266+G266),2))</x:f>
      </x:c>
      <x:c r="E266" s="73">
        <x:f>IF(A266="","",ROUND(MIN(Dashboard!$B$11,MAX(0,C266-(D266-G266))),2))</x:f>
      </x:c>
      <x:c r="F266" s="73">
        <x:f>IF(A266="","",ROUND(C266*Dashboard!$B$12/Dashboard!$B$9,2))</x:f>
      </x:c>
      <x:c r="G266" s="73">
        <x:f>IF(A266="","",ROUND(C266*Moteur!$B$2,2))</x:f>
      </x:c>
      <x:c r="H266" s="73">
        <x:f>IF(A266="","",ROUND(MIN(C266,D266-G266+E266),2))</x:f>
      </x:c>
      <x:c r="I266" s="73">
        <x:f>IF(A266="","",ROUND(D266+E266+F266,2))</x:f>
      </x:c>
      <x:c r="J266" s="73">
        <x:f>IF(A266="","",ROUND(MAX(0,C266-H266),2))</x:f>
      </x:c>
      <x:c r="K266" s="74">
        <x:f>IF(A266="","",1-(J266/Dashboard!$B$6))</x:f>
      </x:c>
      <x:c r="L266" s="38">
        <x:f>IF(A266="","",IF(J266=0,"Soldé","En cours"))</x:f>
      </x:c>
      <x:c r="M266" s="73">
        <x:f>IF(A266="","",ROUND(SUM($G$8:G266),2))</x:f>
      </x:c>
    </x:row>
    <x:row r="267" ht="20" customHeight="1">
      <x:c r="A267" s="75">
        <x:f>IF(OR($J266="",ROUND($J266,2)=0),"",$A266+1)</x:f>
      </x:c>
      <x:c r="B267" s="76">
        <x:f>IF(A267="","",EDATE(Dashboard!$B$10,(A267-1)*(12/Dashboard!$B$9)))</x:f>
      </x:c>
      <x:c r="C267" s="77">
        <x:f>IF(A267="","",$J266)</x:f>
      </x:c>
      <x:c r="D267" s="77">
        <x:f>IF(A267="","",ROUND(MIN(Moteur!$B$3,C267+G267),2))</x:f>
      </x:c>
      <x:c r="E267" s="77">
        <x:f>IF(A267="","",ROUND(MIN(Dashboard!$B$11,MAX(0,C267-(D267-G267))),2))</x:f>
      </x:c>
      <x:c r="F267" s="77">
        <x:f>IF(A267="","",ROUND(C267*Dashboard!$B$12/Dashboard!$B$9,2))</x:f>
      </x:c>
      <x:c r="G267" s="77">
        <x:f>IF(A267="","",ROUND(C267*Moteur!$B$2,2))</x:f>
      </x:c>
      <x:c r="H267" s="77">
        <x:f>IF(A267="","",ROUND(MIN(C267,D267-G267+E267),2))</x:f>
      </x:c>
      <x:c r="I267" s="77">
        <x:f>IF(A267="","",ROUND(D267+E267+F267,2))</x:f>
      </x:c>
      <x:c r="J267" s="77">
        <x:f>IF(A267="","",ROUND(MAX(0,C267-H267),2))</x:f>
      </x:c>
      <x:c r="K267" s="78">
        <x:f>IF(A267="","",1-(J267/Dashboard!$B$6))</x:f>
      </x:c>
      <x:c r="L267" s="43">
        <x:f>IF(A267="","",IF(J267=0,"Soldé","En cours"))</x:f>
      </x:c>
      <x:c r="M267" s="77">
        <x:f>IF(A267="","",ROUND(SUM($G$8:G267),2))</x:f>
      </x:c>
    </x:row>
    <x:row r="268" ht="20" customHeight="1">
      <x:c r="A268" s="71">
        <x:f>IF(OR($J267="",ROUND($J267,2)=0),"",$A267+1)</x:f>
      </x:c>
      <x:c r="B268" s="72">
        <x:f>IF(A268="","",EDATE(Dashboard!$B$10,(A268-1)*(12/Dashboard!$B$9)))</x:f>
      </x:c>
      <x:c r="C268" s="73">
        <x:f>IF(A268="","",$J267)</x:f>
      </x:c>
      <x:c r="D268" s="73">
        <x:f>IF(A268="","",ROUND(MIN(Moteur!$B$3,C268+G268),2))</x:f>
      </x:c>
      <x:c r="E268" s="73">
        <x:f>IF(A268="","",ROUND(MIN(Dashboard!$B$11,MAX(0,C268-(D268-G268))),2))</x:f>
      </x:c>
      <x:c r="F268" s="73">
        <x:f>IF(A268="","",ROUND(C268*Dashboard!$B$12/Dashboard!$B$9,2))</x:f>
      </x:c>
      <x:c r="G268" s="73">
        <x:f>IF(A268="","",ROUND(C268*Moteur!$B$2,2))</x:f>
      </x:c>
      <x:c r="H268" s="73">
        <x:f>IF(A268="","",ROUND(MIN(C268,D268-G268+E268),2))</x:f>
      </x:c>
      <x:c r="I268" s="73">
        <x:f>IF(A268="","",ROUND(D268+E268+F268,2))</x:f>
      </x:c>
      <x:c r="J268" s="73">
        <x:f>IF(A268="","",ROUND(MAX(0,C268-H268),2))</x:f>
      </x:c>
      <x:c r="K268" s="74">
        <x:f>IF(A268="","",1-(J268/Dashboard!$B$6))</x:f>
      </x:c>
      <x:c r="L268" s="38">
        <x:f>IF(A268="","",IF(J268=0,"Soldé","En cours"))</x:f>
      </x:c>
      <x:c r="M268" s="73">
        <x:f>IF(A268="","",ROUND(SUM($G$8:G268),2))</x:f>
      </x:c>
    </x:row>
    <x:row r="269" ht="20" customHeight="1">
      <x:c r="A269" s="75">
        <x:f>IF(OR($J268="",ROUND($J268,2)=0),"",$A268+1)</x:f>
      </x:c>
      <x:c r="B269" s="76">
        <x:f>IF(A269="","",EDATE(Dashboard!$B$10,(A269-1)*(12/Dashboard!$B$9)))</x:f>
      </x:c>
      <x:c r="C269" s="77">
        <x:f>IF(A269="","",$J268)</x:f>
      </x:c>
      <x:c r="D269" s="77">
        <x:f>IF(A269="","",ROUND(MIN(Moteur!$B$3,C269+G269),2))</x:f>
      </x:c>
      <x:c r="E269" s="77">
        <x:f>IF(A269="","",ROUND(MIN(Dashboard!$B$11,MAX(0,C269-(D269-G269))),2))</x:f>
      </x:c>
      <x:c r="F269" s="77">
        <x:f>IF(A269="","",ROUND(C269*Dashboard!$B$12/Dashboard!$B$9,2))</x:f>
      </x:c>
      <x:c r="G269" s="77">
        <x:f>IF(A269="","",ROUND(C269*Moteur!$B$2,2))</x:f>
      </x:c>
      <x:c r="H269" s="77">
        <x:f>IF(A269="","",ROUND(MIN(C269,D269-G269+E269),2))</x:f>
      </x:c>
      <x:c r="I269" s="77">
        <x:f>IF(A269="","",ROUND(D269+E269+F269,2))</x:f>
      </x:c>
      <x:c r="J269" s="77">
        <x:f>IF(A269="","",ROUND(MAX(0,C269-H269),2))</x:f>
      </x:c>
      <x:c r="K269" s="78">
        <x:f>IF(A269="","",1-(J269/Dashboard!$B$6))</x:f>
      </x:c>
      <x:c r="L269" s="43">
        <x:f>IF(A269="","",IF(J269=0,"Soldé","En cours"))</x:f>
      </x:c>
      <x:c r="M269" s="77">
        <x:f>IF(A269="","",ROUND(SUM($G$8:G269),2))</x:f>
      </x:c>
    </x:row>
    <x:row r="270" ht="20" customHeight="1">
      <x:c r="A270" s="71">
        <x:f>IF(OR($J269="",ROUND($J269,2)=0),"",$A269+1)</x:f>
      </x:c>
      <x:c r="B270" s="72">
        <x:f>IF(A270="","",EDATE(Dashboard!$B$10,(A270-1)*(12/Dashboard!$B$9)))</x:f>
      </x:c>
      <x:c r="C270" s="73">
        <x:f>IF(A270="","",$J269)</x:f>
      </x:c>
      <x:c r="D270" s="73">
        <x:f>IF(A270="","",ROUND(MIN(Moteur!$B$3,C270+G270),2))</x:f>
      </x:c>
      <x:c r="E270" s="73">
        <x:f>IF(A270="","",ROUND(MIN(Dashboard!$B$11,MAX(0,C270-(D270-G270))),2))</x:f>
      </x:c>
      <x:c r="F270" s="73">
        <x:f>IF(A270="","",ROUND(C270*Dashboard!$B$12/Dashboard!$B$9,2))</x:f>
      </x:c>
      <x:c r="G270" s="73">
        <x:f>IF(A270="","",ROUND(C270*Moteur!$B$2,2))</x:f>
      </x:c>
      <x:c r="H270" s="73">
        <x:f>IF(A270="","",ROUND(MIN(C270,D270-G270+E270),2))</x:f>
      </x:c>
      <x:c r="I270" s="73">
        <x:f>IF(A270="","",ROUND(D270+E270+F270,2))</x:f>
      </x:c>
      <x:c r="J270" s="73">
        <x:f>IF(A270="","",ROUND(MAX(0,C270-H270),2))</x:f>
      </x:c>
      <x:c r="K270" s="74">
        <x:f>IF(A270="","",1-(J270/Dashboard!$B$6))</x:f>
      </x:c>
      <x:c r="L270" s="38">
        <x:f>IF(A270="","",IF(J270=0,"Soldé","En cours"))</x:f>
      </x:c>
      <x:c r="M270" s="73">
        <x:f>IF(A270="","",ROUND(SUM($G$8:G270),2))</x:f>
      </x:c>
    </x:row>
    <x:row r="271" ht="20" customHeight="1">
      <x:c r="A271" s="75">
        <x:f>IF(OR($J270="",ROUND($J270,2)=0),"",$A270+1)</x:f>
      </x:c>
      <x:c r="B271" s="76">
        <x:f>IF(A271="","",EDATE(Dashboard!$B$10,(A271-1)*(12/Dashboard!$B$9)))</x:f>
      </x:c>
      <x:c r="C271" s="77">
        <x:f>IF(A271="","",$J270)</x:f>
      </x:c>
      <x:c r="D271" s="77">
        <x:f>IF(A271="","",ROUND(MIN(Moteur!$B$3,C271+G271),2))</x:f>
      </x:c>
      <x:c r="E271" s="77">
        <x:f>IF(A271="","",ROUND(MIN(Dashboard!$B$11,MAX(0,C271-(D271-G271))),2))</x:f>
      </x:c>
      <x:c r="F271" s="77">
        <x:f>IF(A271="","",ROUND(C271*Dashboard!$B$12/Dashboard!$B$9,2))</x:f>
      </x:c>
      <x:c r="G271" s="77">
        <x:f>IF(A271="","",ROUND(C271*Moteur!$B$2,2))</x:f>
      </x:c>
      <x:c r="H271" s="77">
        <x:f>IF(A271="","",ROUND(MIN(C271,D271-G271+E271),2))</x:f>
      </x:c>
      <x:c r="I271" s="77">
        <x:f>IF(A271="","",ROUND(D271+E271+F271,2))</x:f>
      </x:c>
      <x:c r="J271" s="77">
        <x:f>IF(A271="","",ROUND(MAX(0,C271-H271),2))</x:f>
      </x:c>
      <x:c r="K271" s="78">
        <x:f>IF(A271="","",1-(J271/Dashboard!$B$6))</x:f>
      </x:c>
      <x:c r="L271" s="43">
        <x:f>IF(A271="","",IF(J271=0,"Soldé","En cours"))</x:f>
      </x:c>
      <x:c r="M271" s="77">
        <x:f>IF(A271="","",ROUND(SUM($G$8:G271),2))</x:f>
      </x:c>
    </x:row>
    <x:row r="272" ht="20" customHeight="1">
      <x:c r="A272" s="71">
        <x:f>IF(OR($J271="",ROUND($J271,2)=0),"",$A271+1)</x:f>
      </x:c>
      <x:c r="B272" s="72">
        <x:f>IF(A272="","",EDATE(Dashboard!$B$10,(A272-1)*(12/Dashboard!$B$9)))</x:f>
      </x:c>
      <x:c r="C272" s="73">
        <x:f>IF(A272="","",$J271)</x:f>
      </x:c>
      <x:c r="D272" s="73">
        <x:f>IF(A272="","",ROUND(MIN(Moteur!$B$3,C272+G272),2))</x:f>
      </x:c>
      <x:c r="E272" s="73">
        <x:f>IF(A272="","",ROUND(MIN(Dashboard!$B$11,MAX(0,C272-(D272-G272))),2))</x:f>
      </x:c>
      <x:c r="F272" s="73">
        <x:f>IF(A272="","",ROUND(C272*Dashboard!$B$12/Dashboard!$B$9,2))</x:f>
      </x:c>
      <x:c r="G272" s="73">
        <x:f>IF(A272="","",ROUND(C272*Moteur!$B$2,2))</x:f>
      </x:c>
      <x:c r="H272" s="73">
        <x:f>IF(A272="","",ROUND(MIN(C272,D272-G272+E272),2))</x:f>
      </x:c>
      <x:c r="I272" s="73">
        <x:f>IF(A272="","",ROUND(D272+E272+F272,2))</x:f>
      </x:c>
      <x:c r="J272" s="73">
        <x:f>IF(A272="","",ROUND(MAX(0,C272-H272),2))</x:f>
      </x:c>
      <x:c r="K272" s="74">
        <x:f>IF(A272="","",1-(J272/Dashboard!$B$6))</x:f>
      </x:c>
      <x:c r="L272" s="38">
        <x:f>IF(A272="","",IF(J272=0,"Soldé","En cours"))</x:f>
      </x:c>
      <x:c r="M272" s="73">
        <x:f>IF(A272="","",ROUND(SUM($G$8:G272),2))</x:f>
      </x:c>
    </x:row>
    <x:row r="273" ht="20" customHeight="1">
      <x:c r="A273" s="75">
        <x:f>IF(OR($J272="",ROUND($J272,2)=0),"",$A272+1)</x:f>
      </x:c>
      <x:c r="B273" s="76">
        <x:f>IF(A273="","",EDATE(Dashboard!$B$10,(A273-1)*(12/Dashboard!$B$9)))</x:f>
      </x:c>
      <x:c r="C273" s="77">
        <x:f>IF(A273="","",$J272)</x:f>
      </x:c>
      <x:c r="D273" s="77">
        <x:f>IF(A273="","",ROUND(MIN(Moteur!$B$3,C273+G273),2))</x:f>
      </x:c>
      <x:c r="E273" s="77">
        <x:f>IF(A273="","",ROUND(MIN(Dashboard!$B$11,MAX(0,C273-(D273-G273))),2))</x:f>
      </x:c>
      <x:c r="F273" s="77">
        <x:f>IF(A273="","",ROUND(C273*Dashboard!$B$12/Dashboard!$B$9,2))</x:f>
      </x:c>
      <x:c r="G273" s="77">
        <x:f>IF(A273="","",ROUND(C273*Moteur!$B$2,2))</x:f>
      </x:c>
      <x:c r="H273" s="77">
        <x:f>IF(A273="","",ROUND(MIN(C273,D273-G273+E273),2))</x:f>
      </x:c>
      <x:c r="I273" s="77">
        <x:f>IF(A273="","",ROUND(D273+E273+F273,2))</x:f>
      </x:c>
      <x:c r="J273" s="77">
        <x:f>IF(A273="","",ROUND(MAX(0,C273-H273),2))</x:f>
      </x:c>
      <x:c r="K273" s="78">
        <x:f>IF(A273="","",1-(J273/Dashboard!$B$6))</x:f>
      </x:c>
      <x:c r="L273" s="43">
        <x:f>IF(A273="","",IF(J273=0,"Soldé","En cours"))</x:f>
      </x:c>
      <x:c r="M273" s="77">
        <x:f>IF(A273="","",ROUND(SUM($G$8:G273),2))</x:f>
      </x:c>
    </x:row>
    <x:row r="274" ht="20" customHeight="1">
      <x:c r="A274" s="71">
        <x:f>IF(OR($J273="",ROUND($J273,2)=0),"",$A273+1)</x:f>
      </x:c>
      <x:c r="B274" s="72">
        <x:f>IF(A274="","",EDATE(Dashboard!$B$10,(A274-1)*(12/Dashboard!$B$9)))</x:f>
      </x:c>
      <x:c r="C274" s="73">
        <x:f>IF(A274="","",$J273)</x:f>
      </x:c>
      <x:c r="D274" s="73">
        <x:f>IF(A274="","",ROUND(MIN(Moteur!$B$3,C274+G274),2))</x:f>
      </x:c>
      <x:c r="E274" s="73">
        <x:f>IF(A274="","",ROUND(MIN(Dashboard!$B$11,MAX(0,C274-(D274-G274))),2))</x:f>
      </x:c>
      <x:c r="F274" s="73">
        <x:f>IF(A274="","",ROUND(C274*Dashboard!$B$12/Dashboard!$B$9,2))</x:f>
      </x:c>
      <x:c r="G274" s="73">
        <x:f>IF(A274="","",ROUND(C274*Moteur!$B$2,2))</x:f>
      </x:c>
      <x:c r="H274" s="73">
        <x:f>IF(A274="","",ROUND(MIN(C274,D274-G274+E274),2))</x:f>
      </x:c>
      <x:c r="I274" s="73">
        <x:f>IF(A274="","",ROUND(D274+E274+F274,2))</x:f>
      </x:c>
      <x:c r="J274" s="73">
        <x:f>IF(A274="","",ROUND(MAX(0,C274-H274),2))</x:f>
      </x:c>
      <x:c r="K274" s="74">
        <x:f>IF(A274="","",1-(J274/Dashboard!$B$6))</x:f>
      </x:c>
      <x:c r="L274" s="38">
        <x:f>IF(A274="","",IF(J274=0,"Soldé","En cours"))</x:f>
      </x:c>
      <x:c r="M274" s="73">
        <x:f>IF(A274="","",ROUND(SUM($G$8:G274),2))</x:f>
      </x:c>
    </x:row>
    <x:row r="275" ht="20" customHeight="1">
      <x:c r="A275" s="75">
        <x:f>IF(OR($J274="",ROUND($J274,2)=0),"",$A274+1)</x:f>
      </x:c>
      <x:c r="B275" s="76">
        <x:f>IF(A275="","",EDATE(Dashboard!$B$10,(A275-1)*(12/Dashboard!$B$9)))</x:f>
      </x:c>
      <x:c r="C275" s="77">
        <x:f>IF(A275="","",$J274)</x:f>
      </x:c>
      <x:c r="D275" s="77">
        <x:f>IF(A275="","",ROUND(MIN(Moteur!$B$3,C275+G275),2))</x:f>
      </x:c>
      <x:c r="E275" s="77">
        <x:f>IF(A275="","",ROUND(MIN(Dashboard!$B$11,MAX(0,C275-(D275-G275))),2))</x:f>
      </x:c>
      <x:c r="F275" s="77">
        <x:f>IF(A275="","",ROUND(C275*Dashboard!$B$12/Dashboard!$B$9,2))</x:f>
      </x:c>
      <x:c r="G275" s="77">
        <x:f>IF(A275="","",ROUND(C275*Moteur!$B$2,2))</x:f>
      </x:c>
      <x:c r="H275" s="77">
        <x:f>IF(A275="","",ROUND(MIN(C275,D275-G275+E275),2))</x:f>
      </x:c>
      <x:c r="I275" s="77">
        <x:f>IF(A275="","",ROUND(D275+E275+F275,2))</x:f>
      </x:c>
      <x:c r="J275" s="77">
        <x:f>IF(A275="","",ROUND(MAX(0,C275-H275),2))</x:f>
      </x:c>
      <x:c r="K275" s="78">
        <x:f>IF(A275="","",1-(J275/Dashboard!$B$6))</x:f>
      </x:c>
      <x:c r="L275" s="43">
        <x:f>IF(A275="","",IF(J275=0,"Soldé","En cours"))</x:f>
      </x:c>
      <x:c r="M275" s="77">
        <x:f>IF(A275="","",ROUND(SUM($G$8:G275),2))</x:f>
      </x:c>
    </x:row>
    <x:row r="276" ht="20" customHeight="1">
      <x:c r="A276" s="71">
        <x:f>IF(OR($J275="",ROUND($J275,2)=0),"",$A275+1)</x:f>
      </x:c>
      <x:c r="B276" s="72">
        <x:f>IF(A276="","",EDATE(Dashboard!$B$10,(A276-1)*(12/Dashboard!$B$9)))</x:f>
      </x:c>
      <x:c r="C276" s="73">
        <x:f>IF(A276="","",$J275)</x:f>
      </x:c>
      <x:c r="D276" s="73">
        <x:f>IF(A276="","",ROUND(MIN(Moteur!$B$3,C276+G276),2))</x:f>
      </x:c>
      <x:c r="E276" s="73">
        <x:f>IF(A276="","",ROUND(MIN(Dashboard!$B$11,MAX(0,C276-(D276-G276))),2))</x:f>
      </x:c>
      <x:c r="F276" s="73">
        <x:f>IF(A276="","",ROUND(C276*Dashboard!$B$12/Dashboard!$B$9,2))</x:f>
      </x:c>
      <x:c r="G276" s="73">
        <x:f>IF(A276="","",ROUND(C276*Moteur!$B$2,2))</x:f>
      </x:c>
      <x:c r="H276" s="73">
        <x:f>IF(A276="","",ROUND(MIN(C276,D276-G276+E276),2))</x:f>
      </x:c>
      <x:c r="I276" s="73">
        <x:f>IF(A276="","",ROUND(D276+E276+F276,2))</x:f>
      </x:c>
      <x:c r="J276" s="73">
        <x:f>IF(A276="","",ROUND(MAX(0,C276-H276),2))</x:f>
      </x:c>
      <x:c r="K276" s="74">
        <x:f>IF(A276="","",1-(J276/Dashboard!$B$6))</x:f>
      </x:c>
      <x:c r="L276" s="38">
        <x:f>IF(A276="","",IF(J276=0,"Soldé","En cours"))</x:f>
      </x:c>
      <x:c r="M276" s="73">
        <x:f>IF(A276="","",ROUND(SUM($G$8:G276),2))</x:f>
      </x:c>
    </x:row>
    <x:row r="277" ht="20" customHeight="1">
      <x:c r="A277" s="75">
        <x:f>IF(OR($J276="",ROUND($J276,2)=0),"",$A276+1)</x:f>
      </x:c>
      <x:c r="B277" s="76">
        <x:f>IF(A277="","",EDATE(Dashboard!$B$10,(A277-1)*(12/Dashboard!$B$9)))</x:f>
      </x:c>
      <x:c r="C277" s="77">
        <x:f>IF(A277="","",$J276)</x:f>
      </x:c>
      <x:c r="D277" s="77">
        <x:f>IF(A277="","",ROUND(MIN(Moteur!$B$3,C277+G277),2))</x:f>
      </x:c>
      <x:c r="E277" s="77">
        <x:f>IF(A277="","",ROUND(MIN(Dashboard!$B$11,MAX(0,C277-(D277-G277))),2))</x:f>
      </x:c>
      <x:c r="F277" s="77">
        <x:f>IF(A277="","",ROUND(C277*Dashboard!$B$12/Dashboard!$B$9,2))</x:f>
      </x:c>
      <x:c r="G277" s="77">
        <x:f>IF(A277="","",ROUND(C277*Moteur!$B$2,2))</x:f>
      </x:c>
      <x:c r="H277" s="77">
        <x:f>IF(A277="","",ROUND(MIN(C277,D277-G277+E277),2))</x:f>
      </x:c>
      <x:c r="I277" s="77">
        <x:f>IF(A277="","",ROUND(D277+E277+F277,2))</x:f>
      </x:c>
      <x:c r="J277" s="77">
        <x:f>IF(A277="","",ROUND(MAX(0,C277-H277),2))</x:f>
      </x:c>
      <x:c r="K277" s="78">
        <x:f>IF(A277="","",1-(J277/Dashboard!$B$6))</x:f>
      </x:c>
      <x:c r="L277" s="43">
        <x:f>IF(A277="","",IF(J277=0,"Soldé","En cours"))</x:f>
      </x:c>
      <x:c r="M277" s="77">
        <x:f>IF(A277="","",ROUND(SUM($G$8:G277),2))</x:f>
      </x:c>
    </x:row>
    <x:row r="278" ht="20" customHeight="1">
      <x:c r="A278" s="71">
        <x:f>IF(OR($J277="",ROUND($J277,2)=0),"",$A277+1)</x:f>
      </x:c>
      <x:c r="B278" s="72">
        <x:f>IF(A278="","",EDATE(Dashboard!$B$10,(A278-1)*(12/Dashboard!$B$9)))</x:f>
      </x:c>
      <x:c r="C278" s="73">
        <x:f>IF(A278="","",$J277)</x:f>
      </x:c>
      <x:c r="D278" s="73">
        <x:f>IF(A278="","",ROUND(MIN(Moteur!$B$3,C278+G278),2))</x:f>
      </x:c>
      <x:c r="E278" s="73">
        <x:f>IF(A278="","",ROUND(MIN(Dashboard!$B$11,MAX(0,C278-(D278-G278))),2))</x:f>
      </x:c>
      <x:c r="F278" s="73">
        <x:f>IF(A278="","",ROUND(C278*Dashboard!$B$12/Dashboard!$B$9,2))</x:f>
      </x:c>
      <x:c r="G278" s="73">
        <x:f>IF(A278="","",ROUND(C278*Moteur!$B$2,2))</x:f>
      </x:c>
      <x:c r="H278" s="73">
        <x:f>IF(A278="","",ROUND(MIN(C278,D278-G278+E278),2))</x:f>
      </x:c>
      <x:c r="I278" s="73">
        <x:f>IF(A278="","",ROUND(D278+E278+F278,2))</x:f>
      </x:c>
      <x:c r="J278" s="73">
        <x:f>IF(A278="","",ROUND(MAX(0,C278-H278),2))</x:f>
      </x:c>
      <x:c r="K278" s="74">
        <x:f>IF(A278="","",1-(J278/Dashboard!$B$6))</x:f>
      </x:c>
      <x:c r="L278" s="38">
        <x:f>IF(A278="","",IF(J278=0,"Soldé","En cours"))</x:f>
      </x:c>
      <x:c r="M278" s="73">
        <x:f>IF(A278="","",ROUND(SUM($G$8:G278),2))</x:f>
      </x:c>
    </x:row>
    <x:row r="279" ht="20" customHeight="1">
      <x:c r="A279" s="75">
        <x:f>IF(OR($J278="",ROUND($J278,2)=0),"",$A278+1)</x:f>
      </x:c>
      <x:c r="B279" s="76">
        <x:f>IF(A279="","",EDATE(Dashboard!$B$10,(A279-1)*(12/Dashboard!$B$9)))</x:f>
      </x:c>
      <x:c r="C279" s="77">
        <x:f>IF(A279="","",$J278)</x:f>
      </x:c>
      <x:c r="D279" s="77">
        <x:f>IF(A279="","",ROUND(MIN(Moteur!$B$3,C279+G279),2))</x:f>
      </x:c>
      <x:c r="E279" s="77">
        <x:f>IF(A279="","",ROUND(MIN(Dashboard!$B$11,MAX(0,C279-(D279-G279))),2))</x:f>
      </x:c>
      <x:c r="F279" s="77">
        <x:f>IF(A279="","",ROUND(C279*Dashboard!$B$12/Dashboard!$B$9,2))</x:f>
      </x:c>
      <x:c r="G279" s="77">
        <x:f>IF(A279="","",ROUND(C279*Moteur!$B$2,2))</x:f>
      </x:c>
      <x:c r="H279" s="77">
        <x:f>IF(A279="","",ROUND(MIN(C279,D279-G279+E279),2))</x:f>
      </x:c>
      <x:c r="I279" s="77">
        <x:f>IF(A279="","",ROUND(D279+E279+F279,2))</x:f>
      </x:c>
      <x:c r="J279" s="77">
        <x:f>IF(A279="","",ROUND(MAX(0,C279-H279),2))</x:f>
      </x:c>
      <x:c r="K279" s="78">
        <x:f>IF(A279="","",1-(J279/Dashboard!$B$6))</x:f>
      </x:c>
      <x:c r="L279" s="43">
        <x:f>IF(A279="","",IF(J279=0,"Soldé","En cours"))</x:f>
      </x:c>
      <x:c r="M279" s="77">
        <x:f>IF(A279="","",ROUND(SUM($G$8:G279),2))</x:f>
      </x:c>
    </x:row>
    <x:row r="280" ht="20" customHeight="1">
      <x:c r="A280" s="71">
        <x:f>IF(OR($J279="",ROUND($J279,2)=0),"",$A279+1)</x:f>
      </x:c>
      <x:c r="B280" s="72">
        <x:f>IF(A280="","",EDATE(Dashboard!$B$10,(A280-1)*(12/Dashboard!$B$9)))</x:f>
      </x:c>
      <x:c r="C280" s="73">
        <x:f>IF(A280="","",$J279)</x:f>
      </x:c>
      <x:c r="D280" s="73">
        <x:f>IF(A280="","",ROUND(MIN(Moteur!$B$3,C280+G280),2))</x:f>
      </x:c>
      <x:c r="E280" s="73">
        <x:f>IF(A280="","",ROUND(MIN(Dashboard!$B$11,MAX(0,C280-(D280-G280))),2))</x:f>
      </x:c>
      <x:c r="F280" s="73">
        <x:f>IF(A280="","",ROUND(C280*Dashboard!$B$12/Dashboard!$B$9,2))</x:f>
      </x:c>
      <x:c r="G280" s="73">
        <x:f>IF(A280="","",ROUND(C280*Moteur!$B$2,2))</x:f>
      </x:c>
      <x:c r="H280" s="73">
        <x:f>IF(A280="","",ROUND(MIN(C280,D280-G280+E280),2))</x:f>
      </x:c>
      <x:c r="I280" s="73">
        <x:f>IF(A280="","",ROUND(D280+E280+F280,2))</x:f>
      </x:c>
      <x:c r="J280" s="73">
        <x:f>IF(A280="","",ROUND(MAX(0,C280-H280),2))</x:f>
      </x:c>
      <x:c r="K280" s="74">
        <x:f>IF(A280="","",1-(J280/Dashboard!$B$6))</x:f>
      </x:c>
      <x:c r="L280" s="38">
        <x:f>IF(A280="","",IF(J280=0,"Soldé","En cours"))</x:f>
      </x:c>
      <x:c r="M280" s="73">
        <x:f>IF(A280="","",ROUND(SUM($G$8:G280),2))</x:f>
      </x:c>
    </x:row>
    <x:row r="281" ht="20" customHeight="1">
      <x:c r="A281" s="75">
        <x:f>IF(OR($J280="",ROUND($J280,2)=0),"",$A280+1)</x:f>
      </x:c>
      <x:c r="B281" s="76">
        <x:f>IF(A281="","",EDATE(Dashboard!$B$10,(A281-1)*(12/Dashboard!$B$9)))</x:f>
      </x:c>
      <x:c r="C281" s="77">
        <x:f>IF(A281="","",$J280)</x:f>
      </x:c>
      <x:c r="D281" s="77">
        <x:f>IF(A281="","",ROUND(MIN(Moteur!$B$3,C281+G281),2))</x:f>
      </x:c>
      <x:c r="E281" s="77">
        <x:f>IF(A281="","",ROUND(MIN(Dashboard!$B$11,MAX(0,C281-(D281-G281))),2))</x:f>
      </x:c>
      <x:c r="F281" s="77">
        <x:f>IF(A281="","",ROUND(C281*Dashboard!$B$12/Dashboard!$B$9,2))</x:f>
      </x:c>
      <x:c r="G281" s="77">
        <x:f>IF(A281="","",ROUND(C281*Moteur!$B$2,2))</x:f>
      </x:c>
      <x:c r="H281" s="77">
        <x:f>IF(A281="","",ROUND(MIN(C281,D281-G281+E281),2))</x:f>
      </x:c>
      <x:c r="I281" s="77">
        <x:f>IF(A281="","",ROUND(D281+E281+F281,2))</x:f>
      </x:c>
      <x:c r="J281" s="77">
        <x:f>IF(A281="","",ROUND(MAX(0,C281-H281),2))</x:f>
      </x:c>
      <x:c r="K281" s="78">
        <x:f>IF(A281="","",1-(J281/Dashboard!$B$6))</x:f>
      </x:c>
      <x:c r="L281" s="43">
        <x:f>IF(A281="","",IF(J281=0,"Soldé","En cours"))</x:f>
      </x:c>
      <x:c r="M281" s="77">
        <x:f>IF(A281="","",ROUND(SUM($G$8:G281),2))</x:f>
      </x:c>
    </x:row>
    <x:row r="282" ht="20" customHeight="1">
      <x:c r="A282" s="71">
        <x:f>IF(OR($J281="",ROUND($J281,2)=0),"",$A281+1)</x:f>
      </x:c>
      <x:c r="B282" s="72">
        <x:f>IF(A282="","",EDATE(Dashboard!$B$10,(A282-1)*(12/Dashboard!$B$9)))</x:f>
      </x:c>
      <x:c r="C282" s="73">
        <x:f>IF(A282="","",$J281)</x:f>
      </x:c>
      <x:c r="D282" s="73">
        <x:f>IF(A282="","",ROUND(MIN(Moteur!$B$3,C282+G282),2))</x:f>
      </x:c>
      <x:c r="E282" s="73">
        <x:f>IF(A282="","",ROUND(MIN(Dashboard!$B$11,MAX(0,C282-(D282-G282))),2))</x:f>
      </x:c>
      <x:c r="F282" s="73">
        <x:f>IF(A282="","",ROUND(C282*Dashboard!$B$12/Dashboard!$B$9,2))</x:f>
      </x:c>
      <x:c r="G282" s="73">
        <x:f>IF(A282="","",ROUND(C282*Moteur!$B$2,2))</x:f>
      </x:c>
      <x:c r="H282" s="73">
        <x:f>IF(A282="","",ROUND(MIN(C282,D282-G282+E282),2))</x:f>
      </x:c>
      <x:c r="I282" s="73">
        <x:f>IF(A282="","",ROUND(D282+E282+F282,2))</x:f>
      </x:c>
      <x:c r="J282" s="73">
        <x:f>IF(A282="","",ROUND(MAX(0,C282-H282),2))</x:f>
      </x:c>
      <x:c r="K282" s="74">
        <x:f>IF(A282="","",1-(J282/Dashboard!$B$6))</x:f>
      </x:c>
      <x:c r="L282" s="38">
        <x:f>IF(A282="","",IF(J282=0,"Soldé","En cours"))</x:f>
      </x:c>
      <x:c r="M282" s="73">
        <x:f>IF(A282="","",ROUND(SUM($G$8:G282),2))</x:f>
      </x:c>
    </x:row>
    <x:row r="283" ht="20" customHeight="1">
      <x:c r="A283" s="75">
        <x:f>IF(OR($J282="",ROUND($J282,2)=0),"",$A282+1)</x:f>
      </x:c>
      <x:c r="B283" s="76">
        <x:f>IF(A283="","",EDATE(Dashboard!$B$10,(A283-1)*(12/Dashboard!$B$9)))</x:f>
      </x:c>
      <x:c r="C283" s="77">
        <x:f>IF(A283="","",$J282)</x:f>
      </x:c>
      <x:c r="D283" s="77">
        <x:f>IF(A283="","",ROUND(MIN(Moteur!$B$3,C283+G283),2))</x:f>
      </x:c>
      <x:c r="E283" s="77">
        <x:f>IF(A283="","",ROUND(MIN(Dashboard!$B$11,MAX(0,C283-(D283-G283))),2))</x:f>
      </x:c>
      <x:c r="F283" s="77">
        <x:f>IF(A283="","",ROUND(C283*Dashboard!$B$12/Dashboard!$B$9,2))</x:f>
      </x:c>
      <x:c r="G283" s="77">
        <x:f>IF(A283="","",ROUND(C283*Moteur!$B$2,2))</x:f>
      </x:c>
      <x:c r="H283" s="77">
        <x:f>IF(A283="","",ROUND(MIN(C283,D283-G283+E283),2))</x:f>
      </x:c>
      <x:c r="I283" s="77">
        <x:f>IF(A283="","",ROUND(D283+E283+F283,2))</x:f>
      </x:c>
      <x:c r="J283" s="77">
        <x:f>IF(A283="","",ROUND(MAX(0,C283-H283),2))</x:f>
      </x:c>
      <x:c r="K283" s="78">
        <x:f>IF(A283="","",1-(J283/Dashboard!$B$6))</x:f>
      </x:c>
      <x:c r="L283" s="43">
        <x:f>IF(A283="","",IF(J283=0,"Soldé","En cours"))</x:f>
      </x:c>
      <x:c r="M283" s="77">
        <x:f>IF(A283="","",ROUND(SUM($G$8:G283),2))</x:f>
      </x:c>
    </x:row>
    <x:row r="284" ht="20" customHeight="1">
      <x:c r="A284" s="71">
        <x:f>IF(OR($J283="",ROUND($J283,2)=0),"",$A283+1)</x:f>
      </x:c>
      <x:c r="B284" s="72">
        <x:f>IF(A284="","",EDATE(Dashboard!$B$10,(A284-1)*(12/Dashboard!$B$9)))</x:f>
      </x:c>
      <x:c r="C284" s="73">
        <x:f>IF(A284="","",$J283)</x:f>
      </x:c>
      <x:c r="D284" s="73">
        <x:f>IF(A284="","",ROUND(MIN(Moteur!$B$3,C284+G284),2))</x:f>
      </x:c>
      <x:c r="E284" s="73">
        <x:f>IF(A284="","",ROUND(MIN(Dashboard!$B$11,MAX(0,C284-(D284-G284))),2))</x:f>
      </x:c>
      <x:c r="F284" s="73">
        <x:f>IF(A284="","",ROUND(C284*Dashboard!$B$12/Dashboard!$B$9,2))</x:f>
      </x:c>
      <x:c r="G284" s="73">
        <x:f>IF(A284="","",ROUND(C284*Moteur!$B$2,2))</x:f>
      </x:c>
      <x:c r="H284" s="73">
        <x:f>IF(A284="","",ROUND(MIN(C284,D284-G284+E284),2))</x:f>
      </x:c>
      <x:c r="I284" s="73">
        <x:f>IF(A284="","",ROUND(D284+E284+F284,2))</x:f>
      </x:c>
      <x:c r="J284" s="73">
        <x:f>IF(A284="","",ROUND(MAX(0,C284-H284),2))</x:f>
      </x:c>
      <x:c r="K284" s="74">
        <x:f>IF(A284="","",1-(J284/Dashboard!$B$6))</x:f>
      </x:c>
      <x:c r="L284" s="38">
        <x:f>IF(A284="","",IF(J284=0,"Soldé","En cours"))</x:f>
      </x:c>
      <x:c r="M284" s="73">
        <x:f>IF(A284="","",ROUND(SUM($G$8:G284),2))</x:f>
      </x:c>
    </x:row>
    <x:row r="285" ht="20" customHeight="1">
      <x:c r="A285" s="75">
        <x:f>IF(OR($J284="",ROUND($J284,2)=0),"",$A284+1)</x:f>
      </x:c>
      <x:c r="B285" s="76">
        <x:f>IF(A285="","",EDATE(Dashboard!$B$10,(A285-1)*(12/Dashboard!$B$9)))</x:f>
      </x:c>
      <x:c r="C285" s="77">
        <x:f>IF(A285="","",$J284)</x:f>
      </x:c>
      <x:c r="D285" s="77">
        <x:f>IF(A285="","",ROUND(MIN(Moteur!$B$3,C285+G285),2))</x:f>
      </x:c>
      <x:c r="E285" s="77">
        <x:f>IF(A285="","",ROUND(MIN(Dashboard!$B$11,MAX(0,C285-(D285-G285))),2))</x:f>
      </x:c>
      <x:c r="F285" s="77">
        <x:f>IF(A285="","",ROUND(C285*Dashboard!$B$12/Dashboard!$B$9,2))</x:f>
      </x:c>
      <x:c r="G285" s="77">
        <x:f>IF(A285="","",ROUND(C285*Moteur!$B$2,2))</x:f>
      </x:c>
      <x:c r="H285" s="77">
        <x:f>IF(A285="","",ROUND(MIN(C285,D285-G285+E285),2))</x:f>
      </x:c>
      <x:c r="I285" s="77">
        <x:f>IF(A285="","",ROUND(D285+E285+F285,2))</x:f>
      </x:c>
      <x:c r="J285" s="77">
        <x:f>IF(A285="","",ROUND(MAX(0,C285-H285),2))</x:f>
      </x:c>
      <x:c r="K285" s="78">
        <x:f>IF(A285="","",1-(J285/Dashboard!$B$6))</x:f>
      </x:c>
      <x:c r="L285" s="43">
        <x:f>IF(A285="","",IF(J285=0,"Soldé","En cours"))</x:f>
      </x:c>
      <x:c r="M285" s="77">
        <x:f>IF(A285="","",ROUND(SUM($G$8:G285),2))</x:f>
      </x:c>
    </x:row>
    <x:row r="286" ht="20" customHeight="1">
      <x:c r="A286" s="71">
        <x:f>IF(OR($J285="",ROUND($J285,2)=0),"",$A285+1)</x:f>
      </x:c>
      <x:c r="B286" s="72">
        <x:f>IF(A286="","",EDATE(Dashboard!$B$10,(A286-1)*(12/Dashboard!$B$9)))</x:f>
      </x:c>
      <x:c r="C286" s="73">
        <x:f>IF(A286="","",$J285)</x:f>
      </x:c>
      <x:c r="D286" s="73">
        <x:f>IF(A286="","",ROUND(MIN(Moteur!$B$3,C286+G286),2))</x:f>
      </x:c>
      <x:c r="E286" s="73">
        <x:f>IF(A286="","",ROUND(MIN(Dashboard!$B$11,MAX(0,C286-(D286-G286))),2))</x:f>
      </x:c>
      <x:c r="F286" s="73">
        <x:f>IF(A286="","",ROUND(C286*Dashboard!$B$12/Dashboard!$B$9,2))</x:f>
      </x:c>
      <x:c r="G286" s="73">
        <x:f>IF(A286="","",ROUND(C286*Moteur!$B$2,2))</x:f>
      </x:c>
      <x:c r="H286" s="73">
        <x:f>IF(A286="","",ROUND(MIN(C286,D286-G286+E286),2))</x:f>
      </x:c>
      <x:c r="I286" s="73">
        <x:f>IF(A286="","",ROUND(D286+E286+F286,2))</x:f>
      </x:c>
      <x:c r="J286" s="73">
        <x:f>IF(A286="","",ROUND(MAX(0,C286-H286),2))</x:f>
      </x:c>
      <x:c r="K286" s="74">
        <x:f>IF(A286="","",1-(J286/Dashboard!$B$6))</x:f>
      </x:c>
      <x:c r="L286" s="38">
        <x:f>IF(A286="","",IF(J286=0,"Soldé","En cours"))</x:f>
      </x:c>
      <x:c r="M286" s="73">
        <x:f>IF(A286="","",ROUND(SUM($G$8:G286),2))</x:f>
      </x:c>
    </x:row>
    <x:row r="287" ht="20" customHeight="1">
      <x:c r="A287" s="75">
        <x:f>IF(OR($J286="",ROUND($J286,2)=0),"",$A286+1)</x:f>
      </x:c>
      <x:c r="B287" s="76">
        <x:f>IF(A287="","",EDATE(Dashboard!$B$10,(A287-1)*(12/Dashboard!$B$9)))</x:f>
      </x:c>
      <x:c r="C287" s="77">
        <x:f>IF(A287="","",$J286)</x:f>
      </x:c>
      <x:c r="D287" s="77">
        <x:f>IF(A287="","",ROUND(MIN(Moteur!$B$3,C287+G287),2))</x:f>
      </x:c>
      <x:c r="E287" s="77">
        <x:f>IF(A287="","",ROUND(MIN(Dashboard!$B$11,MAX(0,C287-(D287-G287))),2))</x:f>
      </x:c>
      <x:c r="F287" s="77">
        <x:f>IF(A287="","",ROUND(C287*Dashboard!$B$12/Dashboard!$B$9,2))</x:f>
      </x:c>
      <x:c r="G287" s="77">
        <x:f>IF(A287="","",ROUND(C287*Moteur!$B$2,2))</x:f>
      </x:c>
      <x:c r="H287" s="77">
        <x:f>IF(A287="","",ROUND(MIN(C287,D287-G287+E287),2))</x:f>
      </x:c>
      <x:c r="I287" s="77">
        <x:f>IF(A287="","",ROUND(D287+E287+F287,2))</x:f>
      </x:c>
      <x:c r="J287" s="77">
        <x:f>IF(A287="","",ROUND(MAX(0,C287-H287),2))</x:f>
      </x:c>
      <x:c r="K287" s="78">
        <x:f>IF(A287="","",1-(J287/Dashboard!$B$6))</x:f>
      </x:c>
      <x:c r="L287" s="43">
        <x:f>IF(A287="","",IF(J287=0,"Soldé","En cours"))</x:f>
      </x:c>
      <x:c r="M287" s="77">
        <x:f>IF(A287="","",ROUND(SUM($G$8:G287),2))</x:f>
      </x:c>
    </x:row>
    <x:row r="288" ht="20" customHeight="1">
      <x:c r="A288" s="71">
        <x:f>IF(OR($J287="",ROUND($J287,2)=0),"",$A287+1)</x:f>
      </x:c>
      <x:c r="B288" s="72">
        <x:f>IF(A288="","",EDATE(Dashboard!$B$10,(A288-1)*(12/Dashboard!$B$9)))</x:f>
      </x:c>
      <x:c r="C288" s="73">
        <x:f>IF(A288="","",$J287)</x:f>
      </x:c>
      <x:c r="D288" s="73">
        <x:f>IF(A288="","",ROUND(MIN(Moteur!$B$3,C288+G288),2))</x:f>
      </x:c>
      <x:c r="E288" s="73">
        <x:f>IF(A288="","",ROUND(MIN(Dashboard!$B$11,MAX(0,C288-(D288-G288))),2))</x:f>
      </x:c>
      <x:c r="F288" s="73">
        <x:f>IF(A288="","",ROUND(C288*Dashboard!$B$12/Dashboard!$B$9,2))</x:f>
      </x:c>
      <x:c r="G288" s="73">
        <x:f>IF(A288="","",ROUND(C288*Moteur!$B$2,2))</x:f>
      </x:c>
      <x:c r="H288" s="73">
        <x:f>IF(A288="","",ROUND(MIN(C288,D288-G288+E288),2))</x:f>
      </x:c>
      <x:c r="I288" s="73">
        <x:f>IF(A288="","",ROUND(D288+E288+F288,2))</x:f>
      </x:c>
      <x:c r="J288" s="73">
        <x:f>IF(A288="","",ROUND(MAX(0,C288-H288),2))</x:f>
      </x:c>
      <x:c r="K288" s="74">
        <x:f>IF(A288="","",1-(J288/Dashboard!$B$6))</x:f>
      </x:c>
      <x:c r="L288" s="38">
        <x:f>IF(A288="","",IF(J288=0,"Soldé","En cours"))</x:f>
      </x:c>
      <x:c r="M288" s="73">
        <x:f>IF(A288="","",ROUND(SUM($G$8:G288),2))</x:f>
      </x:c>
    </x:row>
    <x:row r="289" ht="20" customHeight="1">
      <x:c r="A289" s="75">
        <x:f>IF(OR($J288="",ROUND($J288,2)=0),"",$A288+1)</x:f>
      </x:c>
      <x:c r="B289" s="76">
        <x:f>IF(A289="","",EDATE(Dashboard!$B$10,(A289-1)*(12/Dashboard!$B$9)))</x:f>
      </x:c>
      <x:c r="C289" s="77">
        <x:f>IF(A289="","",$J288)</x:f>
      </x:c>
      <x:c r="D289" s="77">
        <x:f>IF(A289="","",ROUND(MIN(Moteur!$B$3,C289+G289),2))</x:f>
      </x:c>
      <x:c r="E289" s="77">
        <x:f>IF(A289="","",ROUND(MIN(Dashboard!$B$11,MAX(0,C289-(D289-G289))),2))</x:f>
      </x:c>
      <x:c r="F289" s="77">
        <x:f>IF(A289="","",ROUND(C289*Dashboard!$B$12/Dashboard!$B$9,2))</x:f>
      </x:c>
      <x:c r="G289" s="77">
        <x:f>IF(A289="","",ROUND(C289*Moteur!$B$2,2))</x:f>
      </x:c>
      <x:c r="H289" s="77">
        <x:f>IF(A289="","",ROUND(MIN(C289,D289-G289+E289),2))</x:f>
      </x:c>
      <x:c r="I289" s="77">
        <x:f>IF(A289="","",ROUND(D289+E289+F289,2))</x:f>
      </x:c>
      <x:c r="J289" s="77">
        <x:f>IF(A289="","",ROUND(MAX(0,C289-H289),2))</x:f>
      </x:c>
      <x:c r="K289" s="78">
        <x:f>IF(A289="","",1-(J289/Dashboard!$B$6))</x:f>
      </x:c>
      <x:c r="L289" s="43">
        <x:f>IF(A289="","",IF(J289=0,"Soldé","En cours"))</x:f>
      </x:c>
      <x:c r="M289" s="77">
        <x:f>IF(A289="","",ROUND(SUM($G$8:G289),2))</x:f>
      </x:c>
    </x:row>
    <x:row r="290" ht="20" customHeight="1">
      <x:c r="A290" s="71">
        <x:f>IF(OR($J289="",ROUND($J289,2)=0),"",$A289+1)</x:f>
      </x:c>
      <x:c r="B290" s="72">
        <x:f>IF(A290="","",EDATE(Dashboard!$B$10,(A290-1)*(12/Dashboard!$B$9)))</x:f>
      </x:c>
      <x:c r="C290" s="73">
        <x:f>IF(A290="","",$J289)</x:f>
      </x:c>
      <x:c r="D290" s="73">
        <x:f>IF(A290="","",ROUND(MIN(Moteur!$B$3,C290+G290),2))</x:f>
      </x:c>
      <x:c r="E290" s="73">
        <x:f>IF(A290="","",ROUND(MIN(Dashboard!$B$11,MAX(0,C290-(D290-G290))),2))</x:f>
      </x:c>
      <x:c r="F290" s="73">
        <x:f>IF(A290="","",ROUND(C290*Dashboard!$B$12/Dashboard!$B$9,2))</x:f>
      </x:c>
      <x:c r="G290" s="73">
        <x:f>IF(A290="","",ROUND(C290*Moteur!$B$2,2))</x:f>
      </x:c>
      <x:c r="H290" s="73">
        <x:f>IF(A290="","",ROUND(MIN(C290,D290-G290+E290),2))</x:f>
      </x:c>
      <x:c r="I290" s="73">
        <x:f>IF(A290="","",ROUND(D290+E290+F290,2))</x:f>
      </x:c>
      <x:c r="J290" s="73">
        <x:f>IF(A290="","",ROUND(MAX(0,C290-H290),2))</x:f>
      </x:c>
      <x:c r="K290" s="74">
        <x:f>IF(A290="","",1-(J290/Dashboard!$B$6))</x:f>
      </x:c>
      <x:c r="L290" s="38">
        <x:f>IF(A290="","",IF(J290=0,"Soldé","En cours"))</x:f>
      </x:c>
      <x:c r="M290" s="73">
        <x:f>IF(A290="","",ROUND(SUM($G$8:G290),2))</x:f>
      </x:c>
    </x:row>
    <x:row r="291" ht="20" customHeight="1">
      <x:c r="A291" s="75">
        <x:f>IF(OR($J290="",ROUND($J290,2)=0),"",$A290+1)</x:f>
      </x:c>
      <x:c r="B291" s="76">
        <x:f>IF(A291="","",EDATE(Dashboard!$B$10,(A291-1)*(12/Dashboard!$B$9)))</x:f>
      </x:c>
      <x:c r="C291" s="77">
        <x:f>IF(A291="","",$J290)</x:f>
      </x:c>
      <x:c r="D291" s="77">
        <x:f>IF(A291="","",ROUND(MIN(Moteur!$B$3,C291+G291),2))</x:f>
      </x:c>
      <x:c r="E291" s="77">
        <x:f>IF(A291="","",ROUND(MIN(Dashboard!$B$11,MAX(0,C291-(D291-G291))),2))</x:f>
      </x:c>
      <x:c r="F291" s="77">
        <x:f>IF(A291="","",ROUND(C291*Dashboard!$B$12/Dashboard!$B$9,2))</x:f>
      </x:c>
      <x:c r="G291" s="77">
        <x:f>IF(A291="","",ROUND(C291*Moteur!$B$2,2))</x:f>
      </x:c>
      <x:c r="H291" s="77">
        <x:f>IF(A291="","",ROUND(MIN(C291,D291-G291+E291),2))</x:f>
      </x:c>
      <x:c r="I291" s="77">
        <x:f>IF(A291="","",ROUND(D291+E291+F291,2))</x:f>
      </x:c>
      <x:c r="J291" s="77">
        <x:f>IF(A291="","",ROUND(MAX(0,C291-H291),2))</x:f>
      </x:c>
      <x:c r="K291" s="78">
        <x:f>IF(A291="","",1-(J291/Dashboard!$B$6))</x:f>
      </x:c>
      <x:c r="L291" s="43">
        <x:f>IF(A291="","",IF(J291=0,"Soldé","En cours"))</x:f>
      </x:c>
      <x:c r="M291" s="77">
        <x:f>IF(A291="","",ROUND(SUM($G$8:G291),2))</x:f>
      </x:c>
    </x:row>
    <x:row r="292" ht="20" customHeight="1">
      <x:c r="A292" s="71">
        <x:f>IF(OR($J291="",ROUND($J291,2)=0),"",$A291+1)</x:f>
      </x:c>
      <x:c r="B292" s="72">
        <x:f>IF(A292="","",EDATE(Dashboard!$B$10,(A292-1)*(12/Dashboard!$B$9)))</x:f>
      </x:c>
      <x:c r="C292" s="73">
        <x:f>IF(A292="","",$J291)</x:f>
      </x:c>
      <x:c r="D292" s="73">
        <x:f>IF(A292="","",ROUND(MIN(Moteur!$B$3,C292+G292),2))</x:f>
      </x:c>
      <x:c r="E292" s="73">
        <x:f>IF(A292="","",ROUND(MIN(Dashboard!$B$11,MAX(0,C292-(D292-G292))),2))</x:f>
      </x:c>
      <x:c r="F292" s="73">
        <x:f>IF(A292="","",ROUND(C292*Dashboard!$B$12/Dashboard!$B$9,2))</x:f>
      </x:c>
      <x:c r="G292" s="73">
        <x:f>IF(A292="","",ROUND(C292*Moteur!$B$2,2))</x:f>
      </x:c>
      <x:c r="H292" s="73">
        <x:f>IF(A292="","",ROUND(MIN(C292,D292-G292+E292),2))</x:f>
      </x:c>
      <x:c r="I292" s="73">
        <x:f>IF(A292="","",ROUND(D292+E292+F292,2))</x:f>
      </x:c>
      <x:c r="J292" s="73">
        <x:f>IF(A292="","",ROUND(MAX(0,C292-H292),2))</x:f>
      </x:c>
      <x:c r="K292" s="74">
        <x:f>IF(A292="","",1-(J292/Dashboard!$B$6))</x:f>
      </x:c>
      <x:c r="L292" s="38">
        <x:f>IF(A292="","",IF(J292=0,"Soldé","En cours"))</x:f>
      </x:c>
      <x:c r="M292" s="73">
        <x:f>IF(A292="","",ROUND(SUM($G$8:G292),2))</x:f>
      </x:c>
    </x:row>
    <x:row r="293" ht="20" customHeight="1">
      <x:c r="A293" s="75">
        <x:f>IF(OR($J292="",ROUND($J292,2)=0),"",$A292+1)</x:f>
      </x:c>
      <x:c r="B293" s="76">
        <x:f>IF(A293="","",EDATE(Dashboard!$B$10,(A293-1)*(12/Dashboard!$B$9)))</x:f>
      </x:c>
      <x:c r="C293" s="77">
        <x:f>IF(A293="","",$J292)</x:f>
      </x:c>
      <x:c r="D293" s="77">
        <x:f>IF(A293="","",ROUND(MIN(Moteur!$B$3,C293+G293),2))</x:f>
      </x:c>
      <x:c r="E293" s="77">
        <x:f>IF(A293="","",ROUND(MIN(Dashboard!$B$11,MAX(0,C293-(D293-G293))),2))</x:f>
      </x:c>
      <x:c r="F293" s="77">
        <x:f>IF(A293="","",ROUND(C293*Dashboard!$B$12/Dashboard!$B$9,2))</x:f>
      </x:c>
      <x:c r="G293" s="77">
        <x:f>IF(A293="","",ROUND(C293*Moteur!$B$2,2))</x:f>
      </x:c>
      <x:c r="H293" s="77">
        <x:f>IF(A293="","",ROUND(MIN(C293,D293-G293+E293),2))</x:f>
      </x:c>
      <x:c r="I293" s="77">
        <x:f>IF(A293="","",ROUND(D293+E293+F293,2))</x:f>
      </x:c>
      <x:c r="J293" s="77">
        <x:f>IF(A293="","",ROUND(MAX(0,C293-H293),2))</x:f>
      </x:c>
      <x:c r="K293" s="78">
        <x:f>IF(A293="","",1-(J293/Dashboard!$B$6))</x:f>
      </x:c>
      <x:c r="L293" s="43">
        <x:f>IF(A293="","",IF(J293=0,"Soldé","En cours"))</x:f>
      </x:c>
      <x:c r="M293" s="77">
        <x:f>IF(A293="","",ROUND(SUM($G$8:G293),2))</x:f>
      </x:c>
    </x:row>
    <x:row r="294" ht="20" customHeight="1">
      <x:c r="A294" s="71">
        <x:f>IF(OR($J293="",ROUND($J293,2)=0),"",$A293+1)</x:f>
      </x:c>
      <x:c r="B294" s="72">
        <x:f>IF(A294="","",EDATE(Dashboard!$B$10,(A294-1)*(12/Dashboard!$B$9)))</x:f>
      </x:c>
      <x:c r="C294" s="73">
        <x:f>IF(A294="","",$J293)</x:f>
      </x:c>
      <x:c r="D294" s="73">
        <x:f>IF(A294="","",ROUND(MIN(Moteur!$B$3,C294+G294),2))</x:f>
      </x:c>
      <x:c r="E294" s="73">
        <x:f>IF(A294="","",ROUND(MIN(Dashboard!$B$11,MAX(0,C294-(D294-G294))),2))</x:f>
      </x:c>
      <x:c r="F294" s="73">
        <x:f>IF(A294="","",ROUND(C294*Dashboard!$B$12/Dashboard!$B$9,2))</x:f>
      </x:c>
      <x:c r="G294" s="73">
        <x:f>IF(A294="","",ROUND(C294*Moteur!$B$2,2))</x:f>
      </x:c>
      <x:c r="H294" s="73">
        <x:f>IF(A294="","",ROUND(MIN(C294,D294-G294+E294),2))</x:f>
      </x:c>
      <x:c r="I294" s="73">
        <x:f>IF(A294="","",ROUND(D294+E294+F294,2))</x:f>
      </x:c>
      <x:c r="J294" s="73">
        <x:f>IF(A294="","",ROUND(MAX(0,C294-H294),2))</x:f>
      </x:c>
      <x:c r="K294" s="74">
        <x:f>IF(A294="","",1-(J294/Dashboard!$B$6))</x:f>
      </x:c>
      <x:c r="L294" s="38">
        <x:f>IF(A294="","",IF(J294=0,"Soldé","En cours"))</x:f>
      </x:c>
      <x:c r="M294" s="73">
        <x:f>IF(A294="","",ROUND(SUM($G$8:G294),2))</x:f>
      </x:c>
    </x:row>
    <x:row r="295" ht="20" customHeight="1">
      <x:c r="A295" s="75">
        <x:f>IF(OR($J294="",ROUND($J294,2)=0),"",$A294+1)</x:f>
      </x:c>
      <x:c r="B295" s="76">
        <x:f>IF(A295="","",EDATE(Dashboard!$B$10,(A295-1)*(12/Dashboard!$B$9)))</x:f>
      </x:c>
      <x:c r="C295" s="77">
        <x:f>IF(A295="","",$J294)</x:f>
      </x:c>
      <x:c r="D295" s="77">
        <x:f>IF(A295="","",ROUND(MIN(Moteur!$B$3,C295+G295),2))</x:f>
      </x:c>
      <x:c r="E295" s="77">
        <x:f>IF(A295="","",ROUND(MIN(Dashboard!$B$11,MAX(0,C295-(D295-G295))),2))</x:f>
      </x:c>
      <x:c r="F295" s="77">
        <x:f>IF(A295="","",ROUND(C295*Dashboard!$B$12/Dashboard!$B$9,2))</x:f>
      </x:c>
      <x:c r="G295" s="77">
        <x:f>IF(A295="","",ROUND(C295*Moteur!$B$2,2))</x:f>
      </x:c>
      <x:c r="H295" s="77">
        <x:f>IF(A295="","",ROUND(MIN(C295,D295-G295+E295),2))</x:f>
      </x:c>
      <x:c r="I295" s="77">
        <x:f>IF(A295="","",ROUND(D295+E295+F295,2))</x:f>
      </x:c>
      <x:c r="J295" s="77">
        <x:f>IF(A295="","",ROUND(MAX(0,C295-H295),2))</x:f>
      </x:c>
      <x:c r="K295" s="78">
        <x:f>IF(A295="","",1-(J295/Dashboard!$B$6))</x:f>
      </x:c>
      <x:c r="L295" s="43">
        <x:f>IF(A295="","",IF(J295=0,"Soldé","En cours"))</x:f>
      </x:c>
      <x:c r="M295" s="77">
        <x:f>IF(A295="","",ROUND(SUM($G$8:G295),2))</x:f>
      </x:c>
    </x:row>
    <x:row r="296" ht="20" customHeight="1">
      <x:c r="A296" s="71">
        <x:f>IF(OR($J295="",ROUND($J295,2)=0),"",$A295+1)</x:f>
      </x:c>
      <x:c r="B296" s="72">
        <x:f>IF(A296="","",EDATE(Dashboard!$B$10,(A296-1)*(12/Dashboard!$B$9)))</x:f>
      </x:c>
      <x:c r="C296" s="73">
        <x:f>IF(A296="","",$J295)</x:f>
      </x:c>
      <x:c r="D296" s="73">
        <x:f>IF(A296="","",ROUND(MIN(Moteur!$B$3,C296+G296),2))</x:f>
      </x:c>
      <x:c r="E296" s="73">
        <x:f>IF(A296="","",ROUND(MIN(Dashboard!$B$11,MAX(0,C296-(D296-G296))),2))</x:f>
      </x:c>
      <x:c r="F296" s="73">
        <x:f>IF(A296="","",ROUND(C296*Dashboard!$B$12/Dashboard!$B$9,2))</x:f>
      </x:c>
      <x:c r="G296" s="73">
        <x:f>IF(A296="","",ROUND(C296*Moteur!$B$2,2))</x:f>
      </x:c>
      <x:c r="H296" s="73">
        <x:f>IF(A296="","",ROUND(MIN(C296,D296-G296+E296),2))</x:f>
      </x:c>
      <x:c r="I296" s="73">
        <x:f>IF(A296="","",ROUND(D296+E296+F296,2))</x:f>
      </x:c>
      <x:c r="J296" s="73">
        <x:f>IF(A296="","",ROUND(MAX(0,C296-H296),2))</x:f>
      </x:c>
      <x:c r="K296" s="74">
        <x:f>IF(A296="","",1-(J296/Dashboard!$B$6))</x:f>
      </x:c>
      <x:c r="L296" s="38">
        <x:f>IF(A296="","",IF(J296=0,"Soldé","En cours"))</x:f>
      </x:c>
      <x:c r="M296" s="73">
        <x:f>IF(A296="","",ROUND(SUM($G$8:G296),2))</x:f>
      </x:c>
    </x:row>
    <x:row r="297" ht="20" customHeight="1">
      <x:c r="A297" s="75">
        <x:f>IF(OR($J296="",ROUND($J296,2)=0),"",$A296+1)</x:f>
      </x:c>
      <x:c r="B297" s="76">
        <x:f>IF(A297="","",EDATE(Dashboard!$B$10,(A297-1)*(12/Dashboard!$B$9)))</x:f>
      </x:c>
      <x:c r="C297" s="77">
        <x:f>IF(A297="","",$J296)</x:f>
      </x:c>
      <x:c r="D297" s="77">
        <x:f>IF(A297="","",ROUND(MIN(Moteur!$B$3,C297+G297),2))</x:f>
      </x:c>
      <x:c r="E297" s="77">
        <x:f>IF(A297="","",ROUND(MIN(Dashboard!$B$11,MAX(0,C297-(D297-G297))),2))</x:f>
      </x:c>
      <x:c r="F297" s="77">
        <x:f>IF(A297="","",ROUND(C297*Dashboard!$B$12/Dashboard!$B$9,2))</x:f>
      </x:c>
      <x:c r="G297" s="77">
        <x:f>IF(A297="","",ROUND(C297*Moteur!$B$2,2))</x:f>
      </x:c>
      <x:c r="H297" s="77">
        <x:f>IF(A297="","",ROUND(MIN(C297,D297-G297+E297),2))</x:f>
      </x:c>
      <x:c r="I297" s="77">
        <x:f>IF(A297="","",ROUND(D297+E297+F297,2))</x:f>
      </x:c>
      <x:c r="J297" s="77">
        <x:f>IF(A297="","",ROUND(MAX(0,C297-H297),2))</x:f>
      </x:c>
      <x:c r="K297" s="78">
        <x:f>IF(A297="","",1-(J297/Dashboard!$B$6))</x:f>
      </x:c>
      <x:c r="L297" s="43">
        <x:f>IF(A297="","",IF(J297=0,"Soldé","En cours"))</x:f>
      </x:c>
      <x:c r="M297" s="77">
        <x:f>IF(A297="","",ROUND(SUM($G$8:G297),2))</x:f>
      </x:c>
    </x:row>
    <x:row r="298" ht="20" customHeight="1">
      <x:c r="A298" s="71">
        <x:f>IF(OR($J297="",ROUND($J297,2)=0),"",$A297+1)</x:f>
      </x:c>
      <x:c r="B298" s="72">
        <x:f>IF(A298="","",EDATE(Dashboard!$B$10,(A298-1)*(12/Dashboard!$B$9)))</x:f>
      </x:c>
      <x:c r="C298" s="73">
        <x:f>IF(A298="","",$J297)</x:f>
      </x:c>
      <x:c r="D298" s="73">
        <x:f>IF(A298="","",ROUND(MIN(Moteur!$B$3,C298+G298),2))</x:f>
      </x:c>
      <x:c r="E298" s="73">
        <x:f>IF(A298="","",ROUND(MIN(Dashboard!$B$11,MAX(0,C298-(D298-G298))),2))</x:f>
      </x:c>
      <x:c r="F298" s="73">
        <x:f>IF(A298="","",ROUND(C298*Dashboard!$B$12/Dashboard!$B$9,2))</x:f>
      </x:c>
      <x:c r="G298" s="73">
        <x:f>IF(A298="","",ROUND(C298*Moteur!$B$2,2))</x:f>
      </x:c>
      <x:c r="H298" s="73">
        <x:f>IF(A298="","",ROUND(MIN(C298,D298-G298+E298),2))</x:f>
      </x:c>
      <x:c r="I298" s="73">
        <x:f>IF(A298="","",ROUND(D298+E298+F298,2))</x:f>
      </x:c>
      <x:c r="J298" s="73">
        <x:f>IF(A298="","",ROUND(MAX(0,C298-H298),2))</x:f>
      </x:c>
      <x:c r="K298" s="74">
        <x:f>IF(A298="","",1-(J298/Dashboard!$B$6))</x:f>
      </x:c>
      <x:c r="L298" s="38">
        <x:f>IF(A298="","",IF(J298=0,"Soldé","En cours"))</x:f>
      </x:c>
      <x:c r="M298" s="73">
        <x:f>IF(A298="","",ROUND(SUM($G$8:G298),2))</x:f>
      </x:c>
    </x:row>
    <x:row r="299" ht="20" customHeight="1">
      <x:c r="A299" s="75">
        <x:f>IF(OR($J298="",ROUND($J298,2)=0),"",$A298+1)</x:f>
      </x:c>
      <x:c r="B299" s="76">
        <x:f>IF(A299="","",EDATE(Dashboard!$B$10,(A299-1)*(12/Dashboard!$B$9)))</x:f>
      </x:c>
      <x:c r="C299" s="77">
        <x:f>IF(A299="","",$J298)</x:f>
      </x:c>
      <x:c r="D299" s="77">
        <x:f>IF(A299="","",ROUND(MIN(Moteur!$B$3,C299+G299),2))</x:f>
      </x:c>
      <x:c r="E299" s="77">
        <x:f>IF(A299="","",ROUND(MIN(Dashboard!$B$11,MAX(0,C299-(D299-G299))),2))</x:f>
      </x:c>
      <x:c r="F299" s="77">
        <x:f>IF(A299="","",ROUND(C299*Dashboard!$B$12/Dashboard!$B$9,2))</x:f>
      </x:c>
      <x:c r="G299" s="77">
        <x:f>IF(A299="","",ROUND(C299*Moteur!$B$2,2))</x:f>
      </x:c>
      <x:c r="H299" s="77">
        <x:f>IF(A299="","",ROUND(MIN(C299,D299-G299+E299),2))</x:f>
      </x:c>
      <x:c r="I299" s="77">
        <x:f>IF(A299="","",ROUND(D299+E299+F299,2))</x:f>
      </x:c>
      <x:c r="J299" s="77">
        <x:f>IF(A299="","",ROUND(MAX(0,C299-H299),2))</x:f>
      </x:c>
      <x:c r="K299" s="78">
        <x:f>IF(A299="","",1-(J299/Dashboard!$B$6))</x:f>
      </x:c>
      <x:c r="L299" s="43">
        <x:f>IF(A299="","",IF(J299=0,"Soldé","En cours"))</x:f>
      </x:c>
      <x:c r="M299" s="77">
        <x:f>IF(A299="","",ROUND(SUM($G$8:G299),2))</x:f>
      </x:c>
    </x:row>
    <x:row r="300" ht="20" customHeight="1">
      <x:c r="A300" s="71">
        <x:f>IF(OR($J299="",ROUND($J299,2)=0),"",$A299+1)</x:f>
      </x:c>
      <x:c r="B300" s="72">
        <x:f>IF(A300="","",EDATE(Dashboard!$B$10,(A300-1)*(12/Dashboard!$B$9)))</x:f>
      </x:c>
      <x:c r="C300" s="73">
        <x:f>IF(A300="","",$J299)</x:f>
      </x:c>
      <x:c r="D300" s="73">
        <x:f>IF(A300="","",ROUND(MIN(Moteur!$B$3,C300+G300),2))</x:f>
      </x:c>
      <x:c r="E300" s="73">
        <x:f>IF(A300="","",ROUND(MIN(Dashboard!$B$11,MAX(0,C300-(D300-G300))),2))</x:f>
      </x:c>
      <x:c r="F300" s="73">
        <x:f>IF(A300="","",ROUND(C300*Dashboard!$B$12/Dashboard!$B$9,2))</x:f>
      </x:c>
      <x:c r="G300" s="73">
        <x:f>IF(A300="","",ROUND(C300*Moteur!$B$2,2))</x:f>
      </x:c>
      <x:c r="H300" s="73">
        <x:f>IF(A300="","",ROUND(MIN(C300,D300-G300+E300),2))</x:f>
      </x:c>
      <x:c r="I300" s="73">
        <x:f>IF(A300="","",ROUND(D300+E300+F300,2))</x:f>
      </x:c>
      <x:c r="J300" s="73">
        <x:f>IF(A300="","",ROUND(MAX(0,C300-H300),2))</x:f>
      </x:c>
      <x:c r="K300" s="74">
        <x:f>IF(A300="","",1-(J300/Dashboard!$B$6))</x:f>
      </x:c>
      <x:c r="L300" s="38">
        <x:f>IF(A300="","",IF(J300=0,"Soldé","En cours"))</x:f>
      </x:c>
      <x:c r="M300" s="73">
        <x:f>IF(A300="","",ROUND(SUM($G$8:G300),2))</x:f>
      </x:c>
    </x:row>
    <x:row r="301" ht="20" customHeight="1">
      <x:c r="A301" s="75">
        <x:f>IF(OR($J300="",ROUND($J300,2)=0),"",$A300+1)</x:f>
      </x:c>
      <x:c r="B301" s="76">
        <x:f>IF(A301="","",EDATE(Dashboard!$B$10,(A301-1)*(12/Dashboard!$B$9)))</x:f>
      </x:c>
      <x:c r="C301" s="77">
        <x:f>IF(A301="","",$J300)</x:f>
      </x:c>
      <x:c r="D301" s="77">
        <x:f>IF(A301="","",ROUND(MIN(Moteur!$B$3,C301+G301),2))</x:f>
      </x:c>
      <x:c r="E301" s="77">
        <x:f>IF(A301="","",ROUND(MIN(Dashboard!$B$11,MAX(0,C301-(D301-G301))),2))</x:f>
      </x:c>
      <x:c r="F301" s="77">
        <x:f>IF(A301="","",ROUND(C301*Dashboard!$B$12/Dashboard!$B$9,2))</x:f>
      </x:c>
      <x:c r="G301" s="77">
        <x:f>IF(A301="","",ROUND(C301*Moteur!$B$2,2))</x:f>
      </x:c>
      <x:c r="H301" s="77">
        <x:f>IF(A301="","",ROUND(MIN(C301,D301-G301+E301),2))</x:f>
      </x:c>
      <x:c r="I301" s="77">
        <x:f>IF(A301="","",ROUND(D301+E301+F301,2))</x:f>
      </x:c>
      <x:c r="J301" s="77">
        <x:f>IF(A301="","",ROUND(MAX(0,C301-H301),2))</x:f>
      </x:c>
      <x:c r="K301" s="78">
        <x:f>IF(A301="","",1-(J301/Dashboard!$B$6))</x:f>
      </x:c>
      <x:c r="L301" s="43">
        <x:f>IF(A301="","",IF(J301=0,"Soldé","En cours"))</x:f>
      </x:c>
      <x:c r="M301" s="77">
        <x:f>IF(A301="","",ROUND(SUM($G$8:G301),2))</x:f>
      </x:c>
    </x:row>
    <x:row r="302" ht="20" customHeight="1">
      <x:c r="A302" s="71">
        <x:f>IF(OR($J301="",ROUND($J301,2)=0),"",$A301+1)</x:f>
      </x:c>
      <x:c r="B302" s="72">
        <x:f>IF(A302="","",EDATE(Dashboard!$B$10,(A302-1)*(12/Dashboard!$B$9)))</x:f>
      </x:c>
      <x:c r="C302" s="73">
        <x:f>IF(A302="","",$J301)</x:f>
      </x:c>
      <x:c r="D302" s="73">
        <x:f>IF(A302="","",ROUND(MIN(Moteur!$B$3,C302+G302),2))</x:f>
      </x:c>
      <x:c r="E302" s="73">
        <x:f>IF(A302="","",ROUND(MIN(Dashboard!$B$11,MAX(0,C302-(D302-G302))),2))</x:f>
      </x:c>
      <x:c r="F302" s="73">
        <x:f>IF(A302="","",ROUND(C302*Dashboard!$B$12/Dashboard!$B$9,2))</x:f>
      </x:c>
      <x:c r="G302" s="73">
        <x:f>IF(A302="","",ROUND(C302*Moteur!$B$2,2))</x:f>
      </x:c>
      <x:c r="H302" s="73">
        <x:f>IF(A302="","",ROUND(MIN(C302,D302-G302+E302),2))</x:f>
      </x:c>
      <x:c r="I302" s="73">
        <x:f>IF(A302="","",ROUND(D302+E302+F302,2))</x:f>
      </x:c>
      <x:c r="J302" s="73">
        <x:f>IF(A302="","",ROUND(MAX(0,C302-H302),2))</x:f>
      </x:c>
      <x:c r="K302" s="74">
        <x:f>IF(A302="","",1-(J302/Dashboard!$B$6))</x:f>
      </x:c>
      <x:c r="L302" s="38">
        <x:f>IF(A302="","",IF(J302=0,"Soldé","En cours"))</x:f>
      </x:c>
      <x:c r="M302" s="73">
        <x:f>IF(A302="","",ROUND(SUM($G$8:G302),2))</x:f>
      </x:c>
    </x:row>
    <x:row r="303" ht="20" customHeight="1">
      <x:c r="A303" s="75">
        <x:f>IF(OR($J302="",ROUND($J302,2)=0),"",$A302+1)</x:f>
      </x:c>
      <x:c r="B303" s="76">
        <x:f>IF(A303="","",EDATE(Dashboard!$B$10,(A303-1)*(12/Dashboard!$B$9)))</x:f>
      </x:c>
      <x:c r="C303" s="77">
        <x:f>IF(A303="","",$J302)</x:f>
      </x:c>
      <x:c r="D303" s="77">
        <x:f>IF(A303="","",ROUND(MIN(Moteur!$B$3,C303+G303),2))</x:f>
      </x:c>
      <x:c r="E303" s="77">
        <x:f>IF(A303="","",ROUND(MIN(Dashboard!$B$11,MAX(0,C303-(D303-G303))),2))</x:f>
      </x:c>
      <x:c r="F303" s="77">
        <x:f>IF(A303="","",ROUND(C303*Dashboard!$B$12/Dashboard!$B$9,2))</x:f>
      </x:c>
      <x:c r="G303" s="77">
        <x:f>IF(A303="","",ROUND(C303*Moteur!$B$2,2))</x:f>
      </x:c>
      <x:c r="H303" s="77">
        <x:f>IF(A303="","",ROUND(MIN(C303,D303-G303+E303),2))</x:f>
      </x:c>
      <x:c r="I303" s="77">
        <x:f>IF(A303="","",ROUND(D303+E303+F303,2))</x:f>
      </x:c>
      <x:c r="J303" s="77">
        <x:f>IF(A303="","",ROUND(MAX(0,C303-H303),2))</x:f>
      </x:c>
      <x:c r="K303" s="78">
        <x:f>IF(A303="","",1-(J303/Dashboard!$B$6))</x:f>
      </x:c>
      <x:c r="L303" s="43">
        <x:f>IF(A303="","",IF(J303=0,"Soldé","En cours"))</x:f>
      </x:c>
      <x:c r="M303" s="77">
        <x:f>IF(A303="","",ROUND(SUM($G$8:G303),2))</x:f>
      </x:c>
    </x:row>
    <x:row r="304" ht="20" customHeight="1">
      <x:c r="A304" s="71">
        <x:f>IF(OR($J303="",ROUND($J303,2)=0),"",$A303+1)</x:f>
      </x:c>
      <x:c r="B304" s="72">
        <x:f>IF(A304="","",EDATE(Dashboard!$B$10,(A304-1)*(12/Dashboard!$B$9)))</x:f>
      </x:c>
      <x:c r="C304" s="73">
        <x:f>IF(A304="","",$J303)</x:f>
      </x:c>
      <x:c r="D304" s="73">
        <x:f>IF(A304="","",ROUND(MIN(Moteur!$B$3,C304+G304),2))</x:f>
      </x:c>
      <x:c r="E304" s="73">
        <x:f>IF(A304="","",ROUND(MIN(Dashboard!$B$11,MAX(0,C304-(D304-G304))),2))</x:f>
      </x:c>
      <x:c r="F304" s="73">
        <x:f>IF(A304="","",ROUND(C304*Dashboard!$B$12/Dashboard!$B$9,2))</x:f>
      </x:c>
      <x:c r="G304" s="73">
        <x:f>IF(A304="","",ROUND(C304*Moteur!$B$2,2))</x:f>
      </x:c>
      <x:c r="H304" s="73">
        <x:f>IF(A304="","",ROUND(MIN(C304,D304-G304+E304),2))</x:f>
      </x:c>
      <x:c r="I304" s="73">
        <x:f>IF(A304="","",ROUND(D304+E304+F304,2))</x:f>
      </x:c>
      <x:c r="J304" s="73">
        <x:f>IF(A304="","",ROUND(MAX(0,C304-H304),2))</x:f>
      </x:c>
      <x:c r="K304" s="74">
        <x:f>IF(A304="","",1-(J304/Dashboard!$B$6))</x:f>
      </x:c>
      <x:c r="L304" s="38">
        <x:f>IF(A304="","",IF(J304=0,"Soldé","En cours"))</x:f>
      </x:c>
      <x:c r="M304" s="73">
        <x:f>IF(A304="","",ROUND(SUM($G$8:G304),2))</x:f>
      </x:c>
    </x:row>
    <x:row r="305" ht="20" customHeight="1">
      <x:c r="A305" s="75">
        <x:f>IF(OR($J304="",ROUND($J304,2)=0),"",$A304+1)</x:f>
      </x:c>
      <x:c r="B305" s="76">
        <x:f>IF(A305="","",EDATE(Dashboard!$B$10,(A305-1)*(12/Dashboard!$B$9)))</x:f>
      </x:c>
      <x:c r="C305" s="77">
        <x:f>IF(A305="","",$J304)</x:f>
      </x:c>
      <x:c r="D305" s="77">
        <x:f>IF(A305="","",ROUND(MIN(Moteur!$B$3,C305+G305),2))</x:f>
      </x:c>
      <x:c r="E305" s="77">
        <x:f>IF(A305="","",ROUND(MIN(Dashboard!$B$11,MAX(0,C305-(D305-G305))),2))</x:f>
      </x:c>
      <x:c r="F305" s="77">
        <x:f>IF(A305="","",ROUND(C305*Dashboard!$B$12/Dashboard!$B$9,2))</x:f>
      </x:c>
      <x:c r="G305" s="77">
        <x:f>IF(A305="","",ROUND(C305*Moteur!$B$2,2))</x:f>
      </x:c>
      <x:c r="H305" s="77">
        <x:f>IF(A305="","",ROUND(MIN(C305,D305-G305+E305),2))</x:f>
      </x:c>
      <x:c r="I305" s="77">
        <x:f>IF(A305="","",ROUND(D305+E305+F305,2))</x:f>
      </x:c>
      <x:c r="J305" s="77">
        <x:f>IF(A305="","",ROUND(MAX(0,C305-H305),2))</x:f>
      </x:c>
      <x:c r="K305" s="78">
        <x:f>IF(A305="","",1-(J305/Dashboard!$B$6))</x:f>
      </x:c>
      <x:c r="L305" s="43">
        <x:f>IF(A305="","",IF(J305=0,"Soldé","En cours"))</x:f>
      </x:c>
      <x:c r="M305" s="77">
        <x:f>IF(A305="","",ROUND(SUM($G$8:G305),2))</x:f>
      </x:c>
    </x:row>
    <x:row r="306" ht="20" customHeight="1">
      <x:c r="A306" s="71">
        <x:f>IF(OR($J305="",ROUND($J305,2)=0),"",$A305+1)</x:f>
      </x:c>
      <x:c r="B306" s="72">
        <x:f>IF(A306="","",EDATE(Dashboard!$B$10,(A306-1)*(12/Dashboard!$B$9)))</x:f>
      </x:c>
      <x:c r="C306" s="73">
        <x:f>IF(A306="","",$J305)</x:f>
      </x:c>
      <x:c r="D306" s="73">
        <x:f>IF(A306="","",ROUND(MIN(Moteur!$B$3,C306+G306),2))</x:f>
      </x:c>
      <x:c r="E306" s="73">
        <x:f>IF(A306="","",ROUND(MIN(Dashboard!$B$11,MAX(0,C306-(D306-G306))),2))</x:f>
      </x:c>
      <x:c r="F306" s="73">
        <x:f>IF(A306="","",ROUND(C306*Dashboard!$B$12/Dashboard!$B$9,2))</x:f>
      </x:c>
      <x:c r="G306" s="73">
        <x:f>IF(A306="","",ROUND(C306*Moteur!$B$2,2))</x:f>
      </x:c>
      <x:c r="H306" s="73">
        <x:f>IF(A306="","",ROUND(MIN(C306,D306-G306+E306),2))</x:f>
      </x:c>
      <x:c r="I306" s="73">
        <x:f>IF(A306="","",ROUND(D306+E306+F306,2))</x:f>
      </x:c>
      <x:c r="J306" s="73">
        <x:f>IF(A306="","",ROUND(MAX(0,C306-H306),2))</x:f>
      </x:c>
      <x:c r="K306" s="74">
        <x:f>IF(A306="","",1-(J306/Dashboard!$B$6))</x:f>
      </x:c>
      <x:c r="L306" s="38">
        <x:f>IF(A306="","",IF(J306=0,"Soldé","En cours"))</x:f>
      </x:c>
      <x:c r="M306" s="73">
        <x:f>IF(A306="","",ROUND(SUM($G$8:G306),2))</x:f>
      </x:c>
    </x:row>
    <x:row r="307" ht="20" customHeight="1">
      <x:c r="A307" s="75">
        <x:f>IF(OR($J306="",ROUND($J306,2)=0),"",$A306+1)</x:f>
      </x:c>
      <x:c r="B307" s="76">
        <x:f>IF(A307="","",EDATE(Dashboard!$B$10,(A307-1)*(12/Dashboard!$B$9)))</x:f>
      </x:c>
      <x:c r="C307" s="77">
        <x:f>IF(A307="","",$J306)</x:f>
      </x:c>
      <x:c r="D307" s="77">
        <x:f>IF(A307="","",ROUND(MIN(Moteur!$B$3,C307+G307),2))</x:f>
      </x:c>
      <x:c r="E307" s="77">
        <x:f>IF(A307="","",ROUND(MIN(Dashboard!$B$11,MAX(0,C307-(D307-G307))),2))</x:f>
      </x:c>
      <x:c r="F307" s="77">
        <x:f>IF(A307="","",ROUND(C307*Dashboard!$B$12/Dashboard!$B$9,2))</x:f>
      </x:c>
      <x:c r="G307" s="77">
        <x:f>IF(A307="","",ROUND(C307*Moteur!$B$2,2))</x:f>
      </x:c>
      <x:c r="H307" s="77">
        <x:f>IF(A307="","",ROUND(MIN(C307,D307-G307+E307),2))</x:f>
      </x:c>
      <x:c r="I307" s="77">
        <x:f>IF(A307="","",ROUND(D307+E307+F307,2))</x:f>
      </x:c>
      <x:c r="J307" s="77">
        <x:f>IF(A307="","",ROUND(MAX(0,C307-H307),2))</x:f>
      </x:c>
      <x:c r="K307" s="78">
        <x:f>IF(A307="","",1-(J307/Dashboard!$B$6))</x:f>
      </x:c>
      <x:c r="L307" s="43">
        <x:f>IF(A307="","",IF(J307=0,"Soldé","En cours"))</x:f>
      </x:c>
      <x:c r="M307" s="77">
        <x:f>IF(A307="","",ROUND(SUM($G$8:G307),2))</x:f>
      </x:c>
    </x:row>
    <x:row r="308" ht="20" customHeight="1">
      <x:c r="A308" s="71">
        <x:f>IF(OR($J307="",ROUND($J307,2)=0),"",$A307+1)</x:f>
      </x:c>
      <x:c r="B308" s="72">
        <x:f>IF(A308="","",EDATE(Dashboard!$B$10,(A308-1)*(12/Dashboard!$B$9)))</x:f>
      </x:c>
      <x:c r="C308" s="73">
        <x:f>IF(A308="","",$J307)</x:f>
      </x:c>
      <x:c r="D308" s="73">
        <x:f>IF(A308="","",ROUND(MIN(Moteur!$B$3,C308+G308),2))</x:f>
      </x:c>
      <x:c r="E308" s="73">
        <x:f>IF(A308="","",ROUND(MIN(Dashboard!$B$11,MAX(0,C308-(D308-G308))),2))</x:f>
      </x:c>
      <x:c r="F308" s="73">
        <x:f>IF(A308="","",ROUND(C308*Dashboard!$B$12/Dashboard!$B$9,2))</x:f>
      </x:c>
      <x:c r="G308" s="73">
        <x:f>IF(A308="","",ROUND(C308*Moteur!$B$2,2))</x:f>
      </x:c>
      <x:c r="H308" s="73">
        <x:f>IF(A308="","",ROUND(MIN(C308,D308-G308+E308),2))</x:f>
      </x:c>
      <x:c r="I308" s="73">
        <x:f>IF(A308="","",ROUND(D308+E308+F308,2))</x:f>
      </x:c>
      <x:c r="J308" s="73">
        <x:f>IF(A308="","",ROUND(MAX(0,C308-H308),2))</x:f>
      </x:c>
      <x:c r="K308" s="74">
        <x:f>IF(A308="","",1-(J308/Dashboard!$B$6))</x:f>
      </x:c>
      <x:c r="L308" s="38">
        <x:f>IF(A308="","",IF(J308=0,"Soldé","En cours"))</x:f>
      </x:c>
      <x:c r="M308" s="73">
        <x:f>IF(A308="","",ROUND(SUM($G$8:G308),2))</x:f>
      </x:c>
    </x:row>
    <x:row r="309" ht="20" customHeight="1">
      <x:c r="A309" s="75">
        <x:f>IF(OR($J308="",ROUND($J308,2)=0),"",$A308+1)</x:f>
      </x:c>
      <x:c r="B309" s="76">
        <x:f>IF(A309="","",EDATE(Dashboard!$B$10,(A309-1)*(12/Dashboard!$B$9)))</x:f>
      </x:c>
      <x:c r="C309" s="77">
        <x:f>IF(A309="","",$J308)</x:f>
      </x:c>
      <x:c r="D309" s="77">
        <x:f>IF(A309="","",ROUND(MIN(Moteur!$B$3,C309+G309),2))</x:f>
      </x:c>
      <x:c r="E309" s="77">
        <x:f>IF(A309="","",ROUND(MIN(Dashboard!$B$11,MAX(0,C309-(D309-G309))),2))</x:f>
      </x:c>
      <x:c r="F309" s="77">
        <x:f>IF(A309="","",ROUND(C309*Dashboard!$B$12/Dashboard!$B$9,2))</x:f>
      </x:c>
      <x:c r="G309" s="77">
        <x:f>IF(A309="","",ROUND(C309*Moteur!$B$2,2))</x:f>
      </x:c>
      <x:c r="H309" s="77">
        <x:f>IF(A309="","",ROUND(MIN(C309,D309-G309+E309),2))</x:f>
      </x:c>
      <x:c r="I309" s="77">
        <x:f>IF(A309="","",ROUND(D309+E309+F309,2))</x:f>
      </x:c>
      <x:c r="J309" s="77">
        <x:f>IF(A309="","",ROUND(MAX(0,C309-H309),2))</x:f>
      </x:c>
      <x:c r="K309" s="78">
        <x:f>IF(A309="","",1-(J309/Dashboard!$B$6))</x:f>
      </x:c>
      <x:c r="L309" s="43">
        <x:f>IF(A309="","",IF(J309=0,"Soldé","En cours"))</x:f>
      </x:c>
      <x:c r="M309" s="77">
        <x:f>IF(A309="","",ROUND(SUM($G$8:G309),2))</x:f>
      </x:c>
    </x:row>
    <x:row r="310" ht="20" customHeight="1">
      <x:c r="A310" s="71">
        <x:f>IF(OR($J309="",ROUND($J309,2)=0),"",$A309+1)</x:f>
      </x:c>
      <x:c r="B310" s="72">
        <x:f>IF(A310="","",EDATE(Dashboard!$B$10,(A310-1)*(12/Dashboard!$B$9)))</x:f>
      </x:c>
      <x:c r="C310" s="73">
        <x:f>IF(A310="","",$J309)</x:f>
      </x:c>
      <x:c r="D310" s="73">
        <x:f>IF(A310="","",ROUND(MIN(Moteur!$B$3,C310+G310),2))</x:f>
      </x:c>
      <x:c r="E310" s="73">
        <x:f>IF(A310="","",ROUND(MIN(Dashboard!$B$11,MAX(0,C310-(D310-G310))),2))</x:f>
      </x:c>
      <x:c r="F310" s="73">
        <x:f>IF(A310="","",ROUND(C310*Dashboard!$B$12/Dashboard!$B$9,2))</x:f>
      </x:c>
      <x:c r="G310" s="73">
        <x:f>IF(A310="","",ROUND(C310*Moteur!$B$2,2))</x:f>
      </x:c>
      <x:c r="H310" s="73">
        <x:f>IF(A310="","",ROUND(MIN(C310,D310-G310+E310),2))</x:f>
      </x:c>
      <x:c r="I310" s="73">
        <x:f>IF(A310="","",ROUND(D310+E310+F310,2))</x:f>
      </x:c>
      <x:c r="J310" s="73">
        <x:f>IF(A310="","",ROUND(MAX(0,C310-H310),2))</x:f>
      </x:c>
      <x:c r="K310" s="74">
        <x:f>IF(A310="","",1-(J310/Dashboard!$B$6))</x:f>
      </x:c>
      <x:c r="L310" s="38">
        <x:f>IF(A310="","",IF(J310=0,"Soldé","En cours"))</x:f>
      </x:c>
      <x:c r="M310" s="73">
        <x:f>IF(A310="","",ROUND(SUM($G$8:G310),2))</x:f>
      </x:c>
    </x:row>
    <x:row r="311" ht="20" customHeight="1">
      <x:c r="A311" s="75">
        <x:f>IF(OR($J310="",ROUND($J310,2)=0),"",$A310+1)</x:f>
      </x:c>
      <x:c r="B311" s="76">
        <x:f>IF(A311="","",EDATE(Dashboard!$B$10,(A311-1)*(12/Dashboard!$B$9)))</x:f>
      </x:c>
      <x:c r="C311" s="77">
        <x:f>IF(A311="","",$J310)</x:f>
      </x:c>
      <x:c r="D311" s="77">
        <x:f>IF(A311="","",ROUND(MIN(Moteur!$B$3,C311+G311),2))</x:f>
      </x:c>
      <x:c r="E311" s="77">
        <x:f>IF(A311="","",ROUND(MIN(Dashboard!$B$11,MAX(0,C311-(D311-G311))),2))</x:f>
      </x:c>
      <x:c r="F311" s="77">
        <x:f>IF(A311="","",ROUND(C311*Dashboard!$B$12/Dashboard!$B$9,2))</x:f>
      </x:c>
      <x:c r="G311" s="77">
        <x:f>IF(A311="","",ROUND(C311*Moteur!$B$2,2))</x:f>
      </x:c>
      <x:c r="H311" s="77">
        <x:f>IF(A311="","",ROUND(MIN(C311,D311-G311+E311),2))</x:f>
      </x:c>
      <x:c r="I311" s="77">
        <x:f>IF(A311="","",ROUND(D311+E311+F311,2))</x:f>
      </x:c>
      <x:c r="J311" s="77">
        <x:f>IF(A311="","",ROUND(MAX(0,C311-H311),2))</x:f>
      </x:c>
      <x:c r="K311" s="78">
        <x:f>IF(A311="","",1-(J311/Dashboard!$B$6))</x:f>
      </x:c>
      <x:c r="L311" s="43">
        <x:f>IF(A311="","",IF(J311=0,"Soldé","En cours"))</x:f>
      </x:c>
      <x:c r="M311" s="77">
        <x:f>IF(A311="","",ROUND(SUM($G$8:G311),2))</x:f>
      </x:c>
    </x:row>
    <x:row r="312" ht="20" customHeight="1">
      <x:c r="A312" s="71">
        <x:f>IF(OR($J311="",ROUND($J311,2)=0),"",$A311+1)</x:f>
      </x:c>
      <x:c r="B312" s="72">
        <x:f>IF(A312="","",EDATE(Dashboard!$B$10,(A312-1)*(12/Dashboard!$B$9)))</x:f>
      </x:c>
      <x:c r="C312" s="73">
        <x:f>IF(A312="","",$J311)</x:f>
      </x:c>
      <x:c r="D312" s="73">
        <x:f>IF(A312="","",ROUND(MIN(Moteur!$B$3,C312+G312),2))</x:f>
      </x:c>
      <x:c r="E312" s="73">
        <x:f>IF(A312="","",ROUND(MIN(Dashboard!$B$11,MAX(0,C312-(D312-G312))),2))</x:f>
      </x:c>
      <x:c r="F312" s="73">
        <x:f>IF(A312="","",ROUND(C312*Dashboard!$B$12/Dashboard!$B$9,2))</x:f>
      </x:c>
      <x:c r="G312" s="73">
        <x:f>IF(A312="","",ROUND(C312*Moteur!$B$2,2))</x:f>
      </x:c>
      <x:c r="H312" s="73">
        <x:f>IF(A312="","",ROUND(MIN(C312,D312-G312+E312),2))</x:f>
      </x:c>
      <x:c r="I312" s="73">
        <x:f>IF(A312="","",ROUND(D312+E312+F312,2))</x:f>
      </x:c>
      <x:c r="J312" s="73">
        <x:f>IF(A312="","",ROUND(MAX(0,C312-H312),2))</x:f>
      </x:c>
      <x:c r="K312" s="74">
        <x:f>IF(A312="","",1-(J312/Dashboard!$B$6))</x:f>
      </x:c>
      <x:c r="L312" s="38">
        <x:f>IF(A312="","",IF(J312=0,"Soldé","En cours"))</x:f>
      </x:c>
      <x:c r="M312" s="73">
        <x:f>IF(A312="","",ROUND(SUM($G$8:G312),2))</x:f>
      </x:c>
    </x:row>
    <x:row r="313" ht="20" customHeight="1">
      <x:c r="A313" s="75">
        <x:f>IF(OR($J312="",ROUND($J312,2)=0),"",$A312+1)</x:f>
      </x:c>
      <x:c r="B313" s="76">
        <x:f>IF(A313="","",EDATE(Dashboard!$B$10,(A313-1)*(12/Dashboard!$B$9)))</x:f>
      </x:c>
      <x:c r="C313" s="77">
        <x:f>IF(A313="","",$J312)</x:f>
      </x:c>
      <x:c r="D313" s="77">
        <x:f>IF(A313="","",ROUND(MIN(Moteur!$B$3,C313+G313),2))</x:f>
      </x:c>
      <x:c r="E313" s="77">
        <x:f>IF(A313="","",ROUND(MIN(Dashboard!$B$11,MAX(0,C313-(D313-G313))),2))</x:f>
      </x:c>
      <x:c r="F313" s="77">
        <x:f>IF(A313="","",ROUND(C313*Dashboard!$B$12/Dashboard!$B$9,2))</x:f>
      </x:c>
      <x:c r="G313" s="77">
        <x:f>IF(A313="","",ROUND(C313*Moteur!$B$2,2))</x:f>
      </x:c>
      <x:c r="H313" s="77">
        <x:f>IF(A313="","",ROUND(MIN(C313,D313-G313+E313),2))</x:f>
      </x:c>
      <x:c r="I313" s="77">
        <x:f>IF(A313="","",ROUND(D313+E313+F313,2))</x:f>
      </x:c>
      <x:c r="J313" s="77">
        <x:f>IF(A313="","",ROUND(MAX(0,C313-H313),2))</x:f>
      </x:c>
      <x:c r="K313" s="78">
        <x:f>IF(A313="","",1-(J313/Dashboard!$B$6))</x:f>
      </x:c>
      <x:c r="L313" s="43">
        <x:f>IF(A313="","",IF(J313=0,"Soldé","En cours"))</x:f>
      </x:c>
      <x:c r="M313" s="77">
        <x:f>IF(A313="","",ROUND(SUM($G$8:G313),2))</x:f>
      </x:c>
    </x:row>
    <x:row r="314" ht="20" customHeight="1">
      <x:c r="A314" s="71">
        <x:f>IF(OR($J313="",ROUND($J313,2)=0),"",$A313+1)</x:f>
      </x:c>
      <x:c r="B314" s="72">
        <x:f>IF(A314="","",EDATE(Dashboard!$B$10,(A314-1)*(12/Dashboard!$B$9)))</x:f>
      </x:c>
      <x:c r="C314" s="73">
        <x:f>IF(A314="","",$J313)</x:f>
      </x:c>
      <x:c r="D314" s="73">
        <x:f>IF(A314="","",ROUND(MIN(Moteur!$B$3,C314+G314),2))</x:f>
      </x:c>
      <x:c r="E314" s="73">
        <x:f>IF(A314="","",ROUND(MIN(Dashboard!$B$11,MAX(0,C314-(D314-G314))),2))</x:f>
      </x:c>
      <x:c r="F314" s="73">
        <x:f>IF(A314="","",ROUND(C314*Dashboard!$B$12/Dashboard!$B$9,2))</x:f>
      </x:c>
      <x:c r="G314" s="73">
        <x:f>IF(A314="","",ROUND(C314*Moteur!$B$2,2))</x:f>
      </x:c>
      <x:c r="H314" s="73">
        <x:f>IF(A314="","",ROUND(MIN(C314,D314-G314+E314),2))</x:f>
      </x:c>
      <x:c r="I314" s="73">
        <x:f>IF(A314="","",ROUND(D314+E314+F314,2))</x:f>
      </x:c>
      <x:c r="J314" s="73">
        <x:f>IF(A314="","",ROUND(MAX(0,C314-H314),2))</x:f>
      </x:c>
      <x:c r="K314" s="74">
        <x:f>IF(A314="","",1-(J314/Dashboard!$B$6))</x:f>
      </x:c>
      <x:c r="L314" s="38">
        <x:f>IF(A314="","",IF(J314=0,"Soldé","En cours"))</x:f>
      </x:c>
      <x:c r="M314" s="73">
        <x:f>IF(A314="","",ROUND(SUM($G$8:G314),2))</x:f>
      </x:c>
    </x:row>
    <x:row r="315" ht="20" customHeight="1">
      <x:c r="A315" s="75">
        <x:f>IF(OR($J314="",ROUND($J314,2)=0),"",$A314+1)</x:f>
      </x:c>
      <x:c r="B315" s="76">
        <x:f>IF(A315="","",EDATE(Dashboard!$B$10,(A315-1)*(12/Dashboard!$B$9)))</x:f>
      </x:c>
      <x:c r="C315" s="77">
        <x:f>IF(A315="","",$J314)</x:f>
      </x:c>
      <x:c r="D315" s="77">
        <x:f>IF(A315="","",ROUND(MIN(Moteur!$B$3,C315+G315),2))</x:f>
      </x:c>
      <x:c r="E315" s="77">
        <x:f>IF(A315="","",ROUND(MIN(Dashboard!$B$11,MAX(0,C315-(D315-G315))),2))</x:f>
      </x:c>
      <x:c r="F315" s="77">
        <x:f>IF(A315="","",ROUND(C315*Dashboard!$B$12/Dashboard!$B$9,2))</x:f>
      </x:c>
      <x:c r="G315" s="77">
        <x:f>IF(A315="","",ROUND(C315*Moteur!$B$2,2))</x:f>
      </x:c>
      <x:c r="H315" s="77">
        <x:f>IF(A315="","",ROUND(MIN(C315,D315-G315+E315),2))</x:f>
      </x:c>
      <x:c r="I315" s="77">
        <x:f>IF(A315="","",ROUND(D315+E315+F315,2))</x:f>
      </x:c>
      <x:c r="J315" s="77">
        <x:f>IF(A315="","",ROUND(MAX(0,C315-H315),2))</x:f>
      </x:c>
      <x:c r="K315" s="78">
        <x:f>IF(A315="","",1-(J315/Dashboard!$B$6))</x:f>
      </x:c>
      <x:c r="L315" s="43">
        <x:f>IF(A315="","",IF(J315=0,"Soldé","En cours"))</x:f>
      </x:c>
      <x:c r="M315" s="77">
        <x:f>IF(A315="","",ROUND(SUM($G$8:G315),2))</x:f>
      </x:c>
    </x:row>
    <x:row r="316" ht="20" customHeight="1">
      <x:c r="A316" s="71">
        <x:f>IF(OR($J315="",ROUND($J315,2)=0),"",$A315+1)</x:f>
      </x:c>
      <x:c r="B316" s="72">
        <x:f>IF(A316="","",EDATE(Dashboard!$B$10,(A316-1)*(12/Dashboard!$B$9)))</x:f>
      </x:c>
      <x:c r="C316" s="73">
        <x:f>IF(A316="","",$J315)</x:f>
      </x:c>
      <x:c r="D316" s="73">
        <x:f>IF(A316="","",ROUND(MIN(Moteur!$B$3,C316+G316),2))</x:f>
      </x:c>
      <x:c r="E316" s="73">
        <x:f>IF(A316="","",ROUND(MIN(Dashboard!$B$11,MAX(0,C316-(D316-G316))),2))</x:f>
      </x:c>
      <x:c r="F316" s="73">
        <x:f>IF(A316="","",ROUND(C316*Dashboard!$B$12/Dashboard!$B$9,2))</x:f>
      </x:c>
      <x:c r="G316" s="73">
        <x:f>IF(A316="","",ROUND(C316*Moteur!$B$2,2))</x:f>
      </x:c>
      <x:c r="H316" s="73">
        <x:f>IF(A316="","",ROUND(MIN(C316,D316-G316+E316),2))</x:f>
      </x:c>
      <x:c r="I316" s="73">
        <x:f>IF(A316="","",ROUND(D316+E316+F316,2))</x:f>
      </x:c>
      <x:c r="J316" s="73">
        <x:f>IF(A316="","",ROUND(MAX(0,C316-H316),2))</x:f>
      </x:c>
      <x:c r="K316" s="74">
        <x:f>IF(A316="","",1-(J316/Dashboard!$B$6))</x:f>
      </x:c>
      <x:c r="L316" s="38">
        <x:f>IF(A316="","",IF(J316=0,"Soldé","En cours"))</x:f>
      </x:c>
      <x:c r="M316" s="73">
        <x:f>IF(A316="","",ROUND(SUM($G$8:G316),2))</x:f>
      </x:c>
    </x:row>
    <x:row r="317" ht="20" customHeight="1">
      <x:c r="A317" s="75">
        <x:f>IF(OR($J316="",ROUND($J316,2)=0),"",$A316+1)</x:f>
      </x:c>
      <x:c r="B317" s="76">
        <x:f>IF(A317="","",EDATE(Dashboard!$B$10,(A317-1)*(12/Dashboard!$B$9)))</x:f>
      </x:c>
      <x:c r="C317" s="77">
        <x:f>IF(A317="","",$J316)</x:f>
      </x:c>
      <x:c r="D317" s="77">
        <x:f>IF(A317="","",ROUND(MIN(Moteur!$B$3,C317+G317),2))</x:f>
      </x:c>
      <x:c r="E317" s="77">
        <x:f>IF(A317="","",ROUND(MIN(Dashboard!$B$11,MAX(0,C317-(D317-G317))),2))</x:f>
      </x:c>
      <x:c r="F317" s="77">
        <x:f>IF(A317="","",ROUND(C317*Dashboard!$B$12/Dashboard!$B$9,2))</x:f>
      </x:c>
      <x:c r="G317" s="77">
        <x:f>IF(A317="","",ROUND(C317*Moteur!$B$2,2))</x:f>
      </x:c>
      <x:c r="H317" s="77">
        <x:f>IF(A317="","",ROUND(MIN(C317,D317-G317+E317),2))</x:f>
      </x:c>
      <x:c r="I317" s="77">
        <x:f>IF(A317="","",ROUND(D317+E317+F317,2))</x:f>
      </x:c>
      <x:c r="J317" s="77">
        <x:f>IF(A317="","",ROUND(MAX(0,C317-H317),2))</x:f>
      </x:c>
      <x:c r="K317" s="78">
        <x:f>IF(A317="","",1-(J317/Dashboard!$B$6))</x:f>
      </x:c>
      <x:c r="L317" s="43">
        <x:f>IF(A317="","",IF(J317=0,"Soldé","En cours"))</x:f>
      </x:c>
      <x:c r="M317" s="77">
        <x:f>IF(A317="","",ROUND(SUM($G$8:G317),2))</x:f>
      </x:c>
    </x:row>
    <x:row r="318" ht="20" customHeight="1">
      <x:c r="A318" s="71">
        <x:f>IF(OR($J317="",ROUND($J317,2)=0),"",$A317+1)</x:f>
      </x:c>
      <x:c r="B318" s="72">
        <x:f>IF(A318="","",EDATE(Dashboard!$B$10,(A318-1)*(12/Dashboard!$B$9)))</x:f>
      </x:c>
      <x:c r="C318" s="73">
        <x:f>IF(A318="","",$J317)</x:f>
      </x:c>
      <x:c r="D318" s="73">
        <x:f>IF(A318="","",ROUND(MIN(Moteur!$B$3,C318+G318),2))</x:f>
      </x:c>
      <x:c r="E318" s="73">
        <x:f>IF(A318="","",ROUND(MIN(Dashboard!$B$11,MAX(0,C318-(D318-G318))),2))</x:f>
      </x:c>
      <x:c r="F318" s="73">
        <x:f>IF(A318="","",ROUND(C318*Dashboard!$B$12/Dashboard!$B$9,2))</x:f>
      </x:c>
      <x:c r="G318" s="73">
        <x:f>IF(A318="","",ROUND(C318*Moteur!$B$2,2))</x:f>
      </x:c>
      <x:c r="H318" s="73">
        <x:f>IF(A318="","",ROUND(MIN(C318,D318-G318+E318),2))</x:f>
      </x:c>
      <x:c r="I318" s="73">
        <x:f>IF(A318="","",ROUND(D318+E318+F318,2))</x:f>
      </x:c>
      <x:c r="J318" s="73">
        <x:f>IF(A318="","",ROUND(MAX(0,C318-H318),2))</x:f>
      </x:c>
      <x:c r="K318" s="74">
        <x:f>IF(A318="","",1-(J318/Dashboard!$B$6))</x:f>
      </x:c>
      <x:c r="L318" s="38">
        <x:f>IF(A318="","",IF(J318=0,"Soldé","En cours"))</x:f>
      </x:c>
      <x:c r="M318" s="73">
        <x:f>IF(A318="","",ROUND(SUM($G$8:G318),2))</x:f>
      </x:c>
    </x:row>
    <x:row r="319" ht="20" customHeight="1">
      <x:c r="A319" s="75">
        <x:f>IF(OR($J318="",ROUND($J318,2)=0),"",$A318+1)</x:f>
      </x:c>
      <x:c r="B319" s="76">
        <x:f>IF(A319="","",EDATE(Dashboard!$B$10,(A319-1)*(12/Dashboard!$B$9)))</x:f>
      </x:c>
      <x:c r="C319" s="77">
        <x:f>IF(A319="","",$J318)</x:f>
      </x:c>
      <x:c r="D319" s="77">
        <x:f>IF(A319="","",ROUND(MIN(Moteur!$B$3,C319+G319),2))</x:f>
      </x:c>
      <x:c r="E319" s="77">
        <x:f>IF(A319="","",ROUND(MIN(Dashboard!$B$11,MAX(0,C319-(D319-G319))),2))</x:f>
      </x:c>
      <x:c r="F319" s="77">
        <x:f>IF(A319="","",ROUND(C319*Dashboard!$B$12/Dashboard!$B$9,2))</x:f>
      </x:c>
      <x:c r="G319" s="77">
        <x:f>IF(A319="","",ROUND(C319*Moteur!$B$2,2))</x:f>
      </x:c>
      <x:c r="H319" s="77">
        <x:f>IF(A319="","",ROUND(MIN(C319,D319-G319+E319),2))</x:f>
      </x:c>
      <x:c r="I319" s="77">
        <x:f>IF(A319="","",ROUND(D319+E319+F319,2))</x:f>
      </x:c>
      <x:c r="J319" s="77">
        <x:f>IF(A319="","",ROUND(MAX(0,C319-H319),2))</x:f>
      </x:c>
      <x:c r="K319" s="78">
        <x:f>IF(A319="","",1-(J319/Dashboard!$B$6))</x:f>
      </x:c>
      <x:c r="L319" s="43">
        <x:f>IF(A319="","",IF(J319=0,"Soldé","En cours"))</x:f>
      </x:c>
      <x:c r="M319" s="77">
        <x:f>IF(A319="","",ROUND(SUM($G$8:G319),2))</x:f>
      </x:c>
    </x:row>
    <x:row r="320" ht="20" customHeight="1">
      <x:c r="A320" s="71">
        <x:f>IF(OR($J319="",ROUND($J319,2)=0),"",$A319+1)</x:f>
      </x:c>
      <x:c r="B320" s="72">
        <x:f>IF(A320="","",EDATE(Dashboard!$B$10,(A320-1)*(12/Dashboard!$B$9)))</x:f>
      </x:c>
      <x:c r="C320" s="73">
        <x:f>IF(A320="","",$J319)</x:f>
      </x:c>
      <x:c r="D320" s="73">
        <x:f>IF(A320="","",ROUND(MIN(Moteur!$B$3,C320+G320),2))</x:f>
      </x:c>
      <x:c r="E320" s="73">
        <x:f>IF(A320="","",ROUND(MIN(Dashboard!$B$11,MAX(0,C320-(D320-G320))),2))</x:f>
      </x:c>
      <x:c r="F320" s="73">
        <x:f>IF(A320="","",ROUND(C320*Dashboard!$B$12/Dashboard!$B$9,2))</x:f>
      </x:c>
      <x:c r="G320" s="73">
        <x:f>IF(A320="","",ROUND(C320*Moteur!$B$2,2))</x:f>
      </x:c>
      <x:c r="H320" s="73">
        <x:f>IF(A320="","",ROUND(MIN(C320,D320-G320+E320),2))</x:f>
      </x:c>
      <x:c r="I320" s="73">
        <x:f>IF(A320="","",ROUND(D320+E320+F320,2))</x:f>
      </x:c>
      <x:c r="J320" s="73">
        <x:f>IF(A320="","",ROUND(MAX(0,C320-H320),2))</x:f>
      </x:c>
      <x:c r="K320" s="74">
        <x:f>IF(A320="","",1-(J320/Dashboard!$B$6))</x:f>
      </x:c>
      <x:c r="L320" s="38">
        <x:f>IF(A320="","",IF(J320=0,"Soldé","En cours"))</x:f>
      </x:c>
      <x:c r="M320" s="73">
        <x:f>IF(A320="","",ROUND(SUM($G$8:G320),2))</x:f>
      </x:c>
    </x:row>
    <x:row r="321" ht="20" customHeight="1">
      <x:c r="A321" s="75">
        <x:f>IF(OR($J320="",ROUND($J320,2)=0),"",$A320+1)</x:f>
      </x:c>
      <x:c r="B321" s="76">
        <x:f>IF(A321="","",EDATE(Dashboard!$B$10,(A321-1)*(12/Dashboard!$B$9)))</x:f>
      </x:c>
      <x:c r="C321" s="77">
        <x:f>IF(A321="","",$J320)</x:f>
      </x:c>
      <x:c r="D321" s="77">
        <x:f>IF(A321="","",ROUND(MIN(Moteur!$B$3,C321+G321),2))</x:f>
      </x:c>
      <x:c r="E321" s="77">
        <x:f>IF(A321="","",ROUND(MIN(Dashboard!$B$11,MAX(0,C321-(D321-G321))),2))</x:f>
      </x:c>
      <x:c r="F321" s="77">
        <x:f>IF(A321="","",ROUND(C321*Dashboard!$B$12/Dashboard!$B$9,2))</x:f>
      </x:c>
      <x:c r="G321" s="77">
        <x:f>IF(A321="","",ROUND(C321*Moteur!$B$2,2))</x:f>
      </x:c>
      <x:c r="H321" s="77">
        <x:f>IF(A321="","",ROUND(MIN(C321,D321-G321+E321),2))</x:f>
      </x:c>
      <x:c r="I321" s="77">
        <x:f>IF(A321="","",ROUND(D321+E321+F321,2))</x:f>
      </x:c>
      <x:c r="J321" s="77">
        <x:f>IF(A321="","",ROUND(MAX(0,C321-H321),2))</x:f>
      </x:c>
      <x:c r="K321" s="78">
        <x:f>IF(A321="","",1-(J321/Dashboard!$B$6))</x:f>
      </x:c>
      <x:c r="L321" s="43">
        <x:f>IF(A321="","",IF(J321=0,"Soldé","En cours"))</x:f>
      </x:c>
      <x:c r="M321" s="77">
        <x:f>IF(A321="","",ROUND(SUM($G$8:G321),2))</x:f>
      </x:c>
    </x:row>
    <x:row r="322" ht="20" customHeight="1">
      <x:c r="A322" s="71">
        <x:f>IF(OR($J321="",ROUND($J321,2)=0),"",$A321+1)</x:f>
      </x:c>
      <x:c r="B322" s="72">
        <x:f>IF(A322="","",EDATE(Dashboard!$B$10,(A322-1)*(12/Dashboard!$B$9)))</x:f>
      </x:c>
      <x:c r="C322" s="73">
        <x:f>IF(A322="","",$J321)</x:f>
      </x:c>
      <x:c r="D322" s="73">
        <x:f>IF(A322="","",ROUND(MIN(Moteur!$B$3,C322+G322),2))</x:f>
      </x:c>
      <x:c r="E322" s="73">
        <x:f>IF(A322="","",ROUND(MIN(Dashboard!$B$11,MAX(0,C322-(D322-G322))),2))</x:f>
      </x:c>
      <x:c r="F322" s="73">
        <x:f>IF(A322="","",ROUND(C322*Dashboard!$B$12/Dashboard!$B$9,2))</x:f>
      </x:c>
      <x:c r="G322" s="73">
        <x:f>IF(A322="","",ROUND(C322*Moteur!$B$2,2))</x:f>
      </x:c>
      <x:c r="H322" s="73">
        <x:f>IF(A322="","",ROUND(MIN(C322,D322-G322+E322),2))</x:f>
      </x:c>
      <x:c r="I322" s="73">
        <x:f>IF(A322="","",ROUND(D322+E322+F322,2))</x:f>
      </x:c>
      <x:c r="J322" s="73">
        <x:f>IF(A322="","",ROUND(MAX(0,C322-H322),2))</x:f>
      </x:c>
      <x:c r="K322" s="74">
        <x:f>IF(A322="","",1-(J322/Dashboard!$B$6))</x:f>
      </x:c>
      <x:c r="L322" s="38">
        <x:f>IF(A322="","",IF(J322=0,"Soldé","En cours"))</x:f>
      </x:c>
      <x:c r="M322" s="73">
        <x:f>IF(A322="","",ROUND(SUM($G$8:G322),2))</x:f>
      </x:c>
    </x:row>
    <x:row r="323" ht="20" customHeight="1">
      <x:c r="A323" s="75">
        <x:f>IF(OR($J322="",ROUND($J322,2)=0),"",$A322+1)</x:f>
      </x:c>
      <x:c r="B323" s="76">
        <x:f>IF(A323="","",EDATE(Dashboard!$B$10,(A323-1)*(12/Dashboard!$B$9)))</x:f>
      </x:c>
      <x:c r="C323" s="77">
        <x:f>IF(A323="","",$J322)</x:f>
      </x:c>
      <x:c r="D323" s="77">
        <x:f>IF(A323="","",ROUND(MIN(Moteur!$B$3,C323+G323),2))</x:f>
      </x:c>
      <x:c r="E323" s="77">
        <x:f>IF(A323="","",ROUND(MIN(Dashboard!$B$11,MAX(0,C323-(D323-G323))),2))</x:f>
      </x:c>
      <x:c r="F323" s="77">
        <x:f>IF(A323="","",ROUND(C323*Dashboard!$B$12/Dashboard!$B$9,2))</x:f>
      </x:c>
      <x:c r="G323" s="77">
        <x:f>IF(A323="","",ROUND(C323*Moteur!$B$2,2))</x:f>
      </x:c>
      <x:c r="H323" s="77">
        <x:f>IF(A323="","",ROUND(MIN(C323,D323-G323+E323),2))</x:f>
      </x:c>
      <x:c r="I323" s="77">
        <x:f>IF(A323="","",ROUND(D323+E323+F323,2))</x:f>
      </x:c>
      <x:c r="J323" s="77">
        <x:f>IF(A323="","",ROUND(MAX(0,C323-H323),2))</x:f>
      </x:c>
      <x:c r="K323" s="78">
        <x:f>IF(A323="","",1-(J323/Dashboard!$B$6))</x:f>
      </x:c>
      <x:c r="L323" s="43">
        <x:f>IF(A323="","",IF(J323=0,"Soldé","En cours"))</x:f>
      </x:c>
      <x:c r="M323" s="77">
        <x:f>IF(A323="","",ROUND(SUM($G$8:G323),2))</x:f>
      </x:c>
    </x:row>
    <x:row r="324" ht="20" customHeight="1">
      <x:c r="A324" s="71">
        <x:f>IF(OR($J323="",ROUND($J323,2)=0),"",$A323+1)</x:f>
      </x:c>
      <x:c r="B324" s="72">
        <x:f>IF(A324="","",EDATE(Dashboard!$B$10,(A324-1)*(12/Dashboard!$B$9)))</x:f>
      </x:c>
      <x:c r="C324" s="73">
        <x:f>IF(A324="","",$J323)</x:f>
      </x:c>
      <x:c r="D324" s="73">
        <x:f>IF(A324="","",ROUND(MIN(Moteur!$B$3,C324+G324),2))</x:f>
      </x:c>
      <x:c r="E324" s="73">
        <x:f>IF(A324="","",ROUND(MIN(Dashboard!$B$11,MAX(0,C324-(D324-G324))),2))</x:f>
      </x:c>
      <x:c r="F324" s="73">
        <x:f>IF(A324="","",ROUND(C324*Dashboard!$B$12/Dashboard!$B$9,2))</x:f>
      </x:c>
      <x:c r="G324" s="73">
        <x:f>IF(A324="","",ROUND(C324*Moteur!$B$2,2))</x:f>
      </x:c>
      <x:c r="H324" s="73">
        <x:f>IF(A324="","",ROUND(MIN(C324,D324-G324+E324),2))</x:f>
      </x:c>
      <x:c r="I324" s="73">
        <x:f>IF(A324="","",ROUND(D324+E324+F324,2))</x:f>
      </x:c>
      <x:c r="J324" s="73">
        <x:f>IF(A324="","",ROUND(MAX(0,C324-H324),2))</x:f>
      </x:c>
      <x:c r="K324" s="74">
        <x:f>IF(A324="","",1-(J324/Dashboard!$B$6))</x:f>
      </x:c>
      <x:c r="L324" s="38">
        <x:f>IF(A324="","",IF(J324=0,"Soldé","En cours"))</x:f>
      </x:c>
      <x:c r="M324" s="73">
        <x:f>IF(A324="","",ROUND(SUM($G$8:G324),2))</x:f>
      </x:c>
    </x:row>
    <x:row r="325" ht="20" customHeight="1">
      <x:c r="A325" s="75">
        <x:f>IF(OR($J324="",ROUND($J324,2)=0),"",$A324+1)</x:f>
      </x:c>
      <x:c r="B325" s="76">
        <x:f>IF(A325="","",EDATE(Dashboard!$B$10,(A325-1)*(12/Dashboard!$B$9)))</x:f>
      </x:c>
      <x:c r="C325" s="77">
        <x:f>IF(A325="","",$J324)</x:f>
      </x:c>
      <x:c r="D325" s="77">
        <x:f>IF(A325="","",ROUND(MIN(Moteur!$B$3,C325+G325),2))</x:f>
      </x:c>
      <x:c r="E325" s="77">
        <x:f>IF(A325="","",ROUND(MIN(Dashboard!$B$11,MAX(0,C325-(D325-G325))),2))</x:f>
      </x:c>
      <x:c r="F325" s="77">
        <x:f>IF(A325="","",ROUND(C325*Dashboard!$B$12/Dashboard!$B$9,2))</x:f>
      </x:c>
      <x:c r="G325" s="77">
        <x:f>IF(A325="","",ROUND(C325*Moteur!$B$2,2))</x:f>
      </x:c>
      <x:c r="H325" s="77">
        <x:f>IF(A325="","",ROUND(MIN(C325,D325-G325+E325),2))</x:f>
      </x:c>
      <x:c r="I325" s="77">
        <x:f>IF(A325="","",ROUND(D325+E325+F325,2))</x:f>
      </x:c>
      <x:c r="J325" s="77">
        <x:f>IF(A325="","",ROUND(MAX(0,C325-H325),2))</x:f>
      </x:c>
      <x:c r="K325" s="78">
        <x:f>IF(A325="","",1-(J325/Dashboard!$B$6))</x:f>
      </x:c>
      <x:c r="L325" s="43">
        <x:f>IF(A325="","",IF(J325=0,"Soldé","En cours"))</x:f>
      </x:c>
      <x:c r="M325" s="77">
        <x:f>IF(A325="","",ROUND(SUM($G$8:G325),2))</x:f>
      </x:c>
    </x:row>
    <x:row r="326" ht="20" customHeight="1">
      <x:c r="A326" s="71">
        <x:f>IF(OR($J325="",ROUND($J325,2)=0),"",$A325+1)</x:f>
      </x:c>
      <x:c r="B326" s="72">
        <x:f>IF(A326="","",EDATE(Dashboard!$B$10,(A326-1)*(12/Dashboard!$B$9)))</x:f>
      </x:c>
      <x:c r="C326" s="73">
        <x:f>IF(A326="","",$J325)</x:f>
      </x:c>
      <x:c r="D326" s="73">
        <x:f>IF(A326="","",ROUND(MIN(Moteur!$B$3,C326+G326),2))</x:f>
      </x:c>
      <x:c r="E326" s="73">
        <x:f>IF(A326="","",ROUND(MIN(Dashboard!$B$11,MAX(0,C326-(D326-G326))),2))</x:f>
      </x:c>
      <x:c r="F326" s="73">
        <x:f>IF(A326="","",ROUND(C326*Dashboard!$B$12/Dashboard!$B$9,2))</x:f>
      </x:c>
      <x:c r="G326" s="73">
        <x:f>IF(A326="","",ROUND(C326*Moteur!$B$2,2))</x:f>
      </x:c>
      <x:c r="H326" s="73">
        <x:f>IF(A326="","",ROUND(MIN(C326,D326-G326+E326),2))</x:f>
      </x:c>
      <x:c r="I326" s="73">
        <x:f>IF(A326="","",ROUND(D326+E326+F326,2))</x:f>
      </x:c>
      <x:c r="J326" s="73">
        <x:f>IF(A326="","",ROUND(MAX(0,C326-H326),2))</x:f>
      </x:c>
      <x:c r="K326" s="74">
        <x:f>IF(A326="","",1-(J326/Dashboard!$B$6))</x:f>
      </x:c>
      <x:c r="L326" s="38">
        <x:f>IF(A326="","",IF(J326=0,"Soldé","En cours"))</x:f>
      </x:c>
      <x:c r="M326" s="73">
        <x:f>IF(A326="","",ROUND(SUM($G$8:G326),2))</x:f>
      </x:c>
    </x:row>
    <x:row r="327" ht="20" customHeight="1">
      <x:c r="A327" s="75">
        <x:f>IF(OR($J326="",ROUND($J326,2)=0),"",$A326+1)</x:f>
      </x:c>
      <x:c r="B327" s="76">
        <x:f>IF(A327="","",EDATE(Dashboard!$B$10,(A327-1)*(12/Dashboard!$B$9)))</x:f>
      </x:c>
      <x:c r="C327" s="77">
        <x:f>IF(A327="","",$J326)</x:f>
      </x:c>
      <x:c r="D327" s="77">
        <x:f>IF(A327="","",ROUND(MIN(Moteur!$B$3,C327+G327),2))</x:f>
      </x:c>
      <x:c r="E327" s="77">
        <x:f>IF(A327="","",ROUND(MIN(Dashboard!$B$11,MAX(0,C327-(D327-G327))),2))</x:f>
      </x:c>
      <x:c r="F327" s="77">
        <x:f>IF(A327="","",ROUND(C327*Dashboard!$B$12/Dashboard!$B$9,2))</x:f>
      </x:c>
      <x:c r="G327" s="77">
        <x:f>IF(A327="","",ROUND(C327*Moteur!$B$2,2))</x:f>
      </x:c>
      <x:c r="H327" s="77">
        <x:f>IF(A327="","",ROUND(MIN(C327,D327-G327+E327),2))</x:f>
      </x:c>
      <x:c r="I327" s="77">
        <x:f>IF(A327="","",ROUND(D327+E327+F327,2))</x:f>
      </x:c>
      <x:c r="J327" s="77">
        <x:f>IF(A327="","",ROUND(MAX(0,C327-H327),2))</x:f>
      </x:c>
      <x:c r="K327" s="78">
        <x:f>IF(A327="","",1-(J327/Dashboard!$B$6))</x:f>
      </x:c>
      <x:c r="L327" s="43">
        <x:f>IF(A327="","",IF(J327=0,"Soldé","En cours"))</x:f>
      </x:c>
      <x:c r="M327" s="77">
        <x:f>IF(A327="","",ROUND(SUM($G$8:G327),2))</x:f>
      </x:c>
    </x:row>
    <x:row r="328" ht="20" customHeight="1">
      <x:c r="A328" s="71">
        <x:f>IF(OR($J327="",ROUND($J327,2)=0),"",$A327+1)</x:f>
      </x:c>
      <x:c r="B328" s="72">
        <x:f>IF(A328="","",EDATE(Dashboard!$B$10,(A328-1)*(12/Dashboard!$B$9)))</x:f>
      </x:c>
      <x:c r="C328" s="73">
        <x:f>IF(A328="","",$J327)</x:f>
      </x:c>
      <x:c r="D328" s="73">
        <x:f>IF(A328="","",ROUND(MIN(Moteur!$B$3,C328+G328),2))</x:f>
      </x:c>
      <x:c r="E328" s="73">
        <x:f>IF(A328="","",ROUND(MIN(Dashboard!$B$11,MAX(0,C328-(D328-G328))),2))</x:f>
      </x:c>
      <x:c r="F328" s="73">
        <x:f>IF(A328="","",ROUND(C328*Dashboard!$B$12/Dashboard!$B$9,2))</x:f>
      </x:c>
      <x:c r="G328" s="73">
        <x:f>IF(A328="","",ROUND(C328*Moteur!$B$2,2))</x:f>
      </x:c>
      <x:c r="H328" s="73">
        <x:f>IF(A328="","",ROUND(MIN(C328,D328-G328+E328),2))</x:f>
      </x:c>
      <x:c r="I328" s="73">
        <x:f>IF(A328="","",ROUND(D328+E328+F328,2))</x:f>
      </x:c>
      <x:c r="J328" s="73">
        <x:f>IF(A328="","",ROUND(MAX(0,C328-H328),2))</x:f>
      </x:c>
      <x:c r="K328" s="74">
        <x:f>IF(A328="","",1-(J328/Dashboard!$B$6))</x:f>
      </x:c>
      <x:c r="L328" s="38">
        <x:f>IF(A328="","",IF(J328=0,"Soldé","En cours"))</x:f>
      </x:c>
      <x:c r="M328" s="73">
        <x:f>IF(A328="","",ROUND(SUM($G$8:G328),2))</x:f>
      </x:c>
    </x:row>
    <x:row r="329" ht="20" customHeight="1">
      <x:c r="A329" s="75">
        <x:f>IF(OR($J328="",ROUND($J328,2)=0),"",$A328+1)</x:f>
      </x:c>
      <x:c r="B329" s="76">
        <x:f>IF(A329="","",EDATE(Dashboard!$B$10,(A329-1)*(12/Dashboard!$B$9)))</x:f>
      </x:c>
      <x:c r="C329" s="77">
        <x:f>IF(A329="","",$J328)</x:f>
      </x:c>
      <x:c r="D329" s="77">
        <x:f>IF(A329="","",ROUND(MIN(Moteur!$B$3,C329+G329),2))</x:f>
      </x:c>
      <x:c r="E329" s="77">
        <x:f>IF(A329="","",ROUND(MIN(Dashboard!$B$11,MAX(0,C329-(D329-G329))),2))</x:f>
      </x:c>
      <x:c r="F329" s="77">
        <x:f>IF(A329="","",ROUND(C329*Dashboard!$B$12/Dashboard!$B$9,2))</x:f>
      </x:c>
      <x:c r="G329" s="77">
        <x:f>IF(A329="","",ROUND(C329*Moteur!$B$2,2))</x:f>
      </x:c>
      <x:c r="H329" s="77">
        <x:f>IF(A329="","",ROUND(MIN(C329,D329-G329+E329),2))</x:f>
      </x:c>
      <x:c r="I329" s="77">
        <x:f>IF(A329="","",ROUND(D329+E329+F329,2))</x:f>
      </x:c>
      <x:c r="J329" s="77">
        <x:f>IF(A329="","",ROUND(MAX(0,C329-H329),2))</x:f>
      </x:c>
      <x:c r="K329" s="78">
        <x:f>IF(A329="","",1-(J329/Dashboard!$B$6))</x:f>
      </x:c>
      <x:c r="L329" s="43">
        <x:f>IF(A329="","",IF(J329=0,"Soldé","En cours"))</x:f>
      </x:c>
      <x:c r="M329" s="77">
        <x:f>IF(A329="","",ROUND(SUM($G$8:G329),2))</x:f>
      </x:c>
    </x:row>
    <x:row r="330" ht="20" customHeight="1">
      <x:c r="A330" s="71">
        <x:f>IF(OR($J329="",ROUND($J329,2)=0),"",$A329+1)</x:f>
      </x:c>
      <x:c r="B330" s="72">
        <x:f>IF(A330="","",EDATE(Dashboard!$B$10,(A330-1)*(12/Dashboard!$B$9)))</x:f>
      </x:c>
      <x:c r="C330" s="73">
        <x:f>IF(A330="","",$J329)</x:f>
      </x:c>
      <x:c r="D330" s="73">
        <x:f>IF(A330="","",ROUND(MIN(Moteur!$B$3,C330+G330),2))</x:f>
      </x:c>
      <x:c r="E330" s="73">
        <x:f>IF(A330="","",ROUND(MIN(Dashboard!$B$11,MAX(0,C330-(D330-G330))),2))</x:f>
      </x:c>
      <x:c r="F330" s="73">
        <x:f>IF(A330="","",ROUND(C330*Dashboard!$B$12/Dashboard!$B$9,2))</x:f>
      </x:c>
      <x:c r="G330" s="73">
        <x:f>IF(A330="","",ROUND(C330*Moteur!$B$2,2))</x:f>
      </x:c>
      <x:c r="H330" s="73">
        <x:f>IF(A330="","",ROUND(MIN(C330,D330-G330+E330),2))</x:f>
      </x:c>
      <x:c r="I330" s="73">
        <x:f>IF(A330="","",ROUND(D330+E330+F330,2))</x:f>
      </x:c>
      <x:c r="J330" s="73">
        <x:f>IF(A330="","",ROUND(MAX(0,C330-H330),2))</x:f>
      </x:c>
      <x:c r="K330" s="74">
        <x:f>IF(A330="","",1-(J330/Dashboard!$B$6))</x:f>
      </x:c>
      <x:c r="L330" s="38">
        <x:f>IF(A330="","",IF(J330=0,"Soldé","En cours"))</x:f>
      </x:c>
      <x:c r="M330" s="73">
        <x:f>IF(A330="","",ROUND(SUM($G$8:G330),2))</x:f>
      </x:c>
    </x:row>
    <x:row r="331" ht="20" customHeight="1">
      <x:c r="A331" s="75">
        <x:f>IF(OR($J330="",ROUND($J330,2)=0),"",$A330+1)</x:f>
      </x:c>
      <x:c r="B331" s="76">
        <x:f>IF(A331="","",EDATE(Dashboard!$B$10,(A331-1)*(12/Dashboard!$B$9)))</x:f>
      </x:c>
      <x:c r="C331" s="77">
        <x:f>IF(A331="","",$J330)</x:f>
      </x:c>
      <x:c r="D331" s="77">
        <x:f>IF(A331="","",ROUND(MIN(Moteur!$B$3,C331+G331),2))</x:f>
      </x:c>
      <x:c r="E331" s="77">
        <x:f>IF(A331="","",ROUND(MIN(Dashboard!$B$11,MAX(0,C331-(D331-G331))),2))</x:f>
      </x:c>
      <x:c r="F331" s="77">
        <x:f>IF(A331="","",ROUND(C331*Dashboard!$B$12/Dashboard!$B$9,2))</x:f>
      </x:c>
      <x:c r="G331" s="77">
        <x:f>IF(A331="","",ROUND(C331*Moteur!$B$2,2))</x:f>
      </x:c>
      <x:c r="H331" s="77">
        <x:f>IF(A331="","",ROUND(MIN(C331,D331-G331+E331),2))</x:f>
      </x:c>
      <x:c r="I331" s="77">
        <x:f>IF(A331="","",ROUND(D331+E331+F331,2))</x:f>
      </x:c>
      <x:c r="J331" s="77">
        <x:f>IF(A331="","",ROUND(MAX(0,C331-H331),2))</x:f>
      </x:c>
      <x:c r="K331" s="78">
        <x:f>IF(A331="","",1-(J331/Dashboard!$B$6))</x:f>
      </x:c>
      <x:c r="L331" s="43">
        <x:f>IF(A331="","",IF(J331=0,"Soldé","En cours"))</x:f>
      </x:c>
      <x:c r="M331" s="77">
        <x:f>IF(A331="","",ROUND(SUM($G$8:G331),2))</x:f>
      </x:c>
    </x:row>
    <x:row r="332" ht="20" customHeight="1">
      <x:c r="A332" s="71">
        <x:f>IF(OR($J331="",ROUND($J331,2)=0),"",$A331+1)</x:f>
      </x:c>
      <x:c r="B332" s="72">
        <x:f>IF(A332="","",EDATE(Dashboard!$B$10,(A332-1)*(12/Dashboard!$B$9)))</x:f>
      </x:c>
      <x:c r="C332" s="73">
        <x:f>IF(A332="","",$J331)</x:f>
      </x:c>
      <x:c r="D332" s="73">
        <x:f>IF(A332="","",ROUND(MIN(Moteur!$B$3,C332+G332),2))</x:f>
      </x:c>
      <x:c r="E332" s="73">
        <x:f>IF(A332="","",ROUND(MIN(Dashboard!$B$11,MAX(0,C332-(D332-G332))),2))</x:f>
      </x:c>
      <x:c r="F332" s="73">
        <x:f>IF(A332="","",ROUND(C332*Dashboard!$B$12/Dashboard!$B$9,2))</x:f>
      </x:c>
      <x:c r="G332" s="73">
        <x:f>IF(A332="","",ROUND(C332*Moteur!$B$2,2))</x:f>
      </x:c>
      <x:c r="H332" s="73">
        <x:f>IF(A332="","",ROUND(MIN(C332,D332-G332+E332),2))</x:f>
      </x:c>
      <x:c r="I332" s="73">
        <x:f>IF(A332="","",ROUND(D332+E332+F332,2))</x:f>
      </x:c>
      <x:c r="J332" s="73">
        <x:f>IF(A332="","",ROUND(MAX(0,C332-H332),2))</x:f>
      </x:c>
      <x:c r="K332" s="74">
        <x:f>IF(A332="","",1-(J332/Dashboard!$B$6))</x:f>
      </x:c>
      <x:c r="L332" s="38">
        <x:f>IF(A332="","",IF(J332=0,"Soldé","En cours"))</x:f>
      </x:c>
      <x:c r="M332" s="73">
        <x:f>IF(A332="","",ROUND(SUM($G$8:G332),2))</x:f>
      </x:c>
    </x:row>
    <x:row r="333" ht="20" customHeight="1">
      <x:c r="A333" s="75">
        <x:f>IF(OR($J332="",ROUND($J332,2)=0),"",$A332+1)</x:f>
      </x:c>
      <x:c r="B333" s="76">
        <x:f>IF(A333="","",EDATE(Dashboard!$B$10,(A333-1)*(12/Dashboard!$B$9)))</x:f>
      </x:c>
      <x:c r="C333" s="77">
        <x:f>IF(A333="","",$J332)</x:f>
      </x:c>
      <x:c r="D333" s="77">
        <x:f>IF(A333="","",ROUND(MIN(Moteur!$B$3,C333+G333),2))</x:f>
      </x:c>
      <x:c r="E333" s="77">
        <x:f>IF(A333="","",ROUND(MIN(Dashboard!$B$11,MAX(0,C333-(D333-G333))),2))</x:f>
      </x:c>
      <x:c r="F333" s="77">
        <x:f>IF(A333="","",ROUND(C333*Dashboard!$B$12/Dashboard!$B$9,2))</x:f>
      </x:c>
      <x:c r="G333" s="77">
        <x:f>IF(A333="","",ROUND(C333*Moteur!$B$2,2))</x:f>
      </x:c>
      <x:c r="H333" s="77">
        <x:f>IF(A333="","",ROUND(MIN(C333,D333-G333+E333),2))</x:f>
      </x:c>
      <x:c r="I333" s="77">
        <x:f>IF(A333="","",ROUND(D333+E333+F333,2))</x:f>
      </x:c>
      <x:c r="J333" s="77">
        <x:f>IF(A333="","",ROUND(MAX(0,C333-H333),2))</x:f>
      </x:c>
      <x:c r="K333" s="78">
        <x:f>IF(A333="","",1-(J333/Dashboard!$B$6))</x:f>
      </x:c>
      <x:c r="L333" s="43">
        <x:f>IF(A333="","",IF(J333=0,"Soldé","En cours"))</x:f>
      </x:c>
      <x:c r="M333" s="77">
        <x:f>IF(A333="","",ROUND(SUM($G$8:G333),2))</x:f>
      </x:c>
    </x:row>
    <x:row r="334" ht="20" customHeight="1">
      <x:c r="A334" s="71">
        <x:f>IF(OR($J333="",ROUND($J333,2)=0),"",$A333+1)</x:f>
      </x:c>
      <x:c r="B334" s="72">
        <x:f>IF(A334="","",EDATE(Dashboard!$B$10,(A334-1)*(12/Dashboard!$B$9)))</x:f>
      </x:c>
      <x:c r="C334" s="73">
        <x:f>IF(A334="","",$J333)</x:f>
      </x:c>
      <x:c r="D334" s="73">
        <x:f>IF(A334="","",ROUND(MIN(Moteur!$B$3,C334+G334),2))</x:f>
      </x:c>
      <x:c r="E334" s="73">
        <x:f>IF(A334="","",ROUND(MIN(Dashboard!$B$11,MAX(0,C334-(D334-G334))),2))</x:f>
      </x:c>
      <x:c r="F334" s="73">
        <x:f>IF(A334="","",ROUND(C334*Dashboard!$B$12/Dashboard!$B$9,2))</x:f>
      </x:c>
      <x:c r="G334" s="73">
        <x:f>IF(A334="","",ROUND(C334*Moteur!$B$2,2))</x:f>
      </x:c>
      <x:c r="H334" s="73">
        <x:f>IF(A334="","",ROUND(MIN(C334,D334-G334+E334),2))</x:f>
      </x:c>
      <x:c r="I334" s="73">
        <x:f>IF(A334="","",ROUND(D334+E334+F334,2))</x:f>
      </x:c>
      <x:c r="J334" s="73">
        <x:f>IF(A334="","",ROUND(MAX(0,C334-H334),2))</x:f>
      </x:c>
      <x:c r="K334" s="74">
        <x:f>IF(A334="","",1-(J334/Dashboard!$B$6))</x:f>
      </x:c>
      <x:c r="L334" s="38">
        <x:f>IF(A334="","",IF(J334=0,"Soldé","En cours"))</x:f>
      </x:c>
      <x:c r="M334" s="73">
        <x:f>IF(A334="","",ROUND(SUM($G$8:G334),2))</x:f>
      </x:c>
    </x:row>
    <x:row r="335" ht="20" customHeight="1">
      <x:c r="A335" s="75">
        <x:f>IF(OR($J334="",ROUND($J334,2)=0),"",$A334+1)</x:f>
      </x:c>
      <x:c r="B335" s="76">
        <x:f>IF(A335="","",EDATE(Dashboard!$B$10,(A335-1)*(12/Dashboard!$B$9)))</x:f>
      </x:c>
      <x:c r="C335" s="77">
        <x:f>IF(A335="","",$J334)</x:f>
      </x:c>
      <x:c r="D335" s="77">
        <x:f>IF(A335="","",ROUND(MIN(Moteur!$B$3,C335+G335),2))</x:f>
      </x:c>
      <x:c r="E335" s="77">
        <x:f>IF(A335="","",ROUND(MIN(Dashboard!$B$11,MAX(0,C335-(D335-G335))),2))</x:f>
      </x:c>
      <x:c r="F335" s="77">
        <x:f>IF(A335="","",ROUND(C335*Dashboard!$B$12/Dashboard!$B$9,2))</x:f>
      </x:c>
      <x:c r="G335" s="77">
        <x:f>IF(A335="","",ROUND(C335*Moteur!$B$2,2))</x:f>
      </x:c>
      <x:c r="H335" s="77">
        <x:f>IF(A335="","",ROUND(MIN(C335,D335-G335+E335),2))</x:f>
      </x:c>
      <x:c r="I335" s="77">
        <x:f>IF(A335="","",ROUND(D335+E335+F335,2))</x:f>
      </x:c>
      <x:c r="J335" s="77">
        <x:f>IF(A335="","",ROUND(MAX(0,C335-H335),2))</x:f>
      </x:c>
      <x:c r="K335" s="78">
        <x:f>IF(A335="","",1-(J335/Dashboard!$B$6))</x:f>
      </x:c>
      <x:c r="L335" s="43">
        <x:f>IF(A335="","",IF(J335=0,"Soldé","En cours"))</x:f>
      </x:c>
      <x:c r="M335" s="77">
        <x:f>IF(A335="","",ROUND(SUM($G$8:G335),2))</x:f>
      </x:c>
    </x:row>
    <x:row r="336" ht="20" customHeight="1">
      <x:c r="A336" s="71">
        <x:f>IF(OR($J335="",ROUND($J335,2)=0),"",$A335+1)</x:f>
      </x:c>
      <x:c r="B336" s="72">
        <x:f>IF(A336="","",EDATE(Dashboard!$B$10,(A336-1)*(12/Dashboard!$B$9)))</x:f>
      </x:c>
      <x:c r="C336" s="73">
        <x:f>IF(A336="","",$J335)</x:f>
      </x:c>
      <x:c r="D336" s="73">
        <x:f>IF(A336="","",ROUND(MIN(Moteur!$B$3,C336+G336),2))</x:f>
      </x:c>
      <x:c r="E336" s="73">
        <x:f>IF(A336="","",ROUND(MIN(Dashboard!$B$11,MAX(0,C336-(D336-G336))),2))</x:f>
      </x:c>
      <x:c r="F336" s="73">
        <x:f>IF(A336="","",ROUND(C336*Dashboard!$B$12/Dashboard!$B$9,2))</x:f>
      </x:c>
      <x:c r="G336" s="73">
        <x:f>IF(A336="","",ROUND(C336*Moteur!$B$2,2))</x:f>
      </x:c>
      <x:c r="H336" s="73">
        <x:f>IF(A336="","",ROUND(MIN(C336,D336-G336+E336),2))</x:f>
      </x:c>
      <x:c r="I336" s="73">
        <x:f>IF(A336="","",ROUND(D336+E336+F336,2))</x:f>
      </x:c>
      <x:c r="J336" s="73">
        <x:f>IF(A336="","",ROUND(MAX(0,C336-H336),2))</x:f>
      </x:c>
      <x:c r="K336" s="74">
        <x:f>IF(A336="","",1-(J336/Dashboard!$B$6))</x:f>
      </x:c>
      <x:c r="L336" s="38">
        <x:f>IF(A336="","",IF(J336=0,"Soldé","En cours"))</x:f>
      </x:c>
      <x:c r="M336" s="73">
        <x:f>IF(A336="","",ROUND(SUM($G$8:G336),2))</x:f>
      </x:c>
    </x:row>
    <x:row r="337" ht="20" customHeight="1">
      <x:c r="A337" s="75">
        <x:f>IF(OR($J336="",ROUND($J336,2)=0),"",$A336+1)</x:f>
      </x:c>
      <x:c r="B337" s="76">
        <x:f>IF(A337="","",EDATE(Dashboard!$B$10,(A337-1)*(12/Dashboard!$B$9)))</x:f>
      </x:c>
      <x:c r="C337" s="77">
        <x:f>IF(A337="","",$J336)</x:f>
      </x:c>
      <x:c r="D337" s="77">
        <x:f>IF(A337="","",ROUND(MIN(Moteur!$B$3,C337+G337),2))</x:f>
      </x:c>
      <x:c r="E337" s="77">
        <x:f>IF(A337="","",ROUND(MIN(Dashboard!$B$11,MAX(0,C337-(D337-G337))),2))</x:f>
      </x:c>
      <x:c r="F337" s="77">
        <x:f>IF(A337="","",ROUND(C337*Dashboard!$B$12/Dashboard!$B$9,2))</x:f>
      </x:c>
      <x:c r="G337" s="77">
        <x:f>IF(A337="","",ROUND(C337*Moteur!$B$2,2))</x:f>
      </x:c>
      <x:c r="H337" s="77">
        <x:f>IF(A337="","",ROUND(MIN(C337,D337-G337+E337),2))</x:f>
      </x:c>
      <x:c r="I337" s="77">
        <x:f>IF(A337="","",ROUND(D337+E337+F337,2))</x:f>
      </x:c>
      <x:c r="J337" s="77">
        <x:f>IF(A337="","",ROUND(MAX(0,C337-H337),2))</x:f>
      </x:c>
      <x:c r="K337" s="78">
        <x:f>IF(A337="","",1-(J337/Dashboard!$B$6))</x:f>
      </x:c>
      <x:c r="L337" s="43">
        <x:f>IF(A337="","",IF(J337=0,"Soldé","En cours"))</x:f>
      </x:c>
      <x:c r="M337" s="77">
        <x:f>IF(A337="","",ROUND(SUM($G$8:G337),2))</x:f>
      </x:c>
    </x:row>
    <x:row r="338" ht="20" customHeight="1">
      <x:c r="A338" s="71">
        <x:f>IF(OR($J337="",ROUND($J337,2)=0),"",$A337+1)</x:f>
      </x:c>
      <x:c r="B338" s="72">
        <x:f>IF(A338="","",EDATE(Dashboard!$B$10,(A338-1)*(12/Dashboard!$B$9)))</x:f>
      </x:c>
      <x:c r="C338" s="73">
        <x:f>IF(A338="","",$J337)</x:f>
      </x:c>
      <x:c r="D338" s="73">
        <x:f>IF(A338="","",ROUND(MIN(Moteur!$B$3,C338+G338),2))</x:f>
      </x:c>
      <x:c r="E338" s="73">
        <x:f>IF(A338="","",ROUND(MIN(Dashboard!$B$11,MAX(0,C338-(D338-G338))),2))</x:f>
      </x:c>
      <x:c r="F338" s="73">
        <x:f>IF(A338="","",ROUND(C338*Dashboard!$B$12/Dashboard!$B$9,2))</x:f>
      </x:c>
      <x:c r="G338" s="73">
        <x:f>IF(A338="","",ROUND(C338*Moteur!$B$2,2))</x:f>
      </x:c>
      <x:c r="H338" s="73">
        <x:f>IF(A338="","",ROUND(MIN(C338,D338-G338+E338),2))</x:f>
      </x:c>
      <x:c r="I338" s="73">
        <x:f>IF(A338="","",ROUND(D338+E338+F338,2))</x:f>
      </x:c>
      <x:c r="J338" s="73">
        <x:f>IF(A338="","",ROUND(MAX(0,C338-H338),2))</x:f>
      </x:c>
      <x:c r="K338" s="74">
        <x:f>IF(A338="","",1-(J338/Dashboard!$B$6))</x:f>
      </x:c>
      <x:c r="L338" s="38">
        <x:f>IF(A338="","",IF(J338=0,"Soldé","En cours"))</x:f>
      </x:c>
      <x:c r="M338" s="73">
        <x:f>IF(A338="","",ROUND(SUM($G$8:G338),2))</x:f>
      </x:c>
    </x:row>
    <x:row r="339" ht="20" customHeight="1">
      <x:c r="A339" s="75">
        <x:f>IF(OR($J338="",ROUND($J338,2)=0),"",$A338+1)</x:f>
      </x:c>
      <x:c r="B339" s="76">
        <x:f>IF(A339="","",EDATE(Dashboard!$B$10,(A339-1)*(12/Dashboard!$B$9)))</x:f>
      </x:c>
      <x:c r="C339" s="77">
        <x:f>IF(A339="","",$J338)</x:f>
      </x:c>
      <x:c r="D339" s="77">
        <x:f>IF(A339="","",ROUND(MIN(Moteur!$B$3,C339+G339),2))</x:f>
      </x:c>
      <x:c r="E339" s="77">
        <x:f>IF(A339="","",ROUND(MIN(Dashboard!$B$11,MAX(0,C339-(D339-G339))),2))</x:f>
      </x:c>
      <x:c r="F339" s="77">
        <x:f>IF(A339="","",ROUND(C339*Dashboard!$B$12/Dashboard!$B$9,2))</x:f>
      </x:c>
      <x:c r="G339" s="77">
        <x:f>IF(A339="","",ROUND(C339*Moteur!$B$2,2))</x:f>
      </x:c>
      <x:c r="H339" s="77">
        <x:f>IF(A339="","",ROUND(MIN(C339,D339-G339+E339),2))</x:f>
      </x:c>
      <x:c r="I339" s="77">
        <x:f>IF(A339="","",ROUND(D339+E339+F339,2))</x:f>
      </x:c>
      <x:c r="J339" s="77">
        <x:f>IF(A339="","",ROUND(MAX(0,C339-H339),2))</x:f>
      </x:c>
      <x:c r="K339" s="78">
        <x:f>IF(A339="","",1-(J339/Dashboard!$B$6))</x:f>
      </x:c>
      <x:c r="L339" s="43">
        <x:f>IF(A339="","",IF(J339=0,"Soldé","En cours"))</x:f>
      </x:c>
      <x:c r="M339" s="77">
        <x:f>IF(A339="","",ROUND(SUM($G$8:G339),2))</x:f>
      </x:c>
    </x:row>
    <x:row r="340" ht="20" customHeight="1">
      <x:c r="A340" s="71">
        <x:f>IF(OR($J339="",ROUND($J339,2)=0),"",$A339+1)</x:f>
      </x:c>
      <x:c r="B340" s="72">
        <x:f>IF(A340="","",EDATE(Dashboard!$B$10,(A340-1)*(12/Dashboard!$B$9)))</x:f>
      </x:c>
      <x:c r="C340" s="73">
        <x:f>IF(A340="","",$J339)</x:f>
      </x:c>
      <x:c r="D340" s="73">
        <x:f>IF(A340="","",ROUND(MIN(Moteur!$B$3,C340+G340),2))</x:f>
      </x:c>
      <x:c r="E340" s="73">
        <x:f>IF(A340="","",ROUND(MIN(Dashboard!$B$11,MAX(0,C340-(D340-G340))),2))</x:f>
      </x:c>
      <x:c r="F340" s="73">
        <x:f>IF(A340="","",ROUND(C340*Dashboard!$B$12/Dashboard!$B$9,2))</x:f>
      </x:c>
      <x:c r="G340" s="73">
        <x:f>IF(A340="","",ROUND(C340*Moteur!$B$2,2))</x:f>
      </x:c>
      <x:c r="H340" s="73">
        <x:f>IF(A340="","",ROUND(MIN(C340,D340-G340+E340),2))</x:f>
      </x:c>
      <x:c r="I340" s="73">
        <x:f>IF(A340="","",ROUND(D340+E340+F340,2))</x:f>
      </x:c>
      <x:c r="J340" s="73">
        <x:f>IF(A340="","",ROUND(MAX(0,C340-H340),2))</x:f>
      </x:c>
      <x:c r="K340" s="74">
        <x:f>IF(A340="","",1-(J340/Dashboard!$B$6))</x:f>
      </x:c>
      <x:c r="L340" s="38">
        <x:f>IF(A340="","",IF(J340=0,"Soldé","En cours"))</x:f>
      </x:c>
      <x:c r="M340" s="73">
        <x:f>IF(A340="","",ROUND(SUM($G$8:G340),2))</x:f>
      </x:c>
    </x:row>
    <x:row r="341" ht="20" customHeight="1">
      <x:c r="A341" s="75">
        <x:f>IF(OR($J340="",ROUND($J340,2)=0),"",$A340+1)</x:f>
      </x:c>
      <x:c r="B341" s="76">
        <x:f>IF(A341="","",EDATE(Dashboard!$B$10,(A341-1)*(12/Dashboard!$B$9)))</x:f>
      </x:c>
      <x:c r="C341" s="77">
        <x:f>IF(A341="","",$J340)</x:f>
      </x:c>
      <x:c r="D341" s="77">
        <x:f>IF(A341="","",ROUND(MIN(Moteur!$B$3,C341+G341),2))</x:f>
      </x:c>
      <x:c r="E341" s="77">
        <x:f>IF(A341="","",ROUND(MIN(Dashboard!$B$11,MAX(0,C341-(D341-G341))),2))</x:f>
      </x:c>
      <x:c r="F341" s="77">
        <x:f>IF(A341="","",ROUND(C341*Dashboard!$B$12/Dashboard!$B$9,2))</x:f>
      </x:c>
      <x:c r="G341" s="77">
        <x:f>IF(A341="","",ROUND(C341*Moteur!$B$2,2))</x:f>
      </x:c>
      <x:c r="H341" s="77">
        <x:f>IF(A341="","",ROUND(MIN(C341,D341-G341+E341),2))</x:f>
      </x:c>
      <x:c r="I341" s="77">
        <x:f>IF(A341="","",ROUND(D341+E341+F341,2))</x:f>
      </x:c>
      <x:c r="J341" s="77">
        <x:f>IF(A341="","",ROUND(MAX(0,C341-H341),2))</x:f>
      </x:c>
      <x:c r="K341" s="78">
        <x:f>IF(A341="","",1-(J341/Dashboard!$B$6))</x:f>
      </x:c>
      <x:c r="L341" s="43">
        <x:f>IF(A341="","",IF(J341=0,"Soldé","En cours"))</x:f>
      </x:c>
      <x:c r="M341" s="77">
        <x:f>IF(A341="","",ROUND(SUM($G$8:G341),2))</x:f>
      </x:c>
    </x:row>
    <x:row r="342" ht="20" customHeight="1">
      <x:c r="A342" s="71">
        <x:f>IF(OR($J341="",ROUND($J341,2)=0),"",$A341+1)</x:f>
      </x:c>
      <x:c r="B342" s="72">
        <x:f>IF(A342="","",EDATE(Dashboard!$B$10,(A342-1)*(12/Dashboard!$B$9)))</x:f>
      </x:c>
      <x:c r="C342" s="73">
        <x:f>IF(A342="","",$J341)</x:f>
      </x:c>
      <x:c r="D342" s="73">
        <x:f>IF(A342="","",ROUND(MIN(Moteur!$B$3,C342+G342),2))</x:f>
      </x:c>
      <x:c r="E342" s="73">
        <x:f>IF(A342="","",ROUND(MIN(Dashboard!$B$11,MAX(0,C342-(D342-G342))),2))</x:f>
      </x:c>
      <x:c r="F342" s="73">
        <x:f>IF(A342="","",ROUND(C342*Dashboard!$B$12/Dashboard!$B$9,2))</x:f>
      </x:c>
      <x:c r="G342" s="73">
        <x:f>IF(A342="","",ROUND(C342*Moteur!$B$2,2))</x:f>
      </x:c>
      <x:c r="H342" s="73">
        <x:f>IF(A342="","",ROUND(MIN(C342,D342-G342+E342),2))</x:f>
      </x:c>
      <x:c r="I342" s="73">
        <x:f>IF(A342="","",ROUND(D342+E342+F342,2))</x:f>
      </x:c>
      <x:c r="J342" s="73">
        <x:f>IF(A342="","",ROUND(MAX(0,C342-H342),2))</x:f>
      </x:c>
      <x:c r="K342" s="74">
        <x:f>IF(A342="","",1-(J342/Dashboard!$B$6))</x:f>
      </x:c>
      <x:c r="L342" s="38">
        <x:f>IF(A342="","",IF(J342=0,"Soldé","En cours"))</x:f>
      </x:c>
      <x:c r="M342" s="73">
        <x:f>IF(A342="","",ROUND(SUM($G$8:G342),2))</x:f>
      </x:c>
    </x:row>
    <x:row r="343" ht="20" customHeight="1">
      <x:c r="A343" s="75">
        <x:f>IF(OR($J342="",ROUND($J342,2)=0),"",$A342+1)</x:f>
      </x:c>
      <x:c r="B343" s="76">
        <x:f>IF(A343="","",EDATE(Dashboard!$B$10,(A343-1)*(12/Dashboard!$B$9)))</x:f>
      </x:c>
      <x:c r="C343" s="77">
        <x:f>IF(A343="","",$J342)</x:f>
      </x:c>
      <x:c r="D343" s="77">
        <x:f>IF(A343="","",ROUND(MIN(Moteur!$B$3,C343+G343),2))</x:f>
      </x:c>
      <x:c r="E343" s="77">
        <x:f>IF(A343="","",ROUND(MIN(Dashboard!$B$11,MAX(0,C343-(D343-G343))),2))</x:f>
      </x:c>
      <x:c r="F343" s="77">
        <x:f>IF(A343="","",ROUND(C343*Dashboard!$B$12/Dashboard!$B$9,2))</x:f>
      </x:c>
      <x:c r="G343" s="77">
        <x:f>IF(A343="","",ROUND(C343*Moteur!$B$2,2))</x:f>
      </x:c>
      <x:c r="H343" s="77">
        <x:f>IF(A343="","",ROUND(MIN(C343,D343-G343+E343),2))</x:f>
      </x:c>
      <x:c r="I343" s="77">
        <x:f>IF(A343="","",ROUND(D343+E343+F343,2))</x:f>
      </x:c>
      <x:c r="J343" s="77">
        <x:f>IF(A343="","",ROUND(MAX(0,C343-H343),2))</x:f>
      </x:c>
      <x:c r="K343" s="78">
        <x:f>IF(A343="","",1-(J343/Dashboard!$B$6))</x:f>
      </x:c>
      <x:c r="L343" s="43">
        <x:f>IF(A343="","",IF(J343=0,"Soldé","En cours"))</x:f>
      </x:c>
      <x:c r="M343" s="77">
        <x:f>IF(A343="","",ROUND(SUM($G$8:G343),2))</x:f>
      </x:c>
    </x:row>
    <x:row r="344" ht="20" customHeight="1">
      <x:c r="A344" s="71">
        <x:f>IF(OR($J343="",ROUND($J343,2)=0),"",$A343+1)</x:f>
      </x:c>
      <x:c r="B344" s="72">
        <x:f>IF(A344="","",EDATE(Dashboard!$B$10,(A344-1)*(12/Dashboard!$B$9)))</x:f>
      </x:c>
      <x:c r="C344" s="73">
        <x:f>IF(A344="","",$J343)</x:f>
      </x:c>
      <x:c r="D344" s="73">
        <x:f>IF(A344="","",ROUND(MIN(Moteur!$B$3,C344+G344),2))</x:f>
      </x:c>
      <x:c r="E344" s="73">
        <x:f>IF(A344="","",ROUND(MIN(Dashboard!$B$11,MAX(0,C344-(D344-G344))),2))</x:f>
      </x:c>
      <x:c r="F344" s="73">
        <x:f>IF(A344="","",ROUND(C344*Dashboard!$B$12/Dashboard!$B$9,2))</x:f>
      </x:c>
      <x:c r="G344" s="73">
        <x:f>IF(A344="","",ROUND(C344*Moteur!$B$2,2))</x:f>
      </x:c>
      <x:c r="H344" s="73">
        <x:f>IF(A344="","",ROUND(MIN(C344,D344-G344+E344),2))</x:f>
      </x:c>
      <x:c r="I344" s="73">
        <x:f>IF(A344="","",ROUND(D344+E344+F344,2))</x:f>
      </x:c>
      <x:c r="J344" s="73">
        <x:f>IF(A344="","",ROUND(MAX(0,C344-H344),2))</x:f>
      </x:c>
      <x:c r="K344" s="74">
        <x:f>IF(A344="","",1-(J344/Dashboard!$B$6))</x:f>
      </x:c>
      <x:c r="L344" s="38">
        <x:f>IF(A344="","",IF(J344=0,"Soldé","En cours"))</x:f>
      </x:c>
      <x:c r="M344" s="73">
        <x:f>IF(A344="","",ROUND(SUM($G$8:G344),2))</x:f>
      </x:c>
    </x:row>
    <x:row r="345" ht="20" customHeight="1">
      <x:c r="A345" s="75">
        <x:f>IF(OR($J344="",ROUND($J344,2)=0),"",$A344+1)</x:f>
      </x:c>
      <x:c r="B345" s="76">
        <x:f>IF(A345="","",EDATE(Dashboard!$B$10,(A345-1)*(12/Dashboard!$B$9)))</x:f>
      </x:c>
      <x:c r="C345" s="77">
        <x:f>IF(A345="","",$J344)</x:f>
      </x:c>
      <x:c r="D345" s="77">
        <x:f>IF(A345="","",ROUND(MIN(Moteur!$B$3,C345+G345),2))</x:f>
      </x:c>
      <x:c r="E345" s="77">
        <x:f>IF(A345="","",ROUND(MIN(Dashboard!$B$11,MAX(0,C345-(D345-G345))),2))</x:f>
      </x:c>
      <x:c r="F345" s="77">
        <x:f>IF(A345="","",ROUND(C345*Dashboard!$B$12/Dashboard!$B$9,2))</x:f>
      </x:c>
      <x:c r="G345" s="77">
        <x:f>IF(A345="","",ROUND(C345*Moteur!$B$2,2))</x:f>
      </x:c>
      <x:c r="H345" s="77">
        <x:f>IF(A345="","",ROUND(MIN(C345,D345-G345+E345),2))</x:f>
      </x:c>
      <x:c r="I345" s="77">
        <x:f>IF(A345="","",ROUND(D345+E345+F345,2))</x:f>
      </x:c>
      <x:c r="J345" s="77">
        <x:f>IF(A345="","",ROUND(MAX(0,C345-H345),2))</x:f>
      </x:c>
      <x:c r="K345" s="78">
        <x:f>IF(A345="","",1-(J345/Dashboard!$B$6))</x:f>
      </x:c>
      <x:c r="L345" s="43">
        <x:f>IF(A345="","",IF(J345=0,"Soldé","En cours"))</x:f>
      </x:c>
      <x:c r="M345" s="77">
        <x:f>IF(A345="","",ROUND(SUM($G$8:G345),2))</x:f>
      </x:c>
    </x:row>
    <x:row r="346" ht="20" customHeight="1">
      <x:c r="A346" s="71">
        <x:f>IF(OR($J345="",ROUND($J345,2)=0),"",$A345+1)</x:f>
      </x:c>
      <x:c r="B346" s="72">
        <x:f>IF(A346="","",EDATE(Dashboard!$B$10,(A346-1)*(12/Dashboard!$B$9)))</x:f>
      </x:c>
      <x:c r="C346" s="73">
        <x:f>IF(A346="","",$J345)</x:f>
      </x:c>
      <x:c r="D346" s="73">
        <x:f>IF(A346="","",ROUND(MIN(Moteur!$B$3,C346+G346),2))</x:f>
      </x:c>
      <x:c r="E346" s="73">
        <x:f>IF(A346="","",ROUND(MIN(Dashboard!$B$11,MAX(0,C346-(D346-G346))),2))</x:f>
      </x:c>
      <x:c r="F346" s="73">
        <x:f>IF(A346="","",ROUND(C346*Dashboard!$B$12/Dashboard!$B$9,2))</x:f>
      </x:c>
      <x:c r="G346" s="73">
        <x:f>IF(A346="","",ROUND(C346*Moteur!$B$2,2))</x:f>
      </x:c>
      <x:c r="H346" s="73">
        <x:f>IF(A346="","",ROUND(MIN(C346,D346-G346+E346),2))</x:f>
      </x:c>
      <x:c r="I346" s="73">
        <x:f>IF(A346="","",ROUND(D346+E346+F346,2))</x:f>
      </x:c>
      <x:c r="J346" s="73">
        <x:f>IF(A346="","",ROUND(MAX(0,C346-H346),2))</x:f>
      </x:c>
      <x:c r="K346" s="74">
        <x:f>IF(A346="","",1-(J346/Dashboard!$B$6))</x:f>
      </x:c>
      <x:c r="L346" s="38">
        <x:f>IF(A346="","",IF(J346=0,"Soldé","En cours"))</x:f>
      </x:c>
      <x:c r="M346" s="73">
        <x:f>IF(A346="","",ROUND(SUM($G$8:G346),2))</x:f>
      </x:c>
    </x:row>
    <x:row r="347" ht="20" customHeight="1">
      <x:c r="A347" s="75">
        <x:f>IF(OR($J346="",ROUND($J346,2)=0),"",$A346+1)</x:f>
      </x:c>
      <x:c r="B347" s="76">
        <x:f>IF(A347="","",EDATE(Dashboard!$B$10,(A347-1)*(12/Dashboard!$B$9)))</x:f>
      </x:c>
      <x:c r="C347" s="77">
        <x:f>IF(A347="","",$J346)</x:f>
      </x:c>
      <x:c r="D347" s="77">
        <x:f>IF(A347="","",ROUND(MIN(Moteur!$B$3,C347+G347),2))</x:f>
      </x:c>
      <x:c r="E347" s="77">
        <x:f>IF(A347="","",ROUND(MIN(Dashboard!$B$11,MAX(0,C347-(D347-G347))),2))</x:f>
      </x:c>
      <x:c r="F347" s="77">
        <x:f>IF(A347="","",ROUND(C347*Dashboard!$B$12/Dashboard!$B$9,2))</x:f>
      </x:c>
      <x:c r="G347" s="77">
        <x:f>IF(A347="","",ROUND(C347*Moteur!$B$2,2))</x:f>
      </x:c>
      <x:c r="H347" s="77">
        <x:f>IF(A347="","",ROUND(MIN(C347,D347-G347+E347),2))</x:f>
      </x:c>
      <x:c r="I347" s="77">
        <x:f>IF(A347="","",ROUND(D347+E347+F347,2))</x:f>
      </x:c>
      <x:c r="J347" s="77">
        <x:f>IF(A347="","",ROUND(MAX(0,C347-H347),2))</x:f>
      </x:c>
      <x:c r="K347" s="78">
        <x:f>IF(A347="","",1-(J347/Dashboard!$B$6))</x:f>
      </x:c>
      <x:c r="L347" s="43">
        <x:f>IF(A347="","",IF(J347=0,"Soldé","En cours"))</x:f>
      </x:c>
      <x:c r="M347" s="77">
        <x:f>IF(A347="","",ROUND(SUM($G$8:G347),2))</x:f>
      </x:c>
    </x:row>
    <x:row r="348" ht="20" customHeight="1">
      <x:c r="A348" s="71">
        <x:f>IF(OR($J347="",ROUND($J347,2)=0),"",$A347+1)</x:f>
      </x:c>
      <x:c r="B348" s="72">
        <x:f>IF(A348="","",EDATE(Dashboard!$B$10,(A348-1)*(12/Dashboard!$B$9)))</x:f>
      </x:c>
      <x:c r="C348" s="73">
        <x:f>IF(A348="","",$J347)</x:f>
      </x:c>
      <x:c r="D348" s="73">
        <x:f>IF(A348="","",ROUND(MIN(Moteur!$B$3,C348+G348),2))</x:f>
      </x:c>
      <x:c r="E348" s="73">
        <x:f>IF(A348="","",ROUND(MIN(Dashboard!$B$11,MAX(0,C348-(D348-G348))),2))</x:f>
      </x:c>
      <x:c r="F348" s="73">
        <x:f>IF(A348="","",ROUND(C348*Dashboard!$B$12/Dashboard!$B$9,2))</x:f>
      </x:c>
      <x:c r="G348" s="73">
        <x:f>IF(A348="","",ROUND(C348*Moteur!$B$2,2))</x:f>
      </x:c>
      <x:c r="H348" s="73">
        <x:f>IF(A348="","",ROUND(MIN(C348,D348-G348+E348),2))</x:f>
      </x:c>
      <x:c r="I348" s="73">
        <x:f>IF(A348="","",ROUND(D348+E348+F348,2))</x:f>
      </x:c>
      <x:c r="J348" s="73">
        <x:f>IF(A348="","",ROUND(MAX(0,C348-H348),2))</x:f>
      </x:c>
      <x:c r="K348" s="74">
        <x:f>IF(A348="","",1-(J348/Dashboard!$B$6))</x:f>
      </x:c>
      <x:c r="L348" s="38">
        <x:f>IF(A348="","",IF(J348=0,"Soldé","En cours"))</x:f>
      </x:c>
      <x:c r="M348" s="73">
        <x:f>IF(A348="","",ROUND(SUM($G$8:G348),2))</x:f>
      </x:c>
    </x:row>
    <x:row r="349" ht="20" customHeight="1">
      <x:c r="A349" s="75">
        <x:f>IF(OR($J348="",ROUND($J348,2)=0),"",$A348+1)</x:f>
      </x:c>
      <x:c r="B349" s="76">
        <x:f>IF(A349="","",EDATE(Dashboard!$B$10,(A349-1)*(12/Dashboard!$B$9)))</x:f>
      </x:c>
      <x:c r="C349" s="77">
        <x:f>IF(A349="","",$J348)</x:f>
      </x:c>
      <x:c r="D349" s="77">
        <x:f>IF(A349="","",ROUND(MIN(Moteur!$B$3,C349+G349),2))</x:f>
      </x:c>
      <x:c r="E349" s="77">
        <x:f>IF(A349="","",ROUND(MIN(Dashboard!$B$11,MAX(0,C349-(D349-G349))),2))</x:f>
      </x:c>
      <x:c r="F349" s="77">
        <x:f>IF(A349="","",ROUND(C349*Dashboard!$B$12/Dashboard!$B$9,2))</x:f>
      </x:c>
      <x:c r="G349" s="77">
        <x:f>IF(A349="","",ROUND(C349*Moteur!$B$2,2))</x:f>
      </x:c>
      <x:c r="H349" s="77">
        <x:f>IF(A349="","",ROUND(MIN(C349,D349-G349+E349),2))</x:f>
      </x:c>
      <x:c r="I349" s="77">
        <x:f>IF(A349="","",ROUND(D349+E349+F349,2))</x:f>
      </x:c>
      <x:c r="J349" s="77">
        <x:f>IF(A349="","",ROUND(MAX(0,C349-H349),2))</x:f>
      </x:c>
      <x:c r="K349" s="78">
        <x:f>IF(A349="","",1-(J349/Dashboard!$B$6))</x:f>
      </x:c>
      <x:c r="L349" s="43">
        <x:f>IF(A349="","",IF(J349=0,"Soldé","En cours"))</x:f>
      </x:c>
      <x:c r="M349" s="77">
        <x:f>IF(A349="","",ROUND(SUM($G$8:G349),2))</x:f>
      </x:c>
    </x:row>
    <x:row r="350" ht="20" customHeight="1">
      <x:c r="A350" s="71">
        <x:f>IF(OR($J349="",ROUND($J349,2)=0),"",$A349+1)</x:f>
      </x:c>
      <x:c r="B350" s="72">
        <x:f>IF(A350="","",EDATE(Dashboard!$B$10,(A350-1)*(12/Dashboard!$B$9)))</x:f>
      </x:c>
      <x:c r="C350" s="73">
        <x:f>IF(A350="","",$J349)</x:f>
      </x:c>
      <x:c r="D350" s="73">
        <x:f>IF(A350="","",ROUND(MIN(Moteur!$B$3,C350+G350),2))</x:f>
      </x:c>
      <x:c r="E350" s="73">
        <x:f>IF(A350="","",ROUND(MIN(Dashboard!$B$11,MAX(0,C350-(D350-G350))),2))</x:f>
      </x:c>
      <x:c r="F350" s="73">
        <x:f>IF(A350="","",ROUND(C350*Dashboard!$B$12/Dashboard!$B$9,2))</x:f>
      </x:c>
      <x:c r="G350" s="73">
        <x:f>IF(A350="","",ROUND(C350*Moteur!$B$2,2))</x:f>
      </x:c>
      <x:c r="H350" s="73">
        <x:f>IF(A350="","",ROUND(MIN(C350,D350-G350+E350),2))</x:f>
      </x:c>
      <x:c r="I350" s="73">
        <x:f>IF(A350="","",ROUND(D350+E350+F350,2))</x:f>
      </x:c>
      <x:c r="J350" s="73">
        <x:f>IF(A350="","",ROUND(MAX(0,C350-H350),2))</x:f>
      </x:c>
      <x:c r="K350" s="74">
        <x:f>IF(A350="","",1-(J350/Dashboard!$B$6))</x:f>
      </x:c>
      <x:c r="L350" s="38">
        <x:f>IF(A350="","",IF(J350=0,"Soldé","En cours"))</x:f>
      </x:c>
      <x:c r="M350" s="73">
        <x:f>IF(A350="","",ROUND(SUM($G$8:G350),2))</x:f>
      </x:c>
    </x:row>
    <x:row r="351" ht="20" customHeight="1">
      <x:c r="A351" s="75">
        <x:f>IF(OR($J350="",ROUND($J350,2)=0),"",$A350+1)</x:f>
      </x:c>
      <x:c r="B351" s="76">
        <x:f>IF(A351="","",EDATE(Dashboard!$B$10,(A351-1)*(12/Dashboard!$B$9)))</x:f>
      </x:c>
      <x:c r="C351" s="77">
        <x:f>IF(A351="","",$J350)</x:f>
      </x:c>
      <x:c r="D351" s="77">
        <x:f>IF(A351="","",ROUND(MIN(Moteur!$B$3,C351+G351),2))</x:f>
      </x:c>
      <x:c r="E351" s="77">
        <x:f>IF(A351="","",ROUND(MIN(Dashboard!$B$11,MAX(0,C351-(D351-G351))),2))</x:f>
      </x:c>
      <x:c r="F351" s="77">
        <x:f>IF(A351="","",ROUND(C351*Dashboard!$B$12/Dashboard!$B$9,2))</x:f>
      </x:c>
      <x:c r="G351" s="77">
        <x:f>IF(A351="","",ROUND(C351*Moteur!$B$2,2))</x:f>
      </x:c>
      <x:c r="H351" s="77">
        <x:f>IF(A351="","",ROUND(MIN(C351,D351-G351+E351),2))</x:f>
      </x:c>
      <x:c r="I351" s="77">
        <x:f>IF(A351="","",ROUND(D351+E351+F351,2))</x:f>
      </x:c>
      <x:c r="J351" s="77">
        <x:f>IF(A351="","",ROUND(MAX(0,C351-H351),2))</x:f>
      </x:c>
      <x:c r="K351" s="78">
        <x:f>IF(A351="","",1-(J351/Dashboard!$B$6))</x:f>
      </x:c>
      <x:c r="L351" s="43">
        <x:f>IF(A351="","",IF(J351=0,"Soldé","En cours"))</x:f>
      </x:c>
      <x:c r="M351" s="77">
        <x:f>IF(A351="","",ROUND(SUM($G$8:G351),2))</x:f>
      </x:c>
    </x:row>
    <x:row r="352" ht="20" customHeight="1">
      <x:c r="A352" s="71">
        <x:f>IF(OR($J351="",ROUND($J351,2)=0),"",$A351+1)</x:f>
      </x:c>
      <x:c r="B352" s="72">
        <x:f>IF(A352="","",EDATE(Dashboard!$B$10,(A352-1)*(12/Dashboard!$B$9)))</x:f>
      </x:c>
      <x:c r="C352" s="73">
        <x:f>IF(A352="","",$J351)</x:f>
      </x:c>
      <x:c r="D352" s="73">
        <x:f>IF(A352="","",ROUND(MIN(Moteur!$B$3,C352+G352),2))</x:f>
      </x:c>
      <x:c r="E352" s="73">
        <x:f>IF(A352="","",ROUND(MIN(Dashboard!$B$11,MAX(0,C352-(D352-G352))),2))</x:f>
      </x:c>
      <x:c r="F352" s="73">
        <x:f>IF(A352="","",ROUND(C352*Dashboard!$B$12/Dashboard!$B$9,2))</x:f>
      </x:c>
      <x:c r="G352" s="73">
        <x:f>IF(A352="","",ROUND(C352*Moteur!$B$2,2))</x:f>
      </x:c>
      <x:c r="H352" s="73">
        <x:f>IF(A352="","",ROUND(MIN(C352,D352-G352+E352),2))</x:f>
      </x:c>
      <x:c r="I352" s="73">
        <x:f>IF(A352="","",ROUND(D352+E352+F352,2))</x:f>
      </x:c>
      <x:c r="J352" s="73">
        <x:f>IF(A352="","",ROUND(MAX(0,C352-H352),2))</x:f>
      </x:c>
      <x:c r="K352" s="74">
        <x:f>IF(A352="","",1-(J352/Dashboard!$B$6))</x:f>
      </x:c>
      <x:c r="L352" s="38">
        <x:f>IF(A352="","",IF(J352=0,"Soldé","En cours"))</x:f>
      </x:c>
      <x:c r="M352" s="73">
        <x:f>IF(A352="","",ROUND(SUM($G$8:G352),2))</x:f>
      </x:c>
    </x:row>
    <x:row r="353" ht="20" customHeight="1">
      <x:c r="A353" s="75">
        <x:f>IF(OR($J352="",ROUND($J352,2)=0),"",$A352+1)</x:f>
      </x:c>
      <x:c r="B353" s="76">
        <x:f>IF(A353="","",EDATE(Dashboard!$B$10,(A353-1)*(12/Dashboard!$B$9)))</x:f>
      </x:c>
      <x:c r="C353" s="77">
        <x:f>IF(A353="","",$J352)</x:f>
      </x:c>
      <x:c r="D353" s="77">
        <x:f>IF(A353="","",ROUND(MIN(Moteur!$B$3,C353+G353),2))</x:f>
      </x:c>
      <x:c r="E353" s="77">
        <x:f>IF(A353="","",ROUND(MIN(Dashboard!$B$11,MAX(0,C353-(D353-G353))),2))</x:f>
      </x:c>
      <x:c r="F353" s="77">
        <x:f>IF(A353="","",ROUND(C353*Dashboard!$B$12/Dashboard!$B$9,2))</x:f>
      </x:c>
      <x:c r="G353" s="77">
        <x:f>IF(A353="","",ROUND(C353*Moteur!$B$2,2))</x:f>
      </x:c>
      <x:c r="H353" s="77">
        <x:f>IF(A353="","",ROUND(MIN(C353,D353-G353+E353),2))</x:f>
      </x:c>
      <x:c r="I353" s="77">
        <x:f>IF(A353="","",ROUND(D353+E353+F353,2))</x:f>
      </x:c>
      <x:c r="J353" s="77">
        <x:f>IF(A353="","",ROUND(MAX(0,C353-H353),2))</x:f>
      </x:c>
      <x:c r="K353" s="78">
        <x:f>IF(A353="","",1-(J353/Dashboard!$B$6))</x:f>
      </x:c>
      <x:c r="L353" s="43">
        <x:f>IF(A353="","",IF(J353=0,"Soldé","En cours"))</x:f>
      </x:c>
      <x:c r="M353" s="77">
        <x:f>IF(A353="","",ROUND(SUM($G$8:G353),2))</x:f>
      </x:c>
    </x:row>
    <x:row r="354" ht="20" customHeight="1">
      <x:c r="A354" s="71">
        <x:f>IF(OR($J353="",ROUND($J353,2)=0),"",$A353+1)</x:f>
      </x:c>
      <x:c r="B354" s="72">
        <x:f>IF(A354="","",EDATE(Dashboard!$B$10,(A354-1)*(12/Dashboard!$B$9)))</x:f>
      </x:c>
      <x:c r="C354" s="73">
        <x:f>IF(A354="","",$J353)</x:f>
      </x:c>
      <x:c r="D354" s="73">
        <x:f>IF(A354="","",ROUND(MIN(Moteur!$B$3,C354+G354),2))</x:f>
      </x:c>
      <x:c r="E354" s="73">
        <x:f>IF(A354="","",ROUND(MIN(Dashboard!$B$11,MAX(0,C354-(D354-G354))),2))</x:f>
      </x:c>
      <x:c r="F354" s="73">
        <x:f>IF(A354="","",ROUND(C354*Dashboard!$B$12/Dashboard!$B$9,2))</x:f>
      </x:c>
      <x:c r="G354" s="73">
        <x:f>IF(A354="","",ROUND(C354*Moteur!$B$2,2))</x:f>
      </x:c>
      <x:c r="H354" s="73">
        <x:f>IF(A354="","",ROUND(MIN(C354,D354-G354+E354),2))</x:f>
      </x:c>
      <x:c r="I354" s="73">
        <x:f>IF(A354="","",ROUND(D354+E354+F354,2))</x:f>
      </x:c>
      <x:c r="J354" s="73">
        <x:f>IF(A354="","",ROUND(MAX(0,C354-H354),2))</x:f>
      </x:c>
      <x:c r="K354" s="74">
        <x:f>IF(A354="","",1-(J354/Dashboard!$B$6))</x:f>
      </x:c>
      <x:c r="L354" s="38">
        <x:f>IF(A354="","",IF(J354=0,"Soldé","En cours"))</x:f>
      </x:c>
      <x:c r="M354" s="73">
        <x:f>IF(A354="","",ROUND(SUM($G$8:G354),2))</x:f>
      </x:c>
    </x:row>
    <x:row r="355" ht="20" customHeight="1">
      <x:c r="A355" s="75">
        <x:f>IF(OR($J354="",ROUND($J354,2)=0),"",$A354+1)</x:f>
      </x:c>
      <x:c r="B355" s="76">
        <x:f>IF(A355="","",EDATE(Dashboard!$B$10,(A355-1)*(12/Dashboard!$B$9)))</x:f>
      </x:c>
      <x:c r="C355" s="77">
        <x:f>IF(A355="","",$J354)</x:f>
      </x:c>
      <x:c r="D355" s="77">
        <x:f>IF(A355="","",ROUND(MIN(Moteur!$B$3,C355+G355),2))</x:f>
      </x:c>
      <x:c r="E355" s="77">
        <x:f>IF(A355="","",ROUND(MIN(Dashboard!$B$11,MAX(0,C355-(D355-G355))),2))</x:f>
      </x:c>
      <x:c r="F355" s="77">
        <x:f>IF(A355="","",ROUND(C355*Dashboard!$B$12/Dashboard!$B$9,2))</x:f>
      </x:c>
      <x:c r="G355" s="77">
        <x:f>IF(A355="","",ROUND(C355*Moteur!$B$2,2))</x:f>
      </x:c>
      <x:c r="H355" s="77">
        <x:f>IF(A355="","",ROUND(MIN(C355,D355-G355+E355),2))</x:f>
      </x:c>
      <x:c r="I355" s="77">
        <x:f>IF(A355="","",ROUND(D355+E355+F355,2))</x:f>
      </x:c>
      <x:c r="J355" s="77">
        <x:f>IF(A355="","",ROUND(MAX(0,C355-H355),2))</x:f>
      </x:c>
      <x:c r="K355" s="78">
        <x:f>IF(A355="","",1-(J355/Dashboard!$B$6))</x:f>
      </x:c>
      <x:c r="L355" s="43">
        <x:f>IF(A355="","",IF(J355=0,"Soldé","En cours"))</x:f>
      </x:c>
      <x:c r="M355" s="77">
        <x:f>IF(A355="","",ROUND(SUM($G$8:G355),2))</x:f>
      </x:c>
    </x:row>
    <x:row r="356" ht="20" customHeight="1">
      <x:c r="A356" s="71">
        <x:f>IF(OR($J355="",ROUND($J355,2)=0),"",$A355+1)</x:f>
      </x:c>
      <x:c r="B356" s="72">
        <x:f>IF(A356="","",EDATE(Dashboard!$B$10,(A356-1)*(12/Dashboard!$B$9)))</x:f>
      </x:c>
      <x:c r="C356" s="73">
        <x:f>IF(A356="","",$J355)</x:f>
      </x:c>
      <x:c r="D356" s="73">
        <x:f>IF(A356="","",ROUND(MIN(Moteur!$B$3,C356+G356),2))</x:f>
      </x:c>
      <x:c r="E356" s="73">
        <x:f>IF(A356="","",ROUND(MIN(Dashboard!$B$11,MAX(0,C356-(D356-G356))),2))</x:f>
      </x:c>
      <x:c r="F356" s="73">
        <x:f>IF(A356="","",ROUND(C356*Dashboard!$B$12/Dashboard!$B$9,2))</x:f>
      </x:c>
      <x:c r="G356" s="73">
        <x:f>IF(A356="","",ROUND(C356*Moteur!$B$2,2))</x:f>
      </x:c>
      <x:c r="H356" s="73">
        <x:f>IF(A356="","",ROUND(MIN(C356,D356-G356+E356),2))</x:f>
      </x:c>
      <x:c r="I356" s="73">
        <x:f>IF(A356="","",ROUND(D356+E356+F356,2))</x:f>
      </x:c>
      <x:c r="J356" s="73">
        <x:f>IF(A356="","",ROUND(MAX(0,C356-H356),2))</x:f>
      </x:c>
      <x:c r="K356" s="74">
        <x:f>IF(A356="","",1-(J356/Dashboard!$B$6))</x:f>
      </x:c>
      <x:c r="L356" s="38">
        <x:f>IF(A356="","",IF(J356=0,"Soldé","En cours"))</x:f>
      </x:c>
      <x:c r="M356" s="73">
        <x:f>IF(A356="","",ROUND(SUM($G$8:G356),2))</x:f>
      </x:c>
    </x:row>
    <x:row r="357" ht="20" customHeight="1">
      <x:c r="A357" s="75">
        <x:f>IF(OR($J356="",ROUND($J356,2)=0),"",$A356+1)</x:f>
      </x:c>
      <x:c r="B357" s="76">
        <x:f>IF(A357="","",EDATE(Dashboard!$B$10,(A357-1)*(12/Dashboard!$B$9)))</x:f>
      </x:c>
      <x:c r="C357" s="77">
        <x:f>IF(A357="","",$J356)</x:f>
      </x:c>
      <x:c r="D357" s="77">
        <x:f>IF(A357="","",ROUND(MIN(Moteur!$B$3,C357+G357),2))</x:f>
      </x:c>
      <x:c r="E357" s="77">
        <x:f>IF(A357="","",ROUND(MIN(Dashboard!$B$11,MAX(0,C357-(D357-G357))),2))</x:f>
      </x:c>
      <x:c r="F357" s="77">
        <x:f>IF(A357="","",ROUND(C357*Dashboard!$B$12/Dashboard!$B$9,2))</x:f>
      </x:c>
      <x:c r="G357" s="77">
        <x:f>IF(A357="","",ROUND(C357*Moteur!$B$2,2))</x:f>
      </x:c>
      <x:c r="H357" s="77">
        <x:f>IF(A357="","",ROUND(MIN(C357,D357-G357+E357),2))</x:f>
      </x:c>
      <x:c r="I357" s="77">
        <x:f>IF(A357="","",ROUND(D357+E357+F357,2))</x:f>
      </x:c>
      <x:c r="J357" s="77">
        <x:f>IF(A357="","",ROUND(MAX(0,C357-H357),2))</x:f>
      </x:c>
      <x:c r="K357" s="78">
        <x:f>IF(A357="","",1-(J357/Dashboard!$B$6))</x:f>
      </x:c>
      <x:c r="L357" s="43">
        <x:f>IF(A357="","",IF(J357=0,"Soldé","En cours"))</x:f>
      </x:c>
      <x:c r="M357" s="77">
        <x:f>IF(A357="","",ROUND(SUM($G$8:G357),2))</x:f>
      </x:c>
    </x:row>
    <x:row r="358" ht="20" customHeight="1">
      <x:c r="A358" s="71">
        <x:f>IF(OR($J357="",ROUND($J357,2)=0),"",$A357+1)</x:f>
      </x:c>
      <x:c r="B358" s="72">
        <x:f>IF(A358="","",EDATE(Dashboard!$B$10,(A358-1)*(12/Dashboard!$B$9)))</x:f>
      </x:c>
      <x:c r="C358" s="73">
        <x:f>IF(A358="","",$J357)</x:f>
      </x:c>
      <x:c r="D358" s="73">
        <x:f>IF(A358="","",ROUND(MIN(Moteur!$B$3,C358+G358),2))</x:f>
      </x:c>
      <x:c r="E358" s="73">
        <x:f>IF(A358="","",ROUND(MIN(Dashboard!$B$11,MAX(0,C358-(D358-G358))),2))</x:f>
      </x:c>
      <x:c r="F358" s="73">
        <x:f>IF(A358="","",ROUND(C358*Dashboard!$B$12/Dashboard!$B$9,2))</x:f>
      </x:c>
      <x:c r="G358" s="73">
        <x:f>IF(A358="","",ROUND(C358*Moteur!$B$2,2))</x:f>
      </x:c>
      <x:c r="H358" s="73">
        <x:f>IF(A358="","",ROUND(MIN(C358,D358-G358+E358),2))</x:f>
      </x:c>
      <x:c r="I358" s="73">
        <x:f>IF(A358="","",ROUND(D358+E358+F358,2))</x:f>
      </x:c>
      <x:c r="J358" s="73">
        <x:f>IF(A358="","",ROUND(MAX(0,C358-H358),2))</x:f>
      </x:c>
      <x:c r="K358" s="74">
        <x:f>IF(A358="","",1-(J358/Dashboard!$B$6))</x:f>
      </x:c>
      <x:c r="L358" s="38">
        <x:f>IF(A358="","",IF(J358=0,"Soldé","En cours"))</x:f>
      </x:c>
      <x:c r="M358" s="73">
        <x:f>IF(A358="","",ROUND(SUM($G$8:G358),2))</x:f>
      </x:c>
    </x:row>
    <x:row r="359" ht="20" customHeight="1">
      <x:c r="A359" s="75">
        <x:f>IF(OR($J358="",ROUND($J358,2)=0),"",$A358+1)</x:f>
      </x:c>
      <x:c r="B359" s="76">
        <x:f>IF(A359="","",EDATE(Dashboard!$B$10,(A359-1)*(12/Dashboard!$B$9)))</x:f>
      </x:c>
      <x:c r="C359" s="77">
        <x:f>IF(A359="","",$J358)</x:f>
      </x:c>
      <x:c r="D359" s="77">
        <x:f>IF(A359="","",ROUND(MIN(Moteur!$B$3,C359+G359),2))</x:f>
      </x:c>
      <x:c r="E359" s="77">
        <x:f>IF(A359="","",ROUND(MIN(Dashboard!$B$11,MAX(0,C359-(D359-G359))),2))</x:f>
      </x:c>
      <x:c r="F359" s="77">
        <x:f>IF(A359="","",ROUND(C359*Dashboard!$B$12/Dashboard!$B$9,2))</x:f>
      </x:c>
      <x:c r="G359" s="77">
        <x:f>IF(A359="","",ROUND(C359*Moteur!$B$2,2))</x:f>
      </x:c>
      <x:c r="H359" s="77">
        <x:f>IF(A359="","",ROUND(MIN(C359,D359-G359+E359),2))</x:f>
      </x:c>
      <x:c r="I359" s="77">
        <x:f>IF(A359="","",ROUND(D359+E359+F359,2))</x:f>
      </x:c>
      <x:c r="J359" s="77">
        <x:f>IF(A359="","",ROUND(MAX(0,C359-H359),2))</x:f>
      </x:c>
      <x:c r="K359" s="78">
        <x:f>IF(A359="","",1-(J359/Dashboard!$B$6))</x:f>
      </x:c>
      <x:c r="L359" s="43">
        <x:f>IF(A359="","",IF(J359=0,"Soldé","En cours"))</x:f>
      </x:c>
      <x:c r="M359" s="77">
        <x:f>IF(A359="","",ROUND(SUM($G$8:G359),2))</x:f>
      </x:c>
    </x:row>
    <x:row r="360" ht="20" customHeight="1">
      <x:c r="A360" s="71">
        <x:f>IF(OR($J359="",ROUND($J359,2)=0),"",$A359+1)</x:f>
      </x:c>
      <x:c r="B360" s="72">
        <x:f>IF(A360="","",EDATE(Dashboard!$B$10,(A360-1)*(12/Dashboard!$B$9)))</x:f>
      </x:c>
      <x:c r="C360" s="73">
        <x:f>IF(A360="","",$J359)</x:f>
      </x:c>
      <x:c r="D360" s="73">
        <x:f>IF(A360="","",ROUND(MIN(Moteur!$B$3,C360+G360),2))</x:f>
      </x:c>
      <x:c r="E360" s="73">
        <x:f>IF(A360="","",ROUND(MIN(Dashboard!$B$11,MAX(0,C360-(D360-G360))),2))</x:f>
      </x:c>
      <x:c r="F360" s="73">
        <x:f>IF(A360="","",ROUND(C360*Dashboard!$B$12/Dashboard!$B$9,2))</x:f>
      </x:c>
      <x:c r="G360" s="73">
        <x:f>IF(A360="","",ROUND(C360*Moteur!$B$2,2))</x:f>
      </x:c>
      <x:c r="H360" s="73">
        <x:f>IF(A360="","",ROUND(MIN(C360,D360-G360+E360),2))</x:f>
      </x:c>
      <x:c r="I360" s="73">
        <x:f>IF(A360="","",ROUND(D360+E360+F360,2))</x:f>
      </x:c>
      <x:c r="J360" s="73">
        <x:f>IF(A360="","",ROUND(MAX(0,C360-H360),2))</x:f>
      </x:c>
      <x:c r="K360" s="74">
        <x:f>IF(A360="","",1-(J360/Dashboard!$B$6))</x:f>
      </x:c>
      <x:c r="L360" s="38">
        <x:f>IF(A360="","",IF(J360=0,"Soldé","En cours"))</x:f>
      </x:c>
      <x:c r="M360" s="73">
        <x:f>IF(A360="","",ROUND(SUM($G$8:G360),2))</x:f>
      </x:c>
    </x:row>
    <x:row r="361" ht="20" customHeight="1">
      <x:c r="A361" s="75">
        <x:f>IF(OR($J360="",ROUND($J360,2)=0),"",$A360+1)</x:f>
      </x:c>
      <x:c r="B361" s="76">
        <x:f>IF(A361="","",EDATE(Dashboard!$B$10,(A361-1)*(12/Dashboard!$B$9)))</x:f>
      </x:c>
      <x:c r="C361" s="77">
        <x:f>IF(A361="","",$J360)</x:f>
      </x:c>
      <x:c r="D361" s="77">
        <x:f>IF(A361="","",ROUND(MIN(Moteur!$B$3,C361+G361),2))</x:f>
      </x:c>
      <x:c r="E361" s="77">
        <x:f>IF(A361="","",ROUND(MIN(Dashboard!$B$11,MAX(0,C361-(D361-G361))),2))</x:f>
      </x:c>
      <x:c r="F361" s="77">
        <x:f>IF(A361="","",ROUND(C361*Dashboard!$B$12/Dashboard!$B$9,2))</x:f>
      </x:c>
      <x:c r="G361" s="77">
        <x:f>IF(A361="","",ROUND(C361*Moteur!$B$2,2))</x:f>
      </x:c>
      <x:c r="H361" s="77">
        <x:f>IF(A361="","",ROUND(MIN(C361,D361-G361+E361),2))</x:f>
      </x:c>
      <x:c r="I361" s="77">
        <x:f>IF(A361="","",ROUND(D361+E361+F361,2))</x:f>
      </x:c>
      <x:c r="J361" s="77">
        <x:f>IF(A361="","",ROUND(MAX(0,C361-H361),2))</x:f>
      </x:c>
      <x:c r="K361" s="78">
        <x:f>IF(A361="","",1-(J361/Dashboard!$B$6))</x:f>
      </x:c>
      <x:c r="L361" s="43">
        <x:f>IF(A361="","",IF(J361=0,"Soldé","En cours"))</x:f>
      </x:c>
      <x:c r="M361" s="77">
        <x:f>IF(A361="","",ROUND(SUM($G$8:G361),2))</x:f>
      </x:c>
    </x:row>
    <x:row r="362" ht="20" customHeight="1">
      <x:c r="A362" s="71">
        <x:f>IF(OR($J361="",ROUND($J361,2)=0),"",$A361+1)</x:f>
      </x:c>
      <x:c r="B362" s="72">
        <x:f>IF(A362="","",EDATE(Dashboard!$B$10,(A362-1)*(12/Dashboard!$B$9)))</x:f>
      </x:c>
      <x:c r="C362" s="73">
        <x:f>IF(A362="","",$J361)</x:f>
      </x:c>
      <x:c r="D362" s="73">
        <x:f>IF(A362="","",ROUND(MIN(Moteur!$B$3,C362+G362),2))</x:f>
      </x:c>
      <x:c r="E362" s="73">
        <x:f>IF(A362="","",ROUND(MIN(Dashboard!$B$11,MAX(0,C362-(D362-G362))),2))</x:f>
      </x:c>
      <x:c r="F362" s="73">
        <x:f>IF(A362="","",ROUND(C362*Dashboard!$B$12/Dashboard!$B$9,2))</x:f>
      </x:c>
      <x:c r="G362" s="73">
        <x:f>IF(A362="","",ROUND(C362*Moteur!$B$2,2))</x:f>
      </x:c>
      <x:c r="H362" s="73">
        <x:f>IF(A362="","",ROUND(MIN(C362,D362-G362+E362),2))</x:f>
      </x:c>
      <x:c r="I362" s="73">
        <x:f>IF(A362="","",ROUND(D362+E362+F362,2))</x:f>
      </x:c>
      <x:c r="J362" s="73">
        <x:f>IF(A362="","",ROUND(MAX(0,C362-H362),2))</x:f>
      </x:c>
      <x:c r="K362" s="74">
        <x:f>IF(A362="","",1-(J362/Dashboard!$B$6))</x:f>
      </x:c>
      <x:c r="L362" s="38">
        <x:f>IF(A362="","",IF(J362=0,"Soldé","En cours"))</x:f>
      </x:c>
      <x:c r="M362" s="73">
        <x:f>IF(A362="","",ROUND(SUM($G$8:G362),2))</x:f>
      </x:c>
    </x:row>
    <x:row r="363" ht="20" customHeight="1">
      <x:c r="A363" s="75">
        <x:f>IF(OR($J362="",ROUND($J362,2)=0),"",$A362+1)</x:f>
      </x:c>
      <x:c r="B363" s="76">
        <x:f>IF(A363="","",EDATE(Dashboard!$B$10,(A363-1)*(12/Dashboard!$B$9)))</x:f>
      </x:c>
      <x:c r="C363" s="77">
        <x:f>IF(A363="","",$J362)</x:f>
      </x:c>
      <x:c r="D363" s="77">
        <x:f>IF(A363="","",ROUND(MIN(Moteur!$B$3,C363+G363),2))</x:f>
      </x:c>
      <x:c r="E363" s="77">
        <x:f>IF(A363="","",ROUND(MIN(Dashboard!$B$11,MAX(0,C363-(D363-G363))),2))</x:f>
      </x:c>
      <x:c r="F363" s="77">
        <x:f>IF(A363="","",ROUND(C363*Dashboard!$B$12/Dashboard!$B$9,2))</x:f>
      </x:c>
      <x:c r="G363" s="77">
        <x:f>IF(A363="","",ROUND(C363*Moteur!$B$2,2))</x:f>
      </x:c>
      <x:c r="H363" s="77">
        <x:f>IF(A363="","",ROUND(MIN(C363,D363-G363+E363),2))</x:f>
      </x:c>
      <x:c r="I363" s="77">
        <x:f>IF(A363="","",ROUND(D363+E363+F363,2))</x:f>
      </x:c>
      <x:c r="J363" s="77">
        <x:f>IF(A363="","",ROUND(MAX(0,C363-H363),2))</x:f>
      </x:c>
      <x:c r="K363" s="78">
        <x:f>IF(A363="","",1-(J363/Dashboard!$B$6))</x:f>
      </x:c>
      <x:c r="L363" s="43">
        <x:f>IF(A363="","",IF(J363=0,"Soldé","En cours"))</x:f>
      </x:c>
      <x:c r="M363" s="77">
        <x:f>IF(A363="","",ROUND(SUM($G$8:G363),2))</x:f>
      </x:c>
    </x:row>
    <x:row r="364" ht="20" customHeight="1">
      <x:c r="A364" s="71">
        <x:f>IF(OR($J363="",ROUND($J363,2)=0),"",$A363+1)</x:f>
      </x:c>
      <x:c r="B364" s="72">
        <x:f>IF(A364="","",EDATE(Dashboard!$B$10,(A364-1)*(12/Dashboard!$B$9)))</x:f>
      </x:c>
      <x:c r="C364" s="73">
        <x:f>IF(A364="","",$J363)</x:f>
      </x:c>
      <x:c r="D364" s="73">
        <x:f>IF(A364="","",ROUND(MIN(Moteur!$B$3,C364+G364),2))</x:f>
      </x:c>
      <x:c r="E364" s="73">
        <x:f>IF(A364="","",ROUND(MIN(Dashboard!$B$11,MAX(0,C364-(D364-G364))),2))</x:f>
      </x:c>
      <x:c r="F364" s="73">
        <x:f>IF(A364="","",ROUND(C364*Dashboard!$B$12/Dashboard!$B$9,2))</x:f>
      </x:c>
      <x:c r="G364" s="73">
        <x:f>IF(A364="","",ROUND(C364*Moteur!$B$2,2))</x:f>
      </x:c>
      <x:c r="H364" s="73">
        <x:f>IF(A364="","",ROUND(MIN(C364,D364-G364+E364),2))</x:f>
      </x:c>
      <x:c r="I364" s="73">
        <x:f>IF(A364="","",ROUND(D364+E364+F364,2))</x:f>
      </x:c>
      <x:c r="J364" s="73">
        <x:f>IF(A364="","",ROUND(MAX(0,C364-H364),2))</x:f>
      </x:c>
      <x:c r="K364" s="74">
        <x:f>IF(A364="","",1-(J364/Dashboard!$B$6))</x:f>
      </x:c>
      <x:c r="L364" s="38">
        <x:f>IF(A364="","",IF(J364=0,"Soldé","En cours"))</x:f>
      </x:c>
      <x:c r="M364" s="73">
        <x:f>IF(A364="","",ROUND(SUM($G$8:G364),2))</x:f>
      </x:c>
    </x:row>
    <x:row r="365" ht="20" customHeight="1">
      <x:c r="A365" s="75">
        <x:f>IF(OR($J364="",ROUND($J364,2)=0),"",$A364+1)</x:f>
      </x:c>
      <x:c r="B365" s="76">
        <x:f>IF(A365="","",EDATE(Dashboard!$B$10,(A365-1)*(12/Dashboard!$B$9)))</x:f>
      </x:c>
      <x:c r="C365" s="77">
        <x:f>IF(A365="","",$J364)</x:f>
      </x:c>
      <x:c r="D365" s="77">
        <x:f>IF(A365="","",ROUND(MIN(Moteur!$B$3,C365+G365),2))</x:f>
      </x:c>
      <x:c r="E365" s="77">
        <x:f>IF(A365="","",ROUND(MIN(Dashboard!$B$11,MAX(0,C365-(D365-G365))),2))</x:f>
      </x:c>
      <x:c r="F365" s="77">
        <x:f>IF(A365="","",ROUND(C365*Dashboard!$B$12/Dashboard!$B$9,2))</x:f>
      </x:c>
      <x:c r="G365" s="77">
        <x:f>IF(A365="","",ROUND(C365*Moteur!$B$2,2))</x:f>
      </x:c>
      <x:c r="H365" s="77">
        <x:f>IF(A365="","",ROUND(MIN(C365,D365-G365+E365),2))</x:f>
      </x:c>
      <x:c r="I365" s="77">
        <x:f>IF(A365="","",ROUND(D365+E365+F365,2))</x:f>
      </x:c>
      <x:c r="J365" s="77">
        <x:f>IF(A365="","",ROUND(MAX(0,C365-H365),2))</x:f>
      </x:c>
      <x:c r="K365" s="78">
        <x:f>IF(A365="","",1-(J365/Dashboard!$B$6))</x:f>
      </x:c>
      <x:c r="L365" s="43">
        <x:f>IF(A365="","",IF(J365=0,"Soldé","En cours"))</x:f>
      </x:c>
      <x:c r="M365" s="77">
        <x:f>IF(A365="","",ROUND(SUM($G$8:G365),2))</x:f>
      </x:c>
    </x:row>
    <x:row r="366" ht="20" customHeight="1">
      <x:c r="A366" s="71">
        <x:f>IF(OR($J365="",ROUND($J365,2)=0),"",$A365+1)</x:f>
      </x:c>
      <x:c r="B366" s="72">
        <x:f>IF(A366="","",EDATE(Dashboard!$B$10,(A366-1)*(12/Dashboard!$B$9)))</x:f>
      </x:c>
      <x:c r="C366" s="73">
        <x:f>IF(A366="","",$J365)</x:f>
      </x:c>
      <x:c r="D366" s="73">
        <x:f>IF(A366="","",ROUND(MIN(Moteur!$B$3,C366+G366),2))</x:f>
      </x:c>
      <x:c r="E366" s="73">
        <x:f>IF(A366="","",ROUND(MIN(Dashboard!$B$11,MAX(0,C366-(D366-G366))),2))</x:f>
      </x:c>
      <x:c r="F366" s="73">
        <x:f>IF(A366="","",ROUND(C366*Dashboard!$B$12/Dashboard!$B$9,2))</x:f>
      </x:c>
      <x:c r="G366" s="73">
        <x:f>IF(A366="","",ROUND(C366*Moteur!$B$2,2))</x:f>
      </x:c>
      <x:c r="H366" s="73">
        <x:f>IF(A366="","",ROUND(MIN(C366,D366-G366+E366),2))</x:f>
      </x:c>
      <x:c r="I366" s="73">
        <x:f>IF(A366="","",ROUND(D366+E366+F366,2))</x:f>
      </x:c>
      <x:c r="J366" s="73">
        <x:f>IF(A366="","",ROUND(MAX(0,C366-H366),2))</x:f>
      </x:c>
      <x:c r="K366" s="74">
        <x:f>IF(A366="","",1-(J366/Dashboard!$B$6))</x:f>
      </x:c>
      <x:c r="L366" s="38">
        <x:f>IF(A366="","",IF(J366=0,"Soldé","En cours"))</x:f>
      </x:c>
      <x:c r="M366" s="73">
        <x:f>IF(A366="","",ROUND(SUM($G$8:G366),2))</x:f>
      </x:c>
    </x:row>
    <x:row r="367" ht="20" customHeight="1">
      <x:c r="A367" s="75">
        <x:f>IF(OR($J366="",ROUND($J366,2)=0),"",$A366+1)</x:f>
      </x:c>
      <x:c r="B367" s="76">
        <x:f>IF(A367="","",EDATE(Dashboard!$B$10,(A367-1)*(12/Dashboard!$B$9)))</x:f>
      </x:c>
      <x:c r="C367" s="77">
        <x:f>IF(A367="","",$J366)</x:f>
      </x:c>
      <x:c r="D367" s="77">
        <x:f>IF(A367="","",ROUND(MIN(Moteur!$B$3,C367+G367),2))</x:f>
      </x:c>
      <x:c r="E367" s="77">
        <x:f>IF(A367="","",ROUND(MIN(Dashboard!$B$11,MAX(0,C367-(D367-G367))),2))</x:f>
      </x:c>
      <x:c r="F367" s="77">
        <x:f>IF(A367="","",ROUND(C367*Dashboard!$B$12/Dashboard!$B$9,2))</x:f>
      </x:c>
      <x:c r="G367" s="77">
        <x:f>IF(A367="","",ROUND(C367*Moteur!$B$2,2))</x:f>
      </x:c>
      <x:c r="H367" s="77">
        <x:f>IF(A367="","",ROUND(MIN(C367,D367-G367+E367),2))</x:f>
      </x:c>
      <x:c r="I367" s="77">
        <x:f>IF(A367="","",ROUND(D367+E367+F367,2))</x:f>
      </x:c>
      <x:c r="J367" s="77">
        <x:f>IF(A367="","",ROUND(MAX(0,C367-H367),2))</x:f>
      </x:c>
      <x:c r="K367" s="78">
        <x:f>IF(A367="","",1-(J367/Dashboard!$B$6))</x:f>
      </x:c>
      <x:c r="L367" s="43">
        <x:f>IF(A367="","",IF(J367=0,"Soldé","En cours"))</x:f>
      </x:c>
      <x:c r="M367" s="77">
        <x:f>IF(A367="","",ROUND(SUM($G$8:G367),2))</x:f>
      </x:c>
    </x:row>
    <x:row r="368" ht="20" customHeight="1">
      <x:c r="A368" s="71">
        <x:f>IF(OR($J367="",ROUND($J367,2)=0),"",$A367+1)</x:f>
      </x:c>
      <x:c r="B368" s="72">
        <x:f>IF(A368="","",EDATE(Dashboard!$B$10,(A368-1)*(12/Dashboard!$B$9)))</x:f>
      </x:c>
      <x:c r="C368" s="73">
        <x:f>IF(A368="","",$J367)</x:f>
      </x:c>
      <x:c r="D368" s="73">
        <x:f>IF(A368="","",ROUND(MIN(Moteur!$B$3,C368+G368),2))</x:f>
      </x:c>
      <x:c r="E368" s="73">
        <x:f>IF(A368="","",ROUND(MIN(Dashboard!$B$11,MAX(0,C368-(D368-G368))),2))</x:f>
      </x:c>
      <x:c r="F368" s="73">
        <x:f>IF(A368="","",ROUND(C368*Dashboard!$B$12/Dashboard!$B$9,2))</x:f>
      </x:c>
      <x:c r="G368" s="73">
        <x:f>IF(A368="","",ROUND(C368*Moteur!$B$2,2))</x:f>
      </x:c>
      <x:c r="H368" s="73">
        <x:f>IF(A368="","",ROUND(MIN(C368,D368-G368+E368),2))</x:f>
      </x:c>
      <x:c r="I368" s="73">
        <x:f>IF(A368="","",ROUND(D368+E368+F368,2))</x:f>
      </x:c>
      <x:c r="J368" s="73">
        <x:f>IF(A368="","",ROUND(MAX(0,C368-H368),2))</x:f>
      </x:c>
      <x:c r="K368" s="74">
        <x:f>IF(A368="","",1-(J368/Dashboard!$B$6))</x:f>
      </x:c>
      <x:c r="L368" s="38">
        <x:f>IF(A368="","",IF(J368=0,"Soldé","En cours"))</x:f>
      </x:c>
      <x:c r="M368" s="73">
        <x:f>IF(A368="","",ROUND(SUM($G$8:G368),2))</x:f>
      </x:c>
    </x:row>
    <x:row r="369" ht="20" customHeight="1">
      <x:c r="A369" s="75">
        <x:f>IF(OR($J368="",ROUND($J368,2)=0),"",$A368+1)</x:f>
      </x:c>
      <x:c r="B369" s="76">
        <x:f>IF(A369="","",EDATE(Dashboard!$B$10,(A369-1)*(12/Dashboard!$B$9)))</x:f>
      </x:c>
      <x:c r="C369" s="77">
        <x:f>IF(A369="","",$J368)</x:f>
      </x:c>
      <x:c r="D369" s="77">
        <x:f>IF(A369="","",ROUND(MIN(Moteur!$B$3,C369+G369),2))</x:f>
      </x:c>
      <x:c r="E369" s="77">
        <x:f>IF(A369="","",ROUND(MIN(Dashboard!$B$11,MAX(0,C369-(D369-G369))),2))</x:f>
      </x:c>
      <x:c r="F369" s="77">
        <x:f>IF(A369="","",ROUND(C369*Dashboard!$B$12/Dashboard!$B$9,2))</x:f>
      </x:c>
      <x:c r="G369" s="77">
        <x:f>IF(A369="","",ROUND(C369*Moteur!$B$2,2))</x:f>
      </x:c>
      <x:c r="H369" s="77">
        <x:f>IF(A369="","",ROUND(MIN(C369,D369-G369+E369),2))</x:f>
      </x:c>
      <x:c r="I369" s="77">
        <x:f>IF(A369="","",ROUND(D369+E369+F369,2))</x:f>
      </x:c>
      <x:c r="J369" s="77">
        <x:f>IF(A369="","",ROUND(MAX(0,C369-H369),2))</x:f>
      </x:c>
      <x:c r="K369" s="78">
        <x:f>IF(A369="","",1-(J369/Dashboard!$B$6))</x:f>
      </x:c>
      <x:c r="L369" s="43">
        <x:f>IF(A369="","",IF(J369=0,"Soldé","En cours"))</x:f>
      </x:c>
      <x:c r="M369" s="77">
        <x:f>IF(A369="","",ROUND(SUM($G$8:G369),2))</x:f>
      </x:c>
    </x:row>
    <x:row r="370" ht="20" customHeight="1">
      <x:c r="A370" s="71">
        <x:f>IF(OR($J369="",ROUND($J369,2)=0),"",$A369+1)</x:f>
      </x:c>
      <x:c r="B370" s="72">
        <x:f>IF(A370="","",EDATE(Dashboard!$B$10,(A370-1)*(12/Dashboard!$B$9)))</x:f>
      </x:c>
      <x:c r="C370" s="73">
        <x:f>IF(A370="","",$J369)</x:f>
      </x:c>
      <x:c r="D370" s="73">
        <x:f>IF(A370="","",ROUND(MIN(Moteur!$B$3,C370+G370),2))</x:f>
      </x:c>
      <x:c r="E370" s="73">
        <x:f>IF(A370="","",ROUND(MIN(Dashboard!$B$11,MAX(0,C370-(D370-G370))),2))</x:f>
      </x:c>
      <x:c r="F370" s="73">
        <x:f>IF(A370="","",ROUND(C370*Dashboard!$B$12/Dashboard!$B$9,2))</x:f>
      </x:c>
      <x:c r="G370" s="73">
        <x:f>IF(A370="","",ROUND(C370*Moteur!$B$2,2))</x:f>
      </x:c>
      <x:c r="H370" s="73">
        <x:f>IF(A370="","",ROUND(MIN(C370,D370-G370+E370),2))</x:f>
      </x:c>
      <x:c r="I370" s="73">
        <x:f>IF(A370="","",ROUND(D370+E370+F370,2))</x:f>
      </x:c>
      <x:c r="J370" s="73">
        <x:f>IF(A370="","",ROUND(MAX(0,C370-H370),2))</x:f>
      </x:c>
      <x:c r="K370" s="74">
        <x:f>IF(A370="","",1-(J370/Dashboard!$B$6))</x:f>
      </x:c>
      <x:c r="L370" s="38">
        <x:f>IF(A370="","",IF(J370=0,"Soldé","En cours"))</x:f>
      </x:c>
      <x:c r="M370" s="73">
        <x:f>IF(A370="","",ROUND(SUM($G$8:G370),2))</x:f>
      </x:c>
    </x:row>
    <x:row r="371" ht="20" customHeight="1">
      <x:c r="A371" s="75">
        <x:f>IF(OR($J370="",ROUND($J370,2)=0),"",$A370+1)</x:f>
      </x:c>
      <x:c r="B371" s="76">
        <x:f>IF(A371="","",EDATE(Dashboard!$B$10,(A371-1)*(12/Dashboard!$B$9)))</x:f>
      </x:c>
      <x:c r="C371" s="77">
        <x:f>IF(A371="","",$J370)</x:f>
      </x:c>
      <x:c r="D371" s="77">
        <x:f>IF(A371="","",ROUND(MIN(Moteur!$B$3,C371+G371),2))</x:f>
      </x:c>
      <x:c r="E371" s="77">
        <x:f>IF(A371="","",ROUND(MIN(Dashboard!$B$11,MAX(0,C371-(D371-G371))),2))</x:f>
      </x:c>
      <x:c r="F371" s="77">
        <x:f>IF(A371="","",ROUND(C371*Dashboard!$B$12/Dashboard!$B$9,2))</x:f>
      </x:c>
      <x:c r="G371" s="77">
        <x:f>IF(A371="","",ROUND(C371*Moteur!$B$2,2))</x:f>
      </x:c>
      <x:c r="H371" s="77">
        <x:f>IF(A371="","",ROUND(MIN(C371,D371-G371+E371),2))</x:f>
      </x:c>
      <x:c r="I371" s="77">
        <x:f>IF(A371="","",ROUND(D371+E371+F371,2))</x:f>
      </x:c>
      <x:c r="J371" s="77">
        <x:f>IF(A371="","",ROUND(MAX(0,C371-H371),2))</x:f>
      </x:c>
      <x:c r="K371" s="78">
        <x:f>IF(A371="","",1-(J371/Dashboard!$B$6))</x:f>
      </x:c>
      <x:c r="L371" s="43">
        <x:f>IF(A371="","",IF(J371=0,"Soldé","En cours"))</x:f>
      </x:c>
      <x:c r="M371" s="77">
        <x:f>IF(A371="","",ROUND(SUM($G$8:G371),2))</x:f>
      </x:c>
    </x:row>
    <x:row r="372" ht="20" customHeight="1">
      <x:c r="A372" s="71">
        <x:f>IF(OR($J371="",ROUND($J371,2)=0),"",$A371+1)</x:f>
      </x:c>
      <x:c r="B372" s="72">
        <x:f>IF(A372="","",EDATE(Dashboard!$B$10,(A372-1)*(12/Dashboard!$B$9)))</x:f>
      </x:c>
      <x:c r="C372" s="73">
        <x:f>IF(A372="","",$J371)</x:f>
      </x:c>
      <x:c r="D372" s="73">
        <x:f>IF(A372="","",ROUND(MIN(Moteur!$B$3,C372+G372),2))</x:f>
      </x:c>
      <x:c r="E372" s="73">
        <x:f>IF(A372="","",ROUND(MIN(Dashboard!$B$11,MAX(0,C372-(D372-G372))),2))</x:f>
      </x:c>
      <x:c r="F372" s="73">
        <x:f>IF(A372="","",ROUND(C372*Dashboard!$B$12/Dashboard!$B$9,2))</x:f>
      </x:c>
      <x:c r="G372" s="73">
        <x:f>IF(A372="","",ROUND(C372*Moteur!$B$2,2))</x:f>
      </x:c>
      <x:c r="H372" s="73">
        <x:f>IF(A372="","",ROUND(MIN(C372,D372-G372+E372),2))</x:f>
      </x:c>
      <x:c r="I372" s="73">
        <x:f>IF(A372="","",ROUND(D372+E372+F372,2))</x:f>
      </x:c>
      <x:c r="J372" s="73">
        <x:f>IF(A372="","",ROUND(MAX(0,C372-H372),2))</x:f>
      </x:c>
      <x:c r="K372" s="74">
        <x:f>IF(A372="","",1-(J372/Dashboard!$B$6))</x:f>
      </x:c>
      <x:c r="L372" s="38">
        <x:f>IF(A372="","",IF(J372=0,"Soldé","En cours"))</x:f>
      </x:c>
      <x:c r="M372" s="73">
        <x:f>IF(A372="","",ROUND(SUM($G$8:G372),2))</x:f>
      </x:c>
    </x:row>
    <x:row r="373" ht="20" customHeight="1">
      <x:c r="A373" s="75">
        <x:f>IF(OR($J372="",ROUND($J372,2)=0),"",$A372+1)</x:f>
      </x:c>
      <x:c r="B373" s="76">
        <x:f>IF(A373="","",EDATE(Dashboard!$B$10,(A373-1)*(12/Dashboard!$B$9)))</x:f>
      </x:c>
      <x:c r="C373" s="77">
        <x:f>IF(A373="","",$J372)</x:f>
      </x:c>
      <x:c r="D373" s="77">
        <x:f>IF(A373="","",ROUND(MIN(Moteur!$B$3,C373+G373),2))</x:f>
      </x:c>
      <x:c r="E373" s="77">
        <x:f>IF(A373="","",ROUND(MIN(Dashboard!$B$11,MAX(0,C373-(D373-G373))),2))</x:f>
      </x:c>
      <x:c r="F373" s="77">
        <x:f>IF(A373="","",ROUND(C373*Dashboard!$B$12/Dashboard!$B$9,2))</x:f>
      </x:c>
      <x:c r="G373" s="77">
        <x:f>IF(A373="","",ROUND(C373*Moteur!$B$2,2))</x:f>
      </x:c>
      <x:c r="H373" s="77">
        <x:f>IF(A373="","",ROUND(MIN(C373,D373-G373+E373),2))</x:f>
      </x:c>
      <x:c r="I373" s="77">
        <x:f>IF(A373="","",ROUND(D373+E373+F373,2))</x:f>
      </x:c>
      <x:c r="J373" s="77">
        <x:f>IF(A373="","",ROUND(MAX(0,C373-H373),2))</x:f>
      </x:c>
      <x:c r="K373" s="78">
        <x:f>IF(A373="","",1-(J373/Dashboard!$B$6))</x:f>
      </x:c>
      <x:c r="L373" s="43">
        <x:f>IF(A373="","",IF(J373=0,"Soldé","En cours"))</x:f>
      </x:c>
      <x:c r="M373" s="77">
        <x:f>IF(A373="","",ROUND(SUM($G$8:G373),2))</x:f>
      </x:c>
    </x:row>
    <x:row r="374" ht="20" customHeight="1">
      <x:c r="A374" s="71">
        <x:f>IF(OR($J373="",ROUND($J373,2)=0),"",$A373+1)</x:f>
      </x:c>
      <x:c r="B374" s="72">
        <x:f>IF(A374="","",EDATE(Dashboard!$B$10,(A374-1)*(12/Dashboard!$B$9)))</x:f>
      </x:c>
      <x:c r="C374" s="73">
        <x:f>IF(A374="","",$J373)</x:f>
      </x:c>
      <x:c r="D374" s="73">
        <x:f>IF(A374="","",ROUND(MIN(Moteur!$B$3,C374+G374),2))</x:f>
      </x:c>
      <x:c r="E374" s="73">
        <x:f>IF(A374="","",ROUND(MIN(Dashboard!$B$11,MAX(0,C374-(D374-G374))),2))</x:f>
      </x:c>
      <x:c r="F374" s="73">
        <x:f>IF(A374="","",ROUND(C374*Dashboard!$B$12/Dashboard!$B$9,2))</x:f>
      </x:c>
      <x:c r="G374" s="73">
        <x:f>IF(A374="","",ROUND(C374*Moteur!$B$2,2))</x:f>
      </x:c>
      <x:c r="H374" s="73">
        <x:f>IF(A374="","",ROUND(MIN(C374,D374-G374+E374),2))</x:f>
      </x:c>
      <x:c r="I374" s="73">
        <x:f>IF(A374="","",ROUND(D374+E374+F374,2))</x:f>
      </x:c>
      <x:c r="J374" s="73">
        <x:f>IF(A374="","",ROUND(MAX(0,C374-H374),2))</x:f>
      </x:c>
      <x:c r="K374" s="74">
        <x:f>IF(A374="","",1-(J374/Dashboard!$B$6))</x:f>
      </x:c>
      <x:c r="L374" s="38">
        <x:f>IF(A374="","",IF(J374=0,"Soldé","En cours"))</x:f>
      </x:c>
      <x:c r="M374" s="73">
        <x:f>IF(A374="","",ROUND(SUM($G$8:G374),2))</x:f>
      </x:c>
    </x:row>
    <x:row r="375" ht="20" customHeight="1">
      <x:c r="A375" s="75">
        <x:f>IF(OR($J374="",ROUND($J374,2)=0),"",$A374+1)</x:f>
      </x:c>
      <x:c r="B375" s="76">
        <x:f>IF(A375="","",EDATE(Dashboard!$B$10,(A375-1)*(12/Dashboard!$B$9)))</x:f>
      </x:c>
      <x:c r="C375" s="77">
        <x:f>IF(A375="","",$J374)</x:f>
      </x:c>
      <x:c r="D375" s="77">
        <x:f>IF(A375="","",ROUND(MIN(Moteur!$B$3,C375+G375),2))</x:f>
      </x:c>
      <x:c r="E375" s="77">
        <x:f>IF(A375="","",ROUND(MIN(Dashboard!$B$11,MAX(0,C375-(D375-G375))),2))</x:f>
      </x:c>
      <x:c r="F375" s="77">
        <x:f>IF(A375="","",ROUND(C375*Dashboard!$B$12/Dashboard!$B$9,2))</x:f>
      </x:c>
      <x:c r="G375" s="77">
        <x:f>IF(A375="","",ROUND(C375*Moteur!$B$2,2))</x:f>
      </x:c>
      <x:c r="H375" s="77">
        <x:f>IF(A375="","",ROUND(MIN(C375,D375-G375+E375),2))</x:f>
      </x:c>
      <x:c r="I375" s="77">
        <x:f>IF(A375="","",ROUND(D375+E375+F375,2))</x:f>
      </x:c>
      <x:c r="J375" s="77">
        <x:f>IF(A375="","",ROUND(MAX(0,C375-H375),2))</x:f>
      </x:c>
      <x:c r="K375" s="78">
        <x:f>IF(A375="","",1-(J375/Dashboard!$B$6))</x:f>
      </x:c>
      <x:c r="L375" s="43">
        <x:f>IF(A375="","",IF(J375=0,"Soldé","En cours"))</x:f>
      </x:c>
      <x:c r="M375" s="77">
        <x:f>IF(A375="","",ROUND(SUM($G$8:G375),2))</x:f>
      </x:c>
    </x:row>
    <x:row r="376" ht="20" customHeight="1">
      <x:c r="A376" s="71">
        <x:f>IF(OR($J375="",ROUND($J375,2)=0),"",$A375+1)</x:f>
      </x:c>
      <x:c r="B376" s="72">
        <x:f>IF(A376="","",EDATE(Dashboard!$B$10,(A376-1)*(12/Dashboard!$B$9)))</x:f>
      </x:c>
      <x:c r="C376" s="73">
        <x:f>IF(A376="","",$J375)</x:f>
      </x:c>
      <x:c r="D376" s="73">
        <x:f>IF(A376="","",ROUND(MIN(Moteur!$B$3,C376+G376),2))</x:f>
      </x:c>
      <x:c r="E376" s="73">
        <x:f>IF(A376="","",ROUND(MIN(Dashboard!$B$11,MAX(0,C376-(D376-G376))),2))</x:f>
      </x:c>
      <x:c r="F376" s="73">
        <x:f>IF(A376="","",ROUND(C376*Dashboard!$B$12/Dashboard!$B$9,2))</x:f>
      </x:c>
      <x:c r="G376" s="73">
        <x:f>IF(A376="","",ROUND(C376*Moteur!$B$2,2))</x:f>
      </x:c>
      <x:c r="H376" s="73">
        <x:f>IF(A376="","",ROUND(MIN(C376,D376-G376+E376),2))</x:f>
      </x:c>
      <x:c r="I376" s="73">
        <x:f>IF(A376="","",ROUND(D376+E376+F376,2))</x:f>
      </x:c>
      <x:c r="J376" s="73">
        <x:f>IF(A376="","",ROUND(MAX(0,C376-H376),2))</x:f>
      </x:c>
      <x:c r="K376" s="74">
        <x:f>IF(A376="","",1-(J376/Dashboard!$B$6))</x:f>
      </x:c>
      <x:c r="L376" s="38">
        <x:f>IF(A376="","",IF(J376=0,"Soldé","En cours"))</x:f>
      </x:c>
      <x:c r="M376" s="73">
        <x:f>IF(A376="","",ROUND(SUM($G$8:G376),2))</x:f>
      </x:c>
    </x:row>
    <x:row r="377" ht="20" customHeight="1">
      <x:c r="A377" s="75">
        <x:f>IF(OR($J376="",ROUND($J376,2)=0),"",$A376+1)</x:f>
      </x:c>
      <x:c r="B377" s="76">
        <x:f>IF(A377="","",EDATE(Dashboard!$B$10,(A377-1)*(12/Dashboard!$B$9)))</x:f>
      </x:c>
      <x:c r="C377" s="77">
        <x:f>IF(A377="","",$J376)</x:f>
      </x:c>
      <x:c r="D377" s="77">
        <x:f>IF(A377="","",ROUND(MIN(Moteur!$B$3,C377+G377),2))</x:f>
      </x:c>
      <x:c r="E377" s="77">
        <x:f>IF(A377="","",ROUND(MIN(Dashboard!$B$11,MAX(0,C377-(D377-G377))),2))</x:f>
      </x:c>
      <x:c r="F377" s="77">
        <x:f>IF(A377="","",ROUND(C377*Dashboard!$B$12/Dashboard!$B$9,2))</x:f>
      </x:c>
      <x:c r="G377" s="77">
        <x:f>IF(A377="","",ROUND(C377*Moteur!$B$2,2))</x:f>
      </x:c>
      <x:c r="H377" s="77">
        <x:f>IF(A377="","",ROUND(MIN(C377,D377-G377+E377),2))</x:f>
      </x:c>
      <x:c r="I377" s="77">
        <x:f>IF(A377="","",ROUND(D377+E377+F377,2))</x:f>
      </x:c>
      <x:c r="J377" s="77">
        <x:f>IF(A377="","",ROUND(MAX(0,C377-H377),2))</x:f>
      </x:c>
      <x:c r="K377" s="78">
        <x:f>IF(A377="","",1-(J377/Dashboard!$B$6))</x:f>
      </x:c>
      <x:c r="L377" s="43">
        <x:f>IF(A377="","",IF(J377=0,"Soldé","En cours"))</x:f>
      </x:c>
      <x:c r="M377" s="77">
        <x:f>IF(A377="","",ROUND(SUM($G$8:G377),2))</x:f>
      </x:c>
    </x:row>
    <x:row r="378" ht="20" customHeight="1">
      <x:c r="A378" s="71">
        <x:f>IF(OR($J377="",ROUND($J377,2)=0),"",$A377+1)</x:f>
      </x:c>
      <x:c r="B378" s="72">
        <x:f>IF(A378="","",EDATE(Dashboard!$B$10,(A378-1)*(12/Dashboard!$B$9)))</x:f>
      </x:c>
      <x:c r="C378" s="73">
        <x:f>IF(A378="","",$J377)</x:f>
      </x:c>
      <x:c r="D378" s="73">
        <x:f>IF(A378="","",ROUND(MIN(Moteur!$B$3,C378+G378),2))</x:f>
      </x:c>
      <x:c r="E378" s="73">
        <x:f>IF(A378="","",ROUND(MIN(Dashboard!$B$11,MAX(0,C378-(D378-G378))),2))</x:f>
      </x:c>
      <x:c r="F378" s="73">
        <x:f>IF(A378="","",ROUND(C378*Dashboard!$B$12/Dashboard!$B$9,2))</x:f>
      </x:c>
      <x:c r="G378" s="73">
        <x:f>IF(A378="","",ROUND(C378*Moteur!$B$2,2))</x:f>
      </x:c>
      <x:c r="H378" s="73">
        <x:f>IF(A378="","",ROUND(MIN(C378,D378-G378+E378),2))</x:f>
      </x:c>
      <x:c r="I378" s="73">
        <x:f>IF(A378="","",ROUND(D378+E378+F378,2))</x:f>
      </x:c>
      <x:c r="J378" s="73">
        <x:f>IF(A378="","",ROUND(MAX(0,C378-H378),2))</x:f>
      </x:c>
      <x:c r="K378" s="74">
        <x:f>IF(A378="","",1-(J378/Dashboard!$B$6))</x:f>
      </x:c>
      <x:c r="L378" s="38">
        <x:f>IF(A378="","",IF(J378=0,"Soldé","En cours"))</x:f>
      </x:c>
      <x:c r="M378" s="73">
        <x:f>IF(A378="","",ROUND(SUM($G$8:G378),2))</x:f>
      </x:c>
    </x:row>
    <x:row r="379" ht="20" customHeight="1">
      <x:c r="A379" s="75">
        <x:f>IF(OR($J378="",ROUND($J378,2)=0),"",$A378+1)</x:f>
      </x:c>
      <x:c r="B379" s="76">
        <x:f>IF(A379="","",EDATE(Dashboard!$B$10,(A379-1)*(12/Dashboard!$B$9)))</x:f>
      </x:c>
      <x:c r="C379" s="77">
        <x:f>IF(A379="","",$J378)</x:f>
      </x:c>
      <x:c r="D379" s="77">
        <x:f>IF(A379="","",ROUND(MIN(Moteur!$B$3,C379+G379),2))</x:f>
      </x:c>
      <x:c r="E379" s="77">
        <x:f>IF(A379="","",ROUND(MIN(Dashboard!$B$11,MAX(0,C379-(D379-G379))),2))</x:f>
      </x:c>
      <x:c r="F379" s="77">
        <x:f>IF(A379="","",ROUND(C379*Dashboard!$B$12/Dashboard!$B$9,2))</x:f>
      </x:c>
      <x:c r="G379" s="77">
        <x:f>IF(A379="","",ROUND(C379*Moteur!$B$2,2))</x:f>
      </x:c>
      <x:c r="H379" s="77">
        <x:f>IF(A379="","",ROUND(MIN(C379,D379-G379+E379),2))</x:f>
      </x:c>
      <x:c r="I379" s="77">
        <x:f>IF(A379="","",ROUND(D379+E379+F379,2))</x:f>
      </x:c>
      <x:c r="J379" s="77">
        <x:f>IF(A379="","",ROUND(MAX(0,C379-H379),2))</x:f>
      </x:c>
      <x:c r="K379" s="78">
        <x:f>IF(A379="","",1-(J379/Dashboard!$B$6))</x:f>
      </x:c>
      <x:c r="L379" s="43">
        <x:f>IF(A379="","",IF(J379=0,"Soldé","En cours"))</x:f>
      </x:c>
      <x:c r="M379" s="77">
        <x:f>IF(A379="","",ROUND(SUM($G$8:G379),2))</x:f>
      </x:c>
    </x:row>
    <x:row r="380" ht="20" customHeight="1">
      <x:c r="A380" s="71">
        <x:f>IF(OR($J379="",ROUND($J379,2)=0),"",$A379+1)</x:f>
      </x:c>
      <x:c r="B380" s="72">
        <x:f>IF(A380="","",EDATE(Dashboard!$B$10,(A380-1)*(12/Dashboard!$B$9)))</x:f>
      </x:c>
      <x:c r="C380" s="73">
        <x:f>IF(A380="","",$J379)</x:f>
      </x:c>
      <x:c r="D380" s="73">
        <x:f>IF(A380="","",ROUND(MIN(Moteur!$B$3,C380+G380),2))</x:f>
      </x:c>
      <x:c r="E380" s="73">
        <x:f>IF(A380="","",ROUND(MIN(Dashboard!$B$11,MAX(0,C380-(D380-G380))),2))</x:f>
      </x:c>
      <x:c r="F380" s="73">
        <x:f>IF(A380="","",ROUND(C380*Dashboard!$B$12/Dashboard!$B$9,2))</x:f>
      </x:c>
      <x:c r="G380" s="73">
        <x:f>IF(A380="","",ROUND(C380*Moteur!$B$2,2))</x:f>
      </x:c>
      <x:c r="H380" s="73">
        <x:f>IF(A380="","",ROUND(MIN(C380,D380-G380+E380),2))</x:f>
      </x:c>
      <x:c r="I380" s="73">
        <x:f>IF(A380="","",ROUND(D380+E380+F380,2))</x:f>
      </x:c>
      <x:c r="J380" s="73">
        <x:f>IF(A380="","",ROUND(MAX(0,C380-H380),2))</x:f>
      </x:c>
      <x:c r="K380" s="74">
        <x:f>IF(A380="","",1-(J380/Dashboard!$B$6))</x:f>
      </x:c>
      <x:c r="L380" s="38">
        <x:f>IF(A380="","",IF(J380=0,"Soldé","En cours"))</x:f>
      </x:c>
      <x:c r="M380" s="73">
        <x:f>IF(A380="","",ROUND(SUM($G$8:G380),2))</x:f>
      </x:c>
    </x:row>
    <x:row r="381" ht="20" customHeight="1">
      <x:c r="A381" s="75">
        <x:f>IF(OR($J380="",ROUND($J380,2)=0),"",$A380+1)</x:f>
      </x:c>
      <x:c r="B381" s="76">
        <x:f>IF(A381="","",EDATE(Dashboard!$B$10,(A381-1)*(12/Dashboard!$B$9)))</x:f>
      </x:c>
      <x:c r="C381" s="77">
        <x:f>IF(A381="","",$J380)</x:f>
      </x:c>
      <x:c r="D381" s="77">
        <x:f>IF(A381="","",ROUND(MIN(Moteur!$B$3,C381+G381),2))</x:f>
      </x:c>
      <x:c r="E381" s="77">
        <x:f>IF(A381="","",ROUND(MIN(Dashboard!$B$11,MAX(0,C381-(D381-G381))),2))</x:f>
      </x:c>
      <x:c r="F381" s="77">
        <x:f>IF(A381="","",ROUND(C381*Dashboard!$B$12/Dashboard!$B$9,2))</x:f>
      </x:c>
      <x:c r="G381" s="77">
        <x:f>IF(A381="","",ROUND(C381*Moteur!$B$2,2))</x:f>
      </x:c>
      <x:c r="H381" s="77">
        <x:f>IF(A381="","",ROUND(MIN(C381,D381-G381+E381),2))</x:f>
      </x:c>
      <x:c r="I381" s="77">
        <x:f>IF(A381="","",ROUND(D381+E381+F381,2))</x:f>
      </x:c>
      <x:c r="J381" s="77">
        <x:f>IF(A381="","",ROUND(MAX(0,C381-H381),2))</x:f>
      </x:c>
      <x:c r="K381" s="78">
        <x:f>IF(A381="","",1-(J381/Dashboard!$B$6))</x:f>
      </x:c>
      <x:c r="L381" s="43">
        <x:f>IF(A381="","",IF(J381=0,"Soldé","En cours"))</x:f>
      </x:c>
      <x:c r="M381" s="77">
        <x:f>IF(A381="","",ROUND(SUM($G$8:G381),2))</x:f>
      </x:c>
    </x:row>
    <x:row r="382" ht="20" customHeight="1">
      <x:c r="A382" s="71">
        <x:f>IF(OR($J381="",ROUND($J381,2)=0),"",$A381+1)</x:f>
      </x:c>
      <x:c r="B382" s="72">
        <x:f>IF(A382="","",EDATE(Dashboard!$B$10,(A382-1)*(12/Dashboard!$B$9)))</x:f>
      </x:c>
      <x:c r="C382" s="73">
        <x:f>IF(A382="","",$J381)</x:f>
      </x:c>
      <x:c r="D382" s="73">
        <x:f>IF(A382="","",ROUND(MIN(Moteur!$B$3,C382+G382),2))</x:f>
      </x:c>
      <x:c r="E382" s="73">
        <x:f>IF(A382="","",ROUND(MIN(Dashboard!$B$11,MAX(0,C382-(D382-G382))),2))</x:f>
      </x:c>
      <x:c r="F382" s="73">
        <x:f>IF(A382="","",ROUND(C382*Dashboard!$B$12/Dashboard!$B$9,2))</x:f>
      </x:c>
      <x:c r="G382" s="73">
        <x:f>IF(A382="","",ROUND(C382*Moteur!$B$2,2))</x:f>
      </x:c>
      <x:c r="H382" s="73">
        <x:f>IF(A382="","",ROUND(MIN(C382,D382-G382+E382),2))</x:f>
      </x:c>
      <x:c r="I382" s="73">
        <x:f>IF(A382="","",ROUND(D382+E382+F382,2))</x:f>
      </x:c>
      <x:c r="J382" s="73">
        <x:f>IF(A382="","",ROUND(MAX(0,C382-H382),2))</x:f>
      </x:c>
      <x:c r="K382" s="74">
        <x:f>IF(A382="","",1-(J382/Dashboard!$B$6))</x:f>
      </x:c>
      <x:c r="L382" s="38">
        <x:f>IF(A382="","",IF(J382=0,"Soldé","En cours"))</x:f>
      </x:c>
      <x:c r="M382" s="73">
        <x:f>IF(A382="","",ROUND(SUM($G$8:G382),2))</x:f>
      </x:c>
    </x:row>
    <x:row r="383" ht="20" customHeight="1">
      <x:c r="A383" s="75">
        <x:f>IF(OR($J382="",ROUND($J382,2)=0),"",$A382+1)</x:f>
      </x:c>
      <x:c r="B383" s="76">
        <x:f>IF(A383="","",EDATE(Dashboard!$B$10,(A383-1)*(12/Dashboard!$B$9)))</x:f>
      </x:c>
      <x:c r="C383" s="77">
        <x:f>IF(A383="","",$J382)</x:f>
      </x:c>
      <x:c r="D383" s="77">
        <x:f>IF(A383="","",ROUND(MIN(Moteur!$B$3,C383+G383),2))</x:f>
      </x:c>
      <x:c r="E383" s="77">
        <x:f>IF(A383="","",ROUND(MIN(Dashboard!$B$11,MAX(0,C383-(D383-G383))),2))</x:f>
      </x:c>
      <x:c r="F383" s="77">
        <x:f>IF(A383="","",ROUND(C383*Dashboard!$B$12/Dashboard!$B$9,2))</x:f>
      </x:c>
      <x:c r="G383" s="77">
        <x:f>IF(A383="","",ROUND(C383*Moteur!$B$2,2))</x:f>
      </x:c>
      <x:c r="H383" s="77">
        <x:f>IF(A383="","",ROUND(MIN(C383,D383-G383+E383),2))</x:f>
      </x:c>
      <x:c r="I383" s="77">
        <x:f>IF(A383="","",ROUND(D383+E383+F383,2))</x:f>
      </x:c>
      <x:c r="J383" s="77">
        <x:f>IF(A383="","",ROUND(MAX(0,C383-H383),2))</x:f>
      </x:c>
      <x:c r="K383" s="78">
        <x:f>IF(A383="","",1-(J383/Dashboard!$B$6))</x:f>
      </x:c>
      <x:c r="L383" s="43">
        <x:f>IF(A383="","",IF(J383=0,"Soldé","En cours"))</x:f>
      </x:c>
      <x:c r="M383" s="77">
        <x:f>IF(A383="","",ROUND(SUM($G$8:G383),2))</x:f>
      </x:c>
    </x:row>
    <x:row r="384" ht="20" customHeight="1">
      <x:c r="A384" s="71">
        <x:f>IF(OR($J383="",ROUND($J383,2)=0),"",$A383+1)</x:f>
      </x:c>
      <x:c r="B384" s="72">
        <x:f>IF(A384="","",EDATE(Dashboard!$B$10,(A384-1)*(12/Dashboard!$B$9)))</x:f>
      </x:c>
      <x:c r="C384" s="73">
        <x:f>IF(A384="","",$J383)</x:f>
      </x:c>
      <x:c r="D384" s="73">
        <x:f>IF(A384="","",ROUND(MIN(Moteur!$B$3,C384+G384),2))</x:f>
      </x:c>
      <x:c r="E384" s="73">
        <x:f>IF(A384="","",ROUND(MIN(Dashboard!$B$11,MAX(0,C384-(D384-G384))),2))</x:f>
      </x:c>
      <x:c r="F384" s="73">
        <x:f>IF(A384="","",ROUND(C384*Dashboard!$B$12/Dashboard!$B$9,2))</x:f>
      </x:c>
      <x:c r="G384" s="73">
        <x:f>IF(A384="","",ROUND(C384*Moteur!$B$2,2))</x:f>
      </x:c>
      <x:c r="H384" s="73">
        <x:f>IF(A384="","",ROUND(MIN(C384,D384-G384+E384),2))</x:f>
      </x:c>
      <x:c r="I384" s="73">
        <x:f>IF(A384="","",ROUND(D384+E384+F384,2))</x:f>
      </x:c>
      <x:c r="J384" s="73">
        <x:f>IF(A384="","",ROUND(MAX(0,C384-H384),2))</x:f>
      </x:c>
      <x:c r="K384" s="74">
        <x:f>IF(A384="","",1-(J384/Dashboard!$B$6))</x:f>
      </x:c>
      <x:c r="L384" s="38">
        <x:f>IF(A384="","",IF(J384=0,"Soldé","En cours"))</x:f>
      </x:c>
      <x:c r="M384" s="73">
        <x:f>IF(A384="","",ROUND(SUM($G$8:G384),2))</x:f>
      </x:c>
    </x:row>
    <x:row r="385" ht="20" customHeight="1">
      <x:c r="A385" s="75">
        <x:f>IF(OR($J384="",ROUND($J384,2)=0),"",$A384+1)</x:f>
      </x:c>
      <x:c r="B385" s="76">
        <x:f>IF(A385="","",EDATE(Dashboard!$B$10,(A385-1)*(12/Dashboard!$B$9)))</x:f>
      </x:c>
      <x:c r="C385" s="77">
        <x:f>IF(A385="","",$J384)</x:f>
      </x:c>
      <x:c r="D385" s="77">
        <x:f>IF(A385="","",ROUND(MIN(Moteur!$B$3,C385+G385),2))</x:f>
      </x:c>
      <x:c r="E385" s="77">
        <x:f>IF(A385="","",ROUND(MIN(Dashboard!$B$11,MAX(0,C385-(D385-G385))),2))</x:f>
      </x:c>
      <x:c r="F385" s="77">
        <x:f>IF(A385="","",ROUND(C385*Dashboard!$B$12/Dashboard!$B$9,2))</x:f>
      </x:c>
      <x:c r="G385" s="77">
        <x:f>IF(A385="","",ROUND(C385*Moteur!$B$2,2))</x:f>
      </x:c>
      <x:c r="H385" s="77">
        <x:f>IF(A385="","",ROUND(MIN(C385,D385-G385+E385),2))</x:f>
      </x:c>
      <x:c r="I385" s="77">
        <x:f>IF(A385="","",ROUND(D385+E385+F385,2))</x:f>
      </x:c>
      <x:c r="J385" s="77">
        <x:f>IF(A385="","",ROUND(MAX(0,C385-H385),2))</x:f>
      </x:c>
      <x:c r="K385" s="78">
        <x:f>IF(A385="","",1-(J385/Dashboard!$B$6))</x:f>
      </x:c>
      <x:c r="L385" s="43">
        <x:f>IF(A385="","",IF(J385=0,"Soldé","En cours"))</x:f>
      </x:c>
      <x:c r="M385" s="77">
        <x:f>IF(A385="","",ROUND(SUM($G$8:G385),2))</x:f>
      </x:c>
    </x:row>
    <x:row r="386" ht="20" customHeight="1">
      <x:c r="A386" s="71">
        <x:f>IF(OR($J385="",ROUND($J385,2)=0),"",$A385+1)</x:f>
      </x:c>
      <x:c r="B386" s="72">
        <x:f>IF(A386="","",EDATE(Dashboard!$B$10,(A386-1)*(12/Dashboard!$B$9)))</x:f>
      </x:c>
      <x:c r="C386" s="73">
        <x:f>IF(A386="","",$J385)</x:f>
      </x:c>
      <x:c r="D386" s="73">
        <x:f>IF(A386="","",ROUND(MIN(Moteur!$B$3,C386+G386),2))</x:f>
      </x:c>
      <x:c r="E386" s="73">
        <x:f>IF(A386="","",ROUND(MIN(Dashboard!$B$11,MAX(0,C386-(D386-G386))),2))</x:f>
      </x:c>
      <x:c r="F386" s="73">
        <x:f>IF(A386="","",ROUND(C386*Dashboard!$B$12/Dashboard!$B$9,2))</x:f>
      </x:c>
      <x:c r="G386" s="73">
        <x:f>IF(A386="","",ROUND(C386*Moteur!$B$2,2))</x:f>
      </x:c>
      <x:c r="H386" s="73">
        <x:f>IF(A386="","",ROUND(MIN(C386,D386-G386+E386),2))</x:f>
      </x:c>
      <x:c r="I386" s="73">
        <x:f>IF(A386="","",ROUND(D386+E386+F386,2))</x:f>
      </x:c>
      <x:c r="J386" s="73">
        <x:f>IF(A386="","",ROUND(MAX(0,C386-H386),2))</x:f>
      </x:c>
      <x:c r="K386" s="74">
        <x:f>IF(A386="","",1-(J386/Dashboard!$B$6))</x:f>
      </x:c>
      <x:c r="L386" s="38">
        <x:f>IF(A386="","",IF(J386=0,"Soldé","En cours"))</x:f>
      </x:c>
      <x:c r="M386" s="73">
        <x:f>IF(A386="","",ROUND(SUM($G$8:G386),2))</x:f>
      </x:c>
    </x:row>
    <x:row r="387" ht="20" customHeight="1">
      <x:c r="A387" s="75">
        <x:f>IF(OR($J386="",ROUND($J386,2)=0),"",$A386+1)</x:f>
      </x:c>
      <x:c r="B387" s="76">
        <x:f>IF(A387="","",EDATE(Dashboard!$B$10,(A387-1)*(12/Dashboard!$B$9)))</x:f>
      </x:c>
      <x:c r="C387" s="77">
        <x:f>IF(A387="","",$J386)</x:f>
      </x:c>
      <x:c r="D387" s="77">
        <x:f>IF(A387="","",ROUND(MIN(Moteur!$B$3,C387+G387),2))</x:f>
      </x:c>
      <x:c r="E387" s="77">
        <x:f>IF(A387="","",ROUND(MIN(Dashboard!$B$11,MAX(0,C387-(D387-G387))),2))</x:f>
      </x:c>
      <x:c r="F387" s="77">
        <x:f>IF(A387="","",ROUND(C387*Dashboard!$B$12/Dashboard!$B$9,2))</x:f>
      </x:c>
      <x:c r="G387" s="77">
        <x:f>IF(A387="","",ROUND(C387*Moteur!$B$2,2))</x:f>
      </x:c>
      <x:c r="H387" s="77">
        <x:f>IF(A387="","",ROUND(MIN(C387,D387-G387+E387),2))</x:f>
      </x:c>
      <x:c r="I387" s="77">
        <x:f>IF(A387="","",ROUND(D387+E387+F387,2))</x:f>
      </x:c>
      <x:c r="J387" s="77">
        <x:f>IF(A387="","",ROUND(MAX(0,C387-H387),2))</x:f>
      </x:c>
      <x:c r="K387" s="78">
        <x:f>IF(A387="","",1-(J387/Dashboard!$B$6))</x:f>
      </x:c>
      <x:c r="L387" s="43">
        <x:f>IF(A387="","",IF(J387=0,"Soldé","En cours"))</x:f>
      </x:c>
      <x:c r="M387" s="77">
        <x:f>IF(A387="","",ROUND(SUM($G$8:G387),2))</x:f>
      </x:c>
    </x:row>
    <x:row r="388" ht="20" customHeight="1">
      <x:c r="A388" s="71">
        <x:f>IF(OR($J387="",ROUND($J387,2)=0),"",$A387+1)</x:f>
      </x:c>
      <x:c r="B388" s="72">
        <x:f>IF(A388="","",EDATE(Dashboard!$B$10,(A388-1)*(12/Dashboard!$B$9)))</x:f>
      </x:c>
      <x:c r="C388" s="73">
        <x:f>IF(A388="","",$J387)</x:f>
      </x:c>
      <x:c r="D388" s="73">
        <x:f>IF(A388="","",ROUND(MIN(Moteur!$B$3,C388+G388),2))</x:f>
      </x:c>
      <x:c r="E388" s="73">
        <x:f>IF(A388="","",ROUND(MIN(Dashboard!$B$11,MAX(0,C388-(D388-G388))),2))</x:f>
      </x:c>
      <x:c r="F388" s="73">
        <x:f>IF(A388="","",ROUND(C388*Dashboard!$B$12/Dashboard!$B$9,2))</x:f>
      </x:c>
      <x:c r="G388" s="73">
        <x:f>IF(A388="","",ROUND(C388*Moteur!$B$2,2))</x:f>
      </x:c>
      <x:c r="H388" s="73">
        <x:f>IF(A388="","",ROUND(MIN(C388,D388-G388+E388),2))</x:f>
      </x:c>
      <x:c r="I388" s="73">
        <x:f>IF(A388="","",ROUND(D388+E388+F388,2))</x:f>
      </x:c>
      <x:c r="J388" s="73">
        <x:f>IF(A388="","",ROUND(MAX(0,C388-H388),2))</x:f>
      </x:c>
      <x:c r="K388" s="74">
        <x:f>IF(A388="","",1-(J388/Dashboard!$B$6))</x:f>
      </x:c>
      <x:c r="L388" s="38">
        <x:f>IF(A388="","",IF(J388=0,"Soldé","En cours"))</x:f>
      </x:c>
      <x:c r="M388" s="73">
        <x:f>IF(A388="","",ROUND(SUM($G$8:G388),2))</x:f>
      </x:c>
    </x:row>
    <x:row r="389" ht="20" customHeight="1">
      <x:c r="A389" s="75">
        <x:f>IF(OR($J388="",ROUND($J388,2)=0),"",$A388+1)</x:f>
      </x:c>
      <x:c r="B389" s="76">
        <x:f>IF(A389="","",EDATE(Dashboard!$B$10,(A389-1)*(12/Dashboard!$B$9)))</x:f>
      </x:c>
      <x:c r="C389" s="77">
        <x:f>IF(A389="","",$J388)</x:f>
      </x:c>
      <x:c r="D389" s="77">
        <x:f>IF(A389="","",ROUND(MIN(Moteur!$B$3,C389+G389),2))</x:f>
      </x:c>
      <x:c r="E389" s="77">
        <x:f>IF(A389="","",ROUND(MIN(Dashboard!$B$11,MAX(0,C389-(D389-G389))),2))</x:f>
      </x:c>
      <x:c r="F389" s="77">
        <x:f>IF(A389="","",ROUND(C389*Dashboard!$B$12/Dashboard!$B$9,2))</x:f>
      </x:c>
      <x:c r="G389" s="77">
        <x:f>IF(A389="","",ROUND(C389*Moteur!$B$2,2))</x:f>
      </x:c>
      <x:c r="H389" s="77">
        <x:f>IF(A389="","",ROUND(MIN(C389,D389-G389+E389),2))</x:f>
      </x:c>
      <x:c r="I389" s="77">
        <x:f>IF(A389="","",ROUND(D389+E389+F389,2))</x:f>
      </x:c>
      <x:c r="J389" s="77">
        <x:f>IF(A389="","",ROUND(MAX(0,C389-H389),2))</x:f>
      </x:c>
      <x:c r="K389" s="78">
        <x:f>IF(A389="","",1-(J389/Dashboard!$B$6))</x:f>
      </x:c>
      <x:c r="L389" s="43">
        <x:f>IF(A389="","",IF(J389=0,"Soldé","En cours"))</x:f>
      </x:c>
      <x:c r="M389" s="77">
        <x:f>IF(A389="","",ROUND(SUM($G$8:G389),2))</x:f>
      </x:c>
    </x:row>
    <x:row r="390" ht="20" customHeight="1">
      <x:c r="A390" s="71">
        <x:f>IF(OR($J389="",ROUND($J389,2)=0),"",$A389+1)</x:f>
      </x:c>
      <x:c r="B390" s="72">
        <x:f>IF(A390="","",EDATE(Dashboard!$B$10,(A390-1)*(12/Dashboard!$B$9)))</x:f>
      </x:c>
      <x:c r="C390" s="73">
        <x:f>IF(A390="","",$J389)</x:f>
      </x:c>
      <x:c r="D390" s="73">
        <x:f>IF(A390="","",ROUND(MIN(Moteur!$B$3,C390+G390),2))</x:f>
      </x:c>
      <x:c r="E390" s="73">
        <x:f>IF(A390="","",ROUND(MIN(Dashboard!$B$11,MAX(0,C390-(D390-G390))),2))</x:f>
      </x:c>
      <x:c r="F390" s="73">
        <x:f>IF(A390="","",ROUND(C390*Dashboard!$B$12/Dashboard!$B$9,2))</x:f>
      </x:c>
      <x:c r="G390" s="73">
        <x:f>IF(A390="","",ROUND(C390*Moteur!$B$2,2))</x:f>
      </x:c>
      <x:c r="H390" s="73">
        <x:f>IF(A390="","",ROUND(MIN(C390,D390-G390+E390),2))</x:f>
      </x:c>
      <x:c r="I390" s="73">
        <x:f>IF(A390="","",ROUND(D390+E390+F390,2))</x:f>
      </x:c>
      <x:c r="J390" s="73">
        <x:f>IF(A390="","",ROUND(MAX(0,C390-H390),2))</x:f>
      </x:c>
      <x:c r="K390" s="74">
        <x:f>IF(A390="","",1-(J390/Dashboard!$B$6))</x:f>
      </x:c>
      <x:c r="L390" s="38">
        <x:f>IF(A390="","",IF(J390=0,"Soldé","En cours"))</x:f>
      </x:c>
      <x:c r="M390" s="73">
        <x:f>IF(A390="","",ROUND(SUM($G$8:G390),2))</x:f>
      </x:c>
    </x:row>
    <x:row r="391" ht="20" customHeight="1">
      <x:c r="A391" s="75">
        <x:f>IF(OR($J390="",ROUND($J390,2)=0),"",$A390+1)</x:f>
      </x:c>
      <x:c r="B391" s="76">
        <x:f>IF(A391="","",EDATE(Dashboard!$B$10,(A391-1)*(12/Dashboard!$B$9)))</x:f>
      </x:c>
      <x:c r="C391" s="77">
        <x:f>IF(A391="","",$J390)</x:f>
      </x:c>
      <x:c r="D391" s="77">
        <x:f>IF(A391="","",ROUND(MIN(Moteur!$B$3,C391+G391),2))</x:f>
      </x:c>
      <x:c r="E391" s="77">
        <x:f>IF(A391="","",ROUND(MIN(Dashboard!$B$11,MAX(0,C391-(D391-G391))),2))</x:f>
      </x:c>
      <x:c r="F391" s="77">
        <x:f>IF(A391="","",ROUND(C391*Dashboard!$B$12/Dashboard!$B$9,2))</x:f>
      </x:c>
      <x:c r="G391" s="77">
        <x:f>IF(A391="","",ROUND(C391*Moteur!$B$2,2))</x:f>
      </x:c>
      <x:c r="H391" s="77">
        <x:f>IF(A391="","",ROUND(MIN(C391,D391-G391+E391),2))</x:f>
      </x:c>
      <x:c r="I391" s="77">
        <x:f>IF(A391="","",ROUND(D391+E391+F391,2))</x:f>
      </x:c>
      <x:c r="J391" s="77">
        <x:f>IF(A391="","",ROUND(MAX(0,C391-H391),2))</x:f>
      </x:c>
      <x:c r="K391" s="78">
        <x:f>IF(A391="","",1-(J391/Dashboard!$B$6))</x:f>
      </x:c>
      <x:c r="L391" s="43">
        <x:f>IF(A391="","",IF(J391=0,"Soldé","En cours"))</x:f>
      </x:c>
      <x:c r="M391" s="77">
        <x:f>IF(A391="","",ROUND(SUM($G$8:G391),2))</x:f>
      </x:c>
    </x:row>
    <x:row r="392" ht="20" customHeight="1">
      <x:c r="A392" s="71">
        <x:f>IF(OR($J391="",ROUND($J391,2)=0),"",$A391+1)</x:f>
      </x:c>
      <x:c r="B392" s="72">
        <x:f>IF(A392="","",EDATE(Dashboard!$B$10,(A392-1)*(12/Dashboard!$B$9)))</x:f>
      </x:c>
      <x:c r="C392" s="73">
        <x:f>IF(A392="","",$J391)</x:f>
      </x:c>
      <x:c r="D392" s="73">
        <x:f>IF(A392="","",ROUND(MIN(Moteur!$B$3,C392+G392),2))</x:f>
      </x:c>
      <x:c r="E392" s="73">
        <x:f>IF(A392="","",ROUND(MIN(Dashboard!$B$11,MAX(0,C392-(D392-G392))),2))</x:f>
      </x:c>
      <x:c r="F392" s="73">
        <x:f>IF(A392="","",ROUND(C392*Dashboard!$B$12/Dashboard!$B$9,2))</x:f>
      </x:c>
      <x:c r="G392" s="73">
        <x:f>IF(A392="","",ROUND(C392*Moteur!$B$2,2))</x:f>
      </x:c>
      <x:c r="H392" s="73">
        <x:f>IF(A392="","",ROUND(MIN(C392,D392-G392+E392),2))</x:f>
      </x:c>
      <x:c r="I392" s="73">
        <x:f>IF(A392="","",ROUND(D392+E392+F392,2))</x:f>
      </x:c>
      <x:c r="J392" s="73">
        <x:f>IF(A392="","",ROUND(MAX(0,C392-H392),2))</x:f>
      </x:c>
      <x:c r="K392" s="74">
        <x:f>IF(A392="","",1-(J392/Dashboard!$B$6))</x:f>
      </x:c>
      <x:c r="L392" s="38">
        <x:f>IF(A392="","",IF(J392=0,"Soldé","En cours"))</x:f>
      </x:c>
      <x:c r="M392" s="73">
        <x:f>IF(A392="","",ROUND(SUM($G$8:G392),2))</x:f>
      </x:c>
    </x:row>
    <x:row r="393" ht="20" customHeight="1">
      <x:c r="A393" s="75">
        <x:f>IF(OR($J392="",ROUND($J392,2)=0),"",$A392+1)</x:f>
      </x:c>
      <x:c r="B393" s="76">
        <x:f>IF(A393="","",EDATE(Dashboard!$B$10,(A393-1)*(12/Dashboard!$B$9)))</x:f>
      </x:c>
      <x:c r="C393" s="77">
        <x:f>IF(A393="","",$J392)</x:f>
      </x:c>
      <x:c r="D393" s="77">
        <x:f>IF(A393="","",ROUND(MIN(Moteur!$B$3,C393+G393),2))</x:f>
      </x:c>
      <x:c r="E393" s="77">
        <x:f>IF(A393="","",ROUND(MIN(Dashboard!$B$11,MAX(0,C393-(D393-G393))),2))</x:f>
      </x:c>
      <x:c r="F393" s="77">
        <x:f>IF(A393="","",ROUND(C393*Dashboard!$B$12/Dashboard!$B$9,2))</x:f>
      </x:c>
      <x:c r="G393" s="77">
        <x:f>IF(A393="","",ROUND(C393*Moteur!$B$2,2))</x:f>
      </x:c>
      <x:c r="H393" s="77">
        <x:f>IF(A393="","",ROUND(MIN(C393,D393-G393+E393),2))</x:f>
      </x:c>
      <x:c r="I393" s="77">
        <x:f>IF(A393="","",ROUND(D393+E393+F393,2))</x:f>
      </x:c>
      <x:c r="J393" s="77">
        <x:f>IF(A393="","",ROUND(MAX(0,C393-H393),2))</x:f>
      </x:c>
      <x:c r="K393" s="78">
        <x:f>IF(A393="","",1-(J393/Dashboard!$B$6))</x:f>
      </x:c>
      <x:c r="L393" s="43">
        <x:f>IF(A393="","",IF(J393=0,"Soldé","En cours"))</x:f>
      </x:c>
      <x:c r="M393" s="77">
        <x:f>IF(A393="","",ROUND(SUM($G$8:G393),2))</x:f>
      </x:c>
    </x:row>
    <x:row r="394" ht="20" customHeight="1">
      <x:c r="A394" s="71">
        <x:f>IF(OR($J393="",ROUND($J393,2)=0),"",$A393+1)</x:f>
      </x:c>
      <x:c r="B394" s="72">
        <x:f>IF(A394="","",EDATE(Dashboard!$B$10,(A394-1)*(12/Dashboard!$B$9)))</x:f>
      </x:c>
      <x:c r="C394" s="73">
        <x:f>IF(A394="","",$J393)</x:f>
      </x:c>
      <x:c r="D394" s="73">
        <x:f>IF(A394="","",ROUND(MIN(Moteur!$B$3,C394+G394),2))</x:f>
      </x:c>
      <x:c r="E394" s="73">
        <x:f>IF(A394="","",ROUND(MIN(Dashboard!$B$11,MAX(0,C394-(D394-G394))),2))</x:f>
      </x:c>
      <x:c r="F394" s="73">
        <x:f>IF(A394="","",ROUND(C394*Dashboard!$B$12/Dashboard!$B$9,2))</x:f>
      </x:c>
      <x:c r="G394" s="73">
        <x:f>IF(A394="","",ROUND(C394*Moteur!$B$2,2))</x:f>
      </x:c>
      <x:c r="H394" s="73">
        <x:f>IF(A394="","",ROUND(MIN(C394,D394-G394+E394),2))</x:f>
      </x:c>
      <x:c r="I394" s="73">
        <x:f>IF(A394="","",ROUND(D394+E394+F394,2))</x:f>
      </x:c>
      <x:c r="J394" s="73">
        <x:f>IF(A394="","",ROUND(MAX(0,C394-H394),2))</x:f>
      </x:c>
      <x:c r="K394" s="74">
        <x:f>IF(A394="","",1-(J394/Dashboard!$B$6))</x:f>
      </x:c>
      <x:c r="L394" s="38">
        <x:f>IF(A394="","",IF(J394=0,"Soldé","En cours"))</x:f>
      </x:c>
      <x:c r="M394" s="73">
        <x:f>IF(A394="","",ROUND(SUM($G$8:G394),2))</x:f>
      </x:c>
    </x:row>
    <x:row r="395" ht="20" customHeight="1">
      <x:c r="A395" s="75">
        <x:f>IF(OR($J394="",ROUND($J394,2)=0),"",$A394+1)</x:f>
      </x:c>
      <x:c r="B395" s="76">
        <x:f>IF(A395="","",EDATE(Dashboard!$B$10,(A395-1)*(12/Dashboard!$B$9)))</x:f>
      </x:c>
      <x:c r="C395" s="77">
        <x:f>IF(A395="","",$J394)</x:f>
      </x:c>
      <x:c r="D395" s="77">
        <x:f>IF(A395="","",ROUND(MIN(Moteur!$B$3,C395+G395),2))</x:f>
      </x:c>
      <x:c r="E395" s="77">
        <x:f>IF(A395="","",ROUND(MIN(Dashboard!$B$11,MAX(0,C395-(D395-G395))),2))</x:f>
      </x:c>
      <x:c r="F395" s="77">
        <x:f>IF(A395="","",ROUND(C395*Dashboard!$B$12/Dashboard!$B$9,2))</x:f>
      </x:c>
      <x:c r="G395" s="77">
        <x:f>IF(A395="","",ROUND(C395*Moteur!$B$2,2))</x:f>
      </x:c>
      <x:c r="H395" s="77">
        <x:f>IF(A395="","",ROUND(MIN(C395,D395-G395+E395),2))</x:f>
      </x:c>
      <x:c r="I395" s="77">
        <x:f>IF(A395="","",ROUND(D395+E395+F395,2))</x:f>
      </x:c>
      <x:c r="J395" s="77">
        <x:f>IF(A395="","",ROUND(MAX(0,C395-H395),2))</x:f>
      </x:c>
      <x:c r="K395" s="78">
        <x:f>IF(A395="","",1-(J395/Dashboard!$B$6))</x:f>
      </x:c>
      <x:c r="L395" s="43">
        <x:f>IF(A395="","",IF(J395=0,"Soldé","En cours"))</x:f>
      </x:c>
      <x:c r="M395" s="77">
        <x:f>IF(A395="","",ROUND(SUM($G$8:G395),2))</x:f>
      </x:c>
    </x:row>
    <x:row r="396" ht="20" customHeight="1">
      <x:c r="A396" s="71">
        <x:f>IF(OR($J395="",ROUND($J395,2)=0),"",$A395+1)</x:f>
      </x:c>
      <x:c r="B396" s="72">
        <x:f>IF(A396="","",EDATE(Dashboard!$B$10,(A396-1)*(12/Dashboard!$B$9)))</x:f>
      </x:c>
      <x:c r="C396" s="73">
        <x:f>IF(A396="","",$J395)</x:f>
      </x:c>
      <x:c r="D396" s="73">
        <x:f>IF(A396="","",ROUND(MIN(Moteur!$B$3,C396+G396),2))</x:f>
      </x:c>
      <x:c r="E396" s="73">
        <x:f>IF(A396="","",ROUND(MIN(Dashboard!$B$11,MAX(0,C396-(D396-G396))),2))</x:f>
      </x:c>
      <x:c r="F396" s="73">
        <x:f>IF(A396="","",ROUND(C396*Dashboard!$B$12/Dashboard!$B$9,2))</x:f>
      </x:c>
      <x:c r="G396" s="73">
        <x:f>IF(A396="","",ROUND(C396*Moteur!$B$2,2))</x:f>
      </x:c>
      <x:c r="H396" s="73">
        <x:f>IF(A396="","",ROUND(MIN(C396,D396-G396+E396),2))</x:f>
      </x:c>
      <x:c r="I396" s="73">
        <x:f>IF(A396="","",ROUND(D396+E396+F396,2))</x:f>
      </x:c>
      <x:c r="J396" s="73">
        <x:f>IF(A396="","",ROUND(MAX(0,C396-H396),2))</x:f>
      </x:c>
      <x:c r="K396" s="74">
        <x:f>IF(A396="","",1-(J396/Dashboard!$B$6))</x:f>
      </x:c>
      <x:c r="L396" s="38">
        <x:f>IF(A396="","",IF(J396=0,"Soldé","En cours"))</x:f>
      </x:c>
      <x:c r="M396" s="73">
        <x:f>IF(A396="","",ROUND(SUM($G$8:G396),2))</x:f>
      </x:c>
    </x:row>
    <x:row r="397" ht="20" customHeight="1">
      <x:c r="A397" s="75">
        <x:f>IF(OR($J396="",ROUND($J396,2)=0),"",$A396+1)</x:f>
      </x:c>
      <x:c r="B397" s="76">
        <x:f>IF(A397="","",EDATE(Dashboard!$B$10,(A397-1)*(12/Dashboard!$B$9)))</x:f>
      </x:c>
      <x:c r="C397" s="77">
        <x:f>IF(A397="","",$J396)</x:f>
      </x:c>
      <x:c r="D397" s="77">
        <x:f>IF(A397="","",ROUND(MIN(Moteur!$B$3,C397+G397),2))</x:f>
      </x:c>
      <x:c r="E397" s="77">
        <x:f>IF(A397="","",ROUND(MIN(Dashboard!$B$11,MAX(0,C397-(D397-G397))),2))</x:f>
      </x:c>
      <x:c r="F397" s="77">
        <x:f>IF(A397="","",ROUND(C397*Dashboard!$B$12/Dashboard!$B$9,2))</x:f>
      </x:c>
      <x:c r="G397" s="77">
        <x:f>IF(A397="","",ROUND(C397*Moteur!$B$2,2))</x:f>
      </x:c>
      <x:c r="H397" s="77">
        <x:f>IF(A397="","",ROUND(MIN(C397,D397-G397+E397),2))</x:f>
      </x:c>
      <x:c r="I397" s="77">
        <x:f>IF(A397="","",ROUND(D397+E397+F397,2))</x:f>
      </x:c>
      <x:c r="J397" s="77">
        <x:f>IF(A397="","",ROUND(MAX(0,C397-H397),2))</x:f>
      </x:c>
      <x:c r="K397" s="78">
        <x:f>IF(A397="","",1-(J397/Dashboard!$B$6))</x:f>
      </x:c>
      <x:c r="L397" s="43">
        <x:f>IF(A397="","",IF(J397=0,"Soldé","En cours"))</x:f>
      </x:c>
      <x:c r="M397" s="77">
        <x:f>IF(A397="","",ROUND(SUM($G$8:G397),2))</x:f>
      </x:c>
    </x:row>
    <x:row r="398" ht="20" customHeight="1">
      <x:c r="A398" s="71">
        <x:f>IF(OR($J397="",ROUND($J397,2)=0),"",$A397+1)</x:f>
      </x:c>
      <x:c r="B398" s="72">
        <x:f>IF(A398="","",EDATE(Dashboard!$B$10,(A398-1)*(12/Dashboard!$B$9)))</x:f>
      </x:c>
      <x:c r="C398" s="73">
        <x:f>IF(A398="","",$J397)</x:f>
      </x:c>
      <x:c r="D398" s="73">
        <x:f>IF(A398="","",ROUND(MIN(Moteur!$B$3,C398+G398),2))</x:f>
      </x:c>
      <x:c r="E398" s="73">
        <x:f>IF(A398="","",ROUND(MIN(Dashboard!$B$11,MAX(0,C398-(D398-G398))),2))</x:f>
      </x:c>
      <x:c r="F398" s="73">
        <x:f>IF(A398="","",ROUND(C398*Dashboard!$B$12/Dashboard!$B$9,2))</x:f>
      </x:c>
      <x:c r="G398" s="73">
        <x:f>IF(A398="","",ROUND(C398*Moteur!$B$2,2))</x:f>
      </x:c>
      <x:c r="H398" s="73">
        <x:f>IF(A398="","",ROUND(MIN(C398,D398-G398+E398),2))</x:f>
      </x:c>
      <x:c r="I398" s="73">
        <x:f>IF(A398="","",ROUND(D398+E398+F398,2))</x:f>
      </x:c>
      <x:c r="J398" s="73">
        <x:f>IF(A398="","",ROUND(MAX(0,C398-H398),2))</x:f>
      </x:c>
      <x:c r="K398" s="74">
        <x:f>IF(A398="","",1-(J398/Dashboard!$B$6))</x:f>
      </x:c>
      <x:c r="L398" s="38">
        <x:f>IF(A398="","",IF(J398=0,"Soldé","En cours"))</x:f>
      </x:c>
      <x:c r="M398" s="73">
        <x:f>IF(A398="","",ROUND(SUM($G$8:G398),2))</x:f>
      </x:c>
    </x:row>
    <x:row r="399" ht="20" customHeight="1">
      <x:c r="A399" s="75">
        <x:f>IF(OR($J398="",ROUND($J398,2)=0),"",$A398+1)</x:f>
      </x:c>
      <x:c r="B399" s="76">
        <x:f>IF(A399="","",EDATE(Dashboard!$B$10,(A399-1)*(12/Dashboard!$B$9)))</x:f>
      </x:c>
      <x:c r="C399" s="77">
        <x:f>IF(A399="","",$J398)</x:f>
      </x:c>
      <x:c r="D399" s="77">
        <x:f>IF(A399="","",ROUND(MIN(Moteur!$B$3,C399+G399),2))</x:f>
      </x:c>
      <x:c r="E399" s="77">
        <x:f>IF(A399="","",ROUND(MIN(Dashboard!$B$11,MAX(0,C399-(D399-G399))),2))</x:f>
      </x:c>
      <x:c r="F399" s="77">
        <x:f>IF(A399="","",ROUND(C399*Dashboard!$B$12/Dashboard!$B$9,2))</x:f>
      </x:c>
      <x:c r="G399" s="77">
        <x:f>IF(A399="","",ROUND(C399*Moteur!$B$2,2))</x:f>
      </x:c>
      <x:c r="H399" s="77">
        <x:f>IF(A399="","",ROUND(MIN(C399,D399-G399+E399),2))</x:f>
      </x:c>
      <x:c r="I399" s="77">
        <x:f>IF(A399="","",ROUND(D399+E399+F399,2))</x:f>
      </x:c>
      <x:c r="J399" s="77">
        <x:f>IF(A399="","",ROUND(MAX(0,C399-H399),2))</x:f>
      </x:c>
      <x:c r="K399" s="78">
        <x:f>IF(A399="","",1-(J399/Dashboard!$B$6))</x:f>
      </x:c>
      <x:c r="L399" s="43">
        <x:f>IF(A399="","",IF(J399=0,"Soldé","En cours"))</x:f>
      </x:c>
      <x:c r="M399" s="77">
        <x:f>IF(A399="","",ROUND(SUM($G$8:G399),2))</x:f>
      </x:c>
    </x:row>
    <x:row r="400" ht="20" customHeight="1">
      <x:c r="A400" s="71">
        <x:f>IF(OR($J399="",ROUND($J399,2)=0),"",$A399+1)</x:f>
      </x:c>
      <x:c r="B400" s="72">
        <x:f>IF(A400="","",EDATE(Dashboard!$B$10,(A400-1)*(12/Dashboard!$B$9)))</x:f>
      </x:c>
      <x:c r="C400" s="73">
        <x:f>IF(A400="","",$J399)</x:f>
      </x:c>
      <x:c r="D400" s="73">
        <x:f>IF(A400="","",ROUND(MIN(Moteur!$B$3,C400+G400),2))</x:f>
      </x:c>
      <x:c r="E400" s="73">
        <x:f>IF(A400="","",ROUND(MIN(Dashboard!$B$11,MAX(0,C400-(D400-G400))),2))</x:f>
      </x:c>
      <x:c r="F400" s="73">
        <x:f>IF(A400="","",ROUND(C400*Dashboard!$B$12/Dashboard!$B$9,2))</x:f>
      </x:c>
      <x:c r="G400" s="73">
        <x:f>IF(A400="","",ROUND(C400*Moteur!$B$2,2))</x:f>
      </x:c>
      <x:c r="H400" s="73">
        <x:f>IF(A400="","",ROUND(MIN(C400,D400-G400+E400),2))</x:f>
      </x:c>
      <x:c r="I400" s="73">
        <x:f>IF(A400="","",ROUND(D400+E400+F400,2))</x:f>
      </x:c>
      <x:c r="J400" s="73">
        <x:f>IF(A400="","",ROUND(MAX(0,C400-H400),2))</x:f>
      </x:c>
      <x:c r="K400" s="74">
        <x:f>IF(A400="","",1-(J400/Dashboard!$B$6))</x:f>
      </x:c>
      <x:c r="L400" s="38">
        <x:f>IF(A400="","",IF(J400=0,"Soldé","En cours"))</x:f>
      </x:c>
      <x:c r="M400" s="73">
        <x:f>IF(A400="","",ROUND(SUM($G$8:G400),2))</x:f>
      </x:c>
    </x:row>
    <x:row r="401" ht="20" customHeight="1">
      <x:c r="A401" s="75">
        <x:f>IF(OR($J400="",ROUND($J400,2)=0),"",$A400+1)</x:f>
      </x:c>
      <x:c r="B401" s="76">
        <x:f>IF(A401="","",EDATE(Dashboard!$B$10,(A401-1)*(12/Dashboard!$B$9)))</x:f>
      </x:c>
      <x:c r="C401" s="77">
        <x:f>IF(A401="","",$J400)</x:f>
      </x:c>
      <x:c r="D401" s="77">
        <x:f>IF(A401="","",ROUND(MIN(Moteur!$B$3,C401+G401),2))</x:f>
      </x:c>
      <x:c r="E401" s="77">
        <x:f>IF(A401="","",ROUND(MIN(Dashboard!$B$11,MAX(0,C401-(D401-G401))),2))</x:f>
      </x:c>
      <x:c r="F401" s="77">
        <x:f>IF(A401="","",ROUND(C401*Dashboard!$B$12/Dashboard!$B$9,2))</x:f>
      </x:c>
      <x:c r="G401" s="77">
        <x:f>IF(A401="","",ROUND(C401*Moteur!$B$2,2))</x:f>
      </x:c>
      <x:c r="H401" s="77">
        <x:f>IF(A401="","",ROUND(MIN(C401,D401-G401+E401),2))</x:f>
      </x:c>
      <x:c r="I401" s="77">
        <x:f>IF(A401="","",ROUND(D401+E401+F401,2))</x:f>
      </x:c>
      <x:c r="J401" s="77">
        <x:f>IF(A401="","",ROUND(MAX(0,C401-H401),2))</x:f>
      </x:c>
      <x:c r="K401" s="78">
        <x:f>IF(A401="","",1-(J401/Dashboard!$B$6))</x:f>
      </x:c>
      <x:c r="L401" s="43">
        <x:f>IF(A401="","",IF(J401=0,"Soldé","En cours"))</x:f>
      </x:c>
      <x:c r="M401" s="77">
        <x:f>IF(A401="","",ROUND(SUM($G$8:G401),2))</x:f>
      </x:c>
    </x:row>
    <x:row r="402" ht="20" customHeight="1">
      <x:c r="A402" s="71">
        <x:f>IF(OR($J401="",ROUND($J401,2)=0),"",$A401+1)</x:f>
      </x:c>
      <x:c r="B402" s="72">
        <x:f>IF(A402="","",EDATE(Dashboard!$B$10,(A402-1)*(12/Dashboard!$B$9)))</x:f>
      </x:c>
      <x:c r="C402" s="73">
        <x:f>IF(A402="","",$J401)</x:f>
      </x:c>
      <x:c r="D402" s="73">
        <x:f>IF(A402="","",ROUND(MIN(Moteur!$B$3,C402+G402),2))</x:f>
      </x:c>
      <x:c r="E402" s="73">
        <x:f>IF(A402="","",ROUND(MIN(Dashboard!$B$11,MAX(0,C402-(D402-G402))),2))</x:f>
      </x:c>
      <x:c r="F402" s="73">
        <x:f>IF(A402="","",ROUND(C402*Dashboard!$B$12/Dashboard!$B$9,2))</x:f>
      </x:c>
      <x:c r="G402" s="73">
        <x:f>IF(A402="","",ROUND(C402*Moteur!$B$2,2))</x:f>
      </x:c>
      <x:c r="H402" s="73">
        <x:f>IF(A402="","",ROUND(MIN(C402,D402-G402+E402),2))</x:f>
      </x:c>
      <x:c r="I402" s="73">
        <x:f>IF(A402="","",ROUND(D402+E402+F402,2))</x:f>
      </x:c>
      <x:c r="J402" s="73">
        <x:f>IF(A402="","",ROUND(MAX(0,C402-H402),2))</x:f>
      </x:c>
      <x:c r="K402" s="74">
        <x:f>IF(A402="","",1-(J402/Dashboard!$B$6))</x:f>
      </x:c>
      <x:c r="L402" s="38">
        <x:f>IF(A402="","",IF(J402=0,"Soldé","En cours"))</x:f>
      </x:c>
      <x:c r="M402" s="73">
        <x:f>IF(A402="","",ROUND(SUM($G$8:G402),2))</x:f>
      </x:c>
    </x:row>
    <x:row r="403" ht="20" customHeight="1">
      <x:c r="A403" s="75">
        <x:f>IF(OR($J402="",ROUND($J402,2)=0),"",$A402+1)</x:f>
      </x:c>
      <x:c r="B403" s="76">
        <x:f>IF(A403="","",EDATE(Dashboard!$B$10,(A403-1)*(12/Dashboard!$B$9)))</x:f>
      </x:c>
      <x:c r="C403" s="77">
        <x:f>IF(A403="","",$J402)</x:f>
      </x:c>
      <x:c r="D403" s="77">
        <x:f>IF(A403="","",ROUND(MIN(Moteur!$B$3,C403+G403),2))</x:f>
      </x:c>
      <x:c r="E403" s="77">
        <x:f>IF(A403="","",ROUND(MIN(Dashboard!$B$11,MAX(0,C403-(D403-G403))),2))</x:f>
      </x:c>
      <x:c r="F403" s="77">
        <x:f>IF(A403="","",ROUND(C403*Dashboard!$B$12/Dashboard!$B$9,2))</x:f>
      </x:c>
      <x:c r="G403" s="77">
        <x:f>IF(A403="","",ROUND(C403*Moteur!$B$2,2))</x:f>
      </x:c>
      <x:c r="H403" s="77">
        <x:f>IF(A403="","",ROUND(MIN(C403,D403-G403+E403),2))</x:f>
      </x:c>
      <x:c r="I403" s="77">
        <x:f>IF(A403="","",ROUND(D403+E403+F403,2))</x:f>
      </x:c>
      <x:c r="J403" s="77">
        <x:f>IF(A403="","",ROUND(MAX(0,C403-H403),2))</x:f>
      </x:c>
      <x:c r="K403" s="78">
        <x:f>IF(A403="","",1-(J403/Dashboard!$B$6))</x:f>
      </x:c>
      <x:c r="L403" s="43">
        <x:f>IF(A403="","",IF(J403=0,"Soldé","En cours"))</x:f>
      </x:c>
      <x:c r="M403" s="77">
        <x:f>IF(A403="","",ROUND(SUM($G$8:G403),2))</x:f>
      </x:c>
    </x:row>
    <x:row r="404" ht="20" customHeight="1">
      <x:c r="A404" s="71">
        <x:f>IF(OR($J403="",ROUND($J403,2)=0),"",$A403+1)</x:f>
      </x:c>
      <x:c r="B404" s="72">
        <x:f>IF(A404="","",EDATE(Dashboard!$B$10,(A404-1)*(12/Dashboard!$B$9)))</x:f>
      </x:c>
      <x:c r="C404" s="73">
        <x:f>IF(A404="","",$J403)</x:f>
      </x:c>
      <x:c r="D404" s="73">
        <x:f>IF(A404="","",ROUND(MIN(Moteur!$B$3,C404+G404),2))</x:f>
      </x:c>
      <x:c r="E404" s="73">
        <x:f>IF(A404="","",ROUND(MIN(Dashboard!$B$11,MAX(0,C404-(D404-G404))),2))</x:f>
      </x:c>
      <x:c r="F404" s="73">
        <x:f>IF(A404="","",ROUND(C404*Dashboard!$B$12/Dashboard!$B$9,2))</x:f>
      </x:c>
      <x:c r="G404" s="73">
        <x:f>IF(A404="","",ROUND(C404*Moteur!$B$2,2))</x:f>
      </x:c>
      <x:c r="H404" s="73">
        <x:f>IF(A404="","",ROUND(MIN(C404,D404-G404+E404),2))</x:f>
      </x:c>
      <x:c r="I404" s="73">
        <x:f>IF(A404="","",ROUND(D404+E404+F404,2))</x:f>
      </x:c>
      <x:c r="J404" s="73">
        <x:f>IF(A404="","",ROUND(MAX(0,C404-H404),2))</x:f>
      </x:c>
      <x:c r="K404" s="74">
        <x:f>IF(A404="","",1-(J404/Dashboard!$B$6))</x:f>
      </x:c>
      <x:c r="L404" s="38">
        <x:f>IF(A404="","",IF(J404=0,"Soldé","En cours"))</x:f>
      </x:c>
      <x:c r="M404" s="73">
        <x:f>IF(A404="","",ROUND(SUM($G$8:G404),2))</x:f>
      </x:c>
    </x:row>
    <x:row r="405" ht="20" customHeight="1">
      <x:c r="A405" s="75">
        <x:f>IF(OR($J404="",ROUND($J404,2)=0),"",$A404+1)</x:f>
      </x:c>
      <x:c r="B405" s="76">
        <x:f>IF(A405="","",EDATE(Dashboard!$B$10,(A405-1)*(12/Dashboard!$B$9)))</x:f>
      </x:c>
      <x:c r="C405" s="77">
        <x:f>IF(A405="","",$J404)</x:f>
      </x:c>
      <x:c r="D405" s="77">
        <x:f>IF(A405="","",ROUND(MIN(Moteur!$B$3,C405+G405),2))</x:f>
      </x:c>
      <x:c r="E405" s="77">
        <x:f>IF(A405="","",ROUND(MIN(Dashboard!$B$11,MAX(0,C405-(D405-G405))),2))</x:f>
      </x:c>
      <x:c r="F405" s="77">
        <x:f>IF(A405="","",ROUND(C405*Dashboard!$B$12/Dashboard!$B$9,2))</x:f>
      </x:c>
      <x:c r="G405" s="77">
        <x:f>IF(A405="","",ROUND(C405*Moteur!$B$2,2))</x:f>
      </x:c>
      <x:c r="H405" s="77">
        <x:f>IF(A405="","",ROUND(MIN(C405,D405-G405+E405),2))</x:f>
      </x:c>
      <x:c r="I405" s="77">
        <x:f>IF(A405="","",ROUND(D405+E405+F405,2))</x:f>
      </x:c>
      <x:c r="J405" s="77">
        <x:f>IF(A405="","",ROUND(MAX(0,C405-H405),2))</x:f>
      </x:c>
      <x:c r="K405" s="78">
        <x:f>IF(A405="","",1-(J405/Dashboard!$B$6))</x:f>
      </x:c>
      <x:c r="L405" s="43">
        <x:f>IF(A405="","",IF(J405=0,"Soldé","En cours"))</x:f>
      </x:c>
      <x:c r="M405" s="77">
        <x:f>IF(A405="","",ROUND(SUM($G$8:G405),2))</x:f>
      </x:c>
    </x:row>
    <x:row r="406" ht="20" customHeight="1">
      <x:c r="A406" s="71">
        <x:f>IF(OR($J405="",ROUND($J405,2)=0),"",$A405+1)</x:f>
      </x:c>
      <x:c r="B406" s="72">
        <x:f>IF(A406="","",EDATE(Dashboard!$B$10,(A406-1)*(12/Dashboard!$B$9)))</x:f>
      </x:c>
      <x:c r="C406" s="73">
        <x:f>IF(A406="","",$J405)</x:f>
      </x:c>
      <x:c r="D406" s="73">
        <x:f>IF(A406="","",ROUND(MIN(Moteur!$B$3,C406+G406),2))</x:f>
      </x:c>
      <x:c r="E406" s="73">
        <x:f>IF(A406="","",ROUND(MIN(Dashboard!$B$11,MAX(0,C406-(D406-G406))),2))</x:f>
      </x:c>
      <x:c r="F406" s="73">
        <x:f>IF(A406="","",ROUND(C406*Dashboard!$B$12/Dashboard!$B$9,2))</x:f>
      </x:c>
      <x:c r="G406" s="73">
        <x:f>IF(A406="","",ROUND(C406*Moteur!$B$2,2))</x:f>
      </x:c>
      <x:c r="H406" s="73">
        <x:f>IF(A406="","",ROUND(MIN(C406,D406-G406+E406),2))</x:f>
      </x:c>
      <x:c r="I406" s="73">
        <x:f>IF(A406="","",ROUND(D406+E406+F406,2))</x:f>
      </x:c>
      <x:c r="J406" s="73">
        <x:f>IF(A406="","",ROUND(MAX(0,C406-H406),2))</x:f>
      </x:c>
      <x:c r="K406" s="74">
        <x:f>IF(A406="","",1-(J406/Dashboard!$B$6))</x:f>
      </x:c>
      <x:c r="L406" s="38">
        <x:f>IF(A406="","",IF(J406=0,"Soldé","En cours"))</x:f>
      </x:c>
      <x:c r="M406" s="73">
        <x:f>IF(A406="","",ROUND(SUM($G$8:G406),2))</x:f>
      </x:c>
    </x:row>
    <x:row r="407" ht="20" customHeight="1">
      <x:c r="A407" s="75">
        <x:f>IF(OR($J406="",ROUND($J406,2)=0),"",$A406+1)</x:f>
      </x:c>
      <x:c r="B407" s="76">
        <x:f>IF(A407="","",EDATE(Dashboard!$B$10,(A407-1)*(12/Dashboard!$B$9)))</x:f>
      </x:c>
      <x:c r="C407" s="77">
        <x:f>IF(A407="","",$J406)</x:f>
      </x:c>
      <x:c r="D407" s="77">
        <x:f>IF(A407="","",ROUND(MIN(Moteur!$B$3,C407+G407),2))</x:f>
      </x:c>
      <x:c r="E407" s="77">
        <x:f>IF(A407="","",ROUND(MIN(Dashboard!$B$11,MAX(0,C407-(D407-G407))),2))</x:f>
      </x:c>
      <x:c r="F407" s="77">
        <x:f>IF(A407="","",ROUND(C407*Dashboard!$B$12/Dashboard!$B$9,2))</x:f>
      </x:c>
      <x:c r="G407" s="77">
        <x:f>IF(A407="","",ROUND(C407*Moteur!$B$2,2))</x:f>
      </x:c>
      <x:c r="H407" s="77">
        <x:f>IF(A407="","",ROUND(MIN(C407,D407-G407+E407),2))</x:f>
      </x:c>
      <x:c r="I407" s="77">
        <x:f>IF(A407="","",ROUND(D407+E407+F407,2))</x:f>
      </x:c>
      <x:c r="J407" s="77">
        <x:f>IF(A407="","",ROUND(MAX(0,C407-H407),2))</x:f>
      </x:c>
      <x:c r="K407" s="78">
        <x:f>IF(A407="","",1-(J407/Dashboard!$B$6))</x:f>
      </x:c>
      <x:c r="L407" s="43">
        <x:f>IF(A407="","",IF(J407=0,"Soldé","En cours"))</x:f>
      </x:c>
      <x:c r="M407" s="77">
        <x:f>IF(A407="","",ROUND(SUM($G$8:G407),2))</x:f>
      </x:c>
    </x:row>
    <x:row r="408" ht="20" customHeight="1">
      <x:c r="A408" s="71">
        <x:f>IF(OR($J407="",ROUND($J407,2)=0),"",$A407+1)</x:f>
      </x:c>
      <x:c r="B408" s="72">
        <x:f>IF(A408="","",EDATE(Dashboard!$B$10,(A408-1)*(12/Dashboard!$B$9)))</x:f>
      </x:c>
      <x:c r="C408" s="73">
        <x:f>IF(A408="","",$J407)</x:f>
      </x:c>
      <x:c r="D408" s="73">
        <x:f>IF(A408="","",ROUND(MIN(Moteur!$B$3,C408+G408),2))</x:f>
      </x:c>
      <x:c r="E408" s="73">
        <x:f>IF(A408="","",ROUND(MIN(Dashboard!$B$11,MAX(0,C408-(D408-G408))),2))</x:f>
      </x:c>
      <x:c r="F408" s="73">
        <x:f>IF(A408="","",ROUND(C408*Dashboard!$B$12/Dashboard!$B$9,2))</x:f>
      </x:c>
      <x:c r="G408" s="73">
        <x:f>IF(A408="","",ROUND(C408*Moteur!$B$2,2))</x:f>
      </x:c>
      <x:c r="H408" s="73">
        <x:f>IF(A408="","",ROUND(MIN(C408,D408-G408+E408),2))</x:f>
      </x:c>
      <x:c r="I408" s="73">
        <x:f>IF(A408="","",ROUND(D408+E408+F408,2))</x:f>
      </x:c>
      <x:c r="J408" s="73">
        <x:f>IF(A408="","",ROUND(MAX(0,C408-H408),2))</x:f>
      </x:c>
      <x:c r="K408" s="74">
        <x:f>IF(A408="","",1-(J408/Dashboard!$B$6))</x:f>
      </x:c>
      <x:c r="L408" s="38">
        <x:f>IF(A408="","",IF(J408=0,"Soldé","En cours"))</x:f>
      </x:c>
      <x:c r="M408" s="73">
        <x:f>IF(A408="","",ROUND(SUM($G$8:G408),2))</x:f>
      </x:c>
    </x:row>
    <x:row r="409" ht="20" customHeight="1">
      <x:c r="A409" s="75">
        <x:f>IF(OR($J408="",ROUND($J408,2)=0),"",$A408+1)</x:f>
      </x:c>
      <x:c r="B409" s="76">
        <x:f>IF(A409="","",EDATE(Dashboard!$B$10,(A409-1)*(12/Dashboard!$B$9)))</x:f>
      </x:c>
      <x:c r="C409" s="77">
        <x:f>IF(A409="","",$J408)</x:f>
      </x:c>
      <x:c r="D409" s="77">
        <x:f>IF(A409="","",ROUND(MIN(Moteur!$B$3,C409+G409),2))</x:f>
      </x:c>
      <x:c r="E409" s="77">
        <x:f>IF(A409="","",ROUND(MIN(Dashboard!$B$11,MAX(0,C409-(D409-G409))),2))</x:f>
      </x:c>
      <x:c r="F409" s="77">
        <x:f>IF(A409="","",ROUND(C409*Dashboard!$B$12/Dashboard!$B$9,2))</x:f>
      </x:c>
      <x:c r="G409" s="77">
        <x:f>IF(A409="","",ROUND(C409*Moteur!$B$2,2))</x:f>
      </x:c>
      <x:c r="H409" s="77">
        <x:f>IF(A409="","",ROUND(MIN(C409,D409-G409+E409),2))</x:f>
      </x:c>
      <x:c r="I409" s="77">
        <x:f>IF(A409="","",ROUND(D409+E409+F409,2))</x:f>
      </x:c>
      <x:c r="J409" s="77">
        <x:f>IF(A409="","",ROUND(MAX(0,C409-H409),2))</x:f>
      </x:c>
      <x:c r="K409" s="78">
        <x:f>IF(A409="","",1-(J409/Dashboard!$B$6))</x:f>
      </x:c>
      <x:c r="L409" s="43">
        <x:f>IF(A409="","",IF(J409=0,"Soldé","En cours"))</x:f>
      </x:c>
      <x:c r="M409" s="77">
        <x:f>IF(A409="","",ROUND(SUM($G$8:G409),2))</x:f>
      </x:c>
    </x:row>
    <x:row r="410" ht="20" customHeight="1">
      <x:c r="A410" s="71">
        <x:f>IF(OR($J409="",ROUND($J409,2)=0),"",$A409+1)</x:f>
      </x:c>
      <x:c r="B410" s="72">
        <x:f>IF(A410="","",EDATE(Dashboard!$B$10,(A410-1)*(12/Dashboard!$B$9)))</x:f>
      </x:c>
      <x:c r="C410" s="73">
        <x:f>IF(A410="","",$J409)</x:f>
      </x:c>
      <x:c r="D410" s="73">
        <x:f>IF(A410="","",ROUND(MIN(Moteur!$B$3,C410+G410),2))</x:f>
      </x:c>
      <x:c r="E410" s="73">
        <x:f>IF(A410="","",ROUND(MIN(Dashboard!$B$11,MAX(0,C410-(D410-G410))),2))</x:f>
      </x:c>
      <x:c r="F410" s="73">
        <x:f>IF(A410="","",ROUND(C410*Dashboard!$B$12/Dashboard!$B$9,2))</x:f>
      </x:c>
      <x:c r="G410" s="73">
        <x:f>IF(A410="","",ROUND(C410*Moteur!$B$2,2))</x:f>
      </x:c>
      <x:c r="H410" s="73">
        <x:f>IF(A410="","",ROUND(MIN(C410,D410-G410+E410),2))</x:f>
      </x:c>
      <x:c r="I410" s="73">
        <x:f>IF(A410="","",ROUND(D410+E410+F410,2))</x:f>
      </x:c>
      <x:c r="J410" s="73">
        <x:f>IF(A410="","",ROUND(MAX(0,C410-H410),2))</x:f>
      </x:c>
      <x:c r="K410" s="74">
        <x:f>IF(A410="","",1-(J410/Dashboard!$B$6))</x:f>
      </x:c>
      <x:c r="L410" s="38">
        <x:f>IF(A410="","",IF(J410=0,"Soldé","En cours"))</x:f>
      </x:c>
      <x:c r="M410" s="73">
        <x:f>IF(A410="","",ROUND(SUM($G$8:G410),2))</x:f>
      </x:c>
    </x:row>
    <x:row r="411" ht="20" customHeight="1">
      <x:c r="A411" s="75">
        <x:f>IF(OR($J410="",ROUND($J410,2)=0),"",$A410+1)</x:f>
      </x:c>
      <x:c r="B411" s="76">
        <x:f>IF(A411="","",EDATE(Dashboard!$B$10,(A411-1)*(12/Dashboard!$B$9)))</x:f>
      </x:c>
      <x:c r="C411" s="77">
        <x:f>IF(A411="","",$J410)</x:f>
      </x:c>
      <x:c r="D411" s="77">
        <x:f>IF(A411="","",ROUND(MIN(Moteur!$B$3,C411+G411),2))</x:f>
      </x:c>
      <x:c r="E411" s="77">
        <x:f>IF(A411="","",ROUND(MIN(Dashboard!$B$11,MAX(0,C411-(D411-G411))),2))</x:f>
      </x:c>
      <x:c r="F411" s="77">
        <x:f>IF(A411="","",ROUND(C411*Dashboard!$B$12/Dashboard!$B$9,2))</x:f>
      </x:c>
      <x:c r="G411" s="77">
        <x:f>IF(A411="","",ROUND(C411*Moteur!$B$2,2))</x:f>
      </x:c>
      <x:c r="H411" s="77">
        <x:f>IF(A411="","",ROUND(MIN(C411,D411-G411+E411),2))</x:f>
      </x:c>
      <x:c r="I411" s="77">
        <x:f>IF(A411="","",ROUND(D411+E411+F411,2))</x:f>
      </x:c>
      <x:c r="J411" s="77">
        <x:f>IF(A411="","",ROUND(MAX(0,C411-H411),2))</x:f>
      </x:c>
      <x:c r="K411" s="78">
        <x:f>IF(A411="","",1-(J411/Dashboard!$B$6))</x:f>
      </x:c>
      <x:c r="L411" s="43">
        <x:f>IF(A411="","",IF(J411=0,"Soldé","En cours"))</x:f>
      </x:c>
      <x:c r="M411" s="77">
        <x:f>IF(A411="","",ROUND(SUM($G$8:G411),2))</x:f>
      </x:c>
    </x:row>
    <x:row r="412" ht="20" customHeight="1">
      <x:c r="A412" s="71">
        <x:f>IF(OR($J411="",ROUND($J411,2)=0),"",$A411+1)</x:f>
      </x:c>
      <x:c r="B412" s="72">
        <x:f>IF(A412="","",EDATE(Dashboard!$B$10,(A412-1)*(12/Dashboard!$B$9)))</x:f>
      </x:c>
      <x:c r="C412" s="73">
        <x:f>IF(A412="","",$J411)</x:f>
      </x:c>
      <x:c r="D412" s="73">
        <x:f>IF(A412="","",ROUND(MIN(Moteur!$B$3,C412+G412),2))</x:f>
      </x:c>
      <x:c r="E412" s="73">
        <x:f>IF(A412="","",ROUND(MIN(Dashboard!$B$11,MAX(0,C412-(D412-G412))),2))</x:f>
      </x:c>
      <x:c r="F412" s="73">
        <x:f>IF(A412="","",ROUND(C412*Dashboard!$B$12/Dashboard!$B$9,2))</x:f>
      </x:c>
      <x:c r="G412" s="73">
        <x:f>IF(A412="","",ROUND(C412*Moteur!$B$2,2))</x:f>
      </x:c>
      <x:c r="H412" s="73">
        <x:f>IF(A412="","",ROUND(MIN(C412,D412-G412+E412),2))</x:f>
      </x:c>
      <x:c r="I412" s="73">
        <x:f>IF(A412="","",ROUND(D412+E412+F412,2))</x:f>
      </x:c>
      <x:c r="J412" s="73">
        <x:f>IF(A412="","",ROUND(MAX(0,C412-H412),2))</x:f>
      </x:c>
      <x:c r="K412" s="74">
        <x:f>IF(A412="","",1-(J412/Dashboard!$B$6))</x:f>
      </x:c>
      <x:c r="L412" s="38">
        <x:f>IF(A412="","",IF(J412=0,"Soldé","En cours"))</x:f>
      </x:c>
      <x:c r="M412" s="73">
        <x:f>IF(A412="","",ROUND(SUM($G$8:G412),2))</x:f>
      </x:c>
    </x:row>
    <x:row r="413" ht="20" customHeight="1">
      <x:c r="A413" s="75">
        <x:f>IF(OR($J412="",ROUND($J412,2)=0),"",$A412+1)</x:f>
      </x:c>
      <x:c r="B413" s="76">
        <x:f>IF(A413="","",EDATE(Dashboard!$B$10,(A413-1)*(12/Dashboard!$B$9)))</x:f>
      </x:c>
      <x:c r="C413" s="77">
        <x:f>IF(A413="","",$J412)</x:f>
      </x:c>
      <x:c r="D413" s="77">
        <x:f>IF(A413="","",ROUND(MIN(Moteur!$B$3,C413+G413),2))</x:f>
      </x:c>
      <x:c r="E413" s="77">
        <x:f>IF(A413="","",ROUND(MIN(Dashboard!$B$11,MAX(0,C413-(D413-G413))),2))</x:f>
      </x:c>
      <x:c r="F413" s="77">
        <x:f>IF(A413="","",ROUND(C413*Dashboard!$B$12/Dashboard!$B$9,2))</x:f>
      </x:c>
      <x:c r="G413" s="77">
        <x:f>IF(A413="","",ROUND(C413*Moteur!$B$2,2))</x:f>
      </x:c>
      <x:c r="H413" s="77">
        <x:f>IF(A413="","",ROUND(MIN(C413,D413-G413+E413),2))</x:f>
      </x:c>
      <x:c r="I413" s="77">
        <x:f>IF(A413="","",ROUND(D413+E413+F413,2))</x:f>
      </x:c>
      <x:c r="J413" s="77">
        <x:f>IF(A413="","",ROUND(MAX(0,C413-H413),2))</x:f>
      </x:c>
      <x:c r="K413" s="78">
        <x:f>IF(A413="","",1-(J413/Dashboard!$B$6))</x:f>
      </x:c>
      <x:c r="L413" s="43">
        <x:f>IF(A413="","",IF(J413=0,"Soldé","En cours"))</x:f>
      </x:c>
      <x:c r="M413" s="77">
        <x:f>IF(A413="","",ROUND(SUM($G$8:G413),2))</x:f>
      </x:c>
    </x:row>
    <x:row r="414" ht="20" customHeight="1">
      <x:c r="A414" s="71">
        <x:f>IF(OR($J413="",ROUND($J413,2)=0),"",$A413+1)</x:f>
      </x:c>
      <x:c r="B414" s="72">
        <x:f>IF(A414="","",EDATE(Dashboard!$B$10,(A414-1)*(12/Dashboard!$B$9)))</x:f>
      </x:c>
      <x:c r="C414" s="73">
        <x:f>IF(A414="","",$J413)</x:f>
      </x:c>
      <x:c r="D414" s="73">
        <x:f>IF(A414="","",ROUND(MIN(Moteur!$B$3,C414+G414),2))</x:f>
      </x:c>
      <x:c r="E414" s="73">
        <x:f>IF(A414="","",ROUND(MIN(Dashboard!$B$11,MAX(0,C414-(D414-G414))),2))</x:f>
      </x:c>
      <x:c r="F414" s="73">
        <x:f>IF(A414="","",ROUND(C414*Dashboard!$B$12/Dashboard!$B$9,2))</x:f>
      </x:c>
      <x:c r="G414" s="73">
        <x:f>IF(A414="","",ROUND(C414*Moteur!$B$2,2))</x:f>
      </x:c>
      <x:c r="H414" s="73">
        <x:f>IF(A414="","",ROUND(MIN(C414,D414-G414+E414),2))</x:f>
      </x:c>
      <x:c r="I414" s="73">
        <x:f>IF(A414="","",ROUND(D414+E414+F414,2))</x:f>
      </x:c>
      <x:c r="J414" s="73">
        <x:f>IF(A414="","",ROUND(MAX(0,C414-H414),2))</x:f>
      </x:c>
      <x:c r="K414" s="74">
        <x:f>IF(A414="","",1-(J414/Dashboard!$B$6))</x:f>
      </x:c>
      <x:c r="L414" s="38">
        <x:f>IF(A414="","",IF(J414=0,"Soldé","En cours"))</x:f>
      </x:c>
      <x:c r="M414" s="73">
        <x:f>IF(A414="","",ROUND(SUM($G$8:G414),2))</x:f>
      </x:c>
    </x:row>
    <x:row r="415" ht="20" customHeight="1">
      <x:c r="A415" s="75">
        <x:f>IF(OR($J414="",ROUND($J414,2)=0),"",$A414+1)</x:f>
      </x:c>
      <x:c r="B415" s="76">
        <x:f>IF(A415="","",EDATE(Dashboard!$B$10,(A415-1)*(12/Dashboard!$B$9)))</x:f>
      </x:c>
      <x:c r="C415" s="77">
        <x:f>IF(A415="","",$J414)</x:f>
      </x:c>
      <x:c r="D415" s="77">
        <x:f>IF(A415="","",ROUND(MIN(Moteur!$B$3,C415+G415),2))</x:f>
      </x:c>
      <x:c r="E415" s="77">
        <x:f>IF(A415="","",ROUND(MIN(Dashboard!$B$11,MAX(0,C415-(D415-G415))),2))</x:f>
      </x:c>
      <x:c r="F415" s="77">
        <x:f>IF(A415="","",ROUND(C415*Dashboard!$B$12/Dashboard!$B$9,2))</x:f>
      </x:c>
      <x:c r="G415" s="77">
        <x:f>IF(A415="","",ROUND(C415*Moteur!$B$2,2))</x:f>
      </x:c>
      <x:c r="H415" s="77">
        <x:f>IF(A415="","",ROUND(MIN(C415,D415-G415+E415),2))</x:f>
      </x:c>
      <x:c r="I415" s="77">
        <x:f>IF(A415="","",ROUND(D415+E415+F415,2))</x:f>
      </x:c>
      <x:c r="J415" s="77">
        <x:f>IF(A415="","",ROUND(MAX(0,C415-H415),2))</x:f>
      </x:c>
      <x:c r="K415" s="78">
        <x:f>IF(A415="","",1-(J415/Dashboard!$B$6))</x:f>
      </x:c>
      <x:c r="L415" s="43">
        <x:f>IF(A415="","",IF(J415=0,"Soldé","En cours"))</x:f>
      </x:c>
      <x:c r="M415" s="77">
        <x:f>IF(A415="","",ROUND(SUM($G$8:G415),2))</x:f>
      </x:c>
    </x:row>
    <x:row r="416" ht="20" customHeight="1">
      <x:c r="A416" s="71">
        <x:f>IF(OR($J415="",ROUND($J415,2)=0),"",$A415+1)</x:f>
      </x:c>
      <x:c r="B416" s="72">
        <x:f>IF(A416="","",EDATE(Dashboard!$B$10,(A416-1)*(12/Dashboard!$B$9)))</x:f>
      </x:c>
      <x:c r="C416" s="73">
        <x:f>IF(A416="","",$J415)</x:f>
      </x:c>
      <x:c r="D416" s="73">
        <x:f>IF(A416="","",ROUND(MIN(Moteur!$B$3,C416+G416),2))</x:f>
      </x:c>
      <x:c r="E416" s="73">
        <x:f>IF(A416="","",ROUND(MIN(Dashboard!$B$11,MAX(0,C416-(D416-G416))),2))</x:f>
      </x:c>
      <x:c r="F416" s="73">
        <x:f>IF(A416="","",ROUND(C416*Dashboard!$B$12/Dashboard!$B$9,2))</x:f>
      </x:c>
      <x:c r="G416" s="73">
        <x:f>IF(A416="","",ROUND(C416*Moteur!$B$2,2))</x:f>
      </x:c>
      <x:c r="H416" s="73">
        <x:f>IF(A416="","",ROUND(MIN(C416,D416-G416+E416),2))</x:f>
      </x:c>
      <x:c r="I416" s="73">
        <x:f>IF(A416="","",ROUND(D416+E416+F416,2))</x:f>
      </x:c>
      <x:c r="J416" s="73">
        <x:f>IF(A416="","",ROUND(MAX(0,C416-H416),2))</x:f>
      </x:c>
      <x:c r="K416" s="74">
        <x:f>IF(A416="","",1-(J416/Dashboard!$B$6))</x:f>
      </x:c>
      <x:c r="L416" s="38">
        <x:f>IF(A416="","",IF(J416=0,"Soldé","En cours"))</x:f>
      </x:c>
      <x:c r="M416" s="73">
        <x:f>IF(A416="","",ROUND(SUM($G$8:G416),2))</x:f>
      </x:c>
    </x:row>
    <x:row r="417" ht="20" customHeight="1">
      <x:c r="A417" s="75">
        <x:f>IF(OR($J416="",ROUND($J416,2)=0),"",$A416+1)</x:f>
      </x:c>
      <x:c r="B417" s="76">
        <x:f>IF(A417="","",EDATE(Dashboard!$B$10,(A417-1)*(12/Dashboard!$B$9)))</x:f>
      </x:c>
      <x:c r="C417" s="77">
        <x:f>IF(A417="","",$J416)</x:f>
      </x:c>
      <x:c r="D417" s="77">
        <x:f>IF(A417="","",ROUND(MIN(Moteur!$B$3,C417+G417),2))</x:f>
      </x:c>
      <x:c r="E417" s="77">
        <x:f>IF(A417="","",ROUND(MIN(Dashboard!$B$11,MAX(0,C417-(D417-G417))),2))</x:f>
      </x:c>
      <x:c r="F417" s="77">
        <x:f>IF(A417="","",ROUND(C417*Dashboard!$B$12/Dashboard!$B$9,2))</x:f>
      </x:c>
      <x:c r="G417" s="77">
        <x:f>IF(A417="","",ROUND(C417*Moteur!$B$2,2))</x:f>
      </x:c>
      <x:c r="H417" s="77">
        <x:f>IF(A417="","",ROUND(MIN(C417,D417-G417+E417),2))</x:f>
      </x:c>
      <x:c r="I417" s="77">
        <x:f>IF(A417="","",ROUND(D417+E417+F417,2))</x:f>
      </x:c>
      <x:c r="J417" s="77">
        <x:f>IF(A417="","",ROUND(MAX(0,C417-H417),2))</x:f>
      </x:c>
      <x:c r="K417" s="78">
        <x:f>IF(A417="","",1-(J417/Dashboard!$B$6))</x:f>
      </x:c>
      <x:c r="L417" s="43">
        <x:f>IF(A417="","",IF(J417=0,"Soldé","En cours"))</x:f>
      </x:c>
      <x:c r="M417" s="77">
        <x:f>IF(A417="","",ROUND(SUM($G$8:G417),2))</x:f>
      </x:c>
    </x:row>
    <x:row r="418" ht="20" customHeight="1">
      <x:c r="A418" s="71">
        <x:f>IF(OR($J417="",ROUND($J417,2)=0),"",$A417+1)</x:f>
      </x:c>
      <x:c r="B418" s="72">
        <x:f>IF(A418="","",EDATE(Dashboard!$B$10,(A418-1)*(12/Dashboard!$B$9)))</x:f>
      </x:c>
      <x:c r="C418" s="73">
        <x:f>IF(A418="","",$J417)</x:f>
      </x:c>
      <x:c r="D418" s="73">
        <x:f>IF(A418="","",ROUND(MIN(Moteur!$B$3,C418+G418),2))</x:f>
      </x:c>
      <x:c r="E418" s="73">
        <x:f>IF(A418="","",ROUND(MIN(Dashboard!$B$11,MAX(0,C418-(D418-G418))),2))</x:f>
      </x:c>
      <x:c r="F418" s="73">
        <x:f>IF(A418="","",ROUND(C418*Dashboard!$B$12/Dashboard!$B$9,2))</x:f>
      </x:c>
      <x:c r="G418" s="73">
        <x:f>IF(A418="","",ROUND(C418*Moteur!$B$2,2))</x:f>
      </x:c>
      <x:c r="H418" s="73">
        <x:f>IF(A418="","",ROUND(MIN(C418,D418-G418+E418),2))</x:f>
      </x:c>
      <x:c r="I418" s="73">
        <x:f>IF(A418="","",ROUND(D418+E418+F418,2))</x:f>
      </x:c>
      <x:c r="J418" s="73">
        <x:f>IF(A418="","",ROUND(MAX(0,C418-H418),2))</x:f>
      </x:c>
      <x:c r="K418" s="74">
        <x:f>IF(A418="","",1-(J418/Dashboard!$B$6))</x:f>
      </x:c>
      <x:c r="L418" s="38">
        <x:f>IF(A418="","",IF(J418=0,"Soldé","En cours"))</x:f>
      </x:c>
      <x:c r="M418" s="73">
        <x:f>IF(A418="","",ROUND(SUM($G$8:G418),2))</x:f>
      </x:c>
    </x:row>
    <x:row r="419" ht="20" customHeight="1">
      <x:c r="A419" s="75">
        <x:f>IF(OR($J418="",ROUND($J418,2)=0),"",$A418+1)</x:f>
      </x:c>
      <x:c r="B419" s="76">
        <x:f>IF(A419="","",EDATE(Dashboard!$B$10,(A419-1)*(12/Dashboard!$B$9)))</x:f>
      </x:c>
      <x:c r="C419" s="77">
        <x:f>IF(A419="","",$J418)</x:f>
      </x:c>
      <x:c r="D419" s="77">
        <x:f>IF(A419="","",ROUND(MIN(Moteur!$B$3,C419+G419),2))</x:f>
      </x:c>
      <x:c r="E419" s="77">
        <x:f>IF(A419="","",ROUND(MIN(Dashboard!$B$11,MAX(0,C419-(D419-G419))),2))</x:f>
      </x:c>
      <x:c r="F419" s="77">
        <x:f>IF(A419="","",ROUND(C419*Dashboard!$B$12/Dashboard!$B$9,2))</x:f>
      </x:c>
      <x:c r="G419" s="77">
        <x:f>IF(A419="","",ROUND(C419*Moteur!$B$2,2))</x:f>
      </x:c>
      <x:c r="H419" s="77">
        <x:f>IF(A419="","",ROUND(MIN(C419,D419-G419+E419),2))</x:f>
      </x:c>
      <x:c r="I419" s="77">
        <x:f>IF(A419="","",ROUND(D419+E419+F419,2))</x:f>
      </x:c>
      <x:c r="J419" s="77">
        <x:f>IF(A419="","",ROUND(MAX(0,C419-H419),2))</x:f>
      </x:c>
      <x:c r="K419" s="78">
        <x:f>IF(A419="","",1-(J419/Dashboard!$B$6))</x:f>
      </x:c>
      <x:c r="L419" s="43">
        <x:f>IF(A419="","",IF(J419=0,"Soldé","En cours"))</x:f>
      </x:c>
      <x:c r="M419" s="77">
        <x:f>IF(A419="","",ROUND(SUM($G$8:G419),2))</x:f>
      </x:c>
    </x:row>
    <x:row r="420" ht="20" customHeight="1">
      <x:c r="A420" s="71">
        <x:f>IF(OR($J419="",ROUND($J419,2)=0),"",$A419+1)</x:f>
      </x:c>
      <x:c r="B420" s="72">
        <x:f>IF(A420="","",EDATE(Dashboard!$B$10,(A420-1)*(12/Dashboard!$B$9)))</x:f>
      </x:c>
      <x:c r="C420" s="73">
        <x:f>IF(A420="","",$J419)</x:f>
      </x:c>
      <x:c r="D420" s="73">
        <x:f>IF(A420="","",ROUND(MIN(Moteur!$B$3,C420+G420),2))</x:f>
      </x:c>
      <x:c r="E420" s="73">
        <x:f>IF(A420="","",ROUND(MIN(Dashboard!$B$11,MAX(0,C420-(D420-G420))),2))</x:f>
      </x:c>
      <x:c r="F420" s="73">
        <x:f>IF(A420="","",ROUND(C420*Dashboard!$B$12/Dashboard!$B$9,2))</x:f>
      </x:c>
      <x:c r="G420" s="73">
        <x:f>IF(A420="","",ROUND(C420*Moteur!$B$2,2))</x:f>
      </x:c>
      <x:c r="H420" s="73">
        <x:f>IF(A420="","",ROUND(MIN(C420,D420-G420+E420),2))</x:f>
      </x:c>
      <x:c r="I420" s="73">
        <x:f>IF(A420="","",ROUND(D420+E420+F420,2))</x:f>
      </x:c>
      <x:c r="J420" s="73">
        <x:f>IF(A420="","",ROUND(MAX(0,C420-H420),2))</x:f>
      </x:c>
      <x:c r="K420" s="74">
        <x:f>IF(A420="","",1-(J420/Dashboard!$B$6))</x:f>
      </x:c>
      <x:c r="L420" s="38">
        <x:f>IF(A420="","",IF(J420=0,"Soldé","En cours"))</x:f>
      </x:c>
      <x:c r="M420" s="73">
        <x:f>IF(A420="","",ROUND(SUM($G$8:G420),2))</x:f>
      </x:c>
    </x:row>
    <x:row r="421" ht="20" customHeight="1">
      <x:c r="A421" s="75">
        <x:f>IF(OR($J420="",ROUND($J420,2)=0),"",$A420+1)</x:f>
      </x:c>
      <x:c r="B421" s="76">
        <x:f>IF(A421="","",EDATE(Dashboard!$B$10,(A421-1)*(12/Dashboard!$B$9)))</x:f>
      </x:c>
      <x:c r="C421" s="77">
        <x:f>IF(A421="","",$J420)</x:f>
      </x:c>
      <x:c r="D421" s="77">
        <x:f>IF(A421="","",ROUND(MIN(Moteur!$B$3,C421+G421),2))</x:f>
      </x:c>
      <x:c r="E421" s="77">
        <x:f>IF(A421="","",ROUND(MIN(Dashboard!$B$11,MAX(0,C421-(D421-G421))),2))</x:f>
      </x:c>
      <x:c r="F421" s="77">
        <x:f>IF(A421="","",ROUND(C421*Dashboard!$B$12/Dashboard!$B$9,2))</x:f>
      </x:c>
      <x:c r="G421" s="77">
        <x:f>IF(A421="","",ROUND(C421*Moteur!$B$2,2))</x:f>
      </x:c>
      <x:c r="H421" s="77">
        <x:f>IF(A421="","",ROUND(MIN(C421,D421-G421+E421),2))</x:f>
      </x:c>
      <x:c r="I421" s="77">
        <x:f>IF(A421="","",ROUND(D421+E421+F421,2))</x:f>
      </x:c>
      <x:c r="J421" s="77">
        <x:f>IF(A421="","",ROUND(MAX(0,C421-H421),2))</x:f>
      </x:c>
      <x:c r="K421" s="78">
        <x:f>IF(A421="","",1-(J421/Dashboard!$B$6))</x:f>
      </x:c>
      <x:c r="L421" s="43">
        <x:f>IF(A421="","",IF(J421=0,"Soldé","En cours"))</x:f>
      </x:c>
      <x:c r="M421" s="77">
        <x:f>IF(A421="","",ROUND(SUM($G$8:G421),2))</x:f>
      </x:c>
    </x:row>
    <x:row r="422" ht="20" customHeight="1">
      <x:c r="A422" s="71">
        <x:f>IF(OR($J421="",ROUND($J421,2)=0),"",$A421+1)</x:f>
      </x:c>
      <x:c r="B422" s="72">
        <x:f>IF(A422="","",EDATE(Dashboard!$B$10,(A422-1)*(12/Dashboard!$B$9)))</x:f>
      </x:c>
      <x:c r="C422" s="73">
        <x:f>IF(A422="","",$J421)</x:f>
      </x:c>
      <x:c r="D422" s="73">
        <x:f>IF(A422="","",ROUND(MIN(Moteur!$B$3,C422+G422),2))</x:f>
      </x:c>
      <x:c r="E422" s="73">
        <x:f>IF(A422="","",ROUND(MIN(Dashboard!$B$11,MAX(0,C422-(D422-G422))),2))</x:f>
      </x:c>
      <x:c r="F422" s="73">
        <x:f>IF(A422="","",ROUND(C422*Dashboard!$B$12/Dashboard!$B$9,2))</x:f>
      </x:c>
      <x:c r="G422" s="73">
        <x:f>IF(A422="","",ROUND(C422*Moteur!$B$2,2))</x:f>
      </x:c>
      <x:c r="H422" s="73">
        <x:f>IF(A422="","",ROUND(MIN(C422,D422-G422+E422),2))</x:f>
      </x:c>
      <x:c r="I422" s="73">
        <x:f>IF(A422="","",ROUND(D422+E422+F422,2))</x:f>
      </x:c>
      <x:c r="J422" s="73">
        <x:f>IF(A422="","",ROUND(MAX(0,C422-H422),2))</x:f>
      </x:c>
      <x:c r="K422" s="74">
        <x:f>IF(A422="","",1-(J422/Dashboard!$B$6))</x:f>
      </x:c>
      <x:c r="L422" s="38">
        <x:f>IF(A422="","",IF(J422=0,"Soldé","En cours"))</x:f>
      </x:c>
      <x:c r="M422" s="73">
        <x:f>IF(A422="","",ROUND(SUM($G$8:G422),2))</x:f>
      </x:c>
    </x:row>
    <x:row r="423" ht="20" customHeight="1">
      <x:c r="A423" s="75">
        <x:f>IF(OR($J422="",ROUND($J422,2)=0),"",$A422+1)</x:f>
      </x:c>
      <x:c r="B423" s="76">
        <x:f>IF(A423="","",EDATE(Dashboard!$B$10,(A423-1)*(12/Dashboard!$B$9)))</x:f>
      </x:c>
      <x:c r="C423" s="77">
        <x:f>IF(A423="","",$J422)</x:f>
      </x:c>
      <x:c r="D423" s="77">
        <x:f>IF(A423="","",ROUND(MIN(Moteur!$B$3,C423+G423),2))</x:f>
      </x:c>
      <x:c r="E423" s="77">
        <x:f>IF(A423="","",ROUND(MIN(Dashboard!$B$11,MAX(0,C423-(D423-G423))),2))</x:f>
      </x:c>
      <x:c r="F423" s="77">
        <x:f>IF(A423="","",ROUND(C423*Dashboard!$B$12/Dashboard!$B$9,2))</x:f>
      </x:c>
      <x:c r="G423" s="77">
        <x:f>IF(A423="","",ROUND(C423*Moteur!$B$2,2))</x:f>
      </x:c>
      <x:c r="H423" s="77">
        <x:f>IF(A423="","",ROUND(MIN(C423,D423-G423+E423),2))</x:f>
      </x:c>
      <x:c r="I423" s="77">
        <x:f>IF(A423="","",ROUND(D423+E423+F423,2))</x:f>
      </x:c>
      <x:c r="J423" s="77">
        <x:f>IF(A423="","",ROUND(MAX(0,C423-H423),2))</x:f>
      </x:c>
      <x:c r="K423" s="78">
        <x:f>IF(A423="","",1-(J423/Dashboard!$B$6))</x:f>
      </x:c>
      <x:c r="L423" s="43">
        <x:f>IF(A423="","",IF(J423=0,"Soldé","En cours"))</x:f>
      </x:c>
      <x:c r="M423" s="77">
        <x:f>IF(A423="","",ROUND(SUM($G$8:G423),2))</x:f>
      </x:c>
    </x:row>
    <x:row r="424" ht="20" customHeight="1">
      <x:c r="A424" s="71">
        <x:f>IF(OR($J423="",ROUND($J423,2)=0),"",$A423+1)</x:f>
      </x:c>
      <x:c r="B424" s="72">
        <x:f>IF(A424="","",EDATE(Dashboard!$B$10,(A424-1)*(12/Dashboard!$B$9)))</x:f>
      </x:c>
      <x:c r="C424" s="73">
        <x:f>IF(A424="","",$J423)</x:f>
      </x:c>
      <x:c r="D424" s="73">
        <x:f>IF(A424="","",ROUND(MIN(Moteur!$B$3,C424+G424),2))</x:f>
      </x:c>
      <x:c r="E424" s="73">
        <x:f>IF(A424="","",ROUND(MIN(Dashboard!$B$11,MAX(0,C424-(D424-G424))),2))</x:f>
      </x:c>
      <x:c r="F424" s="73">
        <x:f>IF(A424="","",ROUND(C424*Dashboard!$B$12/Dashboard!$B$9,2))</x:f>
      </x:c>
      <x:c r="G424" s="73">
        <x:f>IF(A424="","",ROUND(C424*Moteur!$B$2,2))</x:f>
      </x:c>
      <x:c r="H424" s="73">
        <x:f>IF(A424="","",ROUND(MIN(C424,D424-G424+E424),2))</x:f>
      </x:c>
      <x:c r="I424" s="73">
        <x:f>IF(A424="","",ROUND(D424+E424+F424,2))</x:f>
      </x:c>
      <x:c r="J424" s="73">
        <x:f>IF(A424="","",ROUND(MAX(0,C424-H424),2))</x:f>
      </x:c>
      <x:c r="K424" s="74">
        <x:f>IF(A424="","",1-(J424/Dashboard!$B$6))</x:f>
      </x:c>
      <x:c r="L424" s="38">
        <x:f>IF(A424="","",IF(J424=0,"Soldé","En cours"))</x:f>
      </x:c>
      <x:c r="M424" s="73">
        <x:f>IF(A424="","",ROUND(SUM($G$8:G424),2))</x:f>
      </x:c>
    </x:row>
    <x:row r="425" ht="20" customHeight="1">
      <x:c r="A425" s="75">
        <x:f>IF(OR($J424="",ROUND($J424,2)=0),"",$A424+1)</x:f>
      </x:c>
      <x:c r="B425" s="76">
        <x:f>IF(A425="","",EDATE(Dashboard!$B$10,(A425-1)*(12/Dashboard!$B$9)))</x:f>
      </x:c>
      <x:c r="C425" s="77">
        <x:f>IF(A425="","",$J424)</x:f>
      </x:c>
      <x:c r="D425" s="77">
        <x:f>IF(A425="","",ROUND(MIN(Moteur!$B$3,C425+G425),2))</x:f>
      </x:c>
      <x:c r="E425" s="77">
        <x:f>IF(A425="","",ROUND(MIN(Dashboard!$B$11,MAX(0,C425-(D425-G425))),2))</x:f>
      </x:c>
      <x:c r="F425" s="77">
        <x:f>IF(A425="","",ROUND(C425*Dashboard!$B$12/Dashboard!$B$9,2))</x:f>
      </x:c>
      <x:c r="G425" s="77">
        <x:f>IF(A425="","",ROUND(C425*Moteur!$B$2,2))</x:f>
      </x:c>
      <x:c r="H425" s="77">
        <x:f>IF(A425="","",ROUND(MIN(C425,D425-G425+E425),2))</x:f>
      </x:c>
      <x:c r="I425" s="77">
        <x:f>IF(A425="","",ROUND(D425+E425+F425,2))</x:f>
      </x:c>
      <x:c r="J425" s="77">
        <x:f>IF(A425="","",ROUND(MAX(0,C425-H425),2))</x:f>
      </x:c>
      <x:c r="K425" s="78">
        <x:f>IF(A425="","",1-(J425/Dashboard!$B$6))</x:f>
      </x:c>
      <x:c r="L425" s="43">
        <x:f>IF(A425="","",IF(J425=0,"Soldé","En cours"))</x:f>
      </x:c>
      <x:c r="M425" s="77">
        <x:f>IF(A425="","",ROUND(SUM($G$8:G425),2))</x:f>
      </x:c>
    </x:row>
    <x:row r="426" ht="20" customHeight="1">
      <x:c r="A426" s="71">
        <x:f>IF(OR($J425="",ROUND($J425,2)=0),"",$A425+1)</x:f>
      </x:c>
      <x:c r="B426" s="72">
        <x:f>IF(A426="","",EDATE(Dashboard!$B$10,(A426-1)*(12/Dashboard!$B$9)))</x:f>
      </x:c>
      <x:c r="C426" s="73">
        <x:f>IF(A426="","",$J425)</x:f>
      </x:c>
      <x:c r="D426" s="73">
        <x:f>IF(A426="","",ROUND(MIN(Moteur!$B$3,C426+G426),2))</x:f>
      </x:c>
      <x:c r="E426" s="73">
        <x:f>IF(A426="","",ROUND(MIN(Dashboard!$B$11,MAX(0,C426-(D426-G426))),2))</x:f>
      </x:c>
      <x:c r="F426" s="73">
        <x:f>IF(A426="","",ROUND(C426*Dashboard!$B$12/Dashboard!$B$9,2))</x:f>
      </x:c>
      <x:c r="G426" s="73">
        <x:f>IF(A426="","",ROUND(C426*Moteur!$B$2,2))</x:f>
      </x:c>
      <x:c r="H426" s="73">
        <x:f>IF(A426="","",ROUND(MIN(C426,D426-G426+E426),2))</x:f>
      </x:c>
      <x:c r="I426" s="73">
        <x:f>IF(A426="","",ROUND(D426+E426+F426,2))</x:f>
      </x:c>
      <x:c r="J426" s="73">
        <x:f>IF(A426="","",ROUND(MAX(0,C426-H426),2))</x:f>
      </x:c>
      <x:c r="K426" s="74">
        <x:f>IF(A426="","",1-(J426/Dashboard!$B$6))</x:f>
      </x:c>
      <x:c r="L426" s="38">
        <x:f>IF(A426="","",IF(J426=0,"Soldé","En cours"))</x:f>
      </x:c>
      <x:c r="M426" s="73">
        <x:f>IF(A426="","",ROUND(SUM($G$8:G426),2))</x:f>
      </x:c>
    </x:row>
    <x:row r="427" ht="20" customHeight="1">
      <x:c r="A427" s="75">
        <x:f>IF(OR($J426="",ROUND($J426,2)=0),"",$A426+1)</x:f>
      </x:c>
      <x:c r="B427" s="76">
        <x:f>IF(A427="","",EDATE(Dashboard!$B$10,(A427-1)*(12/Dashboard!$B$9)))</x:f>
      </x:c>
      <x:c r="C427" s="77">
        <x:f>IF(A427="","",$J426)</x:f>
      </x:c>
      <x:c r="D427" s="77">
        <x:f>IF(A427="","",ROUND(MIN(Moteur!$B$3,C427+G427),2))</x:f>
      </x:c>
      <x:c r="E427" s="77">
        <x:f>IF(A427="","",ROUND(MIN(Dashboard!$B$11,MAX(0,C427-(D427-G427))),2))</x:f>
      </x:c>
      <x:c r="F427" s="77">
        <x:f>IF(A427="","",ROUND(C427*Dashboard!$B$12/Dashboard!$B$9,2))</x:f>
      </x:c>
      <x:c r="G427" s="77">
        <x:f>IF(A427="","",ROUND(C427*Moteur!$B$2,2))</x:f>
      </x:c>
      <x:c r="H427" s="77">
        <x:f>IF(A427="","",ROUND(MIN(C427,D427-G427+E427),2))</x:f>
      </x:c>
      <x:c r="I427" s="77">
        <x:f>IF(A427="","",ROUND(D427+E427+F427,2))</x:f>
      </x:c>
      <x:c r="J427" s="77">
        <x:f>IF(A427="","",ROUND(MAX(0,C427-H427),2))</x:f>
      </x:c>
      <x:c r="K427" s="78">
        <x:f>IF(A427="","",1-(J427/Dashboard!$B$6))</x:f>
      </x:c>
      <x:c r="L427" s="43">
        <x:f>IF(A427="","",IF(J427=0,"Soldé","En cours"))</x:f>
      </x:c>
      <x:c r="M427" s="77">
        <x:f>IF(A427="","",ROUND(SUM($G$8:G427),2))</x:f>
      </x:c>
    </x:row>
    <x:row r="428" ht="20" customHeight="1">
      <x:c r="A428" s="71">
        <x:f>IF(OR($J427="",ROUND($J427,2)=0),"",$A427+1)</x:f>
      </x:c>
      <x:c r="B428" s="72">
        <x:f>IF(A428="","",EDATE(Dashboard!$B$10,(A428-1)*(12/Dashboard!$B$9)))</x:f>
      </x:c>
      <x:c r="C428" s="73">
        <x:f>IF(A428="","",$J427)</x:f>
      </x:c>
      <x:c r="D428" s="73">
        <x:f>IF(A428="","",ROUND(MIN(Moteur!$B$3,C428+G428),2))</x:f>
      </x:c>
      <x:c r="E428" s="73">
        <x:f>IF(A428="","",ROUND(MIN(Dashboard!$B$11,MAX(0,C428-(D428-G428))),2))</x:f>
      </x:c>
      <x:c r="F428" s="73">
        <x:f>IF(A428="","",ROUND(C428*Dashboard!$B$12/Dashboard!$B$9,2))</x:f>
      </x:c>
      <x:c r="G428" s="73">
        <x:f>IF(A428="","",ROUND(C428*Moteur!$B$2,2))</x:f>
      </x:c>
      <x:c r="H428" s="73">
        <x:f>IF(A428="","",ROUND(MIN(C428,D428-G428+E428),2))</x:f>
      </x:c>
      <x:c r="I428" s="73">
        <x:f>IF(A428="","",ROUND(D428+E428+F428,2))</x:f>
      </x:c>
      <x:c r="J428" s="73">
        <x:f>IF(A428="","",ROUND(MAX(0,C428-H428),2))</x:f>
      </x:c>
      <x:c r="K428" s="74">
        <x:f>IF(A428="","",1-(J428/Dashboard!$B$6))</x:f>
      </x:c>
      <x:c r="L428" s="38">
        <x:f>IF(A428="","",IF(J428=0,"Soldé","En cours"))</x:f>
      </x:c>
      <x:c r="M428" s="73">
        <x:f>IF(A428="","",ROUND(SUM($G$8:G428),2))</x:f>
      </x:c>
    </x:row>
    <x:row r="429" ht="20" customHeight="1">
      <x:c r="A429" s="75">
        <x:f>IF(OR($J428="",ROUND($J428,2)=0),"",$A428+1)</x:f>
      </x:c>
      <x:c r="B429" s="76">
        <x:f>IF(A429="","",EDATE(Dashboard!$B$10,(A429-1)*(12/Dashboard!$B$9)))</x:f>
      </x:c>
      <x:c r="C429" s="77">
        <x:f>IF(A429="","",$J428)</x:f>
      </x:c>
      <x:c r="D429" s="77">
        <x:f>IF(A429="","",ROUND(MIN(Moteur!$B$3,C429+G429),2))</x:f>
      </x:c>
      <x:c r="E429" s="77">
        <x:f>IF(A429="","",ROUND(MIN(Dashboard!$B$11,MAX(0,C429-(D429-G429))),2))</x:f>
      </x:c>
      <x:c r="F429" s="77">
        <x:f>IF(A429="","",ROUND(C429*Dashboard!$B$12/Dashboard!$B$9,2))</x:f>
      </x:c>
      <x:c r="G429" s="77">
        <x:f>IF(A429="","",ROUND(C429*Moteur!$B$2,2))</x:f>
      </x:c>
      <x:c r="H429" s="77">
        <x:f>IF(A429="","",ROUND(MIN(C429,D429-G429+E429),2))</x:f>
      </x:c>
      <x:c r="I429" s="77">
        <x:f>IF(A429="","",ROUND(D429+E429+F429,2))</x:f>
      </x:c>
      <x:c r="J429" s="77">
        <x:f>IF(A429="","",ROUND(MAX(0,C429-H429),2))</x:f>
      </x:c>
      <x:c r="K429" s="78">
        <x:f>IF(A429="","",1-(J429/Dashboard!$B$6))</x:f>
      </x:c>
      <x:c r="L429" s="43">
        <x:f>IF(A429="","",IF(J429=0,"Soldé","En cours"))</x:f>
      </x:c>
      <x:c r="M429" s="77">
        <x:f>IF(A429="","",ROUND(SUM($G$8:G429),2))</x:f>
      </x:c>
    </x:row>
    <x:row r="430" ht="20" customHeight="1">
      <x:c r="A430" s="71">
        <x:f>IF(OR($J429="",ROUND($J429,2)=0),"",$A429+1)</x:f>
      </x:c>
      <x:c r="B430" s="72">
        <x:f>IF(A430="","",EDATE(Dashboard!$B$10,(A430-1)*(12/Dashboard!$B$9)))</x:f>
      </x:c>
      <x:c r="C430" s="73">
        <x:f>IF(A430="","",$J429)</x:f>
      </x:c>
      <x:c r="D430" s="73">
        <x:f>IF(A430="","",ROUND(MIN(Moteur!$B$3,C430+G430),2))</x:f>
      </x:c>
      <x:c r="E430" s="73">
        <x:f>IF(A430="","",ROUND(MIN(Dashboard!$B$11,MAX(0,C430-(D430-G430))),2))</x:f>
      </x:c>
      <x:c r="F430" s="73">
        <x:f>IF(A430="","",ROUND(C430*Dashboard!$B$12/Dashboard!$B$9,2))</x:f>
      </x:c>
      <x:c r="G430" s="73">
        <x:f>IF(A430="","",ROUND(C430*Moteur!$B$2,2))</x:f>
      </x:c>
      <x:c r="H430" s="73">
        <x:f>IF(A430="","",ROUND(MIN(C430,D430-G430+E430),2))</x:f>
      </x:c>
      <x:c r="I430" s="73">
        <x:f>IF(A430="","",ROUND(D430+E430+F430,2))</x:f>
      </x:c>
      <x:c r="J430" s="73">
        <x:f>IF(A430="","",ROUND(MAX(0,C430-H430),2))</x:f>
      </x:c>
      <x:c r="K430" s="74">
        <x:f>IF(A430="","",1-(J430/Dashboard!$B$6))</x:f>
      </x:c>
      <x:c r="L430" s="38">
        <x:f>IF(A430="","",IF(J430=0,"Soldé","En cours"))</x:f>
      </x:c>
      <x:c r="M430" s="73">
        <x:f>IF(A430="","",ROUND(SUM($G$8:G430),2))</x:f>
      </x:c>
    </x:row>
    <x:row r="431" ht="20" customHeight="1">
      <x:c r="A431" s="75">
        <x:f>IF(OR($J430="",ROUND($J430,2)=0),"",$A430+1)</x:f>
      </x:c>
      <x:c r="B431" s="76">
        <x:f>IF(A431="","",EDATE(Dashboard!$B$10,(A431-1)*(12/Dashboard!$B$9)))</x:f>
      </x:c>
      <x:c r="C431" s="77">
        <x:f>IF(A431="","",$J430)</x:f>
      </x:c>
      <x:c r="D431" s="77">
        <x:f>IF(A431="","",ROUND(MIN(Moteur!$B$3,C431+G431),2))</x:f>
      </x:c>
      <x:c r="E431" s="77">
        <x:f>IF(A431="","",ROUND(MIN(Dashboard!$B$11,MAX(0,C431-(D431-G431))),2))</x:f>
      </x:c>
      <x:c r="F431" s="77">
        <x:f>IF(A431="","",ROUND(C431*Dashboard!$B$12/Dashboard!$B$9,2))</x:f>
      </x:c>
      <x:c r="G431" s="77">
        <x:f>IF(A431="","",ROUND(C431*Moteur!$B$2,2))</x:f>
      </x:c>
      <x:c r="H431" s="77">
        <x:f>IF(A431="","",ROUND(MIN(C431,D431-G431+E431),2))</x:f>
      </x:c>
      <x:c r="I431" s="77">
        <x:f>IF(A431="","",ROUND(D431+E431+F431,2))</x:f>
      </x:c>
      <x:c r="J431" s="77">
        <x:f>IF(A431="","",ROUND(MAX(0,C431-H431),2))</x:f>
      </x:c>
      <x:c r="K431" s="78">
        <x:f>IF(A431="","",1-(J431/Dashboard!$B$6))</x:f>
      </x:c>
      <x:c r="L431" s="43">
        <x:f>IF(A431="","",IF(J431=0,"Soldé","En cours"))</x:f>
      </x:c>
      <x:c r="M431" s="77">
        <x:f>IF(A431="","",ROUND(SUM($G$8:G431),2))</x:f>
      </x:c>
    </x:row>
    <x:row r="432" ht="20" customHeight="1">
      <x:c r="A432" s="71">
        <x:f>IF(OR($J431="",ROUND($J431,2)=0),"",$A431+1)</x:f>
      </x:c>
      <x:c r="B432" s="72">
        <x:f>IF(A432="","",EDATE(Dashboard!$B$10,(A432-1)*(12/Dashboard!$B$9)))</x:f>
      </x:c>
      <x:c r="C432" s="73">
        <x:f>IF(A432="","",$J431)</x:f>
      </x:c>
      <x:c r="D432" s="73">
        <x:f>IF(A432="","",ROUND(MIN(Moteur!$B$3,C432+G432),2))</x:f>
      </x:c>
      <x:c r="E432" s="73">
        <x:f>IF(A432="","",ROUND(MIN(Dashboard!$B$11,MAX(0,C432-(D432-G432))),2))</x:f>
      </x:c>
      <x:c r="F432" s="73">
        <x:f>IF(A432="","",ROUND(C432*Dashboard!$B$12/Dashboard!$B$9,2))</x:f>
      </x:c>
      <x:c r="G432" s="73">
        <x:f>IF(A432="","",ROUND(C432*Moteur!$B$2,2))</x:f>
      </x:c>
      <x:c r="H432" s="73">
        <x:f>IF(A432="","",ROUND(MIN(C432,D432-G432+E432),2))</x:f>
      </x:c>
      <x:c r="I432" s="73">
        <x:f>IF(A432="","",ROUND(D432+E432+F432,2))</x:f>
      </x:c>
      <x:c r="J432" s="73">
        <x:f>IF(A432="","",ROUND(MAX(0,C432-H432),2))</x:f>
      </x:c>
      <x:c r="K432" s="74">
        <x:f>IF(A432="","",1-(J432/Dashboard!$B$6))</x:f>
      </x:c>
      <x:c r="L432" s="38">
        <x:f>IF(A432="","",IF(J432=0,"Soldé","En cours"))</x:f>
      </x:c>
      <x:c r="M432" s="73">
        <x:f>IF(A432="","",ROUND(SUM($G$8:G432),2))</x:f>
      </x:c>
    </x:row>
    <x:row r="433" ht="20" customHeight="1">
      <x:c r="A433" s="75">
        <x:f>IF(OR($J432="",ROUND($J432,2)=0),"",$A432+1)</x:f>
      </x:c>
      <x:c r="B433" s="76">
        <x:f>IF(A433="","",EDATE(Dashboard!$B$10,(A433-1)*(12/Dashboard!$B$9)))</x:f>
      </x:c>
      <x:c r="C433" s="77">
        <x:f>IF(A433="","",$J432)</x:f>
      </x:c>
      <x:c r="D433" s="77">
        <x:f>IF(A433="","",ROUND(MIN(Moteur!$B$3,C433+G433),2))</x:f>
      </x:c>
      <x:c r="E433" s="77">
        <x:f>IF(A433="","",ROUND(MIN(Dashboard!$B$11,MAX(0,C433-(D433-G433))),2))</x:f>
      </x:c>
      <x:c r="F433" s="77">
        <x:f>IF(A433="","",ROUND(C433*Dashboard!$B$12/Dashboard!$B$9,2))</x:f>
      </x:c>
      <x:c r="G433" s="77">
        <x:f>IF(A433="","",ROUND(C433*Moteur!$B$2,2))</x:f>
      </x:c>
      <x:c r="H433" s="77">
        <x:f>IF(A433="","",ROUND(MIN(C433,D433-G433+E433),2))</x:f>
      </x:c>
      <x:c r="I433" s="77">
        <x:f>IF(A433="","",ROUND(D433+E433+F433,2))</x:f>
      </x:c>
      <x:c r="J433" s="77">
        <x:f>IF(A433="","",ROUND(MAX(0,C433-H433),2))</x:f>
      </x:c>
      <x:c r="K433" s="78">
        <x:f>IF(A433="","",1-(J433/Dashboard!$B$6))</x:f>
      </x:c>
      <x:c r="L433" s="43">
        <x:f>IF(A433="","",IF(J433=0,"Soldé","En cours"))</x:f>
      </x:c>
      <x:c r="M433" s="77">
        <x:f>IF(A433="","",ROUND(SUM($G$8:G433),2))</x:f>
      </x:c>
    </x:row>
    <x:row r="434" ht="20" customHeight="1">
      <x:c r="A434" s="71">
        <x:f>IF(OR($J433="",ROUND($J433,2)=0),"",$A433+1)</x:f>
      </x:c>
      <x:c r="B434" s="72">
        <x:f>IF(A434="","",EDATE(Dashboard!$B$10,(A434-1)*(12/Dashboard!$B$9)))</x:f>
      </x:c>
      <x:c r="C434" s="73">
        <x:f>IF(A434="","",$J433)</x:f>
      </x:c>
      <x:c r="D434" s="73">
        <x:f>IF(A434="","",ROUND(MIN(Moteur!$B$3,C434+G434),2))</x:f>
      </x:c>
      <x:c r="E434" s="73">
        <x:f>IF(A434="","",ROUND(MIN(Dashboard!$B$11,MAX(0,C434-(D434-G434))),2))</x:f>
      </x:c>
      <x:c r="F434" s="73">
        <x:f>IF(A434="","",ROUND(C434*Dashboard!$B$12/Dashboard!$B$9,2))</x:f>
      </x:c>
      <x:c r="G434" s="73">
        <x:f>IF(A434="","",ROUND(C434*Moteur!$B$2,2))</x:f>
      </x:c>
      <x:c r="H434" s="73">
        <x:f>IF(A434="","",ROUND(MIN(C434,D434-G434+E434),2))</x:f>
      </x:c>
      <x:c r="I434" s="73">
        <x:f>IF(A434="","",ROUND(D434+E434+F434,2))</x:f>
      </x:c>
      <x:c r="J434" s="73">
        <x:f>IF(A434="","",ROUND(MAX(0,C434-H434),2))</x:f>
      </x:c>
      <x:c r="K434" s="74">
        <x:f>IF(A434="","",1-(J434/Dashboard!$B$6))</x:f>
      </x:c>
      <x:c r="L434" s="38">
        <x:f>IF(A434="","",IF(J434=0,"Soldé","En cours"))</x:f>
      </x:c>
      <x:c r="M434" s="73">
        <x:f>IF(A434="","",ROUND(SUM($G$8:G434),2))</x:f>
      </x:c>
    </x:row>
    <x:row r="435" ht="20" customHeight="1">
      <x:c r="A435" s="75">
        <x:f>IF(OR($J434="",ROUND($J434,2)=0),"",$A434+1)</x:f>
      </x:c>
      <x:c r="B435" s="76">
        <x:f>IF(A435="","",EDATE(Dashboard!$B$10,(A435-1)*(12/Dashboard!$B$9)))</x:f>
      </x:c>
      <x:c r="C435" s="77">
        <x:f>IF(A435="","",$J434)</x:f>
      </x:c>
      <x:c r="D435" s="77">
        <x:f>IF(A435="","",ROUND(MIN(Moteur!$B$3,C435+G435),2))</x:f>
      </x:c>
      <x:c r="E435" s="77">
        <x:f>IF(A435="","",ROUND(MIN(Dashboard!$B$11,MAX(0,C435-(D435-G435))),2))</x:f>
      </x:c>
      <x:c r="F435" s="77">
        <x:f>IF(A435="","",ROUND(C435*Dashboard!$B$12/Dashboard!$B$9,2))</x:f>
      </x:c>
      <x:c r="G435" s="77">
        <x:f>IF(A435="","",ROUND(C435*Moteur!$B$2,2))</x:f>
      </x:c>
      <x:c r="H435" s="77">
        <x:f>IF(A435="","",ROUND(MIN(C435,D435-G435+E435),2))</x:f>
      </x:c>
      <x:c r="I435" s="77">
        <x:f>IF(A435="","",ROUND(D435+E435+F435,2))</x:f>
      </x:c>
      <x:c r="J435" s="77">
        <x:f>IF(A435="","",ROUND(MAX(0,C435-H435),2))</x:f>
      </x:c>
      <x:c r="K435" s="78">
        <x:f>IF(A435="","",1-(J435/Dashboard!$B$6))</x:f>
      </x:c>
      <x:c r="L435" s="43">
        <x:f>IF(A435="","",IF(J435=0,"Soldé","En cours"))</x:f>
      </x:c>
      <x:c r="M435" s="77">
        <x:f>IF(A435="","",ROUND(SUM($G$8:G435),2))</x:f>
      </x:c>
    </x:row>
    <x:row r="436" ht="20" customHeight="1">
      <x:c r="A436" s="71">
        <x:f>IF(OR($J435="",ROUND($J435,2)=0),"",$A435+1)</x:f>
      </x:c>
      <x:c r="B436" s="72">
        <x:f>IF(A436="","",EDATE(Dashboard!$B$10,(A436-1)*(12/Dashboard!$B$9)))</x:f>
      </x:c>
      <x:c r="C436" s="73">
        <x:f>IF(A436="","",$J435)</x:f>
      </x:c>
      <x:c r="D436" s="73">
        <x:f>IF(A436="","",ROUND(MIN(Moteur!$B$3,C436+G436),2))</x:f>
      </x:c>
      <x:c r="E436" s="73">
        <x:f>IF(A436="","",ROUND(MIN(Dashboard!$B$11,MAX(0,C436-(D436-G436))),2))</x:f>
      </x:c>
      <x:c r="F436" s="73">
        <x:f>IF(A436="","",ROUND(C436*Dashboard!$B$12/Dashboard!$B$9,2))</x:f>
      </x:c>
      <x:c r="G436" s="73">
        <x:f>IF(A436="","",ROUND(C436*Moteur!$B$2,2))</x:f>
      </x:c>
      <x:c r="H436" s="73">
        <x:f>IF(A436="","",ROUND(MIN(C436,D436-G436+E436),2))</x:f>
      </x:c>
      <x:c r="I436" s="73">
        <x:f>IF(A436="","",ROUND(D436+E436+F436,2))</x:f>
      </x:c>
      <x:c r="J436" s="73">
        <x:f>IF(A436="","",ROUND(MAX(0,C436-H436),2))</x:f>
      </x:c>
      <x:c r="K436" s="74">
        <x:f>IF(A436="","",1-(J436/Dashboard!$B$6))</x:f>
      </x:c>
      <x:c r="L436" s="38">
        <x:f>IF(A436="","",IF(J436=0,"Soldé","En cours"))</x:f>
      </x:c>
      <x:c r="M436" s="73">
        <x:f>IF(A436="","",ROUND(SUM($G$8:G436),2))</x:f>
      </x:c>
    </x:row>
    <x:row r="437" ht="20" customHeight="1">
      <x:c r="A437" s="75">
        <x:f>IF(OR($J436="",ROUND($J436,2)=0),"",$A436+1)</x:f>
      </x:c>
      <x:c r="B437" s="76">
        <x:f>IF(A437="","",EDATE(Dashboard!$B$10,(A437-1)*(12/Dashboard!$B$9)))</x:f>
      </x:c>
      <x:c r="C437" s="77">
        <x:f>IF(A437="","",$J436)</x:f>
      </x:c>
      <x:c r="D437" s="77">
        <x:f>IF(A437="","",ROUND(MIN(Moteur!$B$3,C437+G437),2))</x:f>
      </x:c>
      <x:c r="E437" s="77">
        <x:f>IF(A437="","",ROUND(MIN(Dashboard!$B$11,MAX(0,C437-(D437-G437))),2))</x:f>
      </x:c>
      <x:c r="F437" s="77">
        <x:f>IF(A437="","",ROUND(C437*Dashboard!$B$12/Dashboard!$B$9,2))</x:f>
      </x:c>
      <x:c r="G437" s="77">
        <x:f>IF(A437="","",ROUND(C437*Moteur!$B$2,2))</x:f>
      </x:c>
      <x:c r="H437" s="77">
        <x:f>IF(A437="","",ROUND(MIN(C437,D437-G437+E437),2))</x:f>
      </x:c>
      <x:c r="I437" s="77">
        <x:f>IF(A437="","",ROUND(D437+E437+F437,2))</x:f>
      </x:c>
      <x:c r="J437" s="77">
        <x:f>IF(A437="","",ROUND(MAX(0,C437-H437),2))</x:f>
      </x:c>
      <x:c r="K437" s="78">
        <x:f>IF(A437="","",1-(J437/Dashboard!$B$6))</x:f>
      </x:c>
      <x:c r="L437" s="43">
        <x:f>IF(A437="","",IF(J437=0,"Soldé","En cours"))</x:f>
      </x:c>
      <x:c r="M437" s="77">
        <x:f>IF(A437="","",ROUND(SUM($G$8:G437),2))</x:f>
      </x:c>
    </x:row>
    <x:row r="438" ht="20" customHeight="1">
      <x:c r="A438" s="71">
        <x:f>IF(OR($J437="",ROUND($J437,2)=0),"",$A437+1)</x:f>
      </x:c>
      <x:c r="B438" s="72">
        <x:f>IF(A438="","",EDATE(Dashboard!$B$10,(A438-1)*(12/Dashboard!$B$9)))</x:f>
      </x:c>
      <x:c r="C438" s="73">
        <x:f>IF(A438="","",$J437)</x:f>
      </x:c>
      <x:c r="D438" s="73">
        <x:f>IF(A438="","",ROUND(MIN(Moteur!$B$3,C438+G438),2))</x:f>
      </x:c>
      <x:c r="E438" s="73">
        <x:f>IF(A438="","",ROUND(MIN(Dashboard!$B$11,MAX(0,C438-(D438-G438))),2))</x:f>
      </x:c>
      <x:c r="F438" s="73">
        <x:f>IF(A438="","",ROUND(C438*Dashboard!$B$12/Dashboard!$B$9,2))</x:f>
      </x:c>
      <x:c r="G438" s="73">
        <x:f>IF(A438="","",ROUND(C438*Moteur!$B$2,2))</x:f>
      </x:c>
      <x:c r="H438" s="73">
        <x:f>IF(A438="","",ROUND(MIN(C438,D438-G438+E438),2))</x:f>
      </x:c>
      <x:c r="I438" s="73">
        <x:f>IF(A438="","",ROUND(D438+E438+F438,2))</x:f>
      </x:c>
      <x:c r="J438" s="73">
        <x:f>IF(A438="","",ROUND(MAX(0,C438-H438),2))</x:f>
      </x:c>
      <x:c r="K438" s="74">
        <x:f>IF(A438="","",1-(J438/Dashboard!$B$6))</x:f>
      </x:c>
      <x:c r="L438" s="38">
        <x:f>IF(A438="","",IF(J438=0,"Soldé","En cours"))</x:f>
      </x:c>
      <x:c r="M438" s="73">
        <x:f>IF(A438="","",ROUND(SUM($G$8:G438),2))</x:f>
      </x:c>
    </x:row>
    <x:row r="439" ht="20" customHeight="1">
      <x:c r="A439" s="75">
        <x:f>IF(OR($J438="",ROUND($J438,2)=0),"",$A438+1)</x:f>
      </x:c>
      <x:c r="B439" s="76">
        <x:f>IF(A439="","",EDATE(Dashboard!$B$10,(A439-1)*(12/Dashboard!$B$9)))</x:f>
      </x:c>
      <x:c r="C439" s="77">
        <x:f>IF(A439="","",$J438)</x:f>
      </x:c>
      <x:c r="D439" s="77">
        <x:f>IF(A439="","",ROUND(MIN(Moteur!$B$3,C439+G439),2))</x:f>
      </x:c>
      <x:c r="E439" s="77">
        <x:f>IF(A439="","",ROUND(MIN(Dashboard!$B$11,MAX(0,C439-(D439-G439))),2))</x:f>
      </x:c>
      <x:c r="F439" s="77">
        <x:f>IF(A439="","",ROUND(C439*Dashboard!$B$12/Dashboard!$B$9,2))</x:f>
      </x:c>
      <x:c r="G439" s="77">
        <x:f>IF(A439="","",ROUND(C439*Moteur!$B$2,2))</x:f>
      </x:c>
      <x:c r="H439" s="77">
        <x:f>IF(A439="","",ROUND(MIN(C439,D439-G439+E439),2))</x:f>
      </x:c>
      <x:c r="I439" s="77">
        <x:f>IF(A439="","",ROUND(D439+E439+F439,2))</x:f>
      </x:c>
      <x:c r="J439" s="77">
        <x:f>IF(A439="","",ROUND(MAX(0,C439-H439),2))</x:f>
      </x:c>
      <x:c r="K439" s="78">
        <x:f>IF(A439="","",1-(J439/Dashboard!$B$6))</x:f>
      </x:c>
      <x:c r="L439" s="43">
        <x:f>IF(A439="","",IF(J439=0,"Soldé","En cours"))</x:f>
      </x:c>
      <x:c r="M439" s="77">
        <x:f>IF(A439="","",ROUND(SUM($G$8:G439),2))</x:f>
      </x:c>
    </x:row>
    <x:row r="440" ht="20" customHeight="1">
      <x:c r="A440" s="71">
        <x:f>IF(OR($J439="",ROUND($J439,2)=0),"",$A439+1)</x:f>
      </x:c>
      <x:c r="B440" s="72">
        <x:f>IF(A440="","",EDATE(Dashboard!$B$10,(A440-1)*(12/Dashboard!$B$9)))</x:f>
      </x:c>
      <x:c r="C440" s="73">
        <x:f>IF(A440="","",$J439)</x:f>
      </x:c>
      <x:c r="D440" s="73">
        <x:f>IF(A440="","",ROUND(MIN(Moteur!$B$3,C440+G440),2))</x:f>
      </x:c>
      <x:c r="E440" s="73">
        <x:f>IF(A440="","",ROUND(MIN(Dashboard!$B$11,MAX(0,C440-(D440-G440))),2))</x:f>
      </x:c>
      <x:c r="F440" s="73">
        <x:f>IF(A440="","",ROUND(C440*Dashboard!$B$12/Dashboard!$B$9,2))</x:f>
      </x:c>
      <x:c r="G440" s="73">
        <x:f>IF(A440="","",ROUND(C440*Moteur!$B$2,2))</x:f>
      </x:c>
      <x:c r="H440" s="73">
        <x:f>IF(A440="","",ROUND(MIN(C440,D440-G440+E440),2))</x:f>
      </x:c>
      <x:c r="I440" s="73">
        <x:f>IF(A440="","",ROUND(D440+E440+F440,2))</x:f>
      </x:c>
      <x:c r="J440" s="73">
        <x:f>IF(A440="","",ROUND(MAX(0,C440-H440),2))</x:f>
      </x:c>
      <x:c r="K440" s="74">
        <x:f>IF(A440="","",1-(J440/Dashboard!$B$6))</x:f>
      </x:c>
      <x:c r="L440" s="38">
        <x:f>IF(A440="","",IF(J440=0,"Soldé","En cours"))</x:f>
      </x:c>
      <x:c r="M440" s="73">
        <x:f>IF(A440="","",ROUND(SUM($G$8:G440),2))</x:f>
      </x:c>
    </x:row>
    <x:row r="441" ht="20" customHeight="1">
      <x:c r="A441" s="75">
        <x:f>IF(OR($J440="",ROUND($J440,2)=0),"",$A440+1)</x:f>
      </x:c>
      <x:c r="B441" s="76">
        <x:f>IF(A441="","",EDATE(Dashboard!$B$10,(A441-1)*(12/Dashboard!$B$9)))</x:f>
      </x:c>
      <x:c r="C441" s="77">
        <x:f>IF(A441="","",$J440)</x:f>
      </x:c>
      <x:c r="D441" s="77">
        <x:f>IF(A441="","",ROUND(MIN(Moteur!$B$3,C441+G441),2))</x:f>
      </x:c>
      <x:c r="E441" s="77">
        <x:f>IF(A441="","",ROUND(MIN(Dashboard!$B$11,MAX(0,C441-(D441-G441))),2))</x:f>
      </x:c>
      <x:c r="F441" s="77">
        <x:f>IF(A441="","",ROUND(C441*Dashboard!$B$12/Dashboard!$B$9,2))</x:f>
      </x:c>
      <x:c r="G441" s="77">
        <x:f>IF(A441="","",ROUND(C441*Moteur!$B$2,2))</x:f>
      </x:c>
      <x:c r="H441" s="77">
        <x:f>IF(A441="","",ROUND(MIN(C441,D441-G441+E441),2))</x:f>
      </x:c>
      <x:c r="I441" s="77">
        <x:f>IF(A441="","",ROUND(D441+E441+F441,2))</x:f>
      </x:c>
      <x:c r="J441" s="77">
        <x:f>IF(A441="","",ROUND(MAX(0,C441-H441),2))</x:f>
      </x:c>
      <x:c r="K441" s="78">
        <x:f>IF(A441="","",1-(J441/Dashboard!$B$6))</x:f>
      </x:c>
      <x:c r="L441" s="43">
        <x:f>IF(A441="","",IF(J441=0,"Soldé","En cours"))</x:f>
      </x:c>
      <x:c r="M441" s="77">
        <x:f>IF(A441="","",ROUND(SUM($G$8:G441),2))</x:f>
      </x:c>
    </x:row>
    <x:row r="442" ht="20" customHeight="1">
      <x:c r="A442" s="71">
        <x:f>IF(OR($J441="",ROUND($J441,2)=0),"",$A441+1)</x:f>
      </x:c>
      <x:c r="B442" s="72">
        <x:f>IF(A442="","",EDATE(Dashboard!$B$10,(A442-1)*(12/Dashboard!$B$9)))</x:f>
      </x:c>
      <x:c r="C442" s="73">
        <x:f>IF(A442="","",$J441)</x:f>
      </x:c>
      <x:c r="D442" s="73">
        <x:f>IF(A442="","",ROUND(MIN(Moteur!$B$3,C442+G442),2))</x:f>
      </x:c>
      <x:c r="E442" s="73">
        <x:f>IF(A442="","",ROUND(MIN(Dashboard!$B$11,MAX(0,C442-(D442-G442))),2))</x:f>
      </x:c>
      <x:c r="F442" s="73">
        <x:f>IF(A442="","",ROUND(C442*Dashboard!$B$12/Dashboard!$B$9,2))</x:f>
      </x:c>
      <x:c r="G442" s="73">
        <x:f>IF(A442="","",ROUND(C442*Moteur!$B$2,2))</x:f>
      </x:c>
      <x:c r="H442" s="73">
        <x:f>IF(A442="","",ROUND(MIN(C442,D442-G442+E442),2))</x:f>
      </x:c>
      <x:c r="I442" s="73">
        <x:f>IF(A442="","",ROUND(D442+E442+F442,2))</x:f>
      </x:c>
      <x:c r="J442" s="73">
        <x:f>IF(A442="","",ROUND(MAX(0,C442-H442),2))</x:f>
      </x:c>
      <x:c r="K442" s="74">
        <x:f>IF(A442="","",1-(J442/Dashboard!$B$6))</x:f>
      </x:c>
      <x:c r="L442" s="38">
        <x:f>IF(A442="","",IF(J442=0,"Soldé","En cours"))</x:f>
      </x:c>
      <x:c r="M442" s="73">
        <x:f>IF(A442="","",ROUND(SUM($G$8:G442),2))</x:f>
      </x:c>
    </x:row>
    <x:row r="443" ht="20" customHeight="1">
      <x:c r="A443" s="75">
        <x:f>IF(OR($J442="",ROUND($J442,2)=0),"",$A442+1)</x:f>
      </x:c>
      <x:c r="B443" s="76">
        <x:f>IF(A443="","",EDATE(Dashboard!$B$10,(A443-1)*(12/Dashboard!$B$9)))</x:f>
      </x:c>
      <x:c r="C443" s="77">
        <x:f>IF(A443="","",$J442)</x:f>
      </x:c>
      <x:c r="D443" s="77">
        <x:f>IF(A443="","",ROUND(MIN(Moteur!$B$3,C443+G443),2))</x:f>
      </x:c>
      <x:c r="E443" s="77">
        <x:f>IF(A443="","",ROUND(MIN(Dashboard!$B$11,MAX(0,C443-(D443-G443))),2))</x:f>
      </x:c>
      <x:c r="F443" s="77">
        <x:f>IF(A443="","",ROUND(C443*Dashboard!$B$12/Dashboard!$B$9,2))</x:f>
      </x:c>
      <x:c r="G443" s="77">
        <x:f>IF(A443="","",ROUND(C443*Moteur!$B$2,2))</x:f>
      </x:c>
      <x:c r="H443" s="77">
        <x:f>IF(A443="","",ROUND(MIN(C443,D443-G443+E443),2))</x:f>
      </x:c>
      <x:c r="I443" s="77">
        <x:f>IF(A443="","",ROUND(D443+E443+F443,2))</x:f>
      </x:c>
      <x:c r="J443" s="77">
        <x:f>IF(A443="","",ROUND(MAX(0,C443-H443),2))</x:f>
      </x:c>
      <x:c r="K443" s="78">
        <x:f>IF(A443="","",1-(J443/Dashboard!$B$6))</x:f>
      </x:c>
      <x:c r="L443" s="43">
        <x:f>IF(A443="","",IF(J443=0,"Soldé","En cours"))</x:f>
      </x:c>
      <x:c r="M443" s="77">
        <x:f>IF(A443="","",ROUND(SUM($G$8:G443),2))</x:f>
      </x:c>
    </x:row>
    <x:row r="444" ht="20" customHeight="1">
      <x:c r="A444" s="71">
        <x:f>IF(OR($J443="",ROUND($J443,2)=0),"",$A443+1)</x:f>
      </x:c>
      <x:c r="B444" s="72">
        <x:f>IF(A444="","",EDATE(Dashboard!$B$10,(A444-1)*(12/Dashboard!$B$9)))</x:f>
      </x:c>
      <x:c r="C444" s="73">
        <x:f>IF(A444="","",$J443)</x:f>
      </x:c>
      <x:c r="D444" s="73">
        <x:f>IF(A444="","",ROUND(MIN(Moteur!$B$3,C444+G444),2))</x:f>
      </x:c>
      <x:c r="E444" s="73">
        <x:f>IF(A444="","",ROUND(MIN(Dashboard!$B$11,MAX(0,C444-(D444-G444))),2))</x:f>
      </x:c>
      <x:c r="F444" s="73">
        <x:f>IF(A444="","",ROUND(C444*Dashboard!$B$12/Dashboard!$B$9,2))</x:f>
      </x:c>
      <x:c r="G444" s="73">
        <x:f>IF(A444="","",ROUND(C444*Moteur!$B$2,2))</x:f>
      </x:c>
      <x:c r="H444" s="73">
        <x:f>IF(A444="","",ROUND(MIN(C444,D444-G444+E444),2))</x:f>
      </x:c>
      <x:c r="I444" s="73">
        <x:f>IF(A444="","",ROUND(D444+E444+F444,2))</x:f>
      </x:c>
      <x:c r="J444" s="73">
        <x:f>IF(A444="","",ROUND(MAX(0,C444-H444),2))</x:f>
      </x:c>
      <x:c r="K444" s="74">
        <x:f>IF(A444="","",1-(J444/Dashboard!$B$6))</x:f>
      </x:c>
      <x:c r="L444" s="38">
        <x:f>IF(A444="","",IF(J444=0,"Soldé","En cours"))</x:f>
      </x:c>
      <x:c r="M444" s="73">
        <x:f>IF(A444="","",ROUND(SUM($G$8:G444),2))</x:f>
      </x:c>
    </x:row>
    <x:row r="445" ht="20" customHeight="1">
      <x:c r="A445" s="75">
        <x:f>IF(OR($J444="",ROUND($J444,2)=0),"",$A444+1)</x:f>
      </x:c>
      <x:c r="B445" s="76">
        <x:f>IF(A445="","",EDATE(Dashboard!$B$10,(A445-1)*(12/Dashboard!$B$9)))</x:f>
      </x:c>
      <x:c r="C445" s="77">
        <x:f>IF(A445="","",$J444)</x:f>
      </x:c>
      <x:c r="D445" s="77">
        <x:f>IF(A445="","",ROUND(MIN(Moteur!$B$3,C445+G445),2))</x:f>
      </x:c>
      <x:c r="E445" s="77">
        <x:f>IF(A445="","",ROUND(MIN(Dashboard!$B$11,MAX(0,C445-(D445-G445))),2))</x:f>
      </x:c>
      <x:c r="F445" s="77">
        <x:f>IF(A445="","",ROUND(C445*Dashboard!$B$12/Dashboard!$B$9,2))</x:f>
      </x:c>
      <x:c r="G445" s="77">
        <x:f>IF(A445="","",ROUND(C445*Moteur!$B$2,2))</x:f>
      </x:c>
      <x:c r="H445" s="77">
        <x:f>IF(A445="","",ROUND(MIN(C445,D445-G445+E445),2))</x:f>
      </x:c>
      <x:c r="I445" s="77">
        <x:f>IF(A445="","",ROUND(D445+E445+F445,2))</x:f>
      </x:c>
      <x:c r="J445" s="77">
        <x:f>IF(A445="","",ROUND(MAX(0,C445-H445),2))</x:f>
      </x:c>
      <x:c r="K445" s="78">
        <x:f>IF(A445="","",1-(J445/Dashboard!$B$6))</x:f>
      </x:c>
      <x:c r="L445" s="43">
        <x:f>IF(A445="","",IF(J445=0,"Soldé","En cours"))</x:f>
      </x:c>
      <x:c r="M445" s="77">
        <x:f>IF(A445="","",ROUND(SUM($G$8:G445),2))</x:f>
      </x:c>
    </x:row>
    <x:row r="446" ht="20" customHeight="1">
      <x:c r="A446" s="71">
        <x:f>IF(OR($J445="",ROUND($J445,2)=0),"",$A445+1)</x:f>
      </x:c>
      <x:c r="B446" s="72">
        <x:f>IF(A446="","",EDATE(Dashboard!$B$10,(A446-1)*(12/Dashboard!$B$9)))</x:f>
      </x:c>
      <x:c r="C446" s="73">
        <x:f>IF(A446="","",$J445)</x:f>
      </x:c>
      <x:c r="D446" s="73">
        <x:f>IF(A446="","",ROUND(MIN(Moteur!$B$3,C446+G446),2))</x:f>
      </x:c>
      <x:c r="E446" s="73">
        <x:f>IF(A446="","",ROUND(MIN(Dashboard!$B$11,MAX(0,C446-(D446-G446))),2))</x:f>
      </x:c>
      <x:c r="F446" s="73">
        <x:f>IF(A446="","",ROUND(C446*Dashboard!$B$12/Dashboard!$B$9,2))</x:f>
      </x:c>
      <x:c r="G446" s="73">
        <x:f>IF(A446="","",ROUND(C446*Moteur!$B$2,2))</x:f>
      </x:c>
      <x:c r="H446" s="73">
        <x:f>IF(A446="","",ROUND(MIN(C446,D446-G446+E446),2))</x:f>
      </x:c>
      <x:c r="I446" s="73">
        <x:f>IF(A446="","",ROUND(D446+E446+F446,2))</x:f>
      </x:c>
      <x:c r="J446" s="73">
        <x:f>IF(A446="","",ROUND(MAX(0,C446-H446),2))</x:f>
      </x:c>
      <x:c r="K446" s="74">
        <x:f>IF(A446="","",1-(J446/Dashboard!$B$6))</x:f>
      </x:c>
      <x:c r="L446" s="38">
        <x:f>IF(A446="","",IF(J446=0,"Soldé","En cours"))</x:f>
      </x:c>
      <x:c r="M446" s="73">
        <x:f>IF(A446="","",ROUND(SUM($G$8:G446),2))</x:f>
      </x:c>
    </x:row>
    <x:row r="447" ht="20" customHeight="1">
      <x:c r="A447" s="75">
        <x:f>IF(OR($J446="",ROUND($J446,2)=0),"",$A446+1)</x:f>
      </x:c>
      <x:c r="B447" s="76">
        <x:f>IF(A447="","",EDATE(Dashboard!$B$10,(A447-1)*(12/Dashboard!$B$9)))</x:f>
      </x:c>
      <x:c r="C447" s="77">
        <x:f>IF(A447="","",$J446)</x:f>
      </x:c>
      <x:c r="D447" s="77">
        <x:f>IF(A447="","",ROUND(MIN(Moteur!$B$3,C447+G447),2))</x:f>
      </x:c>
      <x:c r="E447" s="77">
        <x:f>IF(A447="","",ROUND(MIN(Dashboard!$B$11,MAX(0,C447-(D447-G447))),2))</x:f>
      </x:c>
      <x:c r="F447" s="77">
        <x:f>IF(A447="","",ROUND(C447*Dashboard!$B$12/Dashboard!$B$9,2))</x:f>
      </x:c>
      <x:c r="G447" s="77">
        <x:f>IF(A447="","",ROUND(C447*Moteur!$B$2,2))</x:f>
      </x:c>
      <x:c r="H447" s="77">
        <x:f>IF(A447="","",ROUND(MIN(C447,D447-G447+E447),2))</x:f>
      </x:c>
      <x:c r="I447" s="77">
        <x:f>IF(A447="","",ROUND(D447+E447+F447,2))</x:f>
      </x:c>
      <x:c r="J447" s="77">
        <x:f>IF(A447="","",ROUND(MAX(0,C447-H447),2))</x:f>
      </x:c>
      <x:c r="K447" s="78">
        <x:f>IF(A447="","",1-(J447/Dashboard!$B$6))</x:f>
      </x:c>
      <x:c r="L447" s="43">
        <x:f>IF(A447="","",IF(J447=0,"Soldé","En cours"))</x:f>
      </x:c>
      <x:c r="M447" s="77">
        <x:f>IF(A447="","",ROUND(SUM($G$8:G447),2))</x:f>
      </x:c>
    </x:row>
    <x:row r="448" ht="20" customHeight="1">
      <x:c r="A448" s="71">
        <x:f>IF(OR($J447="",ROUND($J447,2)=0),"",$A447+1)</x:f>
      </x:c>
      <x:c r="B448" s="72">
        <x:f>IF(A448="","",EDATE(Dashboard!$B$10,(A448-1)*(12/Dashboard!$B$9)))</x:f>
      </x:c>
      <x:c r="C448" s="73">
        <x:f>IF(A448="","",$J447)</x:f>
      </x:c>
      <x:c r="D448" s="73">
        <x:f>IF(A448="","",ROUND(MIN(Moteur!$B$3,C448+G448),2))</x:f>
      </x:c>
      <x:c r="E448" s="73">
        <x:f>IF(A448="","",ROUND(MIN(Dashboard!$B$11,MAX(0,C448-(D448-G448))),2))</x:f>
      </x:c>
      <x:c r="F448" s="73">
        <x:f>IF(A448="","",ROUND(C448*Dashboard!$B$12/Dashboard!$B$9,2))</x:f>
      </x:c>
      <x:c r="G448" s="73">
        <x:f>IF(A448="","",ROUND(C448*Moteur!$B$2,2))</x:f>
      </x:c>
      <x:c r="H448" s="73">
        <x:f>IF(A448="","",ROUND(MIN(C448,D448-G448+E448),2))</x:f>
      </x:c>
      <x:c r="I448" s="73">
        <x:f>IF(A448="","",ROUND(D448+E448+F448,2))</x:f>
      </x:c>
      <x:c r="J448" s="73">
        <x:f>IF(A448="","",ROUND(MAX(0,C448-H448),2))</x:f>
      </x:c>
      <x:c r="K448" s="74">
        <x:f>IF(A448="","",1-(J448/Dashboard!$B$6))</x:f>
      </x:c>
      <x:c r="L448" s="38">
        <x:f>IF(A448="","",IF(J448=0,"Soldé","En cours"))</x:f>
      </x:c>
      <x:c r="M448" s="73">
        <x:f>IF(A448="","",ROUND(SUM($G$8:G448),2))</x:f>
      </x:c>
    </x:row>
    <x:row r="449" ht="20" customHeight="1">
      <x:c r="A449" s="75">
        <x:f>IF(OR($J448="",ROUND($J448,2)=0),"",$A448+1)</x:f>
      </x:c>
      <x:c r="B449" s="76">
        <x:f>IF(A449="","",EDATE(Dashboard!$B$10,(A449-1)*(12/Dashboard!$B$9)))</x:f>
      </x:c>
      <x:c r="C449" s="77">
        <x:f>IF(A449="","",$J448)</x:f>
      </x:c>
      <x:c r="D449" s="77">
        <x:f>IF(A449="","",ROUND(MIN(Moteur!$B$3,C449+G449),2))</x:f>
      </x:c>
      <x:c r="E449" s="77">
        <x:f>IF(A449="","",ROUND(MIN(Dashboard!$B$11,MAX(0,C449-(D449-G449))),2))</x:f>
      </x:c>
      <x:c r="F449" s="77">
        <x:f>IF(A449="","",ROUND(C449*Dashboard!$B$12/Dashboard!$B$9,2))</x:f>
      </x:c>
      <x:c r="G449" s="77">
        <x:f>IF(A449="","",ROUND(C449*Moteur!$B$2,2))</x:f>
      </x:c>
      <x:c r="H449" s="77">
        <x:f>IF(A449="","",ROUND(MIN(C449,D449-G449+E449),2))</x:f>
      </x:c>
      <x:c r="I449" s="77">
        <x:f>IF(A449="","",ROUND(D449+E449+F449,2))</x:f>
      </x:c>
      <x:c r="J449" s="77">
        <x:f>IF(A449="","",ROUND(MAX(0,C449-H449),2))</x:f>
      </x:c>
      <x:c r="K449" s="78">
        <x:f>IF(A449="","",1-(J449/Dashboard!$B$6))</x:f>
      </x:c>
      <x:c r="L449" s="43">
        <x:f>IF(A449="","",IF(J449=0,"Soldé","En cours"))</x:f>
      </x:c>
      <x:c r="M449" s="77">
        <x:f>IF(A449="","",ROUND(SUM($G$8:G449),2))</x:f>
      </x:c>
    </x:row>
    <x:row r="450" ht="20" customHeight="1">
      <x:c r="A450" s="71">
        <x:f>IF(OR($J449="",ROUND($J449,2)=0),"",$A449+1)</x:f>
      </x:c>
      <x:c r="B450" s="72">
        <x:f>IF(A450="","",EDATE(Dashboard!$B$10,(A450-1)*(12/Dashboard!$B$9)))</x:f>
      </x:c>
      <x:c r="C450" s="73">
        <x:f>IF(A450="","",$J449)</x:f>
      </x:c>
      <x:c r="D450" s="73">
        <x:f>IF(A450="","",ROUND(MIN(Moteur!$B$3,C450+G450),2))</x:f>
      </x:c>
      <x:c r="E450" s="73">
        <x:f>IF(A450="","",ROUND(MIN(Dashboard!$B$11,MAX(0,C450-(D450-G450))),2))</x:f>
      </x:c>
      <x:c r="F450" s="73">
        <x:f>IF(A450="","",ROUND(C450*Dashboard!$B$12/Dashboard!$B$9,2))</x:f>
      </x:c>
      <x:c r="G450" s="73">
        <x:f>IF(A450="","",ROUND(C450*Moteur!$B$2,2))</x:f>
      </x:c>
      <x:c r="H450" s="73">
        <x:f>IF(A450="","",ROUND(MIN(C450,D450-G450+E450),2))</x:f>
      </x:c>
      <x:c r="I450" s="73">
        <x:f>IF(A450="","",ROUND(D450+E450+F450,2))</x:f>
      </x:c>
      <x:c r="J450" s="73">
        <x:f>IF(A450="","",ROUND(MAX(0,C450-H450),2))</x:f>
      </x:c>
      <x:c r="K450" s="74">
        <x:f>IF(A450="","",1-(J450/Dashboard!$B$6))</x:f>
      </x:c>
      <x:c r="L450" s="38">
        <x:f>IF(A450="","",IF(J450=0,"Soldé","En cours"))</x:f>
      </x:c>
      <x:c r="M450" s="73">
        <x:f>IF(A450="","",ROUND(SUM($G$8:G450),2))</x:f>
      </x:c>
    </x:row>
    <x:row r="451" ht="20" customHeight="1">
      <x:c r="A451" s="75">
        <x:f>IF(OR($J450="",ROUND($J450,2)=0),"",$A450+1)</x:f>
      </x:c>
      <x:c r="B451" s="76">
        <x:f>IF(A451="","",EDATE(Dashboard!$B$10,(A451-1)*(12/Dashboard!$B$9)))</x:f>
      </x:c>
      <x:c r="C451" s="77">
        <x:f>IF(A451="","",$J450)</x:f>
      </x:c>
      <x:c r="D451" s="77">
        <x:f>IF(A451="","",ROUND(MIN(Moteur!$B$3,C451+G451),2))</x:f>
      </x:c>
      <x:c r="E451" s="77">
        <x:f>IF(A451="","",ROUND(MIN(Dashboard!$B$11,MAX(0,C451-(D451-G451))),2))</x:f>
      </x:c>
      <x:c r="F451" s="77">
        <x:f>IF(A451="","",ROUND(C451*Dashboard!$B$12/Dashboard!$B$9,2))</x:f>
      </x:c>
      <x:c r="G451" s="77">
        <x:f>IF(A451="","",ROUND(C451*Moteur!$B$2,2))</x:f>
      </x:c>
      <x:c r="H451" s="77">
        <x:f>IF(A451="","",ROUND(MIN(C451,D451-G451+E451),2))</x:f>
      </x:c>
      <x:c r="I451" s="77">
        <x:f>IF(A451="","",ROUND(D451+E451+F451,2))</x:f>
      </x:c>
      <x:c r="J451" s="77">
        <x:f>IF(A451="","",ROUND(MAX(0,C451-H451),2))</x:f>
      </x:c>
      <x:c r="K451" s="78">
        <x:f>IF(A451="","",1-(J451/Dashboard!$B$6))</x:f>
      </x:c>
      <x:c r="L451" s="43">
        <x:f>IF(A451="","",IF(J451=0,"Soldé","En cours"))</x:f>
      </x:c>
      <x:c r="M451" s="77">
        <x:f>IF(A451="","",ROUND(SUM($G$8:G451),2))</x:f>
      </x:c>
    </x:row>
    <x:row r="452" ht="20" customHeight="1">
      <x:c r="A452" s="71">
        <x:f>IF(OR($J451="",ROUND($J451,2)=0),"",$A451+1)</x:f>
      </x:c>
      <x:c r="B452" s="72">
        <x:f>IF(A452="","",EDATE(Dashboard!$B$10,(A452-1)*(12/Dashboard!$B$9)))</x:f>
      </x:c>
      <x:c r="C452" s="73">
        <x:f>IF(A452="","",$J451)</x:f>
      </x:c>
      <x:c r="D452" s="73">
        <x:f>IF(A452="","",ROUND(MIN(Moteur!$B$3,C452+G452),2))</x:f>
      </x:c>
      <x:c r="E452" s="73">
        <x:f>IF(A452="","",ROUND(MIN(Dashboard!$B$11,MAX(0,C452-(D452-G452))),2))</x:f>
      </x:c>
      <x:c r="F452" s="73">
        <x:f>IF(A452="","",ROUND(C452*Dashboard!$B$12/Dashboard!$B$9,2))</x:f>
      </x:c>
      <x:c r="G452" s="73">
        <x:f>IF(A452="","",ROUND(C452*Moteur!$B$2,2))</x:f>
      </x:c>
      <x:c r="H452" s="73">
        <x:f>IF(A452="","",ROUND(MIN(C452,D452-G452+E452),2))</x:f>
      </x:c>
      <x:c r="I452" s="73">
        <x:f>IF(A452="","",ROUND(D452+E452+F452,2))</x:f>
      </x:c>
      <x:c r="J452" s="73">
        <x:f>IF(A452="","",ROUND(MAX(0,C452-H452),2))</x:f>
      </x:c>
      <x:c r="K452" s="74">
        <x:f>IF(A452="","",1-(J452/Dashboard!$B$6))</x:f>
      </x:c>
      <x:c r="L452" s="38">
        <x:f>IF(A452="","",IF(J452=0,"Soldé","En cours"))</x:f>
      </x:c>
      <x:c r="M452" s="73">
        <x:f>IF(A452="","",ROUND(SUM($G$8:G452),2))</x:f>
      </x:c>
    </x:row>
    <x:row r="453" ht="20" customHeight="1">
      <x:c r="A453" s="75">
        <x:f>IF(OR($J452="",ROUND($J452,2)=0),"",$A452+1)</x:f>
      </x:c>
      <x:c r="B453" s="76">
        <x:f>IF(A453="","",EDATE(Dashboard!$B$10,(A453-1)*(12/Dashboard!$B$9)))</x:f>
      </x:c>
      <x:c r="C453" s="77">
        <x:f>IF(A453="","",$J452)</x:f>
      </x:c>
      <x:c r="D453" s="77">
        <x:f>IF(A453="","",ROUND(MIN(Moteur!$B$3,C453+G453),2))</x:f>
      </x:c>
      <x:c r="E453" s="77">
        <x:f>IF(A453="","",ROUND(MIN(Dashboard!$B$11,MAX(0,C453-(D453-G453))),2))</x:f>
      </x:c>
      <x:c r="F453" s="77">
        <x:f>IF(A453="","",ROUND(C453*Dashboard!$B$12/Dashboard!$B$9,2))</x:f>
      </x:c>
      <x:c r="G453" s="77">
        <x:f>IF(A453="","",ROUND(C453*Moteur!$B$2,2))</x:f>
      </x:c>
      <x:c r="H453" s="77">
        <x:f>IF(A453="","",ROUND(MIN(C453,D453-G453+E453),2))</x:f>
      </x:c>
      <x:c r="I453" s="77">
        <x:f>IF(A453="","",ROUND(D453+E453+F453,2))</x:f>
      </x:c>
      <x:c r="J453" s="77">
        <x:f>IF(A453="","",ROUND(MAX(0,C453-H453),2))</x:f>
      </x:c>
      <x:c r="K453" s="78">
        <x:f>IF(A453="","",1-(J453/Dashboard!$B$6))</x:f>
      </x:c>
      <x:c r="L453" s="43">
        <x:f>IF(A453="","",IF(J453=0,"Soldé","En cours"))</x:f>
      </x:c>
      <x:c r="M453" s="77">
        <x:f>IF(A453="","",ROUND(SUM($G$8:G453),2))</x:f>
      </x:c>
    </x:row>
    <x:row r="454" ht="20" customHeight="1">
      <x:c r="A454" s="71">
        <x:f>IF(OR($J453="",ROUND($J453,2)=0),"",$A453+1)</x:f>
      </x:c>
      <x:c r="B454" s="72">
        <x:f>IF(A454="","",EDATE(Dashboard!$B$10,(A454-1)*(12/Dashboard!$B$9)))</x:f>
      </x:c>
      <x:c r="C454" s="73">
        <x:f>IF(A454="","",$J453)</x:f>
      </x:c>
      <x:c r="D454" s="73">
        <x:f>IF(A454="","",ROUND(MIN(Moteur!$B$3,C454+G454),2))</x:f>
      </x:c>
      <x:c r="E454" s="73">
        <x:f>IF(A454="","",ROUND(MIN(Dashboard!$B$11,MAX(0,C454-(D454-G454))),2))</x:f>
      </x:c>
      <x:c r="F454" s="73">
        <x:f>IF(A454="","",ROUND(C454*Dashboard!$B$12/Dashboard!$B$9,2))</x:f>
      </x:c>
      <x:c r="G454" s="73">
        <x:f>IF(A454="","",ROUND(C454*Moteur!$B$2,2))</x:f>
      </x:c>
      <x:c r="H454" s="73">
        <x:f>IF(A454="","",ROUND(MIN(C454,D454-G454+E454),2))</x:f>
      </x:c>
      <x:c r="I454" s="73">
        <x:f>IF(A454="","",ROUND(D454+E454+F454,2))</x:f>
      </x:c>
      <x:c r="J454" s="73">
        <x:f>IF(A454="","",ROUND(MAX(0,C454-H454),2))</x:f>
      </x:c>
      <x:c r="K454" s="74">
        <x:f>IF(A454="","",1-(J454/Dashboard!$B$6))</x:f>
      </x:c>
      <x:c r="L454" s="38">
        <x:f>IF(A454="","",IF(J454=0,"Soldé","En cours"))</x:f>
      </x:c>
      <x:c r="M454" s="73">
        <x:f>IF(A454="","",ROUND(SUM($G$8:G454),2))</x:f>
      </x:c>
    </x:row>
    <x:row r="455" ht="20" customHeight="1">
      <x:c r="A455" s="75">
        <x:f>IF(OR($J454="",ROUND($J454,2)=0),"",$A454+1)</x:f>
      </x:c>
      <x:c r="B455" s="76">
        <x:f>IF(A455="","",EDATE(Dashboard!$B$10,(A455-1)*(12/Dashboard!$B$9)))</x:f>
      </x:c>
      <x:c r="C455" s="77">
        <x:f>IF(A455="","",$J454)</x:f>
      </x:c>
      <x:c r="D455" s="77">
        <x:f>IF(A455="","",ROUND(MIN(Moteur!$B$3,C455+G455),2))</x:f>
      </x:c>
      <x:c r="E455" s="77">
        <x:f>IF(A455="","",ROUND(MIN(Dashboard!$B$11,MAX(0,C455-(D455-G455))),2))</x:f>
      </x:c>
      <x:c r="F455" s="77">
        <x:f>IF(A455="","",ROUND(C455*Dashboard!$B$12/Dashboard!$B$9,2))</x:f>
      </x:c>
      <x:c r="G455" s="77">
        <x:f>IF(A455="","",ROUND(C455*Moteur!$B$2,2))</x:f>
      </x:c>
      <x:c r="H455" s="77">
        <x:f>IF(A455="","",ROUND(MIN(C455,D455-G455+E455),2))</x:f>
      </x:c>
      <x:c r="I455" s="77">
        <x:f>IF(A455="","",ROUND(D455+E455+F455,2))</x:f>
      </x:c>
      <x:c r="J455" s="77">
        <x:f>IF(A455="","",ROUND(MAX(0,C455-H455),2))</x:f>
      </x:c>
      <x:c r="K455" s="78">
        <x:f>IF(A455="","",1-(J455/Dashboard!$B$6))</x:f>
      </x:c>
      <x:c r="L455" s="43">
        <x:f>IF(A455="","",IF(J455=0,"Soldé","En cours"))</x:f>
      </x:c>
      <x:c r="M455" s="77">
        <x:f>IF(A455="","",ROUND(SUM($G$8:G455),2))</x:f>
      </x:c>
    </x:row>
    <x:row r="456" ht="20" customHeight="1">
      <x:c r="A456" s="71">
        <x:f>IF(OR($J455="",ROUND($J455,2)=0),"",$A455+1)</x:f>
      </x:c>
      <x:c r="B456" s="72">
        <x:f>IF(A456="","",EDATE(Dashboard!$B$10,(A456-1)*(12/Dashboard!$B$9)))</x:f>
      </x:c>
      <x:c r="C456" s="73">
        <x:f>IF(A456="","",$J455)</x:f>
      </x:c>
      <x:c r="D456" s="73">
        <x:f>IF(A456="","",ROUND(MIN(Moteur!$B$3,C456+G456),2))</x:f>
      </x:c>
      <x:c r="E456" s="73">
        <x:f>IF(A456="","",ROUND(MIN(Dashboard!$B$11,MAX(0,C456-(D456-G456))),2))</x:f>
      </x:c>
      <x:c r="F456" s="73">
        <x:f>IF(A456="","",ROUND(C456*Dashboard!$B$12/Dashboard!$B$9,2))</x:f>
      </x:c>
      <x:c r="G456" s="73">
        <x:f>IF(A456="","",ROUND(C456*Moteur!$B$2,2))</x:f>
      </x:c>
      <x:c r="H456" s="73">
        <x:f>IF(A456="","",ROUND(MIN(C456,D456-G456+E456),2))</x:f>
      </x:c>
      <x:c r="I456" s="73">
        <x:f>IF(A456="","",ROUND(D456+E456+F456,2))</x:f>
      </x:c>
      <x:c r="J456" s="73">
        <x:f>IF(A456="","",ROUND(MAX(0,C456-H456),2))</x:f>
      </x:c>
      <x:c r="K456" s="74">
        <x:f>IF(A456="","",1-(J456/Dashboard!$B$6))</x:f>
      </x:c>
      <x:c r="L456" s="38">
        <x:f>IF(A456="","",IF(J456=0,"Soldé","En cours"))</x:f>
      </x:c>
      <x:c r="M456" s="73">
        <x:f>IF(A456="","",ROUND(SUM($G$8:G456),2))</x:f>
      </x:c>
    </x:row>
    <x:row r="457" ht="20" customHeight="1">
      <x:c r="A457" s="75">
        <x:f>IF(OR($J456="",ROUND($J456,2)=0),"",$A456+1)</x:f>
      </x:c>
      <x:c r="B457" s="76">
        <x:f>IF(A457="","",EDATE(Dashboard!$B$10,(A457-1)*(12/Dashboard!$B$9)))</x:f>
      </x:c>
      <x:c r="C457" s="77">
        <x:f>IF(A457="","",$J456)</x:f>
      </x:c>
      <x:c r="D457" s="77">
        <x:f>IF(A457="","",ROUND(MIN(Moteur!$B$3,C457+G457),2))</x:f>
      </x:c>
      <x:c r="E457" s="77">
        <x:f>IF(A457="","",ROUND(MIN(Dashboard!$B$11,MAX(0,C457-(D457-G457))),2))</x:f>
      </x:c>
      <x:c r="F457" s="77">
        <x:f>IF(A457="","",ROUND(C457*Dashboard!$B$12/Dashboard!$B$9,2))</x:f>
      </x:c>
      <x:c r="G457" s="77">
        <x:f>IF(A457="","",ROUND(C457*Moteur!$B$2,2))</x:f>
      </x:c>
      <x:c r="H457" s="77">
        <x:f>IF(A457="","",ROUND(MIN(C457,D457-G457+E457),2))</x:f>
      </x:c>
      <x:c r="I457" s="77">
        <x:f>IF(A457="","",ROUND(D457+E457+F457,2))</x:f>
      </x:c>
      <x:c r="J457" s="77">
        <x:f>IF(A457="","",ROUND(MAX(0,C457-H457),2))</x:f>
      </x:c>
      <x:c r="K457" s="78">
        <x:f>IF(A457="","",1-(J457/Dashboard!$B$6))</x:f>
      </x:c>
      <x:c r="L457" s="43">
        <x:f>IF(A457="","",IF(J457=0,"Soldé","En cours"))</x:f>
      </x:c>
      <x:c r="M457" s="77">
        <x:f>IF(A457="","",ROUND(SUM($G$8:G457),2))</x:f>
      </x:c>
    </x:row>
    <x:row r="458" ht="20" customHeight="1">
      <x:c r="A458" s="71">
        <x:f>IF(OR($J457="",ROUND($J457,2)=0),"",$A457+1)</x:f>
      </x:c>
      <x:c r="B458" s="72">
        <x:f>IF(A458="","",EDATE(Dashboard!$B$10,(A458-1)*(12/Dashboard!$B$9)))</x:f>
      </x:c>
      <x:c r="C458" s="73">
        <x:f>IF(A458="","",$J457)</x:f>
      </x:c>
      <x:c r="D458" s="73">
        <x:f>IF(A458="","",ROUND(MIN(Moteur!$B$3,C458+G458),2))</x:f>
      </x:c>
      <x:c r="E458" s="73">
        <x:f>IF(A458="","",ROUND(MIN(Dashboard!$B$11,MAX(0,C458-(D458-G458))),2))</x:f>
      </x:c>
      <x:c r="F458" s="73">
        <x:f>IF(A458="","",ROUND(C458*Dashboard!$B$12/Dashboard!$B$9,2))</x:f>
      </x:c>
      <x:c r="G458" s="73">
        <x:f>IF(A458="","",ROUND(C458*Moteur!$B$2,2))</x:f>
      </x:c>
      <x:c r="H458" s="73">
        <x:f>IF(A458="","",ROUND(MIN(C458,D458-G458+E458),2))</x:f>
      </x:c>
      <x:c r="I458" s="73">
        <x:f>IF(A458="","",ROUND(D458+E458+F458,2))</x:f>
      </x:c>
      <x:c r="J458" s="73">
        <x:f>IF(A458="","",ROUND(MAX(0,C458-H458),2))</x:f>
      </x:c>
      <x:c r="K458" s="74">
        <x:f>IF(A458="","",1-(J458/Dashboard!$B$6))</x:f>
      </x:c>
      <x:c r="L458" s="38">
        <x:f>IF(A458="","",IF(J458=0,"Soldé","En cours"))</x:f>
      </x:c>
      <x:c r="M458" s="73">
        <x:f>IF(A458="","",ROUND(SUM($G$8:G458),2))</x:f>
      </x:c>
    </x:row>
    <x:row r="459" ht="20" customHeight="1">
      <x:c r="A459" s="75">
        <x:f>IF(OR($J458="",ROUND($J458,2)=0),"",$A458+1)</x:f>
      </x:c>
      <x:c r="B459" s="76">
        <x:f>IF(A459="","",EDATE(Dashboard!$B$10,(A459-1)*(12/Dashboard!$B$9)))</x:f>
      </x:c>
      <x:c r="C459" s="77">
        <x:f>IF(A459="","",$J458)</x:f>
      </x:c>
      <x:c r="D459" s="77">
        <x:f>IF(A459="","",ROUND(MIN(Moteur!$B$3,C459+G459),2))</x:f>
      </x:c>
      <x:c r="E459" s="77">
        <x:f>IF(A459="","",ROUND(MIN(Dashboard!$B$11,MAX(0,C459-(D459-G459))),2))</x:f>
      </x:c>
      <x:c r="F459" s="77">
        <x:f>IF(A459="","",ROUND(C459*Dashboard!$B$12/Dashboard!$B$9,2))</x:f>
      </x:c>
      <x:c r="G459" s="77">
        <x:f>IF(A459="","",ROUND(C459*Moteur!$B$2,2))</x:f>
      </x:c>
      <x:c r="H459" s="77">
        <x:f>IF(A459="","",ROUND(MIN(C459,D459-G459+E459),2))</x:f>
      </x:c>
      <x:c r="I459" s="77">
        <x:f>IF(A459="","",ROUND(D459+E459+F459,2))</x:f>
      </x:c>
      <x:c r="J459" s="77">
        <x:f>IF(A459="","",ROUND(MAX(0,C459-H459),2))</x:f>
      </x:c>
      <x:c r="K459" s="78">
        <x:f>IF(A459="","",1-(J459/Dashboard!$B$6))</x:f>
      </x:c>
      <x:c r="L459" s="43">
        <x:f>IF(A459="","",IF(J459=0,"Soldé","En cours"))</x:f>
      </x:c>
      <x:c r="M459" s="77">
        <x:f>IF(A459="","",ROUND(SUM($G$8:G459),2))</x:f>
      </x:c>
    </x:row>
    <x:row r="460" ht="20" customHeight="1">
      <x:c r="A460" s="71">
        <x:f>IF(OR($J459="",ROUND($J459,2)=0),"",$A459+1)</x:f>
      </x:c>
      <x:c r="B460" s="72">
        <x:f>IF(A460="","",EDATE(Dashboard!$B$10,(A460-1)*(12/Dashboard!$B$9)))</x:f>
      </x:c>
      <x:c r="C460" s="73">
        <x:f>IF(A460="","",$J459)</x:f>
      </x:c>
      <x:c r="D460" s="73">
        <x:f>IF(A460="","",ROUND(MIN(Moteur!$B$3,C460+G460),2))</x:f>
      </x:c>
      <x:c r="E460" s="73">
        <x:f>IF(A460="","",ROUND(MIN(Dashboard!$B$11,MAX(0,C460-(D460-G460))),2))</x:f>
      </x:c>
      <x:c r="F460" s="73">
        <x:f>IF(A460="","",ROUND(C460*Dashboard!$B$12/Dashboard!$B$9,2))</x:f>
      </x:c>
      <x:c r="G460" s="73">
        <x:f>IF(A460="","",ROUND(C460*Moteur!$B$2,2))</x:f>
      </x:c>
      <x:c r="H460" s="73">
        <x:f>IF(A460="","",ROUND(MIN(C460,D460-G460+E460),2))</x:f>
      </x:c>
      <x:c r="I460" s="73">
        <x:f>IF(A460="","",ROUND(D460+E460+F460,2))</x:f>
      </x:c>
      <x:c r="J460" s="73">
        <x:f>IF(A460="","",ROUND(MAX(0,C460-H460),2))</x:f>
      </x:c>
      <x:c r="K460" s="74">
        <x:f>IF(A460="","",1-(J460/Dashboard!$B$6))</x:f>
      </x:c>
      <x:c r="L460" s="38">
        <x:f>IF(A460="","",IF(J460=0,"Soldé","En cours"))</x:f>
      </x:c>
      <x:c r="M460" s="73">
        <x:f>IF(A460="","",ROUND(SUM($G$8:G460),2))</x:f>
      </x:c>
    </x:row>
    <x:row r="461" ht="20" customHeight="1">
      <x:c r="A461" s="75">
        <x:f>IF(OR($J460="",ROUND($J460,2)=0),"",$A460+1)</x:f>
      </x:c>
      <x:c r="B461" s="76">
        <x:f>IF(A461="","",EDATE(Dashboard!$B$10,(A461-1)*(12/Dashboard!$B$9)))</x:f>
      </x:c>
      <x:c r="C461" s="77">
        <x:f>IF(A461="","",$J460)</x:f>
      </x:c>
      <x:c r="D461" s="77">
        <x:f>IF(A461="","",ROUND(MIN(Moteur!$B$3,C461+G461),2))</x:f>
      </x:c>
      <x:c r="E461" s="77">
        <x:f>IF(A461="","",ROUND(MIN(Dashboard!$B$11,MAX(0,C461-(D461-G461))),2))</x:f>
      </x:c>
      <x:c r="F461" s="77">
        <x:f>IF(A461="","",ROUND(C461*Dashboard!$B$12/Dashboard!$B$9,2))</x:f>
      </x:c>
      <x:c r="G461" s="77">
        <x:f>IF(A461="","",ROUND(C461*Moteur!$B$2,2))</x:f>
      </x:c>
      <x:c r="H461" s="77">
        <x:f>IF(A461="","",ROUND(MIN(C461,D461-G461+E461),2))</x:f>
      </x:c>
      <x:c r="I461" s="77">
        <x:f>IF(A461="","",ROUND(D461+E461+F461,2))</x:f>
      </x:c>
      <x:c r="J461" s="77">
        <x:f>IF(A461="","",ROUND(MAX(0,C461-H461),2))</x:f>
      </x:c>
      <x:c r="K461" s="78">
        <x:f>IF(A461="","",1-(J461/Dashboard!$B$6))</x:f>
      </x:c>
      <x:c r="L461" s="43">
        <x:f>IF(A461="","",IF(J461=0,"Soldé","En cours"))</x:f>
      </x:c>
      <x:c r="M461" s="77">
        <x:f>IF(A461="","",ROUND(SUM($G$8:G461),2))</x:f>
      </x:c>
    </x:row>
    <x:row r="462" ht="20" customHeight="1">
      <x:c r="A462" s="71">
        <x:f>IF(OR($J461="",ROUND($J461,2)=0),"",$A461+1)</x:f>
      </x:c>
      <x:c r="B462" s="72">
        <x:f>IF(A462="","",EDATE(Dashboard!$B$10,(A462-1)*(12/Dashboard!$B$9)))</x:f>
      </x:c>
      <x:c r="C462" s="73">
        <x:f>IF(A462="","",$J461)</x:f>
      </x:c>
      <x:c r="D462" s="73">
        <x:f>IF(A462="","",ROUND(MIN(Moteur!$B$3,C462+G462),2))</x:f>
      </x:c>
      <x:c r="E462" s="73">
        <x:f>IF(A462="","",ROUND(MIN(Dashboard!$B$11,MAX(0,C462-(D462-G462))),2))</x:f>
      </x:c>
      <x:c r="F462" s="73">
        <x:f>IF(A462="","",ROUND(C462*Dashboard!$B$12/Dashboard!$B$9,2))</x:f>
      </x:c>
      <x:c r="G462" s="73">
        <x:f>IF(A462="","",ROUND(C462*Moteur!$B$2,2))</x:f>
      </x:c>
      <x:c r="H462" s="73">
        <x:f>IF(A462="","",ROUND(MIN(C462,D462-G462+E462),2))</x:f>
      </x:c>
      <x:c r="I462" s="73">
        <x:f>IF(A462="","",ROUND(D462+E462+F462,2))</x:f>
      </x:c>
      <x:c r="J462" s="73">
        <x:f>IF(A462="","",ROUND(MAX(0,C462-H462),2))</x:f>
      </x:c>
      <x:c r="K462" s="74">
        <x:f>IF(A462="","",1-(J462/Dashboard!$B$6))</x:f>
      </x:c>
      <x:c r="L462" s="38">
        <x:f>IF(A462="","",IF(J462=0,"Soldé","En cours"))</x:f>
      </x:c>
      <x:c r="M462" s="73">
        <x:f>IF(A462="","",ROUND(SUM($G$8:G462),2))</x:f>
      </x:c>
    </x:row>
    <x:row r="463" ht="20" customHeight="1">
      <x:c r="A463" s="75">
        <x:f>IF(OR($J462="",ROUND($J462,2)=0),"",$A462+1)</x:f>
      </x:c>
      <x:c r="B463" s="76">
        <x:f>IF(A463="","",EDATE(Dashboard!$B$10,(A463-1)*(12/Dashboard!$B$9)))</x:f>
      </x:c>
      <x:c r="C463" s="77">
        <x:f>IF(A463="","",$J462)</x:f>
      </x:c>
      <x:c r="D463" s="77">
        <x:f>IF(A463="","",ROUND(MIN(Moteur!$B$3,C463+G463),2))</x:f>
      </x:c>
      <x:c r="E463" s="77">
        <x:f>IF(A463="","",ROUND(MIN(Dashboard!$B$11,MAX(0,C463-(D463-G463))),2))</x:f>
      </x:c>
      <x:c r="F463" s="77">
        <x:f>IF(A463="","",ROUND(C463*Dashboard!$B$12/Dashboard!$B$9,2))</x:f>
      </x:c>
      <x:c r="G463" s="77">
        <x:f>IF(A463="","",ROUND(C463*Moteur!$B$2,2))</x:f>
      </x:c>
      <x:c r="H463" s="77">
        <x:f>IF(A463="","",ROUND(MIN(C463,D463-G463+E463),2))</x:f>
      </x:c>
      <x:c r="I463" s="77">
        <x:f>IF(A463="","",ROUND(D463+E463+F463,2))</x:f>
      </x:c>
      <x:c r="J463" s="77">
        <x:f>IF(A463="","",ROUND(MAX(0,C463-H463),2))</x:f>
      </x:c>
      <x:c r="K463" s="78">
        <x:f>IF(A463="","",1-(J463/Dashboard!$B$6))</x:f>
      </x:c>
      <x:c r="L463" s="43">
        <x:f>IF(A463="","",IF(J463=0,"Soldé","En cours"))</x:f>
      </x:c>
      <x:c r="M463" s="77">
        <x:f>IF(A463="","",ROUND(SUM($G$8:G463),2))</x:f>
      </x:c>
    </x:row>
    <x:row r="464" ht="20" customHeight="1">
      <x:c r="A464" s="71">
        <x:f>IF(OR($J463="",ROUND($J463,2)=0),"",$A463+1)</x:f>
      </x:c>
      <x:c r="B464" s="72">
        <x:f>IF(A464="","",EDATE(Dashboard!$B$10,(A464-1)*(12/Dashboard!$B$9)))</x:f>
      </x:c>
      <x:c r="C464" s="73">
        <x:f>IF(A464="","",$J463)</x:f>
      </x:c>
      <x:c r="D464" s="73">
        <x:f>IF(A464="","",ROUND(MIN(Moteur!$B$3,C464+G464),2))</x:f>
      </x:c>
      <x:c r="E464" s="73">
        <x:f>IF(A464="","",ROUND(MIN(Dashboard!$B$11,MAX(0,C464-(D464-G464))),2))</x:f>
      </x:c>
      <x:c r="F464" s="73">
        <x:f>IF(A464="","",ROUND(C464*Dashboard!$B$12/Dashboard!$B$9,2))</x:f>
      </x:c>
      <x:c r="G464" s="73">
        <x:f>IF(A464="","",ROUND(C464*Moteur!$B$2,2))</x:f>
      </x:c>
      <x:c r="H464" s="73">
        <x:f>IF(A464="","",ROUND(MIN(C464,D464-G464+E464),2))</x:f>
      </x:c>
      <x:c r="I464" s="73">
        <x:f>IF(A464="","",ROUND(D464+E464+F464,2))</x:f>
      </x:c>
      <x:c r="J464" s="73">
        <x:f>IF(A464="","",ROUND(MAX(0,C464-H464),2))</x:f>
      </x:c>
      <x:c r="K464" s="74">
        <x:f>IF(A464="","",1-(J464/Dashboard!$B$6))</x:f>
      </x:c>
      <x:c r="L464" s="38">
        <x:f>IF(A464="","",IF(J464=0,"Soldé","En cours"))</x:f>
      </x:c>
      <x:c r="M464" s="73">
        <x:f>IF(A464="","",ROUND(SUM($G$8:G464),2))</x:f>
      </x:c>
    </x:row>
    <x:row r="465" ht="20" customHeight="1">
      <x:c r="A465" s="75">
        <x:f>IF(OR($J464="",ROUND($J464,2)=0),"",$A464+1)</x:f>
      </x:c>
      <x:c r="B465" s="76">
        <x:f>IF(A465="","",EDATE(Dashboard!$B$10,(A465-1)*(12/Dashboard!$B$9)))</x:f>
      </x:c>
      <x:c r="C465" s="77">
        <x:f>IF(A465="","",$J464)</x:f>
      </x:c>
      <x:c r="D465" s="77">
        <x:f>IF(A465="","",ROUND(MIN(Moteur!$B$3,C465+G465),2))</x:f>
      </x:c>
      <x:c r="E465" s="77">
        <x:f>IF(A465="","",ROUND(MIN(Dashboard!$B$11,MAX(0,C465-(D465-G465))),2))</x:f>
      </x:c>
      <x:c r="F465" s="77">
        <x:f>IF(A465="","",ROUND(C465*Dashboard!$B$12/Dashboard!$B$9,2))</x:f>
      </x:c>
      <x:c r="G465" s="77">
        <x:f>IF(A465="","",ROUND(C465*Moteur!$B$2,2))</x:f>
      </x:c>
      <x:c r="H465" s="77">
        <x:f>IF(A465="","",ROUND(MIN(C465,D465-G465+E465),2))</x:f>
      </x:c>
      <x:c r="I465" s="77">
        <x:f>IF(A465="","",ROUND(D465+E465+F465,2))</x:f>
      </x:c>
      <x:c r="J465" s="77">
        <x:f>IF(A465="","",ROUND(MAX(0,C465-H465),2))</x:f>
      </x:c>
      <x:c r="K465" s="78">
        <x:f>IF(A465="","",1-(J465/Dashboard!$B$6))</x:f>
      </x:c>
      <x:c r="L465" s="43">
        <x:f>IF(A465="","",IF(J465=0,"Soldé","En cours"))</x:f>
      </x:c>
      <x:c r="M465" s="77">
        <x:f>IF(A465="","",ROUND(SUM($G$8:G465),2))</x:f>
      </x:c>
    </x:row>
    <x:row r="466" ht="20" customHeight="1">
      <x:c r="A466" s="71">
        <x:f>IF(OR($J465="",ROUND($J465,2)=0),"",$A465+1)</x:f>
      </x:c>
      <x:c r="B466" s="72">
        <x:f>IF(A466="","",EDATE(Dashboard!$B$10,(A466-1)*(12/Dashboard!$B$9)))</x:f>
      </x:c>
      <x:c r="C466" s="73">
        <x:f>IF(A466="","",$J465)</x:f>
      </x:c>
      <x:c r="D466" s="73">
        <x:f>IF(A466="","",ROUND(MIN(Moteur!$B$3,C466+G466),2))</x:f>
      </x:c>
      <x:c r="E466" s="73">
        <x:f>IF(A466="","",ROUND(MIN(Dashboard!$B$11,MAX(0,C466-(D466-G466))),2))</x:f>
      </x:c>
      <x:c r="F466" s="73">
        <x:f>IF(A466="","",ROUND(C466*Dashboard!$B$12/Dashboard!$B$9,2))</x:f>
      </x:c>
      <x:c r="G466" s="73">
        <x:f>IF(A466="","",ROUND(C466*Moteur!$B$2,2))</x:f>
      </x:c>
      <x:c r="H466" s="73">
        <x:f>IF(A466="","",ROUND(MIN(C466,D466-G466+E466),2))</x:f>
      </x:c>
      <x:c r="I466" s="73">
        <x:f>IF(A466="","",ROUND(D466+E466+F466,2))</x:f>
      </x:c>
      <x:c r="J466" s="73">
        <x:f>IF(A466="","",ROUND(MAX(0,C466-H466),2))</x:f>
      </x:c>
      <x:c r="K466" s="74">
        <x:f>IF(A466="","",1-(J466/Dashboard!$B$6))</x:f>
      </x:c>
      <x:c r="L466" s="38">
        <x:f>IF(A466="","",IF(J466=0,"Soldé","En cours"))</x:f>
      </x:c>
      <x:c r="M466" s="73">
        <x:f>IF(A466="","",ROUND(SUM($G$8:G466),2))</x:f>
      </x:c>
    </x:row>
    <x:row r="467" ht="20" customHeight="1">
      <x:c r="A467" s="75">
        <x:f>IF(OR($J466="",ROUND($J466,2)=0),"",$A466+1)</x:f>
      </x:c>
      <x:c r="B467" s="76">
        <x:f>IF(A467="","",EDATE(Dashboard!$B$10,(A467-1)*(12/Dashboard!$B$9)))</x:f>
      </x:c>
      <x:c r="C467" s="77">
        <x:f>IF(A467="","",$J466)</x:f>
      </x:c>
      <x:c r="D467" s="77">
        <x:f>IF(A467="","",ROUND(MIN(Moteur!$B$3,C467+G467),2))</x:f>
      </x:c>
      <x:c r="E467" s="77">
        <x:f>IF(A467="","",ROUND(MIN(Dashboard!$B$11,MAX(0,C467-(D467-G467))),2))</x:f>
      </x:c>
      <x:c r="F467" s="77">
        <x:f>IF(A467="","",ROUND(C467*Dashboard!$B$12/Dashboard!$B$9,2))</x:f>
      </x:c>
      <x:c r="G467" s="77">
        <x:f>IF(A467="","",ROUND(C467*Moteur!$B$2,2))</x:f>
      </x:c>
      <x:c r="H467" s="77">
        <x:f>IF(A467="","",ROUND(MIN(C467,D467-G467+E467),2))</x:f>
      </x:c>
      <x:c r="I467" s="77">
        <x:f>IF(A467="","",ROUND(D467+E467+F467,2))</x:f>
      </x:c>
      <x:c r="J467" s="77">
        <x:f>IF(A467="","",ROUND(MAX(0,C467-H467),2))</x:f>
      </x:c>
      <x:c r="K467" s="78">
        <x:f>IF(A467="","",1-(J467/Dashboard!$B$6))</x:f>
      </x:c>
      <x:c r="L467" s="43">
        <x:f>IF(A467="","",IF(J467=0,"Soldé","En cours"))</x:f>
      </x:c>
      <x:c r="M467" s="77">
        <x:f>IF(A467="","",ROUND(SUM($G$8:G467),2))</x:f>
      </x:c>
    </x:row>
    <x:row r="468" ht="20" customHeight="1">
      <x:c r="A468" s="71">
        <x:f>IF(OR($J467="",ROUND($J467,2)=0),"",$A467+1)</x:f>
      </x:c>
      <x:c r="B468" s="72">
        <x:f>IF(A468="","",EDATE(Dashboard!$B$10,(A468-1)*(12/Dashboard!$B$9)))</x:f>
      </x:c>
      <x:c r="C468" s="73">
        <x:f>IF(A468="","",$J467)</x:f>
      </x:c>
      <x:c r="D468" s="73">
        <x:f>IF(A468="","",ROUND(MIN(Moteur!$B$3,C468+G468),2))</x:f>
      </x:c>
      <x:c r="E468" s="73">
        <x:f>IF(A468="","",ROUND(MIN(Dashboard!$B$11,MAX(0,C468-(D468-G468))),2))</x:f>
      </x:c>
      <x:c r="F468" s="73">
        <x:f>IF(A468="","",ROUND(C468*Dashboard!$B$12/Dashboard!$B$9,2))</x:f>
      </x:c>
      <x:c r="G468" s="73">
        <x:f>IF(A468="","",ROUND(C468*Moteur!$B$2,2))</x:f>
      </x:c>
      <x:c r="H468" s="73">
        <x:f>IF(A468="","",ROUND(MIN(C468,D468-G468+E468),2))</x:f>
      </x:c>
      <x:c r="I468" s="73">
        <x:f>IF(A468="","",ROUND(D468+E468+F468,2))</x:f>
      </x:c>
      <x:c r="J468" s="73">
        <x:f>IF(A468="","",ROUND(MAX(0,C468-H468),2))</x:f>
      </x:c>
      <x:c r="K468" s="74">
        <x:f>IF(A468="","",1-(J468/Dashboard!$B$6))</x:f>
      </x:c>
      <x:c r="L468" s="38">
        <x:f>IF(A468="","",IF(J468=0,"Soldé","En cours"))</x:f>
      </x:c>
      <x:c r="M468" s="73">
        <x:f>IF(A468="","",ROUND(SUM($G$8:G468),2))</x:f>
      </x:c>
    </x:row>
    <x:row r="469" ht="20" customHeight="1">
      <x:c r="A469" s="75">
        <x:f>IF(OR($J468="",ROUND($J468,2)=0),"",$A468+1)</x:f>
      </x:c>
      <x:c r="B469" s="76">
        <x:f>IF(A469="","",EDATE(Dashboard!$B$10,(A469-1)*(12/Dashboard!$B$9)))</x:f>
      </x:c>
      <x:c r="C469" s="77">
        <x:f>IF(A469="","",$J468)</x:f>
      </x:c>
      <x:c r="D469" s="77">
        <x:f>IF(A469="","",ROUND(MIN(Moteur!$B$3,C469+G469),2))</x:f>
      </x:c>
      <x:c r="E469" s="77">
        <x:f>IF(A469="","",ROUND(MIN(Dashboard!$B$11,MAX(0,C469-(D469-G469))),2))</x:f>
      </x:c>
      <x:c r="F469" s="77">
        <x:f>IF(A469="","",ROUND(C469*Dashboard!$B$12/Dashboard!$B$9,2))</x:f>
      </x:c>
      <x:c r="G469" s="77">
        <x:f>IF(A469="","",ROUND(C469*Moteur!$B$2,2))</x:f>
      </x:c>
      <x:c r="H469" s="77">
        <x:f>IF(A469="","",ROUND(MIN(C469,D469-G469+E469),2))</x:f>
      </x:c>
      <x:c r="I469" s="77">
        <x:f>IF(A469="","",ROUND(D469+E469+F469,2))</x:f>
      </x:c>
      <x:c r="J469" s="77">
        <x:f>IF(A469="","",ROUND(MAX(0,C469-H469),2))</x:f>
      </x:c>
      <x:c r="K469" s="78">
        <x:f>IF(A469="","",1-(J469/Dashboard!$B$6))</x:f>
      </x:c>
      <x:c r="L469" s="43">
        <x:f>IF(A469="","",IF(J469=0,"Soldé","En cours"))</x:f>
      </x:c>
      <x:c r="M469" s="77">
        <x:f>IF(A469="","",ROUND(SUM($G$8:G469),2))</x:f>
      </x:c>
    </x:row>
    <x:row r="470" ht="20" customHeight="1">
      <x:c r="A470" s="71">
        <x:f>IF(OR($J469="",ROUND($J469,2)=0),"",$A469+1)</x:f>
      </x:c>
      <x:c r="B470" s="72">
        <x:f>IF(A470="","",EDATE(Dashboard!$B$10,(A470-1)*(12/Dashboard!$B$9)))</x:f>
      </x:c>
      <x:c r="C470" s="73">
        <x:f>IF(A470="","",$J469)</x:f>
      </x:c>
      <x:c r="D470" s="73">
        <x:f>IF(A470="","",ROUND(MIN(Moteur!$B$3,C470+G470),2))</x:f>
      </x:c>
      <x:c r="E470" s="73">
        <x:f>IF(A470="","",ROUND(MIN(Dashboard!$B$11,MAX(0,C470-(D470-G470))),2))</x:f>
      </x:c>
      <x:c r="F470" s="73">
        <x:f>IF(A470="","",ROUND(C470*Dashboard!$B$12/Dashboard!$B$9,2))</x:f>
      </x:c>
      <x:c r="G470" s="73">
        <x:f>IF(A470="","",ROUND(C470*Moteur!$B$2,2))</x:f>
      </x:c>
      <x:c r="H470" s="73">
        <x:f>IF(A470="","",ROUND(MIN(C470,D470-G470+E470),2))</x:f>
      </x:c>
      <x:c r="I470" s="73">
        <x:f>IF(A470="","",ROUND(D470+E470+F470,2))</x:f>
      </x:c>
      <x:c r="J470" s="73">
        <x:f>IF(A470="","",ROUND(MAX(0,C470-H470),2))</x:f>
      </x:c>
      <x:c r="K470" s="74">
        <x:f>IF(A470="","",1-(J470/Dashboard!$B$6))</x:f>
      </x:c>
      <x:c r="L470" s="38">
        <x:f>IF(A470="","",IF(J470=0,"Soldé","En cours"))</x:f>
      </x:c>
      <x:c r="M470" s="73">
        <x:f>IF(A470="","",ROUND(SUM($G$8:G470),2))</x:f>
      </x:c>
    </x:row>
    <x:row r="471" ht="20" customHeight="1">
      <x:c r="A471" s="75">
        <x:f>IF(OR($J470="",ROUND($J470,2)=0),"",$A470+1)</x:f>
      </x:c>
      <x:c r="B471" s="76">
        <x:f>IF(A471="","",EDATE(Dashboard!$B$10,(A471-1)*(12/Dashboard!$B$9)))</x:f>
      </x:c>
      <x:c r="C471" s="77">
        <x:f>IF(A471="","",$J470)</x:f>
      </x:c>
      <x:c r="D471" s="77">
        <x:f>IF(A471="","",ROUND(MIN(Moteur!$B$3,C471+G471),2))</x:f>
      </x:c>
      <x:c r="E471" s="77">
        <x:f>IF(A471="","",ROUND(MIN(Dashboard!$B$11,MAX(0,C471-(D471-G471))),2))</x:f>
      </x:c>
      <x:c r="F471" s="77">
        <x:f>IF(A471="","",ROUND(C471*Dashboard!$B$12/Dashboard!$B$9,2))</x:f>
      </x:c>
      <x:c r="G471" s="77">
        <x:f>IF(A471="","",ROUND(C471*Moteur!$B$2,2))</x:f>
      </x:c>
      <x:c r="H471" s="77">
        <x:f>IF(A471="","",ROUND(MIN(C471,D471-G471+E471),2))</x:f>
      </x:c>
      <x:c r="I471" s="77">
        <x:f>IF(A471="","",ROUND(D471+E471+F471,2))</x:f>
      </x:c>
      <x:c r="J471" s="77">
        <x:f>IF(A471="","",ROUND(MAX(0,C471-H471),2))</x:f>
      </x:c>
      <x:c r="K471" s="78">
        <x:f>IF(A471="","",1-(J471/Dashboard!$B$6))</x:f>
      </x:c>
      <x:c r="L471" s="43">
        <x:f>IF(A471="","",IF(J471=0,"Soldé","En cours"))</x:f>
      </x:c>
      <x:c r="M471" s="77">
        <x:f>IF(A471="","",ROUND(SUM($G$8:G471),2))</x:f>
      </x:c>
    </x:row>
    <x:row r="472" ht="20" customHeight="1">
      <x:c r="A472" s="71">
        <x:f>IF(OR($J471="",ROUND($J471,2)=0),"",$A471+1)</x:f>
      </x:c>
      <x:c r="B472" s="72">
        <x:f>IF(A472="","",EDATE(Dashboard!$B$10,(A472-1)*(12/Dashboard!$B$9)))</x:f>
      </x:c>
      <x:c r="C472" s="73">
        <x:f>IF(A472="","",$J471)</x:f>
      </x:c>
      <x:c r="D472" s="73">
        <x:f>IF(A472="","",ROUND(MIN(Moteur!$B$3,C472+G472),2))</x:f>
      </x:c>
      <x:c r="E472" s="73">
        <x:f>IF(A472="","",ROUND(MIN(Dashboard!$B$11,MAX(0,C472-(D472-G472))),2))</x:f>
      </x:c>
      <x:c r="F472" s="73">
        <x:f>IF(A472="","",ROUND(C472*Dashboard!$B$12/Dashboard!$B$9,2))</x:f>
      </x:c>
      <x:c r="G472" s="73">
        <x:f>IF(A472="","",ROUND(C472*Moteur!$B$2,2))</x:f>
      </x:c>
      <x:c r="H472" s="73">
        <x:f>IF(A472="","",ROUND(MIN(C472,D472-G472+E472),2))</x:f>
      </x:c>
      <x:c r="I472" s="73">
        <x:f>IF(A472="","",ROUND(D472+E472+F472,2))</x:f>
      </x:c>
      <x:c r="J472" s="73">
        <x:f>IF(A472="","",ROUND(MAX(0,C472-H472),2))</x:f>
      </x:c>
      <x:c r="K472" s="74">
        <x:f>IF(A472="","",1-(J472/Dashboard!$B$6))</x:f>
      </x:c>
      <x:c r="L472" s="38">
        <x:f>IF(A472="","",IF(J472=0,"Soldé","En cours"))</x:f>
      </x:c>
      <x:c r="M472" s="73">
        <x:f>IF(A472="","",ROUND(SUM($G$8:G472),2))</x:f>
      </x:c>
    </x:row>
    <x:row r="473" ht="20" customHeight="1">
      <x:c r="A473" s="75">
        <x:f>IF(OR($J472="",ROUND($J472,2)=0),"",$A472+1)</x:f>
      </x:c>
      <x:c r="B473" s="76">
        <x:f>IF(A473="","",EDATE(Dashboard!$B$10,(A473-1)*(12/Dashboard!$B$9)))</x:f>
      </x:c>
      <x:c r="C473" s="77">
        <x:f>IF(A473="","",$J472)</x:f>
      </x:c>
      <x:c r="D473" s="77">
        <x:f>IF(A473="","",ROUND(MIN(Moteur!$B$3,C473+G473),2))</x:f>
      </x:c>
      <x:c r="E473" s="77">
        <x:f>IF(A473="","",ROUND(MIN(Dashboard!$B$11,MAX(0,C473-(D473-G473))),2))</x:f>
      </x:c>
      <x:c r="F473" s="77">
        <x:f>IF(A473="","",ROUND(C473*Dashboard!$B$12/Dashboard!$B$9,2))</x:f>
      </x:c>
      <x:c r="G473" s="77">
        <x:f>IF(A473="","",ROUND(C473*Moteur!$B$2,2))</x:f>
      </x:c>
      <x:c r="H473" s="77">
        <x:f>IF(A473="","",ROUND(MIN(C473,D473-G473+E473),2))</x:f>
      </x:c>
      <x:c r="I473" s="77">
        <x:f>IF(A473="","",ROUND(D473+E473+F473,2))</x:f>
      </x:c>
      <x:c r="J473" s="77">
        <x:f>IF(A473="","",ROUND(MAX(0,C473-H473),2))</x:f>
      </x:c>
      <x:c r="K473" s="78">
        <x:f>IF(A473="","",1-(J473/Dashboard!$B$6))</x:f>
      </x:c>
      <x:c r="L473" s="43">
        <x:f>IF(A473="","",IF(J473=0,"Soldé","En cours"))</x:f>
      </x:c>
      <x:c r="M473" s="77">
        <x:f>IF(A473="","",ROUND(SUM($G$8:G473),2))</x:f>
      </x:c>
    </x:row>
    <x:row r="474" ht="20" customHeight="1">
      <x:c r="A474" s="71">
        <x:f>IF(OR($J473="",ROUND($J473,2)=0),"",$A473+1)</x:f>
      </x:c>
      <x:c r="B474" s="72">
        <x:f>IF(A474="","",EDATE(Dashboard!$B$10,(A474-1)*(12/Dashboard!$B$9)))</x:f>
      </x:c>
      <x:c r="C474" s="73">
        <x:f>IF(A474="","",$J473)</x:f>
      </x:c>
      <x:c r="D474" s="73">
        <x:f>IF(A474="","",ROUND(MIN(Moteur!$B$3,C474+G474),2))</x:f>
      </x:c>
      <x:c r="E474" s="73">
        <x:f>IF(A474="","",ROUND(MIN(Dashboard!$B$11,MAX(0,C474-(D474-G474))),2))</x:f>
      </x:c>
      <x:c r="F474" s="73">
        <x:f>IF(A474="","",ROUND(C474*Dashboard!$B$12/Dashboard!$B$9,2))</x:f>
      </x:c>
      <x:c r="G474" s="73">
        <x:f>IF(A474="","",ROUND(C474*Moteur!$B$2,2))</x:f>
      </x:c>
      <x:c r="H474" s="73">
        <x:f>IF(A474="","",ROUND(MIN(C474,D474-G474+E474),2))</x:f>
      </x:c>
      <x:c r="I474" s="73">
        <x:f>IF(A474="","",ROUND(D474+E474+F474,2))</x:f>
      </x:c>
      <x:c r="J474" s="73">
        <x:f>IF(A474="","",ROUND(MAX(0,C474-H474),2))</x:f>
      </x:c>
      <x:c r="K474" s="74">
        <x:f>IF(A474="","",1-(J474/Dashboard!$B$6))</x:f>
      </x:c>
      <x:c r="L474" s="38">
        <x:f>IF(A474="","",IF(J474=0,"Soldé","En cours"))</x:f>
      </x:c>
      <x:c r="M474" s="73">
        <x:f>IF(A474="","",ROUND(SUM($G$8:G474),2))</x:f>
      </x:c>
    </x:row>
    <x:row r="475" ht="20" customHeight="1">
      <x:c r="A475" s="75">
        <x:f>IF(OR($J474="",ROUND($J474,2)=0),"",$A474+1)</x:f>
      </x:c>
      <x:c r="B475" s="76">
        <x:f>IF(A475="","",EDATE(Dashboard!$B$10,(A475-1)*(12/Dashboard!$B$9)))</x:f>
      </x:c>
      <x:c r="C475" s="77">
        <x:f>IF(A475="","",$J474)</x:f>
      </x:c>
      <x:c r="D475" s="77">
        <x:f>IF(A475="","",ROUND(MIN(Moteur!$B$3,C475+G475),2))</x:f>
      </x:c>
      <x:c r="E475" s="77">
        <x:f>IF(A475="","",ROUND(MIN(Dashboard!$B$11,MAX(0,C475-(D475-G475))),2))</x:f>
      </x:c>
      <x:c r="F475" s="77">
        <x:f>IF(A475="","",ROUND(C475*Dashboard!$B$12/Dashboard!$B$9,2))</x:f>
      </x:c>
      <x:c r="G475" s="77">
        <x:f>IF(A475="","",ROUND(C475*Moteur!$B$2,2))</x:f>
      </x:c>
      <x:c r="H475" s="77">
        <x:f>IF(A475="","",ROUND(MIN(C475,D475-G475+E475),2))</x:f>
      </x:c>
      <x:c r="I475" s="77">
        <x:f>IF(A475="","",ROUND(D475+E475+F475,2))</x:f>
      </x:c>
      <x:c r="J475" s="77">
        <x:f>IF(A475="","",ROUND(MAX(0,C475-H475),2))</x:f>
      </x:c>
      <x:c r="K475" s="78">
        <x:f>IF(A475="","",1-(J475/Dashboard!$B$6))</x:f>
      </x:c>
      <x:c r="L475" s="43">
        <x:f>IF(A475="","",IF(J475=0,"Soldé","En cours"))</x:f>
      </x:c>
      <x:c r="M475" s="77">
        <x:f>IF(A475="","",ROUND(SUM($G$8:G475),2))</x:f>
      </x:c>
    </x:row>
    <x:row r="476" ht="20" customHeight="1">
      <x:c r="A476" s="71">
        <x:f>IF(OR($J475="",ROUND($J475,2)=0),"",$A475+1)</x:f>
      </x:c>
      <x:c r="B476" s="72">
        <x:f>IF(A476="","",EDATE(Dashboard!$B$10,(A476-1)*(12/Dashboard!$B$9)))</x:f>
      </x:c>
      <x:c r="C476" s="73">
        <x:f>IF(A476="","",$J475)</x:f>
      </x:c>
      <x:c r="D476" s="73">
        <x:f>IF(A476="","",ROUND(MIN(Moteur!$B$3,C476+G476),2))</x:f>
      </x:c>
      <x:c r="E476" s="73">
        <x:f>IF(A476="","",ROUND(MIN(Dashboard!$B$11,MAX(0,C476-(D476-G476))),2))</x:f>
      </x:c>
      <x:c r="F476" s="73">
        <x:f>IF(A476="","",ROUND(C476*Dashboard!$B$12/Dashboard!$B$9,2))</x:f>
      </x:c>
      <x:c r="G476" s="73">
        <x:f>IF(A476="","",ROUND(C476*Moteur!$B$2,2))</x:f>
      </x:c>
      <x:c r="H476" s="73">
        <x:f>IF(A476="","",ROUND(MIN(C476,D476-G476+E476),2))</x:f>
      </x:c>
      <x:c r="I476" s="73">
        <x:f>IF(A476="","",ROUND(D476+E476+F476,2))</x:f>
      </x:c>
      <x:c r="J476" s="73">
        <x:f>IF(A476="","",ROUND(MAX(0,C476-H476),2))</x:f>
      </x:c>
      <x:c r="K476" s="74">
        <x:f>IF(A476="","",1-(J476/Dashboard!$B$6))</x:f>
      </x:c>
      <x:c r="L476" s="38">
        <x:f>IF(A476="","",IF(J476=0,"Soldé","En cours"))</x:f>
      </x:c>
      <x:c r="M476" s="73">
        <x:f>IF(A476="","",ROUND(SUM($G$8:G476),2))</x:f>
      </x:c>
    </x:row>
    <x:row r="477" ht="20" customHeight="1">
      <x:c r="A477" s="75">
        <x:f>IF(OR($J476="",ROUND($J476,2)=0),"",$A476+1)</x:f>
      </x:c>
      <x:c r="B477" s="76">
        <x:f>IF(A477="","",EDATE(Dashboard!$B$10,(A477-1)*(12/Dashboard!$B$9)))</x:f>
      </x:c>
      <x:c r="C477" s="77">
        <x:f>IF(A477="","",$J476)</x:f>
      </x:c>
      <x:c r="D477" s="77">
        <x:f>IF(A477="","",ROUND(MIN(Moteur!$B$3,C477+G477),2))</x:f>
      </x:c>
      <x:c r="E477" s="77">
        <x:f>IF(A477="","",ROUND(MIN(Dashboard!$B$11,MAX(0,C477-(D477-G477))),2))</x:f>
      </x:c>
      <x:c r="F477" s="77">
        <x:f>IF(A477="","",ROUND(C477*Dashboard!$B$12/Dashboard!$B$9,2))</x:f>
      </x:c>
      <x:c r="G477" s="77">
        <x:f>IF(A477="","",ROUND(C477*Moteur!$B$2,2))</x:f>
      </x:c>
      <x:c r="H477" s="77">
        <x:f>IF(A477="","",ROUND(MIN(C477,D477-G477+E477),2))</x:f>
      </x:c>
      <x:c r="I477" s="77">
        <x:f>IF(A477="","",ROUND(D477+E477+F477,2))</x:f>
      </x:c>
      <x:c r="J477" s="77">
        <x:f>IF(A477="","",ROUND(MAX(0,C477-H477),2))</x:f>
      </x:c>
      <x:c r="K477" s="78">
        <x:f>IF(A477="","",1-(J477/Dashboard!$B$6))</x:f>
      </x:c>
      <x:c r="L477" s="43">
        <x:f>IF(A477="","",IF(J477=0,"Soldé","En cours"))</x:f>
      </x:c>
      <x:c r="M477" s="77">
        <x:f>IF(A477="","",ROUND(SUM($G$8:G477),2))</x:f>
      </x:c>
    </x:row>
    <x:row r="478" ht="20" customHeight="1">
      <x:c r="A478" s="71">
        <x:f>IF(OR($J477="",ROUND($J477,2)=0),"",$A477+1)</x:f>
      </x:c>
      <x:c r="B478" s="72">
        <x:f>IF(A478="","",EDATE(Dashboard!$B$10,(A478-1)*(12/Dashboard!$B$9)))</x:f>
      </x:c>
      <x:c r="C478" s="73">
        <x:f>IF(A478="","",$J477)</x:f>
      </x:c>
      <x:c r="D478" s="73">
        <x:f>IF(A478="","",ROUND(MIN(Moteur!$B$3,C478+G478),2))</x:f>
      </x:c>
      <x:c r="E478" s="73">
        <x:f>IF(A478="","",ROUND(MIN(Dashboard!$B$11,MAX(0,C478-(D478-G478))),2))</x:f>
      </x:c>
      <x:c r="F478" s="73">
        <x:f>IF(A478="","",ROUND(C478*Dashboard!$B$12/Dashboard!$B$9,2))</x:f>
      </x:c>
      <x:c r="G478" s="73">
        <x:f>IF(A478="","",ROUND(C478*Moteur!$B$2,2))</x:f>
      </x:c>
      <x:c r="H478" s="73">
        <x:f>IF(A478="","",ROUND(MIN(C478,D478-G478+E478),2))</x:f>
      </x:c>
      <x:c r="I478" s="73">
        <x:f>IF(A478="","",ROUND(D478+E478+F478,2))</x:f>
      </x:c>
      <x:c r="J478" s="73">
        <x:f>IF(A478="","",ROUND(MAX(0,C478-H478),2))</x:f>
      </x:c>
      <x:c r="K478" s="74">
        <x:f>IF(A478="","",1-(J478/Dashboard!$B$6))</x:f>
      </x:c>
      <x:c r="L478" s="38">
        <x:f>IF(A478="","",IF(J478=0,"Soldé","En cours"))</x:f>
      </x:c>
      <x:c r="M478" s="73">
        <x:f>IF(A478="","",ROUND(SUM($G$8:G478),2))</x:f>
      </x:c>
    </x:row>
    <x:row r="479" ht="20" customHeight="1">
      <x:c r="A479" s="75">
        <x:f>IF(OR($J478="",ROUND($J478,2)=0),"",$A478+1)</x:f>
      </x:c>
      <x:c r="B479" s="76">
        <x:f>IF(A479="","",EDATE(Dashboard!$B$10,(A479-1)*(12/Dashboard!$B$9)))</x:f>
      </x:c>
      <x:c r="C479" s="77">
        <x:f>IF(A479="","",$J478)</x:f>
      </x:c>
      <x:c r="D479" s="77">
        <x:f>IF(A479="","",ROUND(MIN(Moteur!$B$3,C479+G479),2))</x:f>
      </x:c>
      <x:c r="E479" s="77">
        <x:f>IF(A479="","",ROUND(MIN(Dashboard!$B$11,MAX(0,C479-(D479-G479))),2))</x:f>
      </x:c>
      <x:c r="F479" s="77">
        <x:f>IF(A479="","",ROUND(C479*Dashboard!$B$12/Dashboard!$B$9,2))</x:f>
      </x:c>
      <x:c r="G479" s="77">
        <x:f>IF(A479="","",ROUND(C479*Moteur!$B$2,2))</x:f>
      </x:c>
      <x:c r="H479" s="77">
        <x:f>IF(A479="","",ROUND(MIN(C479,D479-G479+E479),2))</x:f>
      </x:c>
      <x:c r="I479" s="77">
        <x:f>IF(A479="","",ROUND(D479+E479+F479,2))</x:f>
      </x:c>
      <x:c r="J479" s="77">
        <x:f>IF(A479="","",ROUND(MAX(0,C479-H479),2))</x:f>
      </x:c>
      <x:c r="K479" s="78">
        <x:f>IF(A479="","",1-(J479/Dashboard!$B$6))</x:f>
      </x:c>
      <x:c r="L479" s="43">
        <x:f>IF(A479="","",IF(J479=0,"Soldé","En cours"))</x:f>
      </x:c>
      <x:c r="M479" s="77">
        <x:f>IF(A479="","",ROUND(SUM($G$8:G479),2))</x:f>
      </x:c>
    </x:row>
    <x:row r="480" ht="20" customHeight="1">
      <x:c r="A480" s="71">
        <x:f>IF(OR($J479="",ROUND($J479,2)=0),"",$A479+1)</x:f>
      </x:c>
      <x:c r="B480" s="72">
        <x:f>IF(A480="","",EDATE(Dashboard!$B$10,(A480-1)*(12/Dashboard!$B$9)))</x:f>
      </x:c>
      <x:c r="C480" s="73">
        <x:f>IF(A480="","",$J479)</x:f>
      </x:c>
      <x:c r="D480" s="73">
        <x:f>IF(A480="","",ROUND(MIN(Moteur!$B$3,C480+G480),2))</x:f>
      </x:c>
      <x:c r="E480" s="73">
        <x:f>IF(A480="","",ROUND(MIN(Dashboard!$B$11,MAX(0,C480-(D480-G480))),2))</x:f>
      </x:c>
      <x:c r="F480" s="73">
        <x:f>IF(A480="","",ROUND(C480*Dashboard!$B$12/Dashboard!$B$9,2))</x:f>
      </x:c>
      <x:c r="G480" s="73">
        <x:f>IF(A480="","",ROUND(C480*Moteur!$B$2,2))</x:f>
      </x:c>
      <x:c r="H480" s="73">
        <x:f>IF(A480="","",ROUND(MIN(C480,D480-G480+E480),2))</x:f>
      </x:c>
      <x:c r="I480" s="73">
        <x:f>IF(A480="","",ROUND(D480+E480+F480,2))</x:f>
      </x:c>
      <x:c r="J480" s="73">
        <x:f>IF(A480="","",ROUND(MAX(0,C480-H480),2))</x:f>
      </x:c>
      <x:c r="K480" s="74">
        <x:f>IF(A480="","",1-(J480/Dashboard!$B$6))</x:f>
      </x:c>
      <x:c r="L480" s="38">
        <x:f>IF(A480="","",IF(J480=0,"Soldé","En cours"))</x:f>
      </x:c>
      <x:c r="M480" s="73">
        <x:f>IF(A480="","",ROUND(SUM($G$8:G480),2))</x:f>
      </x:c>
    </x:row>
    <x:row r="481" ht="20" customHeight="1">
      <x:c r="A481" s="75">
        <x:f>IF(OR($J480="",ROUND($J480,2)=0),"",$A480+1)</x:f>
      </x:c>
      <x:c r="B481" s="76">
        <x:f>IF(A481="","",EDATE(Dashboard!$B$10,(A481-1)*(12/Dashboard!$B$9)))</x:f>
      </x:c>
      <x:c r="C481" s="77">
        <x:f>IF(A481="","",$J480)</x:f>
      </x:c>
      <x:c r="D481" s="77">
        <x:f>IF(A481="","",ROUND(MIN(Moteur!$B$3,C481+G481),2))</x:f>
      </x:c>
      <x:c r="E481" s="77">
        <x:f>IF(A481="","",ROUND(MIN(Dashboard!$B$11,MAX(0,C481-(D481-G481))),2))</x:f>
      </x:c>
      <x:c r="F481" s="77">
        <x:f>IF(A481="","",ROUND(C481*Dashboard!$B$12/Dashboard!$B$9,2))</x:f>
      </x:c>
      <x:c r="G481" s="77">
        <x:f>IF(A481="","",ROUND(C481*Moteur!$B$2,2))</x:f>
      </x:c>
      <x:c r="H481" s="77">
        <x:f>IF(A481="","",ROUND(MIN(C481,D481-G481+E481),2))</x:f>
      </x:c>
      <x:c r="I481" s="77">
        <x:f>IF(A481="","",ROUND(D481+E481+F481,2))</x:f>
      </x:c>
      <x:c r="J481" s="77">
        <x:f>IF(A481="","",ROUND(MAX(0,C481-H481),2))</x:f>
      </x:c>
      <x:c r="K481" s="78">
        <x:f>IF(A481="","",1-(J481/Dashboard!$B$6))</x:f>
      </x:c>
      <x:c r="L481" s="43">
        <x:f>IF(A481="","",IF(J481=0,"Soldé","En cours"))</x:f>
      </x:c>
      <x:c r="M481" s="77">
        <x:f>IF(A481="","",ROUND(SUM($G$8:G481),2))</x:f>
      </x:c>
    </x:row>
    <x:row r="482" ht="20" customHeight="1">
      <x:c r="A482" s="71">
        <x:f>IF(OR($J481="",ROUND($J481,2)=0),"",$A481+1)</x:f>
      </x:c>
      <x:c r="B482" s="72">
        <x:f>IF(A482="","",EDATE(Dashboard!$B$10,(A482-1)*(12/Dashboard!$B$9)))</x:f>
      </x:c>
      <x:c r="C482" s="73">
        <x:f>IF(A482="","",$J481)</x:f>
      </x:c>
      <x:c r="D482" s="73">
        <x:f>IF(A482="","",ROUND(MIN(Moteur!$B$3,C482+G482),2))</x:f>
      </x:c>
      <x:c r="E482" s="73">
        <x:f>IF(A482="","",ROUND(MIN(Dashboard!$B$11,MAX(0,C482-(D482-G482))),2))</x:f>
      </x:c>
      <x:c r="F482" s="73">
        <x:f>IF(A482="","",ROUND(C482*Dashboard!$B$12/Dashboard!$B$9,2))</x:f>
      </x:c>
      <x:c r="G482" s="73">
        <x:f>IF(A482="","",ROUND(C482*Moteur!$B$2,2))</x:f>
      </x:c>
      <x:c r="H482" s="73">
        <x:f>IF(A482="","",ROUND(MIN(C482,D482-G482+E482),2))</x:f>
      </x:c>
      <x:c r="I482" s="73">
        <x:f>IF(A482="","",ROUND(D482+E482+F482,2))</x:f>
      </x:c>
      <x:c r="J482" s="73">
        <x:f>IF(A482="","",ROUND(MAX(0,C482-H482),2))</x:f>
      </x:c>
      <x:c r="K482" s="74">
        <x:f>IF(A482="","",1-(J482/Dashboard!$B$6))</x:f>
      </x:c>
      <x:c r="L482" s="38">
        <x:f>IF(A482="","",IF(J482=0,"Soldé","En cours"))</x:f>
      </x:c>
      <x:c r="M482" s="73">
        <x:f>IF(A482="","",ROUND(SUM($G$8:G482),2))</x:f>
      </x:c>
    </x:row>
    <x:row r="483" ht="20" customHeight="1">
      <x:c r="A483" s="75">
        <x:f>IF(OR($J482="",ROUND($J482,2)=0),"",$A482+1)</x:f>
      </x:c>
      <x:c r="B483" s="76">
        <x:f>IF(A483="","",EDATE(Dashboard!$B$10,(A483-1)*(12/Dashboard!$B$9)))</x:f>
      </x:c>
      <x:c r="C483" s="77">
        <x:f>IF(A483="","",$J482)</x:f>
      </x:c>
      <x:c r="D483" s="77">
        <x:f>IF(A483="","",ROUND(MIN(Moteur!$B$3,C483+G483),2))</x:f>
      </x:c>
      <x:c r="E483" s="77">
        <x:f>IF(A483="","",ROUND(MIN(Dashboard!$B$11,MAX(0,C483-(D483-G483))),2))</x:f>
      </x:c>
      <x:c r="F483" s="77">
        <x:f>IF(A483="","",ROUND(C483*Dashboard!$B$12/Dashboard!$B$9,2))</x:f>
      </x:c>
      <x:c r="G483" s="77">
        <x:f>IF(A483="","",ROUND(C483*Moteur!$B$2,2))</x:f>
      </x:c>
      <x:c r="H483" s="77">
        <x:f>IF(A483="","",ROUND(MIN(C483,D483-G483+E483),2))</x:f>
      </x:c>
      <x:c r="I483" s="77">
        <x:f>IF(A483="","",ROUND(D483+E483+F483,2))</x:f>
      </x:c>
      <x:c r="J483" s="77">
        <x:f>IF(A483="","",ROUND(MAX(0,C483-H483),2))</x:f>
      </x:c>
      <x:c r="K483" s="78">
        <x:f>IF(A483="","",1-(J483/Dashboard!$B$6))</x:f>
      </x:c>
      <x:c r="L483" s="43">
        <x:f>IF(A483="","",IF(J483=0,"Soldé","En cours"))</x:f>
      </x:c>
      <x:c r="M483" s="77">
        <x:f>IF(A483="","",ROUND(SUM($G$8:G483),2))</x:f>
      </x:c>
    </x:row>
    <x:row r="484" ht="20" customHeight="1">
      <x:c r="A484" s="71">
        <x:f>IF(OR($J483="",ROUND($J483,2)=0),"",$A483+1)</x:f>
      </x:c>
      <x:c r="B484" s="72">
        <x:f>IF(A484="","",EDATE(Dashboard!$B$10,(A484-1)*(12/Dashboard!$B$9)))</x:f>
      </x:c>
      <x:c r="C484" s="73">
        <x:f>IF(A484="","",$J483)</x:f>
      </x:c>
      <x:c r="D484" s="73">
        <x:f>IF(A484="","",ROUND(MIN(Moteur!$B$3,C484+G484),2))</x:f>
      </x:c>
      <x:c r="E484" s="73">
        <x:f>IF(A484="","",ROUND(MIN(Dashboard!$B$11,MAX(0,C484-(D484-G484))),2))</x:f>
      </x:c>
      <x:c r="F484" s="73">
        <x:f>IF(A484="","",ROUND(C484*Dashboard!$B$12/Dashboard!$B$9,2))</x:f>
      </x:c>
      <x:c r="G484" s="73">
        <x:f>IF(A484="","",ROUND(C484*Moteur!$B$2,2))</x:f>
      </x:c>
      <x:c r="H484" s="73">
        <x:f>IF(A484="","",ROUND(MIN(C484,D484-G484+E484),2))</x:f>
      </x:c>
      <x:c r="I484" s="73">
        <x:f>IF(A484="","",ROUND(D484+E484+F484,2))</x:f>
      </x:c>
      <x:c r="J484" s="73">
        <x:f>IF(A484="","",ROUND(MAX(0,C484-H484),2))</x:f>
      </x:c>
      <x:c r="K484" s="74">
        <x:f>IF(A484="","",1-(J484/Dashboard!$B$6))</x:f>
      </x:c>
      <x:c r="L484" s="38">
        <x:f>IF(A484="","",IF(J484=0,"Soldé","En cours"))</x:f>
      </x:c>
      <x:c r="M484" s="73">
        <x:f>IF(A484="","",ROUND(SUM($G$8:G484),2))</x:f>
      </x:c>
    </x:row>
    <x:row r="485" ht="20" customHeight="1">
      <x:c r="A485" s="75">
        <x:f>IF(OR($J484="",ROUND($J484,2)=0),"",$A484+1)</x:f>
      </x:c>
      <x:c r="B485" s="76">
        <x:f>IF(A485="","",EDATE(Dashboard!$B$10,(A485-1)*(12/Dashboard!$B$9)))</x:f>
      </x:c>
      <x:c r="C485" s="77">
        <x:f>IF(A485="","",$J484)</x:f>
      </x:c>
      <x:c r="D485" s="77">
        <x:f>IF(A485="","",ROUND(MIN(Moteur!$B$3,C485+G485),2))</x:f>
      </x:c>
      <x:c r="E485" s="77">
        <x:f>IF(A485="","",ROUND(MIN(Dashboard!$B$11,MAX(0,C485-(D485-G485))),2))</x:f>
      </x:c>
      <x:c r="F485" s="77">
        <x:f>IF(A485="","",ROUND(C485*Dashboard!$B$12/Dashboard!$B$9,2))</x:f>
      </x:c>
      <x:c r="G485" s="77">
        <x:f>IF(A485="","",ROUND(C485*Moteur!$B$2,2))</x:f>
      </x:c>
      <x:c r="H485" s="77">
        <x:f>IF(A485="","",ROUND(MIN(C485,D485-G485+E485),2))</x:f>
      </x:c>
      <x:c r="I485" s="77">
        <x:f>IF(A485="","",ROUND(D485+E485+F485,2))</x:f>
      </x:c>
      <x:c r="J485" s="77">
        <x:f>IF(A485="","",ROUND(MAX(0,C485-H485),2))</x:f>
      </x:c>
      <x:c r="K485" s="78">
        <x:f>IF(A485="","",1-(J485/Dashboard!$B$6))</x:f>
      </x:c>
      <x:c r="L485" s="43">
        <x:f>IF(A485="","",IF(J485=0,"Soldé","En cours"))</x:f>
      </x:c>
      <x:c r="M485" s="77">
        <x:f>IF(A485="","",ROUND(SUM($G$8:G485),2))</x:f>
      </x:c>
    </x:row>
    <x:row r="486" ht="20" customHeight="1">
      <x:c r="A486" s="71">
        <x:f>IF(OR($J485="",ROUND($J485,2)=0),"",$A485+1)</x:f>
      </x:c>
      <x:c r="B486" s="72">
        <x:f>IF(A486="","",EDATE(Dashboard!$B$10,(A486-1)*(12/Dashboard!$B$9)))</x:f>
      </x:c>
      <x:c r="C486" s="73">
        <x:f>IF(A486="","",$J485)</x:f>
      </x:c>
      <x:c r="D486" s="73">
        <x:f>IF(A486="","",ROUND(MIN(Moteur!$B$3,C486+G486),2))</x:f>
      </x:c>
      <x:c r="E486" s="73">
        <x:f>IF(A486="","",ROUND(MIN(Dashboard!$B$11,MAX(0,C486-(D486-G486))),2))</x:f>
      </x:c>
      <x:c r="F486" s="73">
        <x:f>IF(A486="","",ROUND(C486*Dashboard!$B$12/Dashboard!$B$9,2))</x:f>
      </x:c>
      <x:c r="G486" s="73">
        <x:f>IF(A486="","",ROUND(C486*Moteur!$B$2,2))</x:f>
      </x:c>
      <x:c r="H486" s="73">
        <x:f>IF(A486="","",ROUND(MIN(C486,D486-G486+E486),2))</x:f>
      </x:c>
      <x:c r="I486" s="73">
        <x:f>IF(A486="","",ROUND(D486+E486+F486,2))</x:f>
      </x:c>
      <x:c r="J486" s="73">
        <x:f>IF(A486="","",ROUND(MAX(0,C486-H486),2))</x:f>
      </x:c>
      <x:c r="K486" s="74">
        <x:f>IF(A486="","",1-(J486/Dashboard!$B$6))</x:f>
      </x:c>
      <x:c r="L486" s="38">
        <x:f>IF(A486="","",IF(J486=0,"Soldé","En cours"))</x:f>
      </x:c>
      <x:c r="M486" s="73">
        <x:f>IF(A486="","",ROUND(SUM($G$8:G486),2))</x:f>
      </x:c>
    </x:row>
    <x:row r="487" ht="20" customHeight="1">
      <x:c r="A487" s="75">
        <x:f>IF(OR($J486="",ROUND($J486,2)=0),"",$A486+1)</x:f>
      </x:c>
      <x:c r="B487" s="76">
        <x:f>IF(A487="","",EDATE(Dashboard!$B$10,(A487-1)*(12/Dashboard!$B$9)))</x:f>
      </x:c>
      <x:c r="C487" s="77">
        <x:f>IF(A487="","",$J486)</x:f>
      </x:c>
      <x:c r="D487" s="77">
        <x:f>IF(A487="","",ROUND(MIN(Moteur!$B$3,C487+G487),2))</x:f>
      </x:c>
      <x:c r="E487" s="77">
        <x:f>IF(A487="","",ROUND(MIN(Dashboard!$B$11,MAX(0,C487-(D487-G487))),2))</x:f>
      </x:c>
      <x:c r="F487" s="77">
        <x:f>IF(A487="","",ROUND(C487*Dashboard!$B$12/Dashboard!$B$9,2))</x:f>
      </x:c>
      <x:c r="G487" s="77">
        <x:f>IF(A487="","",ROUND(C487*Moteur!$B$2,2))</x:f>
      </x:c>
      <x:c r="H487" s="77">
        <x:f>IF(A487="","",ROUND(MIN(C487,D487-G487+E487),2))</x:f>
      </x:c>
      <x:c r="I487" s="77">
        <x:f>IF(A487="","",ROUND(D487+E487+F487,2))</x:f>
      </x:c>
      <x:c r="J487" s="77">
        <x:f>IF(A487="","",ROUND(MAX(0,C487-H487),2))</x:f>
      </x:c>
      <x:c r="K487" s="78">
        <x:f>IF(A487="","",1-(J487/Dashboard!$B$6))</x:f>
      </x:c>
      <x:c r="L487" s="43">
        <x:f>IF(A487="","",IF(J487=0,"Soldé","En cours"))</x:f>
      </x:c>
      <x:c r="M487" s="77">
        <x:f>IF(A487="","",ROUND(SUM($G$8:G487),2))</x:f>
      </x:c>
    </x:row>
  </x:sheetData>
  <x:mergeCells>
    <x:mergeCell ref="A1:M2"/>
    <x:mergeCell ref="A3:M3"/>
  </x:mergeCells>
  <x:conditionalFormatting sqref="K8:K487">
    <x:cfRule type="dataBar" priority="1">
      <x:dataBar>
        <x:cfvo type="num" val="0"/>
        <x:cfvo type="num" val="1"/>
        <x:color rgb="0063C384"/>
      </x:dataBar>
    </x:cfRule>
  </x:conditionalFormatting>
  <x:conditionalFormatting sqref="L8:L487">
    <x:cfRule type="expression" dxfId="0" priority="2">
      <x:formula>$L8="Soldé"</x:formula>
    </x:cfRule>
  </x:conditionalFormatting>
  <x:conditionalFormatting sqref="J8:J487">
    <x:cfRule type="cellIs" dxfId="0" priority="3" operator="equal">
      <x:formula>0</x:formula>
    </x:cfRule>
  </x:conditionalFormatting>
  <x:pageMargins left="0.7" right="0.7" top="0.75" bottom="0.75" header="0.3" footer="0.3"/>
  <x:tableParts count="1">
    <x:tablePart xmlns:r="http://schemas.openxmlformats.org/officeDocument/2006/relationships" r:id="R71957ca545f14b62"/>
  </x:tableParts>
</x:worksheet>
</file>

<file path=xl/worksheets/sheet3.xml><?xml version="1.0" encoding="utf-8"?>
<x:worksheet xmlns:x="http://schemas.openxmlformats.org/spreadsheetml/2006/main">
  <x:sheetViews>
    <x:sheetView showGridLines="0" workbookViewId="0"/>
  </x:sheetViews>
  <x:sheetFormatPr baseColWidth="8" defaultRowHeight="15"/>
  <x:cols>
    <x:col min="1" max="1" width="28" customWidth="1"/>
    <x:col min="2" max="2" width="92" customWidth="1"/>
  </x:cols>
  <x:sheetData>
    <x:row r="1" ht="20" customHeight="1">
      <x:c r="A1" s="1" t="inlineStr">
        <x:is>
          <x:t xml:space="preserve">GUIDE D’UTILISATION</x:t>
        </x:is>
      </x:c>
    </x:row>
    <x:row r="2" ht="20" customHeight="1"/>
    <x:row r="3" ht="20" customHeight="1"/>
    <x:row r="4" ht="20" customHeight="1">
      <x:c r="A4" s="44" t="inlineStr">
        <x:is>
          <x:t xml:space="preserve">1. Modifier les hypothèses</x:t>
        </x:is>
      </x:c>
      <x:c r="B4" s="45" t="inlineStr">
        <x:is>
          <x:t xml:space="preserve">Dans l’onglet Dashboard, changez uniquement les cellules jaunes : montant, taux, durée, périodicité, date de départ, remboursement anticipé, assurance et frais.</x:t>
        </x:is>
      </x:c>
    </x:row>
    <x:row r="5" ht="20" customHeight="1"/>
    <x:row r="6" ht="20" customHeight="1">
      <x:c r="A6" s="44" t="inlineStr">
        <x:is>
          <x:t xml:space="preserve">2. Lire la synthèse</x:t>
        </x:is>
      </x:c>
      <x:c r="B6" s="45" t="inlineStr">
        <x:is>
          <x:t xml:space="preserve">Les cartes mettent à jour automatiquement l’échéance, la date de fin, les intérêts totaux, l’économie réalisée et le coût global du financement.</x:t>
        </x:is>
      </x:c>
    </x:row>
    <x:row r="7" ht="20" customHeight="1"/>
    <x:row r="8" ht="20" customHeight="1">
      <x:c r="A8" s="44" t="inlineStr">
        <x:is>
          <x:t xml:space="preserve">3. Contrôler l’amortissement</x:t>
        </x:is>
      </x:c>
      <x:c r="B8" s="45" t="inlineStr">
        <x:is>
          <x:t xml:space="preserve">L’onglet Amortissement se remplit automatiquement et s’arrête dès que le capital restant dû atteint zéro.</x:t>
        </x:is>
      </x:c>
    </x:row>
    <x:row r="9" ht="20" customHeight="1"/>
    <x:row r="10" ht="20" customHeight="1">
      <x:c r="A10" s="44" t="inlineStr">
        <x:is>
          <x:t xml:space="preserve">4. Couleurs</x:t>
        </x:is>
      </x:c>
      <x:c r="B10" s="45" t="inlineStr">
        <x:is>
          <x:t xml:space="preserve">Jaune = saisie utilisateur • Gris = libellés / constantes • Noir = calculs • Vert = indicateur positif / prêt soldé • Violet = logique de contrôle.</x:t>
        </x:is>
      </x:c>
    </x:row>
    <x:row r="11" ht="20" customHeight="1"/>
    <x:row r="12" ht="20" customHeight="1">
      <x:c r="A12" s="44" t="inlineStr">
        <x:is>
          <x:t xml:space="preserve">5. Scénarios rapides</x:t>
        </x:is>
      </x:c>
      <x:c r="B12" s="45" t="inlineStr">
        <x:is>
          <x:t xml:space="preserve">Pour tester plusieurs cas, modifiez simplement le remboursement anticipé par période ou la durée. Le graphique et le calendrier se recalculent.</x:t>
        </x:is>
      </x:c>
    </x:row>
    <x:row r="13" ht="20" customHeight="1"/>
    <x:row r="14" ht="20" customHeight="1">
      <x:c r="A14" s="44" t="inlineStr">
        <x:is>
          <x:t xml:space="preserve">6. Données livrées</x:t>
        </x:is>
      </x:c>
      <x:c r="B14" s="45" t="inlineStr">
        <x:is>
          <x:t xml:space="preserve">Exemple prérempli : 250 000 €, 3,8 %, 20 ans, démarrage au 01/04/2026, 150 € de remboursement anticipé par période, 0,30 % d’assurance et 1 200 € de frais.</x:t>
        </x:is>
      </x:c>
    </x:row>
    <x:row r="15" ht="20" customHeight="1"/>
    <x:row r="16" ht="20" customHeight="1">
      <x:c r="A16" s="46" t="inlineStr">
        <x:is>
          <x:t xml:space="preserve">Le classeur est prêt à l’emploi dans Excel ou Google Sheets. Les cellules de calcul sont protégées ; seules les entrées de saisie sont modifiables.</x:t>
        </x:is>
      </x:c>
      <x:c r="B16" s="62" t="n"/>
    </x:row>
    <x:row r="17" ht="20" customHeight="1">
      <x:c r="A17" s="63" t="n"/>
      <x:c r="B17" s="64" t="n"/>
    </x:row>
    <x:row r="18" ht="20" customHeight="1">
      <x:c r="A18" s="65" t="n"/>
      <x:c r="B18" s="67" t="n"/>
    </x:row>
  </x:sheetData>
  <x:mergeCells>
    <x:mergeCell ref="A1:B2"/>
    <x:mergeCell ref="A16:B18"/>
  </x:mergeCells>
  <x:pageMargins left="0.7" right="0.7" top="0.75" bottom="0.75" header="0.3" footer="0.3"/>
</x:worksheet>
</file>

<file path=xl/worksheets/sheet4.xml><?xml version="1.0" encoding="utf-8"?>
<x:worksheet xmlns:x="http://schemas.openxmlformats.org/spreadsheetml/2006/main">
  <x:sheetFormatPr baseColWidth="8" defaultRowHeight="15"/>
  <x:sheetData>
    <x:row r="1">
      <x:c r="A1" t="inlineStr">
        <x:is>
          <x:t xml:space="preserve">Nb périodes théoriques</x:t>
        </x:is>
      </x:c>
      <x:c r="B1" s="80">
        <x:f>Dashboard!B8*Dashboard!B9</x:f>
        <x:v>240</x:v>
      </x:c>
    </x:row>
    <x:row r="2">
      <x:c r="A2" t="inlineStr">
        <x:is>
          <x:t xml:space="preserve">Taux périodique</x:t>
        </x:is>
      </x:c>
      <x:c r="B2" s="81">
        <x:f>Dashboard!B7/Dashboard!B9</x:f>
        <x:v>0.0031666666666666666</x:v>
      </x:c>
    </x:row>
    <x:row r="3">
      <x:c r="A3" t="inlineStr">
        <x:is>
          <x:t xml:space="preserve">Échéance hors assurance</x:t>
        </x:is>
      </x:c>
      <x:c r="B3" s="82">
        <x:f>ROUND(-PMT(B2,B1,Dashboard!B6),2)</x:f>
        <x:v>1488.73</x:v>
      </x:c>
    </x:row>
    <x:row r="4">
      <x:c r="A4" t="inlineStr">
        <x:is>
          <x:t xml:space="preserve">Assurance 1ère période</x:t>
        </x:is>
      </x:c>
      <x:c r="B4" s="82">
        <x:f>ROUND(Dashboard!B6*Dashboard!B12/Dashboard!B9,2)</x:f>
        <x:v>62.5</x:v>
      </x:c>
    </x:row>
    <x:row r="5">
      <x:c r="A5" t="inlineStr">
        <x:is>
          <x:t xml:space="preserve">Date de fin estimée</x:t>
        </x:is>
      </x:c>
      <x:c r="B5" s="83">
        <x:f>MAX(Amortissement!B8:B487)</x:f>
        <x:v>52444</x:v>
      </x:c>
    </x:row>
    <x:row r="6">
      <x:c r="A6" t="inlineStr">
        <x:is>
          <x:t xml:space="preserve">Durée effective</x:t>
        </x:is>
      </x:c>
      <x:c r="B6" s="80">
        <x:f>COUNT(Amortissement!A8:A487)</x:f>
        <x:v>209</x:v>
      </x:c>
    </x:row>
    <x:row r="7">
      <x:c r="A7" t="inlineStr">
        <x:is>
          <x:t xml:space="preserve">Intérêts totaux</x:t>
        </x:is>
      </x:c>
      <x:c r="B7" s="82">
        <x:f>ROUND(SUM(Amortissement!G8:G487),2)</x:f>
        <x:v>92035.64</x:v>
      </x:c>
    </x:row>
    <x:row r="8">
      <x:c r="A8" t="inlineStr">
        <x:is>
          <x:t xml:space="preserve">Paiements totaux + frais</x:t>
        </x:is>
      </x:c>
      <x:c r="B8" s="82">
        <x:f>ROUND(SUM(Amortissement!I8:I487)+Dashboard!B13,2)</x:f>
        <x:v>350501.59</x:v>
      </x:c>
    </x:row>
    <x:row r="9">
      <x:c r="A9" t="inlineStr">
        <x:is>
          <x:t xml:space="preserve">Intérêts sans remb anticipé</x:t>
        </x:is>
      </x:c>
      <x:c r="B9" s="82">
        <x:f>ROUND(-CUMIPMT(B2,B1,Dashboard!B6,1,B1,0),2)</x:f>
        <x:v>107296.21</x:v>
      </x:c>
    </x:row>
    <x:row r="10">
      <x:c r="A10" t="inlineStr">
        <x:is>
          <x:t xml:space="preserve">Économie d’intérêts</x:t>
        </x:is>
      </x:c>
      <x:c r="B10" s="82">
        <x:f>ROUND(B9-B7,2)</x:f>
        <x:v>15260.57</x:v>
      </x:c>
    </x:row>
  </x:sheetData>
  <x:pageMargins left="0.7" right="0.7" top="0.75" bottom="0.75" header="0.3" footer="0.3"/>
</x:worksheet>
</file>