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01_Parametres" sheetId="1" state="visible" r:id="rId1"/>
    <sheet xmlns:r="http://schemas.openxmlformats.org/officeDocument/2006/relationships" name="02_Plan_Comptable" sheetId="2" state="visible" r:id="rId2"/>
    <sheet xmlns:r="http://schemas.openxmlformats.org/officeDocument/2006/relationships" name="03_Journal" sheetId="3" state="visible" r:id="rId3"/>
    <sheet xmlns:r="http://schemas.openxmlformats.org/officeDocument/2006/relationships" name="04_Synthese" sheetId="4" state="visible" r:id="rId4"/>
    <sheet xmlns:r="http://schemas.openxmlformats.org/officeDocument/2006/relationships" name="05_Tableau_de_bord" sheetId="5" state="visible" r:id="rId5"/>
    <sheet xmlns:r="http://schemas.openxmlformats.org/officeDocument/2006/relationships" name="06_Suivi_Loyers" sheetId="6" state="visible" r:id="rId6"/>
    <sheet xmlns:r="http://schemas.openxmlformats.org/officeDocument/2006/relationships" name="07_Emprunt" sheetId="7" state="visible" r:id="rId7"/>
  </sheets>
  <definedNames/>
</workbook>
</file>

<file path=xl/styles.xml><?xml version="1.0" encoding="utf-8"?>
<styleSheet xmlns="http://schemas.openxmlformats.org/spreadsheetml/2006/main">
  <numFmts count="7">
    <numFmt numFmtId="164" formatCode="dd/mm/yyyy"/>
    <numFmt numFmtId="165" formatCode="0.0%"/>
    <numFmt numFmtId="166" formatCode="#,##0.00_);[Red](#,##0.00);&quot;-&quot;_);@"/>
    <numFmt numFmtId="167" formatCode="mmm yyyy"/>
    <numFmt numFmtId="168" formatCode="#,##0&quot; €&quot;;[Red](#,##0&quot; €&quot;)"/>
    <numFmt numFmtId="169" formatCode="#,##0&quot; €&quot;"/>
    <numFmt numFmtId="170" formatCode="#,##0.00&quot; €&quot;"/>
  </numFmts>
  <fonts count="12">
    <font>
      <name val="Calibri"/>
      <family val="2"/>
      <color theme="1"/>
      <sz val="11"/>
      <scheme val="minor"/>
    </font>
    <font>
      <b val="1"/>
      <color rgb="001F4E79"/>
      <sz val="18"/>
    </font>
    <font>
      <color rgb="00404040"/>
      <sz val="11"/>
    </font>
    <font>
      <b val="1"/>
      <color rgb="00404040"/>
    </font>
    <font>
      <color rgb="000000FF"/>
    </font>
    <font>
      <b val="1"/>
      <color rgb="001F4E79"/>
    </font>
    <font>
      <color rgb="00404040"/>
      <sz val="10"/>
    </font>
    <font>
      <color rgb="00404040"/>
    </font>
    <font>
      <b val="1"/>
      <color rgb="00FFFFFF"/>
    </font>
    <font>
      <color rgb="00000000"/>
    </font>
    <font>
      <b val="1"/>
    </font>
    <font>
      <b val="1"/>
      <color rgb="001F4E79"/>
      <sz val="16"/>
    </font>
  </fonts>
  <fills count="11">
    <fill>
      <patternFill/>
    </fill>
    <fill>
      <patternFill patternType="gray125"/>
    </fill>
    <fill>
      <patternFill patternType="solid">
        <fgColor rgb="00D9E1F2"/>
      </patternFill>
    </fill>
    <fill>
      <patternFill patternType="solid">
        <fgColor rgb="001F4E79"/>
      </patternFill>
    </fill>
    <fill>
      <patternFill patternType="solid">
        <fgColor rgb="00FBFBFB"/>
      </patternFill>
    </fill>
    <fill>
      <patternFill patternType="solid">
        <fgColor rgb="002F75B5"/>
      </patternFill>
    </fill>
    <fill>
      <patternFill patternType="solid">
        <fgColor rgb="00FFFFFF"/>
      </patternFill>
    </fill>
    <fill>
      <patternFill patternType="solid">
        <fgColor rgb="00F2F2F2"/>
      </patternFill>
    </fill>
    <fill>
      <patternFill patternType="solid">
        <fgColor rgb="00C6E0B4"/>
      </patternFill>
    </fill>
    <fill>
      <patternFill patternType="solid">
        <fgColor rgb="00FFF2CC"/>
      </patternFill>
    </fill>
    <fill>
      <patternFill patternType="solid">
        <fgColor rgb="00FCE4D6"/>
      </patternFill>
    </fill>
  </fills>
  <borders count="10">
    <border>
      <left/>
      <right/>
      <top/>
      <bottom/>
      <diagonal/>
    </border>
    <border>
      <left style="thin">
        <color rgb="00A6A6A6"/>
      </left>
      <right style="thin">
        <color rgb="00A6A6A6"/>
      </right>
      <top style="thin">
        <color rgb="00A6A6A6"/>
      </top>
      <bottom style="thin">
        <color rgb="00A6A6A6"/>
      </bottom>
    </border>
    <border>
      <left/>
      <right/>
      <top style="thin">
        <color rgb="00A6A6A6"/>
      </top>
      <bottom/>
      <diagonal/>
    </border>
    <border>
      <left/>
      <right style="thin">
        <color rgb="00A6A6A6"/>
      </right>
      <top style="thin">
        <color rgb="00A6A6A6"/>
      </top>
      <bottom/>
      <diagonal/>
    </border>
    <border>
      <left/>
      <right/>
      <top style="thin">
        <color rgb="00A6A6A6"/>
      </top>
      <bottom style="thin">
        <color rgb="00A6A6A6"/>
      </bottom>
      <diagonal/>
    </border>
    <border>
      <left/>
      <right style="thin">
        <color rgb="00A6A6A6"/>
      </right>
      <top style="thin">
        <color rgb="00A6A6A6"/>
      </top>
      <bottom style="thin">
        <color rgb="00A6A6A6"/>
      </bottom>
      <diagonal/>
    </border>
    <border>
      <left style="thin">
        <color rgb="00A6A6A6"/>
      </left>
      <right/>
      <top/>
      <bottom/>
      <diagonal/>
    </border>
    <border>
      <left/>
      <right style="thin">
        <color rgb="00A6A6A6"/>
      </right>
      <top/>
      <bottom/>
      <diagonal/>
    </border>
    <border>
      <left style="thin">
        <color rgb="00A6A6A6"/>
      </left>
      <right/>
      <top/>
      <bottom style="thin">
        <color rgb="00A6A6A6"/>
      </bottom>
      <diagonal/>
    </border>
    <border>
      <left/>
      <right style="thin">
        <color rgb="00A6A6A6"/>
      </right>
      <top/>
      <bottom style="thin">
        <color rgb="00A6A6A6"/>
      </bottom>
      <diagonal/>
    </border>
  </borders>
  <cellStyleXfs count="1">
    <xf numFmtId="0" fontId="0" fillId="0" borderId="0"/>
  </cellStyleXfs>
  <cellXfs count="90">
    <xf numFmtId="0" fontId="0" fillId="0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0" borderId="0" applyAlignment="1" pivotButton="0" quotePrefix="0" xfId="0">
      <alignment horizontal="left"/>
    </xf>
    <xf numFmtId="0" fontId="4" fillId="2" borderId="1" applyAlignment="1" pivotButton="0" quotePrefix="0" xfId="0">
      <alignment horizontal="left"/>
    </xf>
    <xf numFmtId="164" fontId="4" fillId="2" borderId="1" applyAlignment="1" pivotButton="0" quotePrefix="0" xfId="0">
      <alignment horizontal="left"/>
    </xf>
    <xf numFmtId="165" fontId="4" fillId="2" borderId="1" applyAlignment="1" pivotButton="0" quotePrefix="0" xfId="0">
      <alignment horizontal="left"/>
    </xf>
    <xf numFmtId="166" fontId="4" fillId="2" borderId="1" applyAlignment="1" pivotButton="0" quotePrefix="0" xfId="0">
      <alignment horizontal="left"/>
    </xf>
    <xf numFmtId="0" fontId="5" fillId="0" borderId="0" pivotButton="0" quotePrefix="0" xfId="0"/>
    <xf numFmtId="0" fontId="6" fillId="0" borderId="0" pivotButton="0" quotePrefix="0" xfId="0"/>
    <xf numFmtId="0" fontId="7" fillId="0" borderId="1" pivotButton="0" quotePrefix="0" xfId="0"/>
    <xf numFmtId="0" fontId="4" fillId="2" borderId="1" pivotButton="0" quotePrefix="0" xfId="0"/>
    <xf numFmtId="0" fontId="6" fillId="0" borderId="0" applyAlignment="1" pivotButton="0" quotePrefix="0" xfId="0">
      <alignment horizontal="left" vertical="center"/>
    </xf>
    <xf numFmtId="0" fontId="8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4" fillId="2" borderId="1" applyAlignment="1" pivotButton="0" quotePrefix="0" xfId="0">
      <alignment vertical="top" wrapText="1"/>
    </xf>
    <xf numFmtId="0" fontId="8" fillId="5" borderId="1" applyAlignment="1" pivotButton="0" quotePrefix="0" xfId="0">
      <alignment horizontal="center" vertical="center" wrapText="1"/>
    </xf>
    <xf numFmtId="164" fontId="4" fillId="2" borderId="1" applyAlignment="1" pivotButton="0" quotePrefix="0" xfId="0">
      <alignment vertical="top" wrapText="1"/>
    </xf>
    <xf numFmtId="166" fontId="4" fillId="2" borderId="1" applyAlignment="1" pivotButton="0" quotePrefix="0" xfId="0">
      <alignment vertical="top" wrapText="1"/>
    </xf>
    <xf numFmtId="166" fontId="9" fillId="6" borderId="1" applyAlignment="1" pivotButton="0" quotePrefix="0" xfId="0">
      <alignment vertical="top" wrapText="1"/>
    </xf>
    <xf numFmtId="167" fontId="9" fillId="6" borderId="1" applyAlignment="1" pivotButton="0" quotePrefix="0" xfId="0">
      <alignment vertical="top" wrapText="1"/>
    </xf>
    <xf numFmtId="1" fontId="9" fillId="6" borderId="1" applyAlignment="1" pivotButton="0" quotePrefix="0" xfId="0">
      <alignment vertical="top" wrapText="1"/>
    </xf>
    <xf numFmtId="164" fontId="4" fillId="2" borderId="1" pivotButton="0" quotePrefix="0" xfId="0"/>
    <xf numFmtId="166" fontId="0" fillId="4" borderId="1" applyAlignment="1" pivotButton="0" quotePrefix="0" xfId="0">
      <alignment horizontal="right" vertical="top"/>
    </xf>
    <xf numFmtId="166" fontId="0" fillId="0" borderId="1" applyAlignment="1" pivotButton="0" quotePrefix="0" xfId="0">
      <alignment horizontal="right" vertical="top"/>
    </xf>
    <xf numFmtId="0" fontId="5" fillId="7" borderId="1" pivotButton="0" quotePrefix="0" xfId="0"/>
    <xf numFmtId="0" fontId="0" fillId="7" borderId="1" pivotButton="0" quotePrefix="0" xfId="0"/>
    <xf numFmtId="166" fontId="10" fillId="7" borderId="1" pivotButton="0" quotePrefix="0" xfId="0"/>
    <xf numFmtId="0" fontId="3" fillId="0" borderId="1" pivotButton="0" quotePrefix="0" xfId="0"/>
    <xf numFmtId="0" fontId="0" fillId="0" borderId="1" pivotButton="0" quotePrefix="0" xfId="0"/>
    <xf numFmtId="166" fontId="10" fillId="0" borderId="1" pivotButton="0" quotePrefix="0" xfId="0"/>
    <xf numFmtId="166" fontId="10" fillId="8" borderId="1" pivotButton="0" quotePrefix="0" xfId="0"/>
    <xf numFmtId="0" fontId="5" fillId="0" borderId="0" applyAlignment="1" pivotButton="0" quotePrefix="0" xfId="0">
      <alignment horizontal="left"/>
    </xf>
    <xf numFmtId="0" fontId="3" fillId="0" borderId="0" pivotButton="0" quotePrefix="0" xfId="0"/>
    <xf numFmtId="0" fontId="8" fillId="3" borderId="1" applyAlignment="1" pivotButton="0" quotePrefix="0" xfId="0">
      <alignment horizontal="center" vertical="center"/>
    </xf>
    <xf numFmtId="167" fontId="0" fillId="0" borderId="1" applyAlignment="1" pivotButton="0" quotePrefix="0" xfId="0">
      <alignment horizontal="left"/>
    </xf>
    <xf numFmtId="166" fontId="0" fillId="0" borderId="1" applyAlignment="1" pivotButton="0" quotePrefix="0" xfId="0">
      <alignment horizontal="right"/>
    </xf>
    <xf numFmtId="167" fontId="0" fillId="4" borderId="1" applyAlignment="1" pivotButton="0" quotePrefix="0" xfId="0">
      <alignment horizontal="left"/>
    </xf>
    <xf numFmtId="166" fontId="0" fillId="4" borderId="1" applyAlignment="1" pivotButton="0" quotePrefix="0" xfId="0">
      <alignment horizontal="right"/>
    </xf>
    <xf numFmtId="0" fontId="3" fillId="9" borderId="1" applyAlignment="1" pivotButton="0" quotePrefix="0" xfId="0">
      <alignment horizontal="left" vertical="center"/>
    </xf>
    <xf numFmtId="0" fontId="3" fillId="10" borderId="1" applyAlignment="1" pivotButton="0" quotePrefix="0" xfId="0">
      <alignment horizontal="left" vertical="center"/>
    </xf>
    <xf numFmtId="0" fontId="3" fillId="8" borderId="1" applyAlignment="1" pivotButton="0" quotePrefix="0" xfId="0">
      <alignment horizontal="left" vertical="center"/>
    </xf>
    <xf numFmtId="166" fontId="11" fillId="9" borderId="1" applyAlignment="1" pivotButton="0" quotePrefix="0" xfId="0">
      <alignment horizontal="left" vertical="center"/>
    </xf>
    <xf numFmtId="166" fontId="11" fillId="10" borderId="1" applyAlignment="1" pivotButton="0" quotePrefix="0" xfId="0">
      <alignment horizontal="left" vertical="center"/>
    </xf>
    <xf numFmtId="166" fontId="11" fillId="8" borderId="1" applyAlignment="1" pivotButton="0" quotePrefix="0" xfId="0">
      <alignment horizontal="left" vertical="center"/>
    </xf>
    <xf numFmtId="0" fontId="3" fillId="2" borderId="1" applyAlignment="1" pivotButton="0" quotePrefix="0" xfId="0">
      <alignment horizontal="left" vertical="center"/>
    </xf>
    <xf numFmtId="166" fontId="11" fillId="2" borderId="1" applyAlignment="1" pivotButton="0" quotePrefix="0" xfId="0">
      <alignment horizontal="left" vertical="center"/>
    </xf>
    <xf numFmtId="164" fontId="4" fillId="2" borderId="1" applyAlignment="1" pivotButton="0" quotePrefix="0" xfId="0">
      <alignment horizontal="left"/>
    </xf>
    <xf numFmtId="165" fontId="4" fillId="2" borderId="1" applyAlignment="1" pivotButton="0" quotePrefix="0" xfId="0">
      <alignment horizontal="left"/>
    </xf>
    <xf numFmtId="166" fontId="4" fillId="2" borderId="1" applyAlignment="1" pivotButton="0" quotePrefix="0" xfId="0">
      <alignment horizontal="left"/>
    </xf>
    <xf numFmtId="164" fontId="4" fillId="2" borderId="1" applyAlignment="1" pivotButton="0" quotePrefix="0" xfId="0">
      <alignment vertical="top" wrapText="1"/>
    </xf>
    <xf numFmtId="166" fontId="4" fillId="2" borderId="1" applyAlignment="1" pivotButton="0" quotePrefix="0" xfId="0">
      <alignment vertical="top" wrapText="1"/>
    </xf>
    <xf numFmtId="166" fontId="9" fillId="6" borderId="1" applyAlignment="1" pivotButton="0" quotePrefix="0" xfId="0">
      <alignment vertical="top" wrapText="1"/>
    </xf>
    <xf numFmtId="167" fontId="9" fillId="6" borderId="1" applyAlignment="1" pivotButton="0" quotePrefix="0" xfId="0">
      <alignment vertical="top" wrapText="1"/>
    </xf>
    <xf numFmtId="164" fontId="4" fillId="2" borderId="1" pivotButton="0" quotePrefix="0" xfId="0"/>
    <xf numFmtId="166" fontId="0" fillId="4" borderId="1" applyAlignment="1" pivotButton="0" quotePrefix="0" xfId="0">
      <alignment horizontal="right" vertical="top"/>
    </xf>
    <xf numFmtId="166" fontId="0" fillId="0" borderId="1" applyAlignment="1" pivotButton="0" quotePrefix="0" xfId="0">
      <alignment horizontal="right" vertical="top"/>
    </xf>
    <xf numFmtId="0" fontId="0" fillId="0" borderId="4" pivotButton="0" quotePrefix="0" xfId="0"/>
    <xf numFmtId="0" fontId="0" fillId="0" borderId="5" pivotButton="0" quotePrefix="0" xfId="0"/>
    <xf numFmtId="166" fontId="10" fillId="7" borderId="1" pivotButton="0" quotePrefix="0" xfId="0"/>
    <xf numFmtId="166" fontId="10" fillId="0" borderId="1" pivotButton="0" quotePrefix="0" xfId="0"/>
    <xf numFmtId="166" fontId="10" fillId="8" borderId="1" pivotButton="0" quotePrefix="0" xfId="0"/>
    <xf numFmtId="167" fontId="0" fillId="0" borderId="1" applyAlignment="1" pivotButton="0" quotePrefix="0" xfId="0">
      <alignment horizontal="left"/>
    </xf>
    <xf numFmtId="166" fontId="0" fillId="0" borderId="1" applyAlignment="1" pivotButton="0" quotePrefix="0" xfId="0">
      <alignment horizontal="right"/>
    </xf>
    <xf numFmtId="167" fontId="0" fillId="4" borderId="1" applyAlignment="1" pivotButton="0" quotePrefix="0" xfId="0">
      <alignment horizontal="left"/>
    </xf>
    <xf numFmtId="166" fontId="0" fillId="4" borderId="1" applyAlignment="1" pivotButton="0" quotePrefix="0" xfId="0">
      <alignment horizontal="right"/>
    </xf>
    <xf numFmtId="166" fontId="11" fillId="9" borderId="1" applyAlignment="1" pivotButton="0" quotePrefix="0" xfId="0">
      <alignment horizontal="left" vertical="center"/>
    </xf>
    <xf numFmtId="0" fontId="0" fillId="0" borderId="3" pivotButton="0" quotePrefix="0" xfId="0"/>
    <xf numFmtId="166" fontId="11" fillId="10" borderId="1" applyAlignment="1" pivotButton="0" quotePrefix="0" xfId="0">
      <alignment horizontal="left" vertical="center"/>
    </xf>
    <xf numFmtId="166" fontId="11" fillId="8" borderId="1" applyAlignment="1" pivotButton="0" quotePrefix="0" xfId="0">
      <alignment horizontal="left" vertical="center"/>
    </xf>
    <xf numFmtId="0" fontId="0" fillId="0" borderId="8" pivotButton="0" quotePrefix="0" xfId="0"/>
    <xf numFmtId="0" fontId="0" fillId="0" borderId="9" pivotButton="0" quotePrefix="0" xfId="0"/>
    <xf numFmtId="166" fontId="11" fillId="2" borderId="1" applyAlignment="1" pivotButton="0" quotePrefix="0" xfId="0">
      <alignment horizontal="left" vertical="center"/>
    </xf>
    <xf numFmtId="0" fontId="9" fillId="6" borderId="1" applyAlignment="1" pivotButton="0" quotePrefix="0" xfId="0">
      <alignment vertical="top" wrapText="1"/>
    </xf>
    <xf numFmtId="168" fontId="11" fillId="9" borderId="1" applyAlignment="1" pivotButton="0" quotePrefix="0" xfId="0">
      <alignment horizontal="right" vertical="center"/>
    </xf>
    <xf numFmtId="168" fontId="0" fillId="0" borderId="1" applyAlignment="1" pivotButton="0" quotePrefix="0" xfId="0">
      <alignment horizontal="right"/>
    </xf>
    <xf numFmtId="165" fontId="0" fillId="0" borderId="1" applyAlignment="1" pivotButton="0" quotePrefix="0" xfId="0">
      <alignment horizontal="right"/>
    </xf>
    <xf numFmtId="168" fontId="8" fillId="3" borderId="1" applyAlignment="1" pivotButton="0" quotePrefix="0" xfId="0">
      <alignment horizontal="center" vertical="center"/>
    </xf>
    <xf numFmtId="165" fontId="8" fillId="3" borderId="1" applyAlignment="1" pivotButton="0" quotePrefix="0" xfId="0">
      <alignment horizontal="center" vertical="center"/>
    </xf>
    <xf numFmtId="169" fontId="0" fillId="0" borderId="1" applyAlignment="1" pivotButton="0" quotePrefix="0" xfId="0">
      <alignment horizontal="left"/>
    </xf>
    <xf numFmtId="168" fontId="0" fillId="0" borderId="1" applyAlignment="1" pivotButton="0" quotePrefix="0" xfId="0">
      <alignment horizontal="left"/>
    </xf>
    <xf numFmtId="169" fontId="4" fillId="2" borderId="1" applyAlignment="1" pivotButton="0" quotePrefix="0" xfId="0">
      <alignment horizontal="left"/>
    </xf>
    <xf numFmtId="10" fontId="4" fillId="2" borderId="1" applyAlignment="1" pivotButton="0" quotePrefix="0" xfId="0">
      <alignment horizontal="left"/>
    </xf>
    <xf numFmtId="170" fontId="4" fillId="2" borderId="1" applyAlignment="1" pivotButton="0" quotePrefix="0" xfId="0">
      <alignment horizontal="left"/>
    </xf>
    <xf numFmtId="170" fontId="0" fillId="0" borderId="1" applyAlignment="1" pivotButton="0" quotePrefix="0" xfId="0">
      <alignment horizontal="left"/>
    </xf>
    <xf numFmtId="1" fontId="0" fillId="0" borderId="1" applyAlignment="1" pivotButton="0" quotePrefix="0" xfId="0">
      <alignment horizontal="center" vertical="center"/>
    </xf>
    <xf numFmtId="164" fontId="4" fillId="2" borderId="1" applyAlignment="1" pivotButton="0" quotePrefix="0" xfId="0">
      <alignment horizontal="left" vertical="center"/>
    </xf>
    <xf numFmtId="170" fontId="4" fillId="2" borderId="1" applyAlignment="1" pivotButton="0" quotePrefix="0" xfId="0">
      <alignment horizontal="left"/>
    </xf>
    <xf numFmtId="170" fontId="0" fillId="0" borderId="1" applyAlignment="1" pivotButton="0" quotePrefix="0" xfId="0">
      <alignment horizontal="left"/>
    </xf>
  </cellXfs>
  <cellStyles count="1">
    <cellStyle name="Normal" xfId="0"/>
  </cellStyles>
  <dxfs count="3">
    <dxf>
      <fill>
        <patternFill>
          <bgColor rgb="00FFF2CC"/>
        </patternFill>
      </fill>
    </dxf>
    <dxf>
      <font>
        <color rgb="009C0006"/>
      </font>
      <fill>
        <patternFill patternType="solid">
          <fgColor rgb="00FFC7CE"/>
          <bgColor rgb="00FFC7CE"/>
        </patternFill>
      </fill>
    </dxf>
    <dxf>
      <fill>
        <patternFill patternType="solid">
          <fgColor rgb="00FFF2CC"/>
          <bgColor rgb="00FFF2CC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Net mensuel</a:t>
            </a:r>
          </a:p>
        </rich>
      </tx>
    </title>
    <plotArea>
      <lineChart>
        <grouping val="standard"/>
        <ser>
          <idx val="0"/>
          <order val="0"/>
          <tx>
            <strRef>
              <f>'05_Tableau_de_bord'!K6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'05_Tableau_de_bord'!$H$7:$H$18</f>
            </numRef>
          </cat>
          <val>
            <numRef>
              <f>'05_Tableau_de_bord'!$K$7:$K$18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18</row>
      <rowOff>0</rowOff>
    </from>
    <ext cx="54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30" customWidth="1" min="2" max="2"/>
    <col width="18" customWidth="1" min="3" max="3"/>
    <col width="30" customWidth="1" min="4" max="4"/>
    <col width="18" customWidth="1" min="5" max="5"/>
    <col width="30" customWidth="1" min="6" max="6"/>
  </cols>
  <sheetData>
    <row r="1" ht="28" customHeight="1">
      <c r="A1" s="1" t="inlineStr">
        <is>
          <t>Modèle de comptabilité SCI (Excel)</t>
        </is>
      </c>
    </row>
    <row r="2" ht="18" customHeight="1">
      <c r="A2" s="2" t="inlineStr">
        <is>
          <t>Paramètres &amp; hypothèses — cellules en bleu = à saisir</t>
        </is>
      </c>
    </row>
    <row r="4">
      <c r="A4" s="3" t="inlineStr">
        <is>
          <t>Nom de la SCI</t>
        </is>
      </c>
      <c r="B4" s="4" t="inlineStr">
        <is>
          <t>SCI Atlas Immobilier</t>
        </is>
      </c>
    </row>
    <row r="5">
      <c r="A5" s="3" t="inlineStr">
        <is>
          <t>Exercice – date début</t>
        </is>
      </c>
      <c r="B5" s="48" t="n">
        <v>46023</v>
      </c>
    </row>
    <row r="6">
      <c r="A6" s="3" t="inlineStr">
        <is>
          <t>Exercice – date fin</t>
        </is>
      </c>
      <c r="B6" s="48" t="n">
        <v>46387</v>
      </c>
    </row>
    <row r="7">
      <c r="A7" s="3" t="inlineStr">
        <is>
          <t>Régime fiscal (IR / IS)</t>
        </is>
      </c>
      <c r="B7" s="4" t="inlineStr">
        <is>
          <t>IR</t>
        </is>
      </c>
    </row>
    <row r="8">
      <c r="A8" s="3" t="inlineStr">
        <is>
          <t>Taux de TVA (si applicable)</t>
        </is>
      </c>
      <c r="B8" s="49" t="n">
        <v>0</v>
      </c>
    </row>
    <row r="9">
      <c r="A9" s="3" t="inlineStr">
        <is>
          <t>Devise</t>
        </is>
      </c>
      <c r="B9" s="4" t="inlineStr">
        <is>
          <t>EUR</t>
        </is>
      </c>
    </row>
    <row r="10">
      <c r="A10" s="3" t="inlineStr">
        <is>
          <t>Solde banque initial (compte 512)</t>
        </is>
      </c>
      <c r="B10" s="50" t="n">
        <v>5000</v>
      </c>
    </row>
    <row r="11">
      <c r="A11" s="3" t="inlineStr">
        <is>
          <t>Période analyse – début (pour Synthèse/Dashboard)</t>
        </is>
      </c>
      <c r="B11" s="48">
        <f>B5</f>
        <v/>
      </c>
    </row>
    <row r="12">
      <c r="A12" s="3" t="inlineStr">
        <is>
          <t>Période analyse – fin (pour Synthèse/Dashboard)</t>
        </is>
      </c>
      <c r="B12" s="48">
        <f>B6</f>
        <v/>
      </c>
    </row>
    <row r="14">
      <c r="A14" s="8" t="inlineStr">
        <is>
          <t>Liste des immeubles / lots (optionnel)</t>
        </is>
      </c>
    </row>
    <row r="15">
      <c r="A15" s="9" t="inlineStr">
        <is>
          <t>Saisir jusqu'à 10 libellés (utilisés dans le Journal)</t>
        </is>
      </c>
    </row>
    <row r="16">
      <c r="A16" s="10" t="inlineStr">
        <is>
          <t>Immeuble 1</t>
        </is>
      </c>
      <c r="B16" s="11" t="inlineStr">
        <is>
          <t>Appartement A – Casablanca</t>
        </is>
      </c>
    </row>
    <row r="17">
      <c r="A17" s="10" t="inlineStr">
        <is>
          <t>Immeuble 2</t>
        </is>
      </c>
      <c r="B17" s="11" t="inlineStr">
        <is>
          <t>Studio B – Rabat</t>
        </is>
      </c>
    </row>
    <row r="18">
      <c r="A18" s="10" t="inlineStr">
        <is>
          <t>Immeuble 3</t>
        </is>
      </c>
      <c r="B18" s="11" t="inlineStr"/>
    </row>
    <row r="19">
      <c r="A19" s="10" t="inlineStr">
        <is>
          <t>Immeuble 4</t>
        </is>
      </c>
      <c r="B19" s="11" t="inlineStr"/>
    </row>
    <row r="20">
      <c r="A20" s="10" t="inlineStr">
        <is>
          <t>Immeuble 5</t>
        </is>
      </c>
      <c r="B20" s="11" t="inlineStr"/>
    </row>
    <row r="21">
      <c r="A21" s="10" t="inlineStr">
        <is>
          <t>Immeuble 6</t>
        </is>
      </c>
      <c r="B21" s="11" t="inlineStr"/>
    </row>
    <row r="22">
      <c r="A22" s="10" t="inlineStr">
        <is>
          <t>Immeuble 7</t>
        </is>
      </c>
      <c r="B22" s="11" t="inlineStr"/>
    </row>
    <row r="23">
      <c r="A23" s="10" t="inlineStr">
        <is>
          <t>Immeuble 8</t>
        </is>
      </c>
      <c r="B23" s="11" t="inlineStr"/>
    </row>
    <row r="24">
      <c r="A24" s="10" t="inlineStr">
        <is>
          <t>Immeuble 9</t>
        </is>
      </c>
      <c r="B24" s="11" t="inlineStr"/>
    </row>
    <row r="25">
      <c r="A25" s="10" t="inlineStr">
        <is>
          <t>Immeuble 10</t>
        </is>
      </c>
      <c r="B25" s="11" t="inlineStr"/>
    </row>
    <row r="28">
      <c r="A28" s="8" t="inlineStr">
        <is>
          <t>Mode d'emploi (rapide)</t>
        </is>
      </c>
    </row>
    <row r="29" ht="18" customHeight="1">
      <c r="A29" s="12" t="inlineStr">
        <is>
          <t>1) Renseigner les paramètres (bleu). Ajustez au besoin la période d'analyse (B11:B12).</t>
        </is>
      </c>
    </row>
    <row r="30" ht="18" customHeight="1">
      <c r="A30" s="12" t="inlineStr">
        <is>
          <t>2) Vérifier/adapter le plan comptable dans 02_Plan_Comptable.</t>
        </is>
      </c>
    </row>
    <row r="31" ht="18" customHeight="1">
      <c r="A31" s="12" t="inlineStr">
        <is>
          <t>3) Saisir les écritures dans 03_Journal (Débit, Crédit, Montant).</t>
        </is>
      </c>
    </row>
    <row r="32" ht="18" customHeight="1">
      <c r="A32" s="12" t="inlineStr">
        <is>
          <t>4) 04_Synthese et 05_Tableau_de_bord se calculent automatiquement.</t>
        </is>
      </c>
    </row>
    <row r="33" ht="18" customHeight="1">
      <c r="A33" s="12" t="inlineStr">
        <is>
          <t>Astuce : Pour une SCI à l'IR en trésorerie, tenez surtout 512 (Banque), 706 (Loyers), 61/62/63 (Charges), 108 (Associés).</t>
        </is>
      </c>
    </row>
  </sheetData>
  <mergeCells count="7">
    <mergeCell ref="A2:F2"/>
    <mergeCell ref="A33:F33"/>
    <mergeCell ref="A1:F1"/>
    <mergeCell ref="A32:F32"/>
    <mergeCell ref="A31:F31"/>
    <mergeCell ref="A30:F30"/>
    <mergeCell ref="A29:F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84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42" customWidth="1" min="2" max="2"/>
    <col width="12" customWidth="1" min="3" max="3"/>
    <col width="16" customWidth="1" min="4" max="4"/>
    <col width="40" customWidth="1" min="5" max="5"/>
  </cols>
  <sheetData>
    <row r="1" ht="28" customHeight="1">
      <c r="A1" s="1" t="inlineStr">
        <is>
          <t>Plan comptable simplifié (SCI)</t>
        </is>
      </c>
    </row>
    <row r="2" ht="18" customHeight="1">
      <c r="A2" s="2" t="inlineStr">
        <is>
          <t>Vous pouvez ajouter des comptes — ils alimentent les listes déroulantes du Journal</t>
        </is>
      </c>
    </row>
    <row r="4" ht="22" customHeight="1">
      <c r="A4" s="13" t="inlineStr">
        <is>
          <t>Compte</t>
        </is>
      </c>
      <c r="B4" s="13" t="inlineStr">
        <is>
          <t>Libellé</t>
        </is>
      </c>
      <c r="C4" s="13" t="inlineStr">
        <is>
          <t>Type</t>
        </is>
      </c>
      <c r="D4" s="13" t="inlineStr">
        <is>
          <t>Sous-type</t>
        </is>
      </c>
      <c r="E4" s="13" t="inlineStr">
        <is>
          <t>Commentaires</t>
        </is>
      </c>
    </row>
    <row r="5">
      <c r="A5" s="14" t="inlineStr">
        <is>
          <t>101</t>
        </is>
      </c>
      <c r="B5" s="14" t="inlineStr">
        <is>
          <t>Capital social</t>
        </is>
      </c>
      <c r="C5" s="14" t="inlineStr">
        <is>
          <t>Passif</t>
        </is>
      </c>
      <c r="D5" s="14" t="inlineStr">
        <is>
          <t>Capitaux propres</t>
        </is>
      </c>
      <c r="E5" s="14" t="inlineStr"/>
    </row>
    <row r="6">
      <c r="A6" s="15" t="inlineStr">
        <is>
          <t>108</t>
        </is>
      </c>
      <c r="B6" s="15" t="inlineStr">
        <is>
          <t>Compte courant d'associé</t>
        </is>
      </c>
      <c r="C6" s="15" t="inlineStr">
        <is>
          <t>Passif</t>
        </is>
      </c>
      <c r="D6" s="15" t="inlineStr">
        <is>
          <t>Associés</t>
        </is>
      </c>
      <c r="E6" s="15" t="inlineStr">
        <is>
          <t>Apports / retraits</t>
        </is>
      </c>
    </row>
    <row r="7">
      <c r="A7" s="14" t="inlineStr">
        <is>
          <t>164</t>
        </is>
      </c>
      <c r="B7" s="14" t="inlineStr">
        <is>
          <t>Emprunts auprès des établissements de crédit</t>
        </is>
      </c>
      <c r="C7" s="14" t="inlineStr">
        <is>
          <t>Passif</t>
        </is>
      </c>
      <c r="D7" s="14" t="inlineStr">
        <is>
          <t>Dettes financières</t>
        </is>
      </c>
      <c r="E7" s="14" t="inlineStr"/>
    </row>
    <row r="8">
      <c r="A8" s="15" t="inlineStr">
        <is>
          <t>401</t>
        </is>
      </c>
      <c r="B8" s="15" t="inlineStr">
        <is>
          <t>Fournisseurs</t>
        </is>
      </c>
      <c r="C8" s="15" t="inlineStr">
        <is>
          <t>Passif</t>
        </is>
      </c>
      <c r="D8" s="15" t="inlineStr">
        <is>
          <t>Dettes</t>
        </is>
      </c>
      <c r="E8" s="15" t="inlineStr"/>
    </row>
    <row r="9">
      <c r="A9" s="14" t="inlineStr">
        <is>
          <t>411</t>
        </is>
      </c>
      <c r="B9" s="14" t="inlineStr">
        <is>
          <t>Locataires / Clients</t>
        </is>
      </c>
      <c r="C9" s="14" t="inlineStr">
        <is>
          <t>Actif</t>
        </is>
      </c>
      <c r="D9" s="14" t="inlineStr">
        <is>
          <t>Créances</t>
        </is>
      </c>
      <c r="E9" s="14" t="inlineStr"/>
    </row>
    <row r="10">
      <c r="A10" s="15" t="inlineStr">
        <is>
          <t>44566</t>
        </is>
      </c>
      <c r="B10" s="15" t="inlineStr">
        <is>
          <t>TVA déductible</t>
        </is>
      </c>
      <c r="C10" s="15" t="inlineStr">
        <is>
          <t>Actif</t>
        </is>
      </c>
      <c r="D10" s="15" t="inlineStr">
        <is>
          <t>TVA</t>
        </is>
      </c>
      <c r="E10" s="15" t="inlineStr">
        <is>
          <t>Optionnel</t>
        </is>
      </c>
    </row>
    <row r="11">
      <c r="A11" s="14" t="inlineStr">
        <is>
          <t>44571</t>
        </is>
      </c>
      <c r="B11" s="14" t="inlineStr">
        <is>
          <t>TVA collectée</t>
        </is>
      </c>
      <c r="C11" s="14" t="inlineStr">
        <is>
          <t>Passif</t>
        </is>
      </c>
      <c r="D11" s="14" t="inlineStr">
        <is>
          <t>TVA</t>
        </is>
      </c>
      <c r="E11" s="14" t="inlineStr">
        <is>
          <t>Optionnel</t>
        </is>
      </c>
    </row>
    <row r="12">
      <c r="A12" s="15" t="inlineStr">
        <is>
          <t>512</t>
        </is>
      </c>
      <c r="B12" s="15" t="inlineStr">
        <is>
          <t>Banque</t>
        </is>
      </c>
      <c r="C12" s="15" t="inlineStr">
        <is>
          <t>Actif</t>
        </is>
      </c>
      <c r="D12" s="15" t="inlineStr">
        <is>
          <t>Trésorerie</t>
        </is>
      </c>
      <c r="E12" s="15" t="inlineStr">
        <is>
          <t>Compte bancaire</t>
        </is>
      </c>
    </row>
    <row r="13">
      <c r="A13" s="14" t="inlineStr">
        <is>
          <t>6063</t>
        </is>
      </c>
      <c r="B13" s="14" t="inlineStr">
        <is>
          <t>Fournitures d'entretien et petit équipement</t>
        </is>
      </c>
      <c r="C13" s="14" t="inlineStr">
        <is>
          <t>Charge</t>
        </is>
      </c>
      <c r="D13" s="14" t="inlineStr">
        <is>
          <t>Charges externes</t>
        </is>
      </c>
      <c r="E13" s="14" t="inlineStr"/>
    </row>
    <row r="14">
      <c r="A14" s="15" t="inlineStr">
        <is>
          <t>614</t>
        </is>
      </c>
      <c r="B14" s="15" t="inlineStr">
        <is>
          <t>Charges locatives et copropriété</t>
        </is>
      </c>
      <c r="C14" s="15" t="inlineStr">
        <is>
          <t>Charge</t>
        </is>
      </c>
      <c r="D14" s="15" t="inlineStr">
        <is>
          <t>Charges externes</t>
        </is>
      </c>
      <c r="E14" s="15" t="inlineStr"/>
    </row>
    <row r="15">
      <c r="A15" s="14" t="inlineStr">
        <is>
          <t>615</t>
        </is>
      </c>
      <c r="B15" s="14" t="inlineStr">
        <is>
          <t>Entretien et réparations</t>
        </is>
      </c>
      <c r="C15" s="14" t="inlineStr">
        <is>
          <t>Charge</t>
        </is>
      </c>
      <c r="D15" s="14" t="inlineStr">
        <is>
          <t>Charges externes</t>
        </is>
      </c>
      <c r="E15" s="14" t="inlineStr"/>
    </row>
    <row r="16">
      <c r="A16" s="15" t="inlineStr">
        <is>
          <t>616</t>
        </is>
      </c>
      <c r="B16" s="15" t="inlineStr">
        <is>
          <t>Primes d'assurances</t>
        </is>
      </c>
      <c r="C16" s="15" t="inlineStr">
        <is>
          <t>Charge</t>
        </is>
      </c>
      <c r="D16" s="15" t="inlineStr">
        <is>
          <t>Charges externes</t>
        </is>
      </c>
      <c r="E16" s="15" t="inlineStr"/>
    </row>
    <row r="17">
      <c r="A17" s="14" t="inlineStr">
        <is>
          <t>6227</t>
        </is>
      </c>
      <c r="B17" s="14" t="inlineStr">
        <is>
          <t>Frais d'actes et de contentieux</t>
        </is>
      </c>
      <c r="C17" s="14" t="inlineStr">
        <is>
          <t>Charge</t>
        </is>
      </c>
      <c r="D17" s="14" t="inlineStr">
        <is>
          <t>Services extérieurs</t>
        </is>
      </c>
      <c r="E17" s="14" t="inlineStr">
        <is>
          <t>Notaire / avocat</t>
        </is>
      </c>
    </row>
    <row r="18">
      <c r="A18" s="15" t="inlineStr">
        <is>
          <t>627</t>
        </is>
      </c>
      <c r="B18" s="15" t="inlineStr">
        <is>
          <t>Services bancaires et assimilés</t>
        </is>
      </c>
      <c r="C18" s="15" t="inlineStr">
        <is>
          <t>Charge</t>
        </is>
      </c>
      <c r="D18" s="15" t="inlineStr">
        <is>
          <t>Services extérieurs</t>
        </is>
      </c>
      <c r="E18" s="15" t="inlineStr">
        <is>
          <t>Frais bancaires</t>
        </is>
      </c>
    </row>
    <row r="19">
      <c r="A19" s="14" t="inlineStr">
        <is>
          <t>63512</t>
        </is>
      </c>
      <c r="B19" s="14" t="inlineStr">
        <is>
          <t>Taxes foncières</t>
        </is>
      </c>
      <c r="C19" s="14" t="inlineStr">
        <is>
          <t>Charge</t>
        </is>
      </c>
      <c r="D19" s="14" t="inlineStr">
        <is>
          <t>Impôts et taxes</t>
        </is>
      </c>
      <c r="E19" s="14" t="inlineStr"/>
    </row>
    <row r="20">
      <c r="A20" s="15" t="inlineStr">
        <is>
          <t>661</t>
        </is>
      </c>
      <c r="B20" s="15" t="inlineStr">
        <is>
          <t>Charges d'intérêts</t>
        </is>
      </c>
      <c r="C20" s="15" t="inlineStr">
        <is>
          <t>Charge</t>
        </is>
      </c>
      <c r="D20" s="15" t="inlineStr">
        <is>
          <t>Charges financières</t>
        </is>
      </c>
      <c r="E20" s="15" t="inlineStr">
        <is>
          <t>Intérêts d'emprunt</t>
        </is>
      </c>
    </row>
    <row r="21">
      <c r="A21" s="14" t="inlineStr">
        <is>
          <t>706</t>
        </is>
      </c>
      <c r="B21" s="14" t="inlineStr">
        <is>
          <t>Loyers</t>
        </is>
      </c>
      <c r="C21" s="14" t="inlineStr">
        <is>
          <t>Produit</t>
        </is>
      </c>
      <c r="D21" s="14" t="inlineStr">
        <is>
          <t>Chiffre d'affaires</t>
        </is>
      </c>
      <c r="E21" s="14" t="inlineStr">
        <is>
          <t>Recettes locatives</t>
        </is>
      </c>
    </row>
    <row r="22">
      <c r="A22" s="15" t="inlineStr">
        <is>
          <t>708</t>
        </is>
      </c>
      <c r="B22" s="15" t="inlineStr">
        <is>
          <t>Produits annexes</t>
        </is>
      </c>
      <c r="C22" s="15" t="inlineStr">
        <is>
          <t>Produit</t>
        </is>
      </c>
      <c r="D22" s="15" t="inlineStr">
        <is>
          <t>Autres produits</t>
        </is>
      </c>
      <c r="E22" s="15" t="inlineStr"/>
    </row>
    <row r="23">
      <c r="A23" s="14" t="inlineStr">
        <is>
          <t>6811</t>
        </is>
      </c>
      <c r="B23" s="14" t="inlineStr">
        <is>
          <t>Dotations aux amortissements</t>
        </is>
      </c>
      <c r="C23" s="14" t="inlineStr">
        <is>
          <t>Charge</t>
        </is>
      </c>
      <c r="D23" s="14" t="inlineStr">
        <is>
          <t>IS uniquement</t>
        </is>
      </c>
      <c r="E23" s="14" t="inlineStr">
        <is>
          <t>Si SCI à l'IS</t>
        </is>
      </c>
    </row>
    <row r="24">
      <c r="A24" s="15" t="inlineStr">
        <is>
          <t>281</t>
        </is>
      </c>
      <c r="B24" s="15" t="inlineStr">
        <is>
          <t>Amortissements</t>
        </is>
      </c>
      <c r="C24" s="15" t="inlineStr">
        <is>
          <t>Passif</t>
        </is>
      </c>
      <c r="D24" s="15" t="inlineStr">
        <is>
          <t>IS uniquement</t>
        </is>
      </c>
      <c r="E24" s="15" t="inlineStr">
        <is>
          <t>Compte d'amortissement (simplifié)</t>
        </is>
      </c>
    </row>
    <row r="25">
      <c r="A25" s="15" t="inlineStr">
        <is>
          <t>6226</t>
        </is>
      </c>
      <c r="B25" s="15" t="inlineStr">
        <is>
          <t>Honoraires (gestion, comptable)</t>
        </is>
      </c>
      <c r="C25" s="15" t="inlineStr">
        <is>
          <t>Charge</t>
        </is>
      </c>
      <c r="D25" s="15" t="inlineStr">
        <is>
          <t>Services extérieurs</t>
        </is>
      </c>
      <c r="E25" s="15" t="inlineStr">
        <is>
          <t>Gestion locative / expert-comptable</t>
        </is>
      </c>
    </row>
    <row r="26">
      <c r="A26" s="15" t="inlineStr">
        <is>
          <t>628</t>
        </is>
      </c>
      <c r="B26" s="15" t="inlineStr">
        <is>
          <t>Divers (petits frais)</t>
        </is>
      </c>
      <c r="C26" s="15" t="inlineStr">
        <is>
          <t>Charge</t>
        </is>
      </c>
      <c r="D26" s="15" t="inlineStr">
        <is>
          <t>Services extérieurs</t>
        </is>
      </c>
      <c r="E26" s="15" t="inlineStr"/>
    </row>
    <row r="27">
      <c r="A27" s="16" t="n"/>
      <c r="B27" s="16" t="n"/>
      <c r="C27" s="16" t="n"/>
      <c r="D27" s="16" t="n"/>
      <c r="E27" s="14" t="n"/>
    </row>
    <row r="28">
      <c r="A28" s="16" t="n"/>
      <c r="B28" s="16" t="n"/>
      <c r="C28" s="16" t="n"/>
      <c r="D28" s="16" t="n"/>
      <c r="E28" s="14" t="n"/>
    </row>
    <row r="29">
      <c r="A29" s="16" t="n"/>
      <c r="B29" s="16" t="n"/>
      <c r="C29" s="16" t="n"/>
      <c r="D29" s="16" t="n"/>
      <c r="E29" s="14" t="n"/>
    </row>
    <row r="30">
      <c r="A30" s="16" t="n"/>
      <c r="B30" s="16" t="n"/>
      <c r="C30" s="16" t="n"/>
      <c r="D30" s="16" t="n"/>
      <c r="E30" s="14" t="n"/>
    </row>
    <row r="31">
      <c r="A31" s="16" t="n"/>
      <c r="B31" s="16" t="n"/>
      <c r="C31" s="16" t="n"/>
      <c r="D31" s="16" t="n"/>
      <c r="E31" s="14" t="n"/>
    </row>
    <row r="32">
      <c r="A32" s="16" t="n"/>
      <c r="B32" s="16" t="n"/>
      <c r="C32" s="16" t="n"/>
      <c r="D32" s="16" t="n"/>
      <c r="E32" s="14" t="n"/>
    </row>
    <row r="33">
      <c r="A33" s="16" t="n"/>
      <c r="B33" s="16" t="n"/>
      <c r="C33" s="16" t="n"/>
      <c r="D33" s="16" t="n"/>
      <c r="E33" s="14" t="n"/>
    </row>
    <row r="34">
      <c r="A34" s="16" t="n"/>
      <c r="B34" s="16" t="n"/>
      <c r="C34" s="16" t="n"/>
      <c r="D34" s="16" t="n"/>
      <c r="E34" s="14" t="n"/>
    </row>
    <row r="35">
      <c r="A35" s="16" t="n"/>
      <c r="B35" s="16" t="n"/>
      <c r="C35" s="16" t="n"/>
      <c r="D35" s="16" t="n"/>
      <c r="E35" s="14" t="n"/>
    </row>
    <row r="36">
      <c r="A36" s="16" t="n"/>
      <c r="B36" s="16" t="n"/>
      <c r="C36" s="16" t="n"/>
      <c r="D36" s="16" t="n"/>
      <c r="E36" s="14" t="n"/>
    </row>
    <row r="37">
      <c r="A37" s="16" t="n"/>
      <c r="B37" s="16" t="n"/>
      <c r="C37" s="16" t="n"/>
      <c r="D37" s="16" t="n"/>
      <c r="E37" s="14" t="n"/>
    </row>
    <row r="38">
      <c r="A38" s="16" t="n"/>
      <c r="B38" s="16" t="n"/>
      <c r="C38" s="16" t="n"/>
      <c r="D38" s="16" t="n"/>
      <c r="E38" s="14" t="n"/>
    </row>
    <row r="39">
      <c r="A39" s="16" t="n"/>
      <c r="B39" s="16" t="n"/>
      <c r="C39" s="16" t="n"/>
      <c r="D39" s="16" t="n"/>
      <c r="E39" s="14" t="n"/>
    </row>
    <row r="40">
      <c r="A40" s="16" t="n"/>
      <c r="B40" s="16" t="n"/>
      <c r="C40" s="16" t="n"/>
      <c r="D40" s="16" t="n"/>
      <c r="E40" s="14" t="n"/>
    </row>
    <row r="41">
      <c r="A41" s="16" t="n"/>
      <c r="B41" s="16" t="n"/>
      <c r="C41" s="16" t="n"/>
      <c r="D41" s="16" t="n"/>
      <c r="E41" s="14" t="n"/>
    </row>
    <row r="42">
      <c r="A42" s="16" t="n"/>
      <c r="B42" s="16" t="n"/>
      <c r="C42" s="16" t="n"/>
      <c r="D42" s="16" t="n"/>
      <c r="E42" s="14" t="n"/>
    </row>
    <row r="43">
      <c r="A43" s="16" t="n"/>
      <c r="B43" s="16" t="n"/>
      <c r="C43" s="16" t="n"/>
      <c r="D43" s="16" t="n"/>
      <c r="E43" s="14" t="n"/>
    </row>
    <row r="44">
      <c r="A44" s="16" t="n"/>
      <c r="B44" s="16" t="n"/>
      <c r="C44" s="16" t="n"/>
      <c r="D44" s="16" t="n"/>
      <c r="E44" s="14" t="n"/>
    </row>
    <row r="45">
      <c r="A45" s="16" t="n"/>
      <c r="B45" s="16" t="n"/>
      <c r="C45" s="16" t="n"/>
      <c r="D45" s="16" t="n"/>
      <c r="E45" s="14" t="n"/>
    </row>
    <row r="46">
      <c r="A46" s="16" t="n"/>
      <c r="B46" s="16" t="n"/>
      <c r="C46" s="16" t="n"/>
      <c r="D46" s="16" t="n"/>
      <c r="E46" s="14" t="n"/>
    </row>
    <row r="47">
      <c r="A47" s="16" t="n"/>
      <c r="B47" s="16" t="n"/>
      <c r="C47" s="16" t="n"/>
      <c r="D47" s="16" t="n"/>
      <c r="E47" s="14" t="n"/>
    </row>
    <row r="48">
      <c r="A48" s="16" t="n"/>
      <c r="B48" s="16" t="n"/>
      <c r="C48" s="16" t="n"/>
      <c r="D48" s="16" t="n"/>
      <c r="E48" s="14" t="n"/>
    </row>
    <row r="49">
      <c r="A49" s="16" t="n"/>
      <c r="B49" s="16" t="n"/>
      <c r="C49" s="16" t="n"/>
      <c r="D49" s="16" t="n"/>
      <c r="E49" s="14" t="n"/>
    </row>
    <row r="50">
      <c r="A50" s="16" t="n"/>
      <c r="B50" s="16" t="n"/>
      <c r="C50" s="16" t="n"/>
      <c r="D50" s="16" t="n"/>
      <c r="E50" s="14" t="n"/>
    </row>
    <row r="51">
      <c r="A51" s="16" t="n"/>
      <c r="B51" s="16" t="n"/>
      <c r="C51" s="16" t="n"/>
      <c r="D51" s="16" t="n"/>
      <c r="E51" s="14" t="n"/>
    </row>
    <row r="52">
      <c r="A52" s="16" t="n"/>
      <c r="B52" s="16" t="n"/>
      <c r="C52" s="16" t="n"/>
      <c r="D52" s="16" t="n"/>
      <c r="E52" s="14" t="n"/>
    </row>
    <row r="53">
      <c r="A53" s="16" t="n"/>
      <c r="B53" s="16" t="n"/>
      <c r="C53" s="16" t="n"/>
      <c r="D53" s="16" t="n"/>
      <c r="E53" s="14" t="n"/>
    </row>
    <row r="54">
      <c r="A54" s="16" t="n"/>
      <c r="B54" s="16" t="n"/>
      <c r="C54" s="16" t="n"/>
      <c r="D54" s="16" t="n"/>
      <c r="E54" s="14" t="n"/>
    </row>
    <row r="55">
      <c r="A55" s="16" t="n"/>
      <c r="B55" s="16" t="n"/>
      <c r="C55" s="16" t="n"/>
      <c r="D55" s="16" t="n"/>
      <c r="E55" s="14" t="n"/>
    </row>
    <row r="56">
      <c r="A56" s="16" t="n"/>
      <c r="B56" s="16" t="n"/>
      <c r="C56" s="16" t="n"/>
      <c r="D56" s="16" t="n"/>
      <c r="E56" s="14" t="n"/>
    </row>
    <row r="57">
      <c r="A57" s="16" t="n"/>
      <c r="B57" s="16" t="n"/>
      <c r="C57" s="16" t="n"/>
      <c r="D57" s="16" t="n"/>
      <c r="E57" s="14" t="n"/>
    </row>
    <row r="58">
      <c r="A58" s="16" t="n"/>
      <c r="B58" s="16" t="n"/>
      <c r="C58" s="16" t="n"/>
      <c r="D58" s="16" t="n"/>
      <c r="E58" s="14" t="n"/>
    </row>
    <row r="59">
      <c r="A59" s="16" t="n"/>
      <c r="B59" s="16" t="n"/>
      <c r="C59" s="16" t="n"/>
      <c r="D59" s="16" t="n"/>
      <c r="E59" s="14" t="n"/>
    </row>
    <row r="60">
      <c r="A60" s="16" t="n"/>
      <c r="B60" s="16" t="n"/>
      <c r="C60" s="16" t="n"/>
      <c r="D60" s="16" t="n"/>
      <c r="E60" s="14" t="n"/>
    </row>
    <row r="61">
      <c r="A61" s="16" t="n"/>
      <c r="B61" s="16" t="n"/>
      <c r="C61" s="16" t="n"/>
      <c r="D61" s="16" t="n"/>
      <c r="E61" s="14" t="n"/>
    </row>
    <row r="62">
      <c r="A62" s="16" t="n"/>
      <c r="B62" s="16" t="n"/>
      <c r="C62" s="16" t="n"/>
      <c r="D62" s="16" t="n"/>
      <c r="E62" s="14" t="n"/>
    </row>
    <row r="63">
      <c r="A63" s="16" t="n"/>
      <c r="B63" s="16" t="n"/>
      <c r="C63" s="16" t="n"/>
      <c r="D63" s="16" t="n"/>
      <c r="E63" s="14" t="n"/>
    </row>
    <row r="64">
      <c r="A64" s="16" t="n"/>
      <c r="B64" s="16" t="n"/>
      <c r="C64" s="16" t="n"/>
      <c r="D64" s="16" t="n"/>
      <c r="E64" s="14" t="n"/>
    </row>
    <row r="65">
      <c r="A65" s="16" t="n"/>
      <c r="B65" s="16" t="n"/>
      <c r="C65" s="16" t="n"/>
      <c r="D65" s="16" t="n"/>
      <c r="E65" s="14" t="n"/>
    </row>
    <row r="66">
      <c r="A66" s="16" t="n"/>
      <c r="B66" s="16" t="n"/>
      <c r="C66" s="16" t="n"/>
      <c r="D66" s="16" t="n"/>
      <c r="E66" s="14" t="n"/>
    </row>
    <row r="67">
      <c r="A67" s="16" t="n"/>
      <c r="B67" s="16" t="n"/>
      <c r="C67" s="16" t="n"/>
      <c r="D67" s="16" t="n"/>
      <c r="E67" s="14" t="n"/>
    </row>
    <row r="68">
      <c r="A68" s="16" t="n"/>
      <c r="B68" s="16" t="n"/>
      <c r="C68" s="16" t="n"/>
      <c r="D68" s="16" t="n"/>
      <c r="E68" s="14" t="n"/>
    </row>
    <row r="69">
      <c r="A69" s="16" t="n"/>
      <c r="B69" s="16" t="n"/>
      <c r="C69" s="16" t="n"/>
      <c r="D69" s="16" t="n"/>
      <c r="E69" s="14" t="n"/>
    </row>
    <row r="70">
      <c r="A70" s="16" t="n"/>
      <c r="B70" s="16" t="n"/>
      <c r="C70" s="16" t="n"/>
      <c r="D70" s="16" t="n"/>
      <c r="E70" s="14" t="n"/>
    </row>
    <row r="71">
      <c r="A71" s="16" t="n"/>
      <c r="B71" s="16" t="n"/>
      <c r="C71" s="16" t="n"/>
      <c r="D71" s="16" t="n"/>
      <c r="E71" s="14" t="n"/>
    </row>
    <row r="72">
      <c r="A72" s="16" t="n"/>
      <c r="B72" s="16" t="n"/>
      <c r="C72" s="16" t="n"/>
      <c r="D72" s="16" t="n"/>
      <c r="E72" s="14" t="n"/>
    </row>
    <row r="73">
      <c r="A73" s="16" t="n"/>
      <c r="B73" s="16" t="n"/>
      <c r="C73" s="16" t="n"/>
      <c r="D73" s="16" t="n"/>
      <c r="E73" s="14" t="n"/>
    </row>
    <row r="74">
      <c r="A74" s="16" t="n"/>
      <c r="B74" s="16" t="n"/>
      <c r="C74" s="16" t="n"/>
      <c r="D74" s="16" t="n"/>
      <c r="E74" s="14" t="n"/>
    </row>
    <row r="75">
      <c r="A75" s="16" t="n"/>
      <c r="B75" s="16" t="n"/>
      <c r="C75" s="16" t="n"/>
      <c r="D75" s="16" t="n"/>
      <c r="E75" s="14" t="n"/>
    </row>
    <row r="76">
      <c r="A76" s="16" t="n"/>
      <c r="B76" s="16" t="n"/>
      <c r="C76" s="16" t="n"/>
      <c r="D76" s="16" t="n"/>
      <c r="E76" s="14" t="n"/>
    </row>
    <row r="77">
      <c r="A77" s="16" t="n"/>
      <c r="B77" s="16" t="n"/>
      <c r="C77" s="16" t="n"/>
      <c r="D77" s="16" t="n"/>
      <c r="E77" s="14" t="n"/>
    </row>
    <row r="78">
      <c r="A78" s="16" t="n"/>
      <c r="B78" s="16" t="n"/>
      <c r="C78" s="16" t="n"/>
      <c r="D78" s="16" t="n"/>
      <c r="E78" s="14" t="n"/>
    </row>
    <row r="79">
      <c r="A79" s="16" t="n"/>
      <c r="B79" s="16" t="n"/>
      <c r="C79" s="16" t="n"/>
      <c r="D79" s="16" t="n"/>
      <c r="E79" s="14" t="n"/>
    </row>
    <row r="80">
      <c r="A80" s="16" t="n"/>
      <c r="B80" s="16" t="n"/>
      <c r="C80" s="16" t="n"/>
      <c r="D80" s="16" t="n"/>
      <c r="E80" s="14" t="n"/>
    </row>
    <row r="81">
      <c r="A81" s="16" t="n"/>
      <c r="B81" s="16" t="n"/>
      <c r="C81" s="16" t="n"/>
      <c r="D81" s="16" t="n"/>
      <c r="E81" s="14" t="n"/>
    </row>
    <row r="82">
      <c r="A82" s="16" t="n"/>
      <c r="B82" s="16" t="n"/>
      <c r="C82" s="16" t="n"/>
      <c r="D82" s="16" t="n"/>
      <c r="E82" s="14" t="n"/>
    </row>
    <row r="83">
      <c r="A83" s="16" t="n"/>
      <c r="B83" s="16" t="n"/>
      <c r="C83" s="16" t="n"/>
      <c r="D83" s="16" t="n"/>
      <c r="E83" s="14" t="n"/>
    </row>
    <row r="84">
      <c r="A84" s="16" t="n"/>
      <c r="B84" s="16" t="n"/>
      <c r="C84" s="16" t="n"/>
      <c r="D84" s="16" t="n"/>
      <c r="E84" s="14" t="n"/>
    </row>
  </sheetData>
  <mergeCells count="2">
    <mergeCell ref="A2:E2"/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Q406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34" customWidth="1" min="3" max="3"/>
    <col width="18" customWidth="1" min="4" max="4"/>
    <col width="14" customWidth="1" min="5" max="5"/>
    <col width="14" customWidth="1" min="6" max="6"/>
    <col width="14" customWidth="1" min="7" max="7"/>
    <col width="10" customWidth="1" min="8" max="8"/>
    <col width="14" customWidth="1" min="9" max="9"/>
    <col width="22" customWidth="1" min="10" max="10"/>
    <col width="14" customWidth="1" min="11" max="11"/>
    <col width="14" customWidth="1" min="12" max="12"/>
    <col width="28" customWidth="1" min="13" max="13"/>
    <col width="12" customWidth="1" min="14" max="14"/>
    <col width="10" customWidth="1" min="15" max="15"/>
    <col width="12" customWidth="1" min="16" max="16"/>
    <col width="12" customWidth="1" min="17" max="17"/>
  </cols>
  <sheetData>
    <row r="1" ht="28" customHeight="1">
      <c r="A1" s="1" t="inlineStr">
        <is>
          <t>Journal des écritures (saisie)</t>
        </is>
      </c>
    </row>
    <row r="2" ht="18" customHeight="1">
      <c r="A2" s="2" t="inlineStr">
        <is>
          <t>1 ligne = 1 écriture (Débit / Crédit) — les colonnes N et O sont des calculs</t>
        </is>
      </c>
    </row>
    <row r="6" ht="22" customHeight="1">
      <c r="A6" s="17" t="inlineStr">
        <is>
          <t>Date</t>
        </is>
      </c>
      <c r="B6" s="17" t="inlineStr">
        <is>
          <t>Pièce</t>
        </is>
      </c>
      <c r="C6" s="17" t="inlineStr">
        <is>
          <t>Libellé</t>
        </is>
      </c>
      <c r="D6" s="17" t="inlineStr">
        <is>
          <t>Immeuble/Lot</t>
        </is>
      </c>
      <c r="E6" s="17" t="inlineStr">
        <is>
          <t>Compte Débit</t>
        </is>
      </c>
      <c r="F6" s="17" t="inlineStr">
        <is>
          <t>Compte Crédit</t>
        </is>
      </c>
      <c r="G6" s="17" t="inlineStr">
        <is>
          <t>Montant HT</t>
        </is>
      </c>
      <c r="H6" s="17" t="inlineStr">
        <is>
          <t>TVA</t>
        </is>
      </c>
      <c r="I6" s="17" t="inlineStr">
        <is>
          <t>Montant TTC</t>
        </is>
      </c>
      <c r="J6" s="17" t="inlineStr">
        <is>
          <t>Tiers</t>
        </is>
      </c>
      <c r="K6" s="17" t="inlineStr">
        <is>
          <t>Mode paiement</t>
        </is>
      </c>
      <c r="L6" s="17" t="inlineStr">
        <is>
          <t>Catégorie</t>
        </is>
      </c>
      <c r="M6" s="17" t="inlineStr">
        <is>
          <t>Commentaire</t>
        </is>
      </c>
      <c r="N6" s="17" t="inlineStr">
        <is>
          <t>Mois</t>
        </is>
      </c>
      <c r="O6" s="17" t="inlineStr">
        <is>
          <t>In_Periode</t>
        </is>
      </c>
      <c r="P6" s="17" t="inlineStr">
        <is>
          <t>Type Débit</t>
        </is>
      </c>
      <c r="Q6" s="17" t="inlineStr">
        <is>
          <t>Type Crédit</t>
        </is>
      </c>
    </row>
    <row r="7">
      <c r="A7" s="51" t="n">
        <v>46027</v>
      </c>
      <c r="B7" s="16" t="inlineStr">
        <is>
          <t>FA001</t>
        </is>
      </c>
      <c r="C7" s="16" t="inlineStr">
        <is>
          <t>Facture assurance</t>
        </is>
      </c>
      <c r="D7" s="16" t="inlineStr">
        <is>
          <t>Appartement A</t>
        </is>
      </c>
      <c r="E7" s="16" t="inlineStr">
        <is>
          <t>616</t>
        </is>
      </c>
      <c r="F7" s="16" t="inlineStr">
        <is>
          <t>512</t>
        </is>
      </c>
      <c r="G7" s="52" t="n">
        <v>320</v>
      </c>
      <c r="H7" s="52" t="n">
        <v>0</v>
      </c>
      <c r="I7" s="53">
        <f>N(G7)+N(H7)</f>
        <v/>
      </c>
      <c r="J7" s="16" t="inlineStr">
        <is>
          <t>Assureur XYZ</t>
        </is>
      </c>
      <c r="K7" s="16" t="inlineStr">
        <is>
          <t>Virement</t>
        </is>
      </c>
      <c r="L7" s="16" t="inlineStr">
        <is>
          <t>Assurance</t>
        </is>
      </c>
      <c r="M7" s="16" t="n"/>
      <c r="N7" s="54">
        <f>IF(A7="","",EOMONTH(A7,-1)+1)</f>
        <v/>
      </c>
      <c r="O7" s="22">
        <f>IF(AND(N(A7)&gt;=N(01_Parametres!$B$11),N(A7)&lt;=N(01_Parametres!$B$12)),1,0)</f>
        <v/>
      </c>
      <c r="P7" s="74">
        <f>IF(E7="","",IFERROR(VLOOKUP(E7,02_Plan_Comptable!$A$5:$C$84,3,FALSE),""))</f>
        <v/>
      </c>
      <c r="Q7" s="74">
        <f>IF(F7="","",IFERROR(VLOOKUP(F7,02_Plan_Comptable!$A$5:$C$84,3,FALSE),""))</f>
        <v/>
      </c>
    </row>
    <row r="8">
      <c r="A8" s="51">
        <f>01_Parametres!B5</f>
        <v/>
      </c>
      <c r="B8" s="16" t="inlineStr">
        <is>
          <t>OUV</t>
        </is>
      </c>
      <c r="C8" s="16" t="inlineStr">
        <is>
          <t>Solde initial banque (ouverture)</t>
        </is>
      </c>
      <c r="D8" s="16" t="inlineStr"/>
      <c r="E8" s="16" t="inlineStr">
        <is>
          <t>512</t>
        </is>
      </c>
      <c r="F8" s="16" t="inlineStr">
        <is>
          <t>108</t>
        </is>
      </c>
      <c r="G8" s="52">
        <f>01_Parametres!B10</f>
        <v/>
      </c>
      <c r="H8" s="52" t="n">
        <v>0</v>
      </c>
      <c r="I8" s="53">
        <f>N(G8)+N(H8)</f>
        <v/>
      </c>
      <c r="J8" s="16" t="inlineStr">
        <is>
          <t>Associé(s)</t>
        </is>
      </c>
      <c r="K8" s="16" t="inlineStr">
        <is>
          <t>Virement</t>
        </is>
      </c>
      <c r="L8" s="16" t="inlineStr">
        <is>
          <t>Ouverture</t>
        </is>
      </c>
      <c r="M8" s="16" t="inlineStr">
        <is>
          <t>Ajuster le solde initial dans 01_Parametres!B10</t>
        </is>
      </c>
      <c r="N8" s="54">
        <f>IF(A8="","",EOMONTH(A8,-1)+1)</f>
        <v/>
      </c>
      <c r="O8" s="22">
        <f>IF(AND(N(A8)&gt;=N(01_Parametres!$B$11),N(A8)&lt;=N(01_Parametres!$B$12)),1,0)</f>
        <v/>
      </c>
      <c r="P8" s="74">
        <f>IF(E8="","",IFERROR(VLOOKUP(E8,02_Plan_Comptable!$A$5:$C$84,3,FALSE),""))</f>
        <v/>
      </c>
      <c r="Q8" s="74">
        <f>IF(F8="","",IFERROR(VLOOKUP(F8,02_Plan_Comptable!$A$5:$C$84,3,FALSE),""))</f>
        <v/>
      </c>
    </row>
    <row r="9">
      <c r="A9" s="51" t="n">
        <v>46027</v>
      </c>
      <c r="B9" s="16" t="inlineStr">
        <is>
          <t>LOY01-1100</t>
        </is>
      </c>
      <c r="C9" s="16" t="inlineStr">
        <is>
          <t>Encaissement loyer</t>
        </is>
      </c>
      <c r="D9" s="16" t="inlineStr">
        <is>
          <t>Appartement A – Casablanca</t>
        </is>
      </c>
      <c r="E9" s="16" t="inlineStr">
        <is>
          <t>512</t>
        </is>
      </c>
      <c r="F9" s="16" t="inlineStr">
        <is>
          <t>706</t>
        </is>
      </c>
      <c r="G9" s="52" t="n">
        <v>1100</v>
      </c>
      <c r="H9" s="52" t="n">
        <v>0</v>
      </c>
      <c r="I9" s="53">
        <f>N(G9)+N(H9)</f>
        <v/>
      </c>
      <c r="J9" s="16" t="inlineStr">
        <is>
          <t>M. Karim El Amrani</t>
        </is>
      </c>
      <c r="K9" s="16" t="inlineStr">
        <is>
          <t>Virement</t>
        </is>
      </c>
      <c r="L9" s="16" t="inlineStr">
        <is>
          <t>Loyer</t>
        </is>
      </c>
      <c r="M9" s="16" t="inlineStr"/>
      <c r="N9" s="54">
        <f>IF(A9="","",EOMONTH(A9,-1)+1)</f>
        <v/>
      </c>
      <c r="O9" s="22">
        <f>IF(AND(N(A9)&gt;=N(01_Parametres!$B$11),N(A9)&lt;=N(01_Parametres!$B$12)),1,0)</f>
        <v/>
      </c>
      <c r="P9" s="74">
        <f>IF(E9="","",IFERROR(VLOOKUP(E9,02_Plan_Comptable!$A$5:$C$84,3,FALSE),""))</f>
        <v/>
      </c>
      <c r="Q9" s="74">
        <f>IF(F9="","",IFERROR(VLOOKUP(F9,02_Plan_Comptable!$A$5:$C$84,3,FALSE),""))</f>
        <v/>
      </c>
    </row>
    <row r="10">
      <c r="A10" s="51" t="n">
        <v>46027</v>
      </c>
      <c r="B10" s="16" t="inlineStr">
        <is>
          <t>LOY01-750</t>
        </is>
      </c>
      <c r="C10" s="16" t="inlineStr">
        <is>
          <t>Encaissement loyer</t>
        </is>
      </c>
      <c r="D10" s="16" t="inlineStr">
        <is>
          <t>Studio B – Rabat</t>
        </is>
      </c>
      <c r="E10" s="16" t="inlineStr">
        <is>
          <t>512</t>
        </is>
      </c>
      <c r="F10" s="16" t="inlineStr">
        <is>
          <t>706</t>
        </is>
      </c>
      <c r="G10" s="52" t="n">
        <v>750</v>
      </c>
      <c r="H10" s="52" t="n">
        <v>0</v>
      </c>
      <c r="I10" s="53">
        <f>N(G10)+N(H10)</f>
        <v/>
      </c>
      <c r="J10" s="16" t="inlineStr">
        <is>
          <t>Mme Sofia Benali</t>
        </is>
      </c>
      <c r="K10" s="16" t="inlineStr">
        <is>
          <t>Virement</t>
        </is>
      </c>
      <c r="L10" s="16" t="inlineStr">
        <is>
          <t>Loyer</t>
        </is>
      </c>
      <c r="M10" s="16" t="inlineStr"/>
      <c r="N10" s="54">
        <f>IF(A10="","",EOMONTH(A10,-1)+1)</f>
        <v/>
      </c>
      <c r="O10" s="22">
        <f>IF(AND(N(A10)&gt;=N(01_Parametres!$B$11),N(A10)&lt;=N(01_Parametres!$B$12)),1,0)</f>
        <v/>
      </c>
      <c r="P10" s="74">
        <f>IF(E10="","",IFERROR(VLOOKUP(E10,02_Plan_Comptable!$A$5:$C$84,3,FALSE),""))</f>
        <v/>
      </c>
      <c r="Q10" s="74">
        <f>IF(F10="","",IFERROR(VLOOKUP(F10,02_Plan_Comptable!$A$5:$C$84,3,FALSE),""))</f>
        <v/>
      </c>
    </row>
    <row r="11">
      <c r="A11" s="51" t="n">
        <v>46032</v>
      </c>
      <c r="B11" s="16" t="inlineStr">
        <is>
          <t>CP01-Appartement A</t>
        </is>
      </c>
      <c r="C11" s="16" t="inlineStr">
        <is>
          <t>Charges copropriété</t>
        </is>
      </c>
      <c r="D11" s="16" t="inlineStr">
        <is>
          <t>Appartement A – Casablanca</t>
        </is>
      </c>
      <c r="E11" s="16" t="inlineStr">
        <is>
          <t>614</t>
        </is>
      </c>
      <c r="F11" s="16" t="inlineStr">
        <is>
          <t>512</t>
        </is>
      </c>
      <c r="G11" s="52" t="n">
        <v>180</v>
      </c>
      <c r="H11" s="52" t="n">
        <v>0</v>
      </c>
      <c r="I11" s="53">
        <f>N(G11)+N(H11)</f>
        <v/>
      </c>
      <c r="J11" s="16" t="inlineStr">
        <is>
          <t>Syndic</t>
        </is>
      </c>
      <c r="K11" s="16" t="inlineStr">
        <is>
          <t>Prélèvement</t>
        </is>
      </c>
      <c r="L11" s="16" t="inlineStr">
        <is>
          <t>Copropriété</t>
        </is>
      </c>
      <c r="M11" s="16" t="inlineStr"/>
      <c r="N11" s="54">
        <f>IF(A11="","",EOMONTH(A11,-1)+1)</f>
        <v/>
      </c>
      <c r="O11" s="22">
        <f>IF(AND(N(A11)&gt;=N(01_Parametres!$B$11),N(A11)&lt;=N(01_Parametres!$B$12)),1,0)</f>
        <v/>
      </c>
      <c r="P11" s="74">
        <f>IF(E11="","",IFERROR(VLOOKUP(E11,02_Plan_Comptable!$A$5:$C$84,3,FALSE),""))</f>
        <v/>
      </c>
      <c r="Q11" s="74">
        <f>IF(F11="","",IFERROR(VLOOKUP(F11,02_Plan_Comptable!$A$5:$C$84,3,FALSE),""))</f>
        <v/>
      </c>
    </row>
    <row r="12">
      <c r="A12" s="51" t="n">
        <v>46032</v>
      </c>
      <c r="B12" s="16" t="inlineStr">
        <is>
          <t>CP01-Studio B</t>
        </is>
      </c>
      <c r="C12" s="16" t="inlineStr">
        <is>
          <t>Charges copropriété</t>
        </is>
      </c>
      <c r="D12" s="16" t="inlineStr">
        <is>
          <t>Studio B – Rabat</t>
        </is>
      </c>
      <c r="E12" s="16" t="inlineStr">
        <is>
          <t>614</t>
        </is>
      </c>
      <c r="F12" s="16" t="inlineStr">
        <is>
          <t>512</t>
        </is>
      </c>
      <c r="G12" s="52" t="n">
        <v>120</v>
      </c>
      <c r="H12" s="52" t="n">
        <v>0</v>
      </c>
      <c r="I12" s="53">
        <f>N(G12)+N(H12)</f>
        <v/>
      </c>
      <c r="J12" s="16" t="inlineStr">
        <is>
          <t>Syndic</t>
        </is>
      </c>
      <c r="K12" s="16" t="inlineStr">
        <is>
          <t>Prélèvement</t>
        </is>
      </c>
      <c r="L12" s="16" t="inlineStr">
        <is>
          <t>Copropriété</t>
        </is>
      </c>
      <c r="M12" s="16" t="inlineStr"/>
      <c r="N12" s="54">
        <f>IF(A12="","",EOMONTH(A12,-1)+1)</f>
        <v/>
      </c>
      <c r="O12" s="22">
        <f>IF(AND(N(A12)&gt;=N(01_Parametres!$B$11),N(A12)&lt;=N(01_Parametres!$B$12)),1,0)</f>
        <v/>
      </c>
      <c r="P12" s="74">
        <f>IF(E12="","",IFERROR(VLOOKUP(E12,02_Plan_Comptable!$A$5:$C$84,3,FALSE),""))</f>
        <v/>
      </c>
      <c r="Q12" s="74">
        <f>IF(F12="","",IFERROR(VLOOKUP(F12,02_Plan_Comptable!$A$5:$C$84,3,FALSE),""))</f>
        <v/>
      </c>
    </row>
    <row r="13">
      <c r="A13" s="51" t="n">
        <v>46050</v>
      </c>
      <c r="B13" s="16" t="inlineStr">
        <is>
          <t>GL01</t>
        </is>
      </c>
      <c r="C13" s="16" t="inlineStr">
        <is>
          <t>Frais gestion locative</t>
        </is>
      </c>
      <c r="D13" s="16" t="inlineStr"/>
      <c r="E13" s="16" t="inlineStr">
        <is>
          <t>6226</t>
        </is>
      </c>
      <c r="F13" s="16" t="inlineStr">
        <is>
          <t>512</t>
        </is>
      </c>
      <c r="G13" s="52" t="n">
        <v>150</v>
      </c>
      <c r="H13" s="52" t="n">
        <v>0</v>
      </c>
      <c r="I13" s="53">
        <f>N(G13)+N(H13)</f>
        <v/>
      </c>
      <c r="J13" s="16" t="inlineStr">
        <is>
          <t>Agence Gestion</t>
        </is>
      </c>
      <c r="K13" s="16" t="inlineStr">
        <is>
          <t>Prélèvement</t>
        </is>
      </c>
      <c r="L13" s="16" t="inlineStr">
        <is>
          <t>Gestion locative</t>
        </is>
      </c>
      <c r="M13" s="16" t="inlineStr"/>
      <c r="N13" s="54">
        <f>IF(A13="","",EOMONTH(A13,-1)+1)</f>
        <v/>
      </c>
      <c r="O13" s="22">
        <f>IF(AND(N(A13)&gt;=N(01_Parametres!$B$11),N(A13)&lt;=N(01_Parametres!$B$12)),1,0)</f>
        <v/>
      </c>
      <c r="P13" s="74">
        <f>IF(E13="","",IFERROR(VLOOKUP(E13,02_Plan_Comptable!$A$5:$C$84,3,FALSE),""))</f>
        <v/>
      </c>
      <c r="Q13" s="74">
        <f>IF(F13="","",IFERROR(VLOOKUP(F13,02_Plan_Comptable!$A$5:$C$84,3,FALSE),""))</f>
        <v/>
      </c>
    </row>
    <row r="14">
      <c r="A14" s="51" t="n">
        <v>46050</v>
      </c>
      <c r="B14" s="16" t="inlineStr">
        <is>
          <t>BF01</t>
        </is>
      </c>
      <c r="C14" s="16" t="inlineStr">
        <is>
          <t>Frais bancaires</t>
        </is>
      </c>
      <c r="D14" s="16" t="inlineStr"/>
      <c r="E14" s="16" t="inlineStr">
        <is>
          <t>627</t>
        </is>
      </c>
      <c r="F14" s="16" t="inlineStr">
        <is>
          <t>512</t>
        </is>
      </c>
      <c r="G14" s="52" t="n">
        <v>12</v>
      </c>
      <c r="H14" s="52" t="n">
        <v>0</v>
      </c>
      <c r="I14" s="53">
        <f>N(G14)+N(H14)</f>
        <v/>
      </c>
      <c r="J14" s="16" t="inlineStr">
        <is>
          <t>Banque</t>
        </is>
      </c>
      <c r="K14" s="16" t="inlineStr">
        <is>
          <t>Prélèvement</t>
        </is>
      </c>
      <c r="L14" s="16" t="inlineStr">
        <is>
          <t>Frais bancaires</t>
        </is>
      </c>
      <c r="M14" s="16" t="inlineStr"/>
      <c r="N14" s="54">
        <f>IF(A14="","",EOMONTH(A14,-1)+1)</f>
        <v/>
      </c>
      <c r="O14" s="22">
        <f>IF(AND(N(A14)&gt;=N(01_Parametres!$B$11),N(A14)&lt;=N(01_Parametres!$B$12)),1,0)</f>
        <v/>
      </c>
      <c r="P14" s="74">
        <f>IF(E14="","",IFERROR(VLOOKUP(E14,02_Plan_Comptable!$A$5:$C$84,3,FALSE),""))</f>
        <v/>
      </c>
      <c r="Q14" s="74">
        <f>IF(F14="","",IFERROR(VLOOKUP(F14,02_Plan_Comptable!$A$5:$C$84,3,FALSE),""))</f>
        <v/>
      </c>
    </row>
    <row r="15">
      <c r="A15" s="51" t="n">
        <v>46037</v>
      </c>
      <c r="B15" s="16" t="inlineStr">
        <is>
          <t>EM01-CAP</t>
        </is>
      </c>
      <c r="C15" s="16" t="inlineStr">
        <is>
          <t>Mensualité emprunt (capital)</t>
        </is>
      </c>
      <c r="D15" s="16" t="inlineStr"/>
      <c r="E15" s="16" t="inlineStr">
        <is>
          <t>164</t>
        </is>
      </c>
      <c r="F15" s="16" t="inlineStr">
        <is>
          <t>512</t>
        </is>
      </c>
      <c r="G15" s="52" t="n">
        <v>576.5</v>
      </c>
      <c r="H15" s="52" t="n">
        <v>0</v>
      </c>
      <c r="I15" s="53">
        <f>N(G15)+N(H15)</f>
        <v/>
      </c>
      <c r="J15" s="16" t="inlineStr">
        <is>
          <t>Banque</t>
        </is>
      </c>
      <c r="K15" s="16" t="inlineStr">
        <is>
          <t>Prélèvement</t>
        </is>
      </c>
      <c r="L15" s="16" t="inlineStr">
        <is>
          <t>Emprunt - capital</t>
        </is>
      </c>
      <c r="M15" s="16" t="inlineStr"/>
      <c r="N15" s="54">
        <f>IF(A15="","",EOMONTH(A15,-1)+1)</f>
        <v/>
      </c>
      <c r="O15" s="22">
        <f>IF(AND(N(A15)&gt;=N(01_Parametres!$B$11),N(A15)&lt;=N(01_Parametres!$B$12)),1,0)</f>
        <v/>
      </c>
      <c r="P15" s="74">
        <f>IF(E15="","",IFERROR(VLOOKUP(E15,02_Plan_Comptable!$A$5:$C$84,3,FALSE),""))</f>
        <v/>
      </c>
      <c r="Q15" s="74">
        <f>IF(F15="","",IFERROR(VLOOKUP(F15,02_Plan_Comptable!$A$5:$C$84,3,FALSE),""))</f>
        <v/>
      </c>
    </row>
    <row r="16">
      <c r="A16" s="51" t="n">
        <v>46037</v>
      </c>
      <c r="B16" s="16" t="inlineStr">
        <is>
          <t>EM01-INT</t>
        </is>
      </c>
      <c r="C16" s="16" t="inlineStr">
        <is>
          <t>Mensualité emprunt (intérêts)</t>
        </is>
      </c>
      <c r="D16" s="16" t="inlineStr"/>
      <c r="E16" s="16" t="inlineStr">
        <is>
          <t>661</t>
        </is>
      </c>
      <c r="F16" s="16" t="inlineStr">
        <is>
          <t>512</t>
        </is>
      </c>
      <c r="G16" s="52" t="n">
        <v>373.5</v>
      </c>
      <c r="H16" s="52" t="n">
        <v>0</v>
      </c>
      <c r="I16" s="53">
        <f>N(G16)+N(H16)</f>
        <v/>
      </c>
      <c r="J16" s="16" t="inlineStr">
        <is>
          <t>Banque</t>
        </is>
      </c>
      <c r="K16" s="16" t="inlineStr">
        <is>
          <t>Prélèvement</t>
        </is>
      </c>
      <c r="L16" s="16" t="inlineStr">
        <is>
          <t>Emprunt - intérêts</t>
        </is>
      </c>
      <c r="M16" s="16" t="inlineStr"/>
      <c r="N16" s="54">
        <f>IF(A16="","",EOMONTH(A16,-1)+1)</f>
        <v/>
      </c>
      <c r="O16" s="22">
        <f>IF(AND(N(A16)&gt;=N(01_Parametres!$B$11),N(A16)&lt;=N(01_Parametres!$B$12)),1,0)</f>
        <v/>
      </c>
      <c r="P16" s="74">
        <f>IF(E16="","",IFERROR(VLOOKUP(E16,02_Plan_Comptable!$A$5:$C$84,3,FALSE),""))</f>
        <v/>
      </c>
      <c r="Q16" s="74">
        <f>IF(F16="","",IFERROR(VLOOKUP(F16,02_Plan_Comptable!$A$5:$C$84,3,FALSE),""))</f>
        <v/>
      </c>
    </row>
    <row r="17">
      <c r="A17" s="51" t="n">
        <v>46058</v>
      </c>
      <c r="B17" s="16" t="inlineStr">
        <is>
          <t>LOY02-1100</t>
        </is>
      </c>
      <c r="C17" s="16" t="inlineStr">
        <is>
          <t>Encaissement loyer</t>
        </is>
      </c>
      <c r="D17" s="16" t="inlineStr">
        <is>
          <t>Appartement A – Casablanca</t>
        </is>
      </c>
      <c r="E17" s="16" t="inlineStr">
        <is>
          <t>512</t>
        </is>
      </c>
      <c r="F17" s="16" t="inlineStr">
        <is>
          <t>706</t>
        </is>
      </c>
      <c r="G17" s="52" t="n">
        <v>1100</v>
      </c>
      <c r="H17" s="52" t="n">
        <v>0</v>
      </c>
      <c r="I17" s="53">
        <f>N(G17)+N(H17)</f>
        <v/>
      </c>
      <c r="J17" s="16" t="inlineStr">
        <is>
          <t>M. Karim El Amrani</t>
        </is>
      </c>
      <c r="K17" s="16" t="inlineStr">
        <is>
          <t>Virement</t>
        </is>
      </c>
      <c r="L17" s="16" t="inlineStr">
        <is>
          <t>Loyer</t>
        </is>
      </c>
      <c r="M17" s="16" t="inlineStr"/>
      <c r="N17" s="54">
        <f>IF(A17="","",EOMONTH(A17,-1)+1)</f>
        <v/>
      </c>
      <c r="O17" s="22">
        <f>IF(AND(N(A17)&gt;=N(01_Parametres!$B$11),N(A17)&lt;=N(01_Parametres!$B$12)),1,0)</f>
        <v/>
      </c>
      <c r="P17" s="74">
        <f>IF(E17="","",IFERROR(VLOOKUP(E17,02_Plan_Comptable!$A$5:$C$84,3,FALSE),""))</f>
        <v/>
      </c>
      <c r="Q17" s="74">
        <f>IF(F17="","",IFERROR(VLOOKUP(F17,02_Plan_Comptable!$A$5:$C$84,3,FALSE),""))</f>
        <v/>
      </c>
    </row>
    <row r="18">
      <c r="A18" s="51" t="n">
        <v>46058</v>
      </c>
      <c r="B18" s="16" t="inlineStr">
        <is>
          <t>LOY02-750</t>
        </is>
      </c>
      <c r="C18" s="16" t="inlineStr">
        <is>
          <t>Encaissement loyer</t>
        </is>
      </c>
      <c r="D18" s="16" t="inlineStr">
        <is>
          <t>Studio B – Rabat</t>
        </is>
      </c>
      <c r="E18" s="16" t="inlineStr">
        <is>
          <t>512</t>
        </is>
      </c>
      <c r="F18" s="16" t="inlineStr">
        <is>
          <t>706</t>
        </is>
      </c>
      <c r="G18" s="52" t="n">
        <v>750</v>
      </c>
      <c r="H18" s="52" t="n">
        <v>0</v>
      </c>
      <c r="I18" s="53">
        <f>N(G18)+N(H18)</f>
        <v/>
      </c>
      <c r="J18" s="16" t="inlineStr">
        <is>
          <t>Mme Sofia Benali</t>
        </is>
      </c>
      <c r="K18" s="16" t="inlineStr">
        <is>
          <t>Virement</t>
        </is>
      </c>
      <c r="L18" s="16" t="inlineStr">
        <is>
          <t>Loyer</t>
        </is>
      </c>
      <c r="M18" s="16" t="inlineStr"/>
      <c r="N18" s="54">
        <f>IF(A18="","",EOMONTH(A18,-1)+1)</f>
        <v/>
      </c>
      <c r="O18" s="22">
        <f>IF(AND(N(A18)&gt;=N(01_Parametres!$B$11),N(A18)&lt;=N(01_Parametres!$B$12)),1,0)</f>
        <v/>
      </c>
      <c r="P18" s="74">
        <f>IF(E18="","",IFERROR(VLOOKUP(E18,02_Plan_Comptable!$A$5:$C$84,3,FALSE),""))</f>
        <v/>
      </c>
      <c r="Q18" s="74">
        <f>IF(F18="","",IFERROR(VLOOKUP(F18,02_Plan_Comptable!$A$5:$C$84,3,FALSE),""))</f>
        <v/>
      </c>
    </row>
    <row r="19">
      <c r="A19" s="51" t="n">
        <v>46063</v>
      </c>
      <c r="B19" s="16" t="inlineStr">
        <is>
          <t>CP02-Appartement A</t>
        </is>
      </c>
      <c r="C19" s="16" t="inlineStr">
        <is>
          <t>Charges copropriété</t>
        </is>
      </c>
      <c r="D19" s="16" t="inlineStr">
        <is>
          <t>Appartement A – Casablanca</t>
        </is>
      </c>
      <c r="E19" s="16" t="inlineStr">
        <is>
          <t>614</t>
        </is>
      </c>
      <c r="F19" s="16" t="inlineStr">
        <is>
          <t>512</t>
        </is>
      </c>
      <c r="G19" s="52" t="n">
        <v>180</v>
      </c>
      <c r="H19" s="52" t="n">
        <v>0</v>
      </c>
      <c r="I19" s="53">
        <f>N(G19)+N(H19)</f>
        <v/>
      </c>
      <c r="J19" s="16" t="inlineStr">
        <is>
          <t>Syndic</t>
        </is>
      </c>
      <c r="K19" s="16" t="inlineStr">
        <is>
          <t>Prélèvement</t>
        </is>
      </c>
      <c r="L19" s="16" t="inlineStr">
        <is>
          <t>Copropriété</t>
        </is>
      </c>
      <c r="M19" s="16" t="inlineStr"/>
      <c r="N19" s="54">
        <f>IF(A19="","",EOMONTH(A19,-1)+1)</f>
        <v/>
      </c>
      <c r="O19" s="22">
        <f>IF(AND(N(A19)&gt;=N(01_Parametres!$B$11),N(A19)&lt;=N(01_Parametres!$B$12)),1,0)</f>
        <v/>
      </c>
      <c r="P19" s="74">
        <f>IF(E19="","",IFERROR(VLOOKUP(E19,02_Plan_Comptable!$A$5:$C$84,3,FALSE),""))</f>
        <v/>
      </c>
      <c r="Q19" s="74">
        <f>IF(F19="","",IFERROR(VLOOKUP(F19,02_Plan_Comptable!$A$5:$C$84,3,FALSE),""))</f>
        <v/>
      </c>
    </row>
    <row r="20">
      <c r="A20" s="51" t="n">
        <v>46063</v>
      </c>
      <c r="B20" s="16" t="inlineStr">
        <is>
          <t>CP02-Studio B</t>
        </is>
      </c>
      <c r="C20" s="16" t="inlineStr">
        <is>
          <t>Charges copropriété</t>
        </is>
      </c>
      <c r="D20" s="16" t="inlineStr">
        <is>
          <t>Studio B – Rabat</t>
        </is>
      </c>
      <c r="E20" s="16" t="inlineStr">
        <is>
          <t>614</t>
        </is>
      </c>
      <c r="F20" s="16" t="inlineStr">
        <is>
          <t>512</t>
        </is>
      </c>
      <c r="G20" s="52" t="n">
        <v>120</v>
      </c>
      <c r="H20" s="52" t="n">
        <v>0</v>
      </c>
      <c r="I20" s="53">
        <f>N(G20)+N(H20)</f>
        <v/>
      </c>
      <c r="J20" s="16" t="inlineStr">
        <is>
          <t>Syndic</t>
        </is>
      </c>
      <c r="K20" s="16" t="inlineStr">
        <is>
          <t>Prélèvement</t>
        </is>
      </c>
      <c r="L20" s="16" t="inlineStr">
        <is>
          <t>Copropriété</t>
        </is>
      </c>
      <c r="M20" s="16" t="inlineStr"/>
      <c r="N20" s="54">
        <f>IF(A20="","",EOMONTH(A20,-1)+1)</f>
        <v/>
      </c>
      <c r="O20" s="22">
        <f>IF(AND(N(A20)&gt;=N(01_Parametres!$B$11),N(A20)&lt;=N(01_Parametres!$B$12)),1,0)</f>
        <v/>
      </c>
      <c r="P20" s="74">
        <f>IF(E20="","",IFERROR(VLOOKUP(E20,02_Plan_Comptable!$A$5:$C$84,3,FALSE),""))</f>
        <v/>
      </c>
      <c r="Q20" s="74">
        <f>IF(F20="","",IFERROR(VLOOKUP(F20,02_Plan_Comptable!$A$5:$C$84,3,FALSE),""))</f>
        <v/>
      </c>
    </row>
    <row r="21">
      <c r="A21" s="51" t="n">
        <v>46081</v>
      </c>
      <c r="B21" s="16" t="inlineStr">
        <is>
          <t>GL02</t>
        </is>
      </c>
      <c r="C21" s="16" t="inlineStr">
        <is>
          <t>Frais gestion locative</t>
        </is>
      </c>
      <c r="D21" s="16" t="inlineStr"/>
      <c r="E21" s="16" t="inlineStr">
        <is>
          <t>6226</t>
        </is>
      </c>
      <c r="F21" s="16" t="inlineStr">
        <is>
          <t>512</t>
        </is>
      </c>
      <c r="G21" s="52" t="n">
        <v>150</v>
      </c>
      <c r="H21" s="52" t="n">
        <v>0</v>
      </c>
      <c r="I21" s="53">
        <f>N(G21)+N(H21)</f>
        <v/>
      </c>
      <c r="J21" s="16" t="inlineStr">
        <is>
          <t>Agence Gestion</t>
        </is>
      </c>
      <c r="K21" s="16" t="inlineStr">
        <is>
          <t>Prélèvement</t>
        </is>
      </c>
      <c r="L21" s="16" t="inlineStr">
        <is>
          <t>Gestion locative</t>
        </is>
      </c>
      <c r="M21" s="16" t="inlineStr"/>
      <c r="N21" s="54">
        <f>IF(A21="","",EOMONTH(A21,-1)+1)</f>
        <v/>
      </c>
      <c r="O21" s="22">
        <f>IF(AND(N(A21)&gt;=N(01_Parametres!$B$11),N(A21)&lt;=N(01_Parametres!$B$12)),1,0)</f>
        <v/>
      </c>
      <c r="P21" s="74">
        <f>IF(E21="","",IFERROR(VLOOKUP(E21,02_Plan_Comptable!$A$5:$C$84,3,FALSE),""))</f>
        <v/>
      </c>
      <c r="Q21" s="74">
        <f>IF(F21="","",IFERROR(VLOOKUP(F21,02_Plan_Comptable!$A$5:$C$84,3,FALSE),""))</f>
        <v/>
      </c>
    </row>
    <row r="22">
      <c r="A22" s="51" t="n">
        <v>46081</v>
      </c>
      <c r="B22" s="16" t="inlineStr">
        <is>
          <t>BF02</t>
        </is>
      </c>
      <c r="C22" s="16" t="inlineStr">
        <is>
          <t>Frais bancaires</t>
        </is>
      </c>
      <c r="D22" s="16" t="inlineStr"/>
      <c r="E22" s="16" t="inlineStr">
        <is>
          <t>627</t>
        </is>
      </c>
      <c r="F22" s="16" t="inlineStr">
        <is>
          <t>512</t>
        </is>
      </c>
      <c r="G22" s="52" t="n">
        <v>12</v>
      </c>
      <c r="H22" s="52" t="n">
        <v>0</v>
      </c>
      <c r="I22" s="53">
        <f>N(G22)+N(H22)</f>
        <v/>
      </c>
      <c r="J22" s="16" t="inlineStr">
        <is>
          <t>Banque</t>
        </is>
      </c>
      <c r="K22" s="16" t="inlineStr">
        <is>
          <t>Prélèvement</t>
        </is>
      </c>
      <c r="L22" s="16" t="inlineStr">
        <is>
          <t>Frais bancaires</t>
        </is>
      </c>
      <c r="M22" s="16" t="inlineStr"/>
      <c r="N22" s="54">
        <f>IF(A22="","",EOMONTH(A22,-1)+1)</f>
        <v/>
      </c>
      <c r="O22" s="22">
        <f>IF(AND(N(A22)&gt;=N(01_Parametres!$B$11),N(A22)&lt;=N(01_Parametres!$B$12)),1,0)</f>
        <v/>
      </c>
      <c r="P22" s="74">
        <f>IF(E22="","",IFERROR(VLOOKUP(E22,02_Plan_Comptable!$A$5:$C$84,3,FALSE),""))</f>
        <v/>
      </c>
      <c r="Q22" s="74">
        <f>IF(F22="","",IFERROR(VLOOKUP(F22,02_Plan_Comptable!$A$5:$C$84,3,FALSE),""))</f>
        <v/>
      </c>
    </row>
    <row r="23">
      <c r="A23" s="51" t="n">
        <v>46068</v>
      </c>
      <c r="B23" s="16" t="inlineStr">
        <is>
          <t>EM02-CAP</t>
        </is>
      </c>
      <c r="C23" s="16" t="inlineStr">
        <is>
          <t>Mensualité emprunt (capital)</t>
        </is>
      </c>
      <c r="D23" s="16" t="inlineStr"/>
      <c r="E23" s="16" t="inlineStr">
        <is>
          <t>164</t>
        </is>
      </c>
      <c r="F23" s="16" t="inlineStr">
        <is>
          <t>512</t>
        </is>
      </c>
      <c r="G23" s="52" t="n">
        <v>577.7</v>
      </c>
      <c r="H23" s="52" t="n">
        <v>0</v>
      </c>
      <c r="I23" s="53">
        <f>N(G23)+N(H23)</f>
        <v/>
      </c>
      <c r="J23" s="16" t="inlineStr">
        <is>
          <t>Banque</t>
        </is>
      </c>
      <c r="K23" s="16" t="inlineStr">
        <is>
          <t>Prélèvement</t>
        </is>
      </c>
      <c r="L23" s="16" t="inlineStr">
        <is>
          <t>Emprunt - capital</t>
        </is>
      </c>
      <c r="M23" s="16" t="inlineStr"/>
      <c r="N23" s="54">
        <f>IF(A23="","",EOMONTH(A23,-1)+1)</f>
        <v/>
      </c>
      <c r="O23" s="22">
        <f>IF(AND(N(A23)&gt;=N(01_Parametres!$B$11),N(A23)&lt;=N(01_Parametres!$B$12)),1,0)</f>
        <v/>
      </c>
      <c r="P23" s="74">
        <f>IF(E23="","",IFERROR(VLOOKUP(E23,02_Plan_Comptable!$A$5:$C$84,3,FALSE),""))</f>
        <v/>
      </c>
      <c r="Q23" s="74">
        <f>IF(F23="","",IFERROR(VLOOKUP(F23,02_Plan_Comptable!$A$5:$C$84,3,FALSE),""))</f>
        <v/>
      </c>
    </row>
    <row r="24">
      <c r="A24" s="51" t="n">
        <v>46068</v>
      </c>
      <c r="B24" s="16" t="inlineStr">
        <is>
          <t>EM02-INT</t>
        </is>
      </c>
      <c r="C24" s="16" t="inlineStr">
        <is>
          <t>Mensualité emprunt (intérêts)</t>
        </is>
      </c>
      <c r="D24" s="16" t="inlineStr"/>
      <c r="E24" s="16" t="inlineStr">
        <is>
          <t>661</t>
        </is>
      </c>
      <c r="F24" s="16" t="inlineStr">
        <is>
          <t>512</t>
        </is>
      </c>
      <c r="G24" s="52" t="n">
        <v>372.3</v>
      </c>
      <c r="H24" s="52" t="n">
        <v>0</v>
      </c>
      <c r="I24" s="53">
        <f>N(G24)+N(H24)</f>
        <v/>
      </c>
      <c r="J24" s="16" t="inlineStr">
        <is>
          <t>Banque</t>
        </is>
      </c>
      <c r="K24" s="16" t="inlineStr">
        <is>
          <t>Prélèvement</t>
        </is>
      </c>
      <c r="L24" s="16" t="inlineStr">
        <is>
          <t>Emprunt - intérêts</t>
        </is>
      </c>
      <c r="M24" s="16" t="inlineStr"/>
      <c r="N24" s="54">
        <f>IF(A24="","",EOMONTH(A24,-1)+1)</f>
        <v/>
      </c>
      <c r="O24" s="22">
        <f>IF(AND(N(A24)&gt;=N(01_Parametres!$B$11),N(A24)&lt;=N(01_Parametres!$B$12)),1,0)</f>
        <v/>
      </c>
      <c r="P24" s="74">
        <f>IF(E24="","",IFERROR(VLOOKUP(E24,02_Plan_Comptable!$A$5:$C$84,3,FALSE),""))</f>
        <v/>
      </c>
      <c r="Q24" s="74">
        <f>IF(F24="","",IFERROR(VLOOKUP(F24,02_Plan_Comptable!$A$5:$C$84,3,FALSE),""))</f>
        <v/>
      </c>
    </row>
    <row r="25">
      <c r="A25" s="51" t="n">
        <v>46086</v>
      </c>
      <c r="B25" s="16" t="inlineStr">
        <is>
          <t>LOY03-1100</t>
        </is>
      </c>
      <c r="C25" s="16" t="inlineStr">
        <is>
          <t>Encaissement loyer</t>
        </is>
      </c>
      <c r="D25" s="16" t="inlineStr">
        <is>
          <t>Appartement A – Casablanca</t>
        </is>
      </c>
      <c r="E25" s="16" t="inlineStr">
        <is>
          <t>512</t>
        </is>
      </c>
      <c r="F25" s="16" t="inlineStr">
        <is>
          <t>706</t>
        </is>
      </c>
      <c r="G25" s="52" t="n">
        <v>1100</v>
      </c>
      <c r="H25" s="52" t="n">
        <v>0</v>
      </c>
      <c r="I25" s="53">
        <f>N(G25)+N(H25)</f>
        <v/>
      </c>
      <c r="J25" s="16" t="inlineStr">
        <is>
          <t>M. Karim El Amrani</t>
        </is>
      </c>
      <c r="K25" s="16" t="inlineStr">
        <is>
          <t>Virement</t>
        </is>
      </c>
      <c r="L25" s="16" t="inlineStr">
        <is>
          <t>Loyer</t>
        </is>
      </c>
      <c r="M25" s="16" t="inlineStr"/>
      <c r="N25" s="54">
        <f>IF(A25="","",EOMONTH(A25,-1)+1)</f>
        <v/>
      </c>
      <c r="O25" s="22">
        <f>IF(AND(N(A25)&gt;=N(01_Parametres!$B$11),N(A25)&lt;=N(01_Parametres!$B$12)),1,0)</f>
        <v/>
      </c>
      <c r="P25" s="74">
        <f>IF(E25="","",IFERROR(VLOOKUP(E25,02_Plan_Comptable!$A$5:$C$84,3,FALSE),""))</f>
        <v/>
      </c>
      <c r="Q25" s="74">
        <f>IF(F25="","",IFERROR(VLOOKUP(F25,02_Plan_Comptable!$A$5:$C$84,3,FALSE),""))</f>
        <v/>
      </c>
    </row>
    <row r="26">
      <c r="A26" s="51" t="n">
        <v>46086</v>
      </c>
      <c r="B26" s="16" t="inlineStr">
        <is>
          <t>LOY03-750</t>
        </is>
      </c>
      <c r="C26" s="16" t="inlineStr">
        <is>
          <t>Encaissement loyer</t>
        </is>
      </c>
      <c r="D26" s="16" t="inlineStr">
        <is>
          <t>Studio B – Rabat</t>
        </is>
      </c>
      <c r="E26" s="16" t="inlineStr">
        <is>
          <t>512</t>
        </is>
      </c>
      <c r="F26" s="16" t="inlineStr">
        <is>
          <t>706</t>
        </is>
      </c>
      <c r="G26" s="52" t="n">
        <v>750</v>
      </c>
      <c r="H26" s="52" t="n">
        <v>0</v>
      </c>
      <c r="I26" s="53">
        <f>N(G26)+N(H26)</f>
        <v/>
      </c>
      <c r="J26" s="16" t="inlineStr">
        <is>
          <t>Mme Sofia Benali</t>
        </is>
      </c>
      <c r="K26" s="16" t="inlineStr">
        <is>
          <t>Virement</t>
        </is>
      </c>
      <c r="L26" s="16" t="inlineStr">
        <is>
          <t>Loyer</t>
        </is>
      </c>
      <c r="M26" s="16" t="inlineStr"/>
      <c r="N26" s="54">
        <f>IF(A26="","",EOMONTH(A26,-1)+1)</f>
        <v/>
      </c>
      <c r="O26" s="22">
        <f>IF(AND(N(A26)&gt;=N(01_Parametres!$B$11),N(A26)&lt;=N(01_Parametres!$B$12)),1,0)</f>
        <v/>
      </c>
      <c r="P26" s="74">
        <f>IF(E26="","",IFERROR(VLOOKUP(E26,02_Plan_Comptable!$A$5:$C$84,3,FALSE),""))</f>
        <v/>
      </c>
      <c r="Q26" s="74">
        <f>IF(F26="","",IFERROR(VLOOKUP(F26,02_Plan_Comptable!$A$5:$C$84,3,FALSE),""))</f>
        <v/>
      </c>
    </row>
    <row r="27">
      <c r="A27" s="51" t="n">
        <v>46091</v>
      </c>
      <c r="B27" s="16" t="inlineStr">
        <is>
          <t>CP03-Appartement A</t>
        </is>
      </c>
      <c r="C27" s="16" t="inlineStr">
        <is>
          <t>Charges copropriété</t>
        </is>
      </c>
      <c r="D27" s="16" t="inlineStr">
        <is>
          <t>Appartement A – Casablanca</t>
        </is>
      </c>
      <c r="E27" s="16" t="inlineStr">
        <is>
          <t>614</t>
        </is>
      </c>
      <c r="F27" s="16" t="inlineStr">
        <is>
          <t>512</t>
        </is>
      </c>
      <c r="G27" s="52" t="n">
        <v>180</v>
      </c>
      <c r="H27" s="52" t="n">
        <v>0</v>
      </c>
      <c r="I27" s="53">
        <f>N(G27)+N(H27)</f>
        <v/>
      </c>
      <c r="J27" s="16" t="inlineStr">
        <is>
          <t>Syndic</t>
        </is>
      </c>
      <c r="K27" s="16" t="inlineStr">
        <is>
          <t>Prélèvement</t>
        </is>
      </c>
      <c r="L27" s="16" t="inlineStr">
        <is>
          <t>Copropriété</t>
        </is>
      </c>
      <c r="M27" s="16" t="inlineStr"/>
      <c r="N27" s="54">
        <f>IF(A27="","",EOMONTH(A27,-1)+1)</f>
        <v/>
      </c>
      <c r="O27" s="22">
        <f>IF(AND(N(A27)&gt;=N(01_Parametres!$B$11),N(A27)&lt;=N(01_Parametres!$B$12)),1,0)</f>
        <v/>
      </c>
      <c r="P27" s="74">
        <f>IF(E27="","",IFERROR(VLOOKUP(E27,02_Plan_Comptable!$A$5:$C$84,3,FALSE),""))</f>
        <v/>
      </c>
      <c r="Q27" s="74">
        <f>IF(F27="","",IFERROR(VLOOKUP(F27,02_Plan_Comptable!$A$5:$C$84,3,FALSE),""))</f>
        <v/>
      </c>
    </row>
    <row r="28">
      <c r="A28" s="51" t="n">
        <v>46091</v>
      </c>
      <c r="B28" s="16" t="inlineStr">
        <is>
          <t>CP03-Studio B</t>
        </is>
      </c>
      <c r="C28" s="16" t="inlineStr">
        <is>
          <t>Charges copropriété</t>
        </is>
      </c>
      <c r="D28" s="16" t="inlineStr">
        <is>
          <t>Studio B – Rabat</t>
        </is>
      </c>
      <c r="E28" s="16" t="inlineStr">
        <is>
          <t>614</t>
        </is>
      </c>
      <c r="F28" s="16" t="inlineStr">
        <is>
          <t>512</t>
        </is>
      </c>
      <c r="G28" s="52" t="n">
        <v>120</v>
      </c>
      <c r="H28" s="52" t="n">
        <v>0</v>
      </c>
      <c r="I28" s="53">
        <f>N(G28)+N(H28)</f>
        <v/>
      </c>
      <c r="J28" s="16" t="inlineStr">
        <is>
          <t>Syndic</t>
        </is>
      </c>
      <c r="K28" s="16" t="inlineStr">
        <is>
          <t>Prélèvement</t>
        </is>
      </c>
      <c r="L28" s="16" t="inlineStr">
        <is>
          <t>Copropriété</t>
        </is>
      </c>
      <c r="M28" s="16" t="inlineStr"/>
      <c r="N28" s="54">
        <f>IF(A28="","",EOMONTH(A28,-1)+1)</f>
        <v/>
      </c>
      <c r="O28" s="22">
        <f>IF(AND(N(A28)&gt;=N(01_Parametres!$B$11),N(A28)&lt;=N(01_Parametres!$B$12)),1,0)</f>
        <v/>
      </c>
      <c r="P28" s="74">
        <f>IF(E28="","",IFERROR(VLOOKUP(E28,02_Plan_Comptable!$A$5:$C$84,3,FALSE),""))</f>
        <v/>
      </c>
      <c r="Q28" s="74">
        <f>IF(F28="","",IFERROR(VLOOKUP(F28,02_Plan_Comptable!$A$5:$C$84,3,FALSE),""))</f>
        <v/>
      </c>
    </row>
    <row r="29">
      <c r="A29" s="51" t="n">
        <v>46109</v>
      </c>
      <c r="B29" s="16" t="inlineStr">
        <is>
          <t>GL03</t>
        </is>
      </c>
      <c r="C29" s="16" t="inlineStr">
        <is>
          <t>Frais gestion locative</t>
        </is>
      </c>
      <c r="D29" s="16" t="inlineStr"/>
      <c r="E29" s="16" t="inlineStr">
        <is>
          <t>6226</t>
        </is>
      </c>
      <c r="F29" s="16" t="inlineStr">
        <is>
          <t>512</t>
        </is>
      </c>
      <c r="G29" s="52" t="n">
        <v>150</v>
      </c>
      <c r="H29" s="52" t="n">
        <v>0</v>
      </c>
      <c r="I29" s="53">
        <f>N(G29)+N(H29)</f>
        <v/>
      </c>
      <c r="J29" s="16" t="inlineStr">
        <is>
          <t>Agence Gestion</t>
        </is>
      </c>
      <c r="K29" s="16" t="inlineStr">
        <is>
          <t>Prélèvement</t>
        </is>
      </c>
      <c r="L29" s="16" t="inlineStr">
        <is>
          <t>Gestion locative</t>
        </is>
      </c>
      <c r="M29" s="16" t="inlineStr"/>
      <c r="N29" s="54">
        <f>IF(A29="","",EOMONTH(A29,-1)+1)</f>
        <v/>
      </c>
      <c r="O29" s="22">
        <f>IF(AND(N(A29)&gt;=N(01_Parametres!$B$11),N(A29)&lt;=N(01_Parametres!$B$12)),1,0)</f>
        <v/>
      </c>
      <c r="P29" s="74">
        <f>IF(E29="","",IFERROR(VLOOKUP(E29,02_Plan_Comptable!$A$5:$C$84,3,FALSE),""))</f>
        <v/>
      </c>
      <c r="Q29" s="74">
        <f>IF(F29="","",IFERROR(VLOOKUP(F29,02_Plan_Comptable!$A$5:$C$84,3,FALSE),""))</f>
        <v/>
      </c>
    </row>
    <row r="30">
      <c r="A30" s="51" t="n">
        <v>46109</v>
      </c>
      <c r="B30" s="16" t="inlineStr">
        <is>
          <t>BF03</t>
        </is>
      </c>
      <c r="C30" s="16" t="inlineStr">
        <is>
          <t>Frais bancaires</t>
        </is>
      </c>
      <c r="D30" s="16" t="inlineStr"/>
      <c r="E30" s="16" t="inlineStr">
        <is>
          <t>627</t>
        </is>
      </c>
      <c r="F30" s="16" t="inlineStr">
        <is>
          <t>512</t>
        </is>
      </c>
      <c r="G30" s="52" t="n">
        <v>12</v>
      </c>
      <c r="H30" s="52" t="n">
        <v>0</v>
      </c>
      <c r="I30" s="53">
        <f>N(G30)+N(H30)</f>
        <v/>
      </c>
      <c r="J30" s="16" t="inlineStr">
        <is>
          <t>Banque</t>
        </is>
      </c>
      <c r="K30" s="16" t="inlineStr">
        <is>
          <t>Prélèvement</t>
        </is>
      </c>
      <c r="L30" s="16" t="inlineStr">
        <is>
          <t>Frais bancaires</t>
        </is>
      </c>
      <c r="M30" s="16" t="inlineStr"/>
      <c r="N30" s="54">
        <f>IF(A30="","",EOMONTH(A30,-1)+1)</f>
        <v/>
      </c>
      <c r="O30" s="22">
        <f>IF(AND(N(A30)&gt;=N(01_Parametres!$B$11),N(A30)&lt;=N(01_Parametres!$B$12)),1,0)</f>
        <v/>
      </c>
      <c r="P30" s="74">
        <f>IF(E30="","",IFERROR(VLOOKUP(E30,02_Plan_Comptable!$A$5:$C$84,3,FALSE),""))</f>
        <v/>
      </c>
      <c r="Q30" s="74">
        <f>IF(F30="","",IFERROR(VLOOKUP(F30,02_Plan_Comptable!$A$5:$C$84,3,FALSE),""))</f>
        <v/>
      </c>
    </row>
    <row r="31">
      <c r="A31" s="51" t="n">
        <v>46096</v>
      </c>
      <c r="B31" s="16" t="inlineStr">
        <is>
          <t>EM03-CAP</t>
        </is>
      </c>
      <c r="C31" s="16" t="inlineStr">
        <is>
          <t>Mensualité emprunt (capital)</t>
        </is>
      </c>
      <c r="D31" s="16" t="inlineStr"/>
      <c r="E31" s="16" t="inlineStr">
        <is>
          <t>164</t>
        </is>
      </c>
      <c r="F31" s="16" t="inlineStr">
        <is>
          <t>512</t>
        </is>
      </c>
      <c r="G31" s="52" t="n">
        <v>578.91</v>
      </c>
      <c r="H31" s="52" t="n">
        <v>0</v>
      </c>
      <c r="I31" s="53">
        <f>N(G31)+N(H31)</f>
        <v/>
      </c>
      <c r="J31" s="16" t="inlineStr">
        <is>
          <t>Banque</t>
        </is>
      </c>
      <c r="K31" s="16" t="inlineStr">
        <is>
          <t>Prélèvement</t>
        </is>
      </c>
      <c r="L31" s="16" t="inlineStr">
        <is>
          <t>Emprunt - capital</t>
        </is>
      </c>
      <c r="M31" s="16" t="inlineStr"/>
      <c r="N31" s="54">
        <f>IF(A31="","",EOMONTH(A31,-1)+1)</f>
        <v/>
      </c>
      <c r="O31" s="22">
        <f>IF(AND(N(A31)&gt;=N(01_Parametres!$B$11),N(A31)&lt;=N(01_Parametres!$B$12)),1,0)</f>
        <v/>
      </c>
      <c r="P31" s="74">
        <f>IF(E31="","",IFERROR(VLOOKUP(E31,02_Plan_Comptable!$A$5:$C$84,3,FALSE),""))</f>
        <v/>
      </c>
      <c r="Q31" s="74">
        <f>IF(F31="","",IFERROR(VLOOKUP(F31,02_Plan_Comptable!$A$5:$C$84,3,FALSE),""))</f>
        <v/>
      </c>
    </row>
    <row r="32">
      <c r="A32" s="51" t="n">
        <v>46096</v>
      </c>
      <c r="B32" s="16" t="inlineStr">
        <is>
          <t>EM03-INT</t>
        </is>
      </c>
      <c r="C32" s="16" t="inlineStr">
        <is>
          <t>Mensualité emprunt (intérêts)</t>
        </is>
      </c>
      <c r="D32" s="16" t="inlineStr"/>
      <c r="E32" s="16" t="inlineStr">
        <is>
          <t>661</t>
        </is>
      </c>
      <c r="F32" s="16" t="inlineStr">
        <is>
          <t>512</t>
        </is>
      </c>
      <c r="G32" s="52" t="n">
        <v>371.09</v>
      </c>
      <c r="H32" s="52" t="n">
        <v>0</v>
      </c>
      <c r="I32" s="53">
        <f>N(G32)+N(H32)</f>
        <v/>
      </c>
      <c r="J32" s="16" t="inlineStr">
        <is>
          <t>Banque</t>
        </is>
      </c>
      <c r="K32" s="16" t="inlineStr">
        <is>
          <t>Prélèvement</t>
        </is>
      </c>
      <c r="L32" s="16" t="inlineStr">
        <is>
          <t>Emprunt - intérêts</t>
        </is>
      </c>
      <c r="M32" s="16" t="inlineStr"/>
      <c r="N32" s="54">
        <f>IF(A32="","",EOMONTH(A32,-1)+1)</f>
        <v/>
      </c>
      <c r="O32" s="22">
        <f>IF(AND(N(A32)&gt;=N(01_Parametres!$B$11),N(A32)&lt;=N(01_Parametres!$B$12)),1,0)</f>
        <v/>
      </c>
      <c r="P32" s="74">
        <f>IF(E32="","",IFERROR(VLOOKUP(E32,02_Plan_Comptable!$A$5:$C$84,3,FALSE),""))</f>
        <v/>
      </c>
      <c r="Q32" s="74">
        <f>IF(F32="","",IFERROR(VLOOKUP(F32,02_Plan_Comptable!$A$5:$C$84,3,FALSE),""))</f>
        <v/>
      </c>
    </row>
    <row r="33">
      <c r="A33" s="51" t="n">
        <v>46117</v>
      </c>
      <c r="B33" s="16" t="inlineStr">
        <is>
          <t>LOY04-1100</t>
        </is>
      </c>
      <c r="C33" s="16" t="inlineStr">
        <is>
          <t>Encaissement loyer</t>
        </is>
      </c>
      <c r="D33" s="16" t="inlineStr">
        <is>
          <t>Appartement A – Casablanca</t>
        </is>
      </c>
      <c r="E33" s="16" t="inlineStr">
        <is>
          <t>512</t>
        </is>
      </c>
      <c r="F33" s="16" t="inlineStr">
        <is>
          <t>706</t>
        </is>
      </c>
      <c r="G33" s="52" t="n">
        <v>1100</v>
      </c>
      <c r="H33" s="52" t="n">
        <v>0</v>
      </c>
      <c r="I33" s="53">
        <f>N(G33)+N(H33)</f>
        <v/>
      </c>
      <c r="J33" s="16" t="inlineStr">
        <is>
          <t>M. Karim El Amrani</t>
        </is>
      </c>
      <c r="K33" s="16" t="inlineStr">
        <is>
          <t>Virement</t>
        </is>
      </c>
      <c r="L33" s="16" t="inlineStr">
        <is>
          <t>Loyer</t>
        </is>
      </c>
      <c r="M33" s="16" t="inlineStr"/>
      <c r="N33" s="54">
        <f>IF(A33="","",EOMONTH(A33,-1)+1)</f>
        <v/>
      </c>
      <c r="O33" s="22">
        <f>IF(AND(N(A33)&gt;=N(01_Parametres!$B$11),N(A33)&lt;=N(01_Parametres!$B$12)),1,0)</f>
        <v/>
      </c>
      <c r="P33" s="74">
        <f>IF(E33="","",IFERROR(VLOOKUP(E33,02_Plan_Comptable!$A$5:$C$84,3,FALSE),""))</f>
        <v/>
      </c>
      <c r="Q33" s="74">
        <f>IF(F33="","",IFERROR(VLOOKUP(F33,02_Plan_Comptable!$A$5:$C$84,3,FALSE),""))</f>
        <v/>
      </c>
    </row>
    <row r="34">
      <c r="A34" s="51" t="n">
        <v>46117</v>
      </c>
      <c r="B34" s="16" t="inlineStr">
        <is>
          <t>LOY04-750</t>
        </is>
      </c>
      <c r="C34" s="16" t="inlineStr">
        <is>
          <t>Encaissement loyer</t>
        </is>
      </c>
      <c r="D34" s="16" t="inlineStr">
        <is>
          <t>Studio B – Rabat</t>
        </is>
      </c>
      <c r="E34" s="16" t="inlineStr">
        <is>
          <t>512</t>
        </is>
      </c>
      <c r="F34" s="16" t="inlineStr">
        <is>
          <t>706</t>
        </is>
      </c>
      <c r="G34" s="52" t="n">
        <v>750</v>
      </c>
      <c r="H34" s="52" t="n">
        <v>0</v>
      </c>
      <c r="I34" s="53">
        <f>N(G34)+N(H34)</f>
        <v/>
      </c>
      <c r="J34" s="16" t="inlineStr">
        <is>
          <t>Mme Sofia Benali</t>
        </is>
      </c>
      <c r="K34" s="16" t="inlineStr">
        <is>
          <t>Virement</t>
        </is>
      </c>
      <c r="L34" s="16" t="inlineStr">
        <is>
          <t>Loyer</t>
        </is>
      </c>
      <c r="M34" s="16" t="inlineStr"/>
      <c r="N34" s="54">
        <f>IF(A34="","",EOMONTH(A34,-1)+1)</f>
        <v/>
      </c>
      <c r="O34" s="22">
        <f>IF(AND(N(A34)&gt;=N(01_Parametres!$B$11),N(A34)&lt;=N(01_Parametres!$B$12)),1,0)</f>
        <v/>
      </c>
      <c r="P34" s="74">
        <f>IF(E34="","",IFERROR(VLOOKUP(E34,02_Plan_Comptable!$A$5:$C$84,3,FALSE),""))</f>
        <v/>
      </c>
      <c r="Q34" s="74">
        <f>IF(F34="","",IFERROR(VLOOKUP(F34,02_Plan_Comptable!$A$5:$C$84,3,FALSE),""))</f>
        <v/>
      </c>
    </row>
    <row r="35">
      <c r="A35" s="51" t="n">
        <v>46122</v>
      </c>
      <c r="B35" s="16" t="inlineStr">
        <is>
          <t>CP04-Appartement A</t>
        </is>
      </c>
      <c r="C35" s="16" t="inlineStr">
        <is>
          <t>Charges copropriété</t>
        </is>
      </c>
      <c r="D35" s="16" t="inlineStr">
        <is>
          <t>Appartement A – Casablanca</t>
        </is>
      </c>
      <c r="E35" s="16" t="inlineStr">
        <is>
          <t>614</t>
        </is>
      </c>
      <c r="F35" s="16" t="inlineStr">
        <is>
          <t>512</t>
        </is>
      </c>
      <c r="G35" s="52" t="n">
        <v>180</v>
      </c>
      <c r="H35" s="52" t="n">
        <v>0</v>
      </c>
      <c r="I35" s="53">
        <f>N(G35)+N(H35)</f>
        <v/>
      </c>
      <c r="J35" s="16" t="inlineStr">
        <is>
          <t>Syndic</t>
        </is>
      </c>
      <c r="K35" s="16" t="inlineStr">
        <is>
          <t>Prélèvement</t>
        </is>
      </c>
      <c r="L35" s="16" t="inlineStr">
        <is>
          <t>Copropriété</t>
        </is>
      </c>
      <c r="M35" s="16" t="inlineStr"/>
      <c r="N35" s="54">
        <f>IF(A35="","",EOMONTH(A35,-1)+1)</f>
        <v/>
      </c>
      <c r="O35" s="22">
        <f>IF(AND(N(A35)&gt;=N(01_Parametres!$B$11),N(A35)&lt;=N(01_Parametres!$B$12)),1,0)</f>
        <v/>
      </c>
      <c r="P35" s="74">
        <f>IF(E35="","",IFERROR(VLOOKUP(E35,02_Plan_Comptable!$A$5:$C$84,3,FALSE),""))</f>
        <v/>
      </c>
      <c r="Q35" s="74">
        <f>IF(F35="","",IFERROR(VLOOKUP(F35,02_Plan_Comptable!$A$5:$C$84,3,FALSE),""))</f>
        <v/>
      </c>
    </row>
    <row r="36">
      <c r="A36" s="51" t="n">
        <v>46122</v>
      </c>
      <c r="B36" s="16" t="inlineStr">
        <is>
          <t>CP04-Studio B</t>
        </is>
      </c>
      <c r="C36" s="16" t="inlineStr">
        <is>
          <t>Charges copropriété</t>
        </is>
      </c>
      <c r="D36" s="16" t="inlineStr">
        <is>
          <t>Studio B – Rabat</t>
        </is>
      </c>
      <c r="E36" s="16" t="inlineStr">
        <is>
          <t>614</t>
        </is>
      </c>
      <c r="F36" s="16" t="inlineStr">
        <is>
          <t>512</t>
        </is>
      </c>
      <c r="G36" s="52" t="n">
        <v>120</v>
      </c>
      <c r="H36" s="52" t="n">
        <v>0</v>
      </c>
      <c r="I36" s="53">
        <f>N(G36)+N(H36)</f>
        <v/>
      </c>
      <c r="J36" s="16" t="inlineStr">
        <is>
          <t>Syndic</t>
        </is>
      </c>
      <c r="K36" s="16" t="inlineStr">
        <is>
          <t>Prélèvement</t>
        </is>
      </c>
      <c r="L36" s="16" t="inlineStr">
        <is>
          <t>Copropriété</t>
        </is>
      </c>
      <c r="M36" s="16" t="inlineStr"/>
      <c r="N36" s="54">
        <f>IF(A36="","",EOMONTH(A36,-1)+1)</f>
        <v/>
      </c>
      <c r="O36" s="22">
        <f>IF(AND(N(A36)&gt;=N(01_Parametres!$B$11),N(A36)&lt;=N(01_Parametres!$B$12)),1,0)</f>
        <v/>
      </c>
      <c r="P36" s="74">
        <f>IF(E36="","",IFERROR(VLOOKUP(E36,02_Plan_Comptable!$A$5:$C$84,3,FALSE),""))</f>
        <v/>
      </c>
      <c r="Q36" s="74">
        <f>IF(F36="","",IFERROR(VLOOKUP(F36,02_Plan_Comptable!$A$5:$C$84,3,FALSE),""))</f>
        <v/>
      </c>
    </row>
    <row r="37">
      <c r="A37" s="51" t="n">
        <v>46140</v>
      </c>
      <c r="B37" s="16" t="inlineStr">
        <is>
          <t>GL04</t>
        </is>
      </c>
      <c r="C37" s="16" t="inlineStr">
        <is>
          <t>Frais gestion locative</t>
        </is>
      </c>
      <c r="D37" s="16" t="inlineStr"/>
      <c r="E37" s="16" t="inlineStr">
        <is>
          <t>6226</t>
        </is>
      </c>
      <c r="F37" s="16" t="inlineStr">
        <is>
          <t>512</t>
        </is>
      </c>
      <c r="G37" s="52" t="n">
        <v>150</v>
      </c>
      <c r="H37" s="52" t="n">
        <v>0</v>
      </c>
      <c r="I37" s="53">
        <f>N(G37)+N(H37)</f>
        <v/>
      </c>
      <c r="J37" s="16" t="inlineStr">
        <is>
          <t>Agence Gestion</t>
        </is>
      </c>
      <c r="K37" s="16" t="inlineStr">
        <is>
          <t>Prélèvement</t>
        </is>
      </c>
      <c r="L37" s="16" t="inlineStr">
        <is>
          <t>Gestion locative</t>
        </is>
      </c>
      <c r="M37" s="16" t="inlineStr"/>
      <c r="N37" s="54">
        <f>IF(A37="","",EOMONTH(A37,-1)+1)</f>
        <v/>
      </c>
      <c r="O37" s="22">
        <f>IF(AND(N(A37)&gt;=N(01_Parametres!$B$11),N(A37)&lt;=N(01_Parametres!$B$12)),1,0)</f>
        <v/>
      </c>
      <c r="P37" s="74">
        <f>IF(E37="","",IFERROR(VLOOKUP(E37,02_Plan_Comptable!$A$5:$C$84,3,FALSE),""))</f>
        <v/>
      </c>
      <c r="Q37" s="74">
        <f>IF(F37="","",IFERROR(VLOOKUP(F37,02_Plan_Comptable!$A$5:$C$84,3,FALSE),""))</f>
        <v/>
      </c>
    </row>
    <row r="38">
      <c r="A38" s="51" t="n">
        <v>46140</v>
      </c>
      <c r="B38" s="16" t="inlineStr">
        <is>
          <t>BF04</t>
        </is>
      </c>
      <c r="C38" s="16" t="inlineStr">
        <is>
          <t>Frais bancaires</t>
        </is>
      </c>
      <c r="D38" s="16" t="inlineStr"/>
      <c r="E38" s="16" t="inlineStr">
        <is>
          <t>627</t>
        </is>
      </c>
      <c r="F38" s="16" t="inlineStr">
        <is>
          <t>512</t>
        </is>
      </c>
      <c r="G38" s="52" t="n">
        <v>12</v>
      </c>
      <c r="H38" s="52" t="n">
        <v>0</v>
      </c>
      <c r="I38" s="53">
        <f>N(G38)+N(H38)</f>
        <v/>
      </c>
      <c r="J38" s="16" t="inlineStr">
        <is>
          <t>Banque</t>
        </is>
      </c>
      <c r="K38" s="16" t="inlineStr">
        <is>
          <t>Prélèvement</t>
        </is>
      </c>
      <c r="L38" s="16" t="inlineStr">
        <is>
          <t>Frais bancaires</t>
        </is>
      </c>
      <c r="M38" s="16" t="inlineStr"/>
      <c r="N38" s="54">
        <f>IF(A38="","",EOMONTH(A38,-1)+1)</f>
        <v/>
      </c>
      <c r="O38" s="22">
        <f>IF(AND(N(A38)&gt;=N(01_Parametres!$B$11),N(A38)&lt;=N(01_Parametres!$B$12)),1,0)</f>
        <v/>
      </c>
      <c r="P38" s="74">
        <f>IF(E38="","",IFERROR(VLOOKUP(E38,02_Plan_Comptable!$A$5:$C$84,3,FALSE),""))</f>
        <v/>
      </c>
      <c r="Q38" s="74">
        <f>IF(F38="","",IFERROR(VLOOKUP(F38,02_Plan_Comptable!$A$5:$C$84,3,FALSE),""))</f>
        <v/>
      </c>
    </row>
    <row r="39">
      <c r="A39" s="51" t="n">
        <v>46127</v>
      </c>
      <c r="B39" s="16" t="inlineStr">
        <is>
          <t>EM04-CAP</t>
        </is>
      </c>
      <c r="C39" s="16" t="inlineStr">
        <is>
          <t>Mensualité emprunt (capital)</t>
        </is>
      </c>
      <c r="D39" s="16" t="inlineStr"/>
      <c r="E39" s="16" t="inlineStr">
        <is>
          <t>164</t>
        </is>
      </c>
      <c r="F39" s="16" t="inlineStr">
        <is>
          <t>512</t>
        </is>
      </c>
      <c r="G39" s="52" t="n">
        <v>580.11</v>
      </c>
      <c r="H39" s="52" t="n">
        <v>0</v>
      </c>
      <c r="I39" s="53">
        <f>N(G39)+N(H39)</f>
        <v/>
      </c>
      <c r="J39" s="16" t="inlineStr">
        <is>
          <t>Banque</t>
        </is>
      </c>
      <c r="K39" s="16" t="inlineStr">
        <is>
          <t>Prélèvement</t>
        </is>
      </c>
      <c r="L39" s="16" t="inlineStr">
        <is>
          <t>Emprunt - capital</t>
        </is>
      </c>
      <c r="M39" s="16" t="inlineStr"/>
      <c r="N39" s="54">
        <f>IF(A39="","",EOMONTH(A39,-1)+1)</f>
        <v/>
      </c>
      <c r="O39" s="22">
        <f>IF(AND(N(A39)&gt;=N(01_Parametres!$B$11),N(A39)&lt;=N(01_Parametres!$B$12)),1,0)</f>
        <v/>
      </c>
      <c r="P39" s="74">
        <f>IF(E39="","",IFERROR(VLOOKUP(E39,02_Plan_Comptable!$A$5:$C$84,3,FALSE),""))</f>
        <v/>
      </c>
      <c r="Q39" s="74">
        <f>IF(F39="","",IFERROR(VLOOKUP(F39,02_Plan_Comptable!$A$5:$C$84,3,FALSE),""))</f>
        <v/>
      </c>
    </row>
    <row r="40">
      <c r="A40" s="51" t="n">
        <v>46127</v>
      </c>
      <c r="B40" s="16" t="inlineStr">
        <is>
          <t>EM04-INT</t>
        </is>
      </c>
      <c r="C40" s="16" t="inlineStr">
        <is>
          <t>Mensualité emprunt (intérêts)</t>
        </is>
      </c>
      <c r="D40" s="16" t="inlineStr"/>
      <c r="E40" s="16" t="inlineStr">
        <is>
          <t>661</t>
        </is>
      </c>
      <c r="F40" s="16" t="inlineStr">
        <is>
          <t>512</t>
        </is>
      </c>
      <c r="G40" s="52" t="n">
        <v>369.89</v>
      </c>
      <c r="H40" s="52" t="n">
        <v>0</v>
      </c>
      <c r="I40" s="53">
        <f>N(G40)+N(H40)</f>
        <v/>
      </c>
      <c r="J40" s="16" t="inlineStr">
        <is>
          <t>Banque</t>
        </is>
      </c>
      <c r="K40" s="16" t="inlineStr">
        <is>
          <t>Prélèvement</t>
        </is>
      </c>
      <c r="L40" s="16" t="inlineStr">
        <is>
          <t>Emprunt - intérêts</t>
        </is>
      </c>
      <c r="M40" s="16" t="inlineStr"/>
      <c r="N40" s="54">
        <f>IF(A40="","",EOMONTH(A40,-1)+1)</f>
        <v/>
      </c>
      <c r="O40" s="22">
        <f>IF(AND(N(A40)&gt;=N(01_Parametres!$B$11),N(A40)&lt;=N(01_Parametres!$B$12)),1,0)</f>
        <v/>
      </c>
      <c r="P40" s="74">
        <f>IF(E40="","",IFERROR(VLOOKUP(E40,02_Plan_Comptable!$A$5:$C$84,3,FALSE),""))</f>
        <v/>
      </c>
      <c r="Q40" s="74">
        <f>IF(F40="","",IFERROR(VLOOKUP(F40,02_Plan_Comptable!$A$5:$C$84,3,FALSE),""))</f>
        <v/>
      </c>
    </row>
    <row r="41">
      <c r="A41" s="51" t="n">
        <v>46147</v>
      </c>
      <c r="B41" s="16" t="inlineStr">
        <is>
          <t>LOY05-1100</t>
        </is>
      </c>
      <c r="C41" s="16" t="inlineStr">
        <is>
          <t>Encaissement loyer</t>
        </is>
      </c>
      <c r="D41" s="16" t="inlineStr">
        <is>
          <t>Appartement A – Casablanca</t>
        </is>
      </c>
      <c r="E41" s="16" t="inlineStr">
        <is>
          <t>512</t>
        </is>
      </c>
      <c r="F41" s="16" t="inlineStr">
        <is>
          <t>706</t>
        </is>
      </c>
      <c r="G41" s="52" t="n">
        <v>1100</v>
      </c>
      <c r="H41" s="52" t="n">
        <v>0</v>
      </c>
      <c r="I41" s="53">
        <f>N(G41)+N(H41)</f>
        <v/>
      </c>
      <c r="J41" s="16" t="inlineStr">
        <is>
          <t>M. Karim El Amrani</t>
        </is>
      </c>
      <c r="K41" s="16" t="inlineStr">
        <is>
          <t>Virement</t>
        </is>
      </c>
      <c r="L41" s="16" t="inlineStr">
        <is>
          <t>Loyer</t>
        </is>
      </c>
      <c r="M41" s="16" t="inlineStr"/>
      <c r="N41" s="54">
        <f>IF(A41="","",EOMONTH(A41,-1)+1)</f>
        <v/>
      </c>
      <c r="O41" s="22">
        <f>IF(AND(N(A41)&gt;=N(01_Parametres!$B$11),N(A41)&lt;=N(01_Parametres!$B$12)),1,0)</f>
        <v/>
      </c>
      <c r="P41" s="74">
        <f>IF(E41="","",IFERROR(VLOOKUP(E41,02_Plan_Comptable!$A$5:$C$84,3,FALSE),""))</f>
        <v/>
      </c>
      <c r="Q41" s="74">
        <f>IF(F41="","",IFERROR(VLOOKUP(F41,02_Plan_Comptable!$A$5:$C$84,3,FALSE),""))</f>
        <v/>
      </c>
    </row>
    <row r="42">
      <c r="A42" s="51" t="n">
        <v>46147</v>
      </c>
      <c r="B42" s="16" t="inlineStr">
        <is>
          <t>LOY05-750</t>
        </is>
      </c>
      <c r="C42" s="16" t="inlineStr">
        <is>
          <t>Encaissement loyer</t>
        </is>
      </c>
      <c r="D42" s="16" t="inlineStr">
        <is>
          <t>Studio B – Rabat</t>
        </is>
      </c>
      <c r="E42" s="16" t="inlineStr">
        <is>
          <t>512</t>
        </is>
      </c>
      <c r="F42" s="16" t="inlineStr">
        <is>
          <t>706</t>
        </is>
      </c>
      <c r="G42" s="52" t="n">
        <v>750</v>
      </c>
      <c r="H42" s="52" t="n">
        <v>0</v>
      </c>
      <c r="I42" s="53">
        <f>N(G42)+N(H42)</f>
        <v/>
      </c>
      <c r="J42" s="16" t="inlineStr">
        <is>
          <t>Mme Sofia Benali</t>
        </is>
      </c>
      <c r="K42" s="16" t="inlineStr">
        <is>
          <t>Virement</t>
        </is>
      </c>
      <c r="L42" s="16" t="inlineStr">
        <is>
          <t>Loyer</t>
        </is>
      </c>
      <c r="M42" s="16" t="inlineStr"/>
      <c r="N42" s="54">
        <f>IF(A42="","",EOMONTH(A42,-1)+1)</f>
        <v/>
      </c>
      <c r="O42" s="22">
        <f>IF(AND(N(A42)&gt;=N(01_Parametres!$B$11),N(A42)&lt;=N(01_Parametres!$B$12)),1,0)</f>
        <v/>
      </c>
      <c r="P42" s="74">
        <f>IF(E42="","",IFERROR(VLOOKUP(E42,02_Plan_Comptable!$A$5:$C$84,3,FALSE),""))</f>
        <v/>
      </c>
      <c r="Q42" s="74">
        <f>IF(F42="","",IFERROR(VLOOKUP(F42,02_Plan_Comptable!$A$5:$C$84,3,FALSE),""))</f>
        <v/>
      </c>
    </row>
    <row r="43">
      <c r="A43" s="51" t="n">
        <v>46152</v>
      </c>
      <c r="B43" s="16" t="inlineStr">
        <is>
          <t>CP05-Appartement A</t>
        </is>
      </c>
      <c r="C43" s="16" t="inlineStr">
        <is>
          <t>Charges copropriété</t>
        </is>
      </c>
      <c r="D43" s="16" t="inlineStr">
        <is>
          <t>Appartement A – Casablanca</t>
        </is>
      </c>
      <c r="E43" s="16" t="inlineStr">
        <is>
          <t>614</t>
        </is>
      </c>
      <c r="F43" s="16" t="inlineStr">
        <is>
          <t>512</t>
        </is>
      </c>
      <c r="G43" s="52" t="n">
        <v>180</v>
      </c>
      <c r="H43" s="52" t="n">
        <v>0</v>
      </c>
      <c r="I43" s="53">
        <f>N(G43)+N(H43)</f>
        <v/>
      </c>
      <c r="J43" s="16" t="inlineStr">
        <is>
          <t>Syndic</t>
        </is>
      </c>
      <c r="K43" s="16" t="inlineStr">
        <is>
          <t>Prélèvement</t>
        </is>
      </c>
      <c r="L43" s="16" t="inlineStr">
        <is>
          <t>Copropriété</t>
        </is>
      </c>
      <c r="M43" s="16" t="inlineStr"/>
      <c r="N43" s="54">
        <f>IF(A43="","",EOMONTH(A43,-1)+1)</f>
        <v/>
      </c>
      <c r="O43" s="22">
        <f>IF(AND(N(A43)&gt;=N(01_Parametres!$B$11),N(A43)&lt;=N(01_Parametres!$B$12)),1,0)</f>
        <v/>
      </c>
      <c r="P43" s="74">
        <f>IF(E43="","",IFERROR(VLOOKUP(E43,02_Plan_Comptable!$A$5:$C$84,3,FALSE),""))</f>
        <v/>
      </c>
      <c r="Q43" s="74">
        <f>IF(F43="","",IFERROR(VLOOKUP(F43,02_Plan_Comptable!$A$5:$C$84,3,FALSE),""))</f>
        <v/>
      </c>
    </row>
    <row r="44">
      <c r="A44" s="51" t="n">
        <v>46152</v>
      </c>
      <c r="B44" s="16" t="inlineStr">
        <is>
          <t>CP05-Studio B</t>
        </is>
      </c>
      <c r="C44" s="16" t="inlineStr">
        <is>
          <t>Charges copropriété</t>
        </is>
      </c>
      <c r="D44" s="16" t="inlineStr">
        <is>
          <t>Studio B – Rabat</t>
        </is>
      </c>
      <c r="E44" s="16" t="inlineStr">
        <is>
          <t>614</t>
        </is>
      </c>
      <c r="F44" s="16" t="inlineStr">
        <is>
          <t>512</t>
        </is>
      </c>
      <c r="G44" s="52" t="n">
        <v>120</v>
      </c>
      <c r="H44" s="52" t="n">
        <v>0</v>
      </c>
      <c r="I44" s="53">
        <f>N(G44)+N(H44)</f>
        <v/>
      </c>
      <c r="J44" s="16" t="inlineStr">
        <is>
          <t>Syndic</t>
        </is>
      </c>
      <c r="K44" s="16" t="inlineStr">
        <is>
          <t>Prélèvement</t>
        </is>
      </c>
      <c r="L44" s="16" t="inlineStr">
        <is>
          <t>Copropriété</t>
        </is>
      </c>
      <c r="M44" s="16" t="inlineStr"/>
      <c r="N44" s="54">
        <f>IF(A44="","",EOMONTH(A44,-1)+1)</f>
        <v/>
      </c>
      <c r="O44" s="22">
        <f>IF(AND(N(A44)&gt;=N(01_Parametres!$B$11),N(A44)&lt;=N(01_Parametres!$B$12)),1,0)</f>
        <v/>
      </c>
      <c r="P44" s="74">
        <f>IF(E44="","",IFERROR(VLOOKUP(E44,02_Plan_Comptable!$A$5:$C$84,3,FALSE),""))</f>
        <v/>
      </c>
      <c r="Q44" s="74">
        <f>IF(F44="","",IFERROR(VLOOKUP(F44,02_Plan_Comptable!$A$5:$C$84,3,FALSE),""))</f>
        <v/>
      </c>
    </row>
    <row r="45">
      <c r="A45" s="51" t="n">
        <v>46170</v>
      </c>
      <c r="B45" s="16" t="inlineStr">
        <is>
          <t>GL05</t>
        </is>
      </c>
      <c r="C45" s="16" t="inlineStr">
        <is>
          <t>Frais gestion locative</t>
        </is>
      </c>
      <c r="D45" s="16" t="inlineStr"/>
      <c r="E45" s="16" t="inlineStr">
        <is>
          <t>6226</t>
        </is>
      </c>
      <c r="F45" s="16" t="inlineStr">
        <is>
          <t>512</t>
        </is>
      </c>
      <c r="G45" s="52" t="n">
        <v>150</v>
      </c>
      <c r="H45" s="52" t="n">
        <v>0</v>
      </c>
      <c r="I45" s="53">
        <f>N(G45)+N(H45)</f>
        <v/>
      </c>
      <c r="J45" s="16" t="inlineStr">
        <is>
          <t>Agence Gestion</t>
        </is>
      </c>
      <c r="K45" s="16" t="inlineStr">
        <is>
          <t>Prélèvement</t>
        </is>
      </c>
      <c r="L45" s="16" t="inlineStr">
        <is>
          <t>Gestion locative</t>
        </is>
      </c>
      <c r="M45" s="16" t="inlineStr"/>
      <c r="N45" s="54">
        <f>IF(A45="","",EOMONTH(A45,-1)+1)</f>
        <v/>
      </c>
      <c r="O45" s="22">
        <f>IF(AND(N(A45)&gt;=N(01_Parametres!$B$11),N(A45)&lt;=N(01_Parametres!$B$12)),1,0)</f>
        <v/>
      </c>
      <c r="P45" s="74">
        <f>IF(E45="","",IFERROR(VLOOKUP(E45,02_Plan_Comptable!$A$5:$C$84,3,FALSE),""))</f>
        <v/>
      </c>
      <c r="Q45" s="74">
        <f>IF(F45="","",IFERROR(VLOOKUP(F45,02_Plan_Comptable!$A$5:$C$84,3,FALSE),""))</f>
        <v/>
      </c>
    </row>
    <row r="46">
      <c r="A46" s="51" t="n">
        <v>46170</v>
      </c>
      <c r="B46" s="16" t="inlineStr">
        <is>
          <t>BF05</t>
        </is>
      </c>
      <c r="C46" s="16" t="inlineStr">
        <is>
          <t>Frais bancaires</t>
        </is>
      </c>
      <c r="D46" s="16" t="inlineStr"/>
      <c r="E46" s="16" t="inlineStr">
        <is>
          <t>627</t>
        </is>
      </c>
      <c r="F46" s="16" t="inlineStr">
        <is>
          <t>512</t>
        </is>
      </c>
      <c r="G46" s="52" t="n">
        <v>12</v>
      </c>
      <c r="H46" s="52" t="n">
        <v>0</v>
      </c>
      <c r="I46" s="53">
        <f>N(G46)+N(H46)</f>
        <v/>
      </c>
      <c r="J46" s="16" t="inlineStr">
        <is>
          <t>Banque</t>
        </is>
      </c>
      <c r="K46" s="16" t="inlineStr">
        <is>
          <t>Prélèvement</t>
        </is>
      </c>
      <c r="L46" s="16" t="inlineStr">
        <is>
          <t>Frais bancaires</t>
        </is>
      </c>
      <c r="M46" s="16" t="inlineStr"/>
      <c r="N46" s="54">
        <f>IF(A46="","",EOMONTH(A46,-1)+1)</f>
        <v/>
      </c>
      <c r="O46" s="22">
        <f>IF(AND(N(A46)&gt;=N(01_Parametres!$B$11),N(A46)&lt;=N(01_Parametres!$B$12)),1,0)</f>
        <v/>
      </c>
      <c r="P46" s="74">
        <f>IF(E46="","",IFERROR(VLOOKUP(E46,02_Plan_Comptable!$A$5:$C$84,3,FALSE),""))</f>
        <v/>
      </c>
      <c r="Q46" s="74">
        <f>IF(F46="","",IFERROR(VLOOKUP(F46,02_Plan_Comptable!$A$5:$C$84,3,FALSE),""))</f>
        <v/>
      </c>
    </row>
    <row r="47">
      <c r="A47" s="51" t="n">
        <v>46157</v>
      </c>
      <c r="B47" s="16" t="inlineStr">
        <is>
          <t>EM05-CAP</t>
        </is>
      </c>
      <c r="C47" s="16" t="inlineStr">
        <is>
          <t>Mensualité emprunt (capital)</t>
        </is>
      </c>
      <c r="D47" s="16" t="inlineStr"/>
      <c r="E47" s="16" t="inlineStr">
        <is>
          <t>164</t>
        </is>
      </c>
      <c r="F47" s="16" t="inlineStr">
        <is>
          <t>512</t>
        </is>
      </c>
      <c r="G47" s="52" t="n">
        <v>581.3200000000001</v>
      </c>
      <c r="H47" s="52" t="n">
        <v>0</v>
      </c>
      <c r="I47" s="53">
        <f>N(G47)+N(H47)</f>
        <v/>
      </c>
      <c r="J47" s="16" t="inlineStr">
        <is>
          <t>Banque</t>
        </is>
      </c>
      <c r="K47" s="16" t="inlineStr">
        <is>
          <t>Prélèvement</t>
        </is>
      </c>
      <c r="L47" s="16" t="inlineStr">
        <is>
          <t>Emprunt - capital</t>
        </is>
      </c>
      <c r="M47" s="16" t="inlineStr"/>
      <c r="N47" s="54">
        <f>IF(A47="","",EOMONTH(A47,-1)+1)</f>
        <v/>
      </c>
      <c r="O47" s="22">
        <f>IF(AND(N(A47)&gt;=N(01_Parametres!$B$11),N(A47)&lt;=N(01_Parametres!$B$12)),1,0)</f>
        <v/>
      </c>
      <c r="P47" s="74">
        <f>IF(E47="","",IFERROR(VLOOKUP(E47,02_Plan_Comptable!$A$5:$C$84,3,FALSE),""))</f>
        <v/>
      </c>
      <c r="Q47" s="74">
        <f>IF(F47="","",IFERROR(VLOOKUP(F47,02_Plan_Comptable!$A$5:$C$84,3,FALSE),""))</f>
        <v/>
      </c>
    </row>
    <row r="48">
      <c r="A48" s="51" t="n">
        <v>46157</v>
      </c>
      <c r="B48" s="16" t="inlineStr">
        <is>
          <t>EM05-INT</t>
        </is>
      </c>
      <c r="C48" s="16" t="inlineStr">
        <is>
          <t>Mensualité emprunt (intérêts)</t>
        </is>
      </c>
      <c r="D48" s="16" t="inlineStr"/>
      <c r="E48" s="16" t="inlineStr">
        <is>
          <t>661</t>
        </is>
      </c>
      <c r="F48" s="16" t="inlineStr">
        <is>
          <t>512</t>
        </is>
      </c>
      <c r="G48" s="52" t="n">
        <v>368.68</v>
      </c>
      <c r="H48" s="52" t="n">
        <v>0</v>
      </c>
      <c r="I48" s="53">
        <f>N(G48)+N(H48)</f>
        <v/>
      </c>
      <c r="J48" s="16" t="inlineStr">
        <is>
          <t>Banque</t>
        </is>
      </c>
      <c r="K48" s="16" t="inlineStr">
        <is>
          <t>Prélèvement</t>
        </is>
      </c>
      <c r="L48" s="16" t="inlineStr">
        <is>
          <t>Emprunt - intérêts</t>
        </is>
      </c>
      <c r="M48" s="16" t="inlineStr"/>
      <c r="N48" s="54">
        <f>IF(A48="","",EOMONTH(A48,-1)+1)</f>
        <v/>
      </c>
      <c r="O48" s="22">
        <f>IF(AND(N(A48)&gt;=N(01_Parametres!$B$11),N(A48)&lt;=N(01_Parametres!$B$12)),1,0)</f>
        <v/>
      </c>
      <c r="P48" s="74">
        <f>IF(E48="","",IFERROR(VLOOKUP(E48,02_Plan_Comptable!$A$5:$C$84,3,FALSE),""))</f>
        <v/>
      </c>
      <c r="Q48" s="74">
        <f>IF(F48="","",IFERROR(VLOOKUP(F48,02_Plan_Comptable!$A$5:$C$84,3,FALSE),""))</f>
        <v/>
      </c>
    </row>
    <row r="49">
      <c r="A49" s="51" t="n">
        <v>46178</v>
      </c>
      <c r="B49" s="16" t="inlineStr">
        <is>
          <t>LOY06-1100</t>
        </is>
      </c>
      <c r="C49" s="16" t="inlineStr">
        <is>
          <t>Encaissement loyer</t>
        </is>
      </c>
      <c r="D49" s="16" t="inlineStr">
        <is>
          <t>Appartement A – Casablanca</t>
        </is>
      </c>
      <c r="E49" s="16" t="inlineStr">
        <is>
          <t>512</t>
        </is>
      </c>
      <c r="F49" s="16" t="inlineStr">
        <is>
          <t>706</t>
        </is>
      </c>
      <c r="G49" s="52" t="n">
        <v>1100</v>
      </c>
      <c r="H49" s="52" t="n">
        <v>0</v>
      </c>
      <c r="I49" s="53">
        <f>N(G49)+N(H49)</f>
        <v/>
      </c>
      <c r="J49" s="16" t="inlineStr">
        <is>
          <t>M. Karim El Amrani</t>
        </is>
      </c>
      <c r="K49" s="16" t="inlineStr">
        <is>
          <t>Virement</t>
        </is>
      </c>
      <c r="L49" s="16" t="inlineStr">
        <is>
          <t>Loyer</t>
        </is>
      </c>
      <c r="M49" s="16" t="inlineStr"/>
      <c r="N49" s="54">
        <f>IF(A49="","",EOMONTH(A49,-1)+1)</f>
        <v/>
      </c>
      <c r="O49" s="22">
        <f>IF(AND(N(A49)&gt;=N(01_Parametres!$B$11),N(A49)&lt;=N(01_Parametres!$B$12)),1,0)</f>
        <v/>
      </c>
      <c r="P49" s="74">
        <f>IF(E49="","",IFERROR(VLOOKUP(E49,02_Plan_Comptable!$A$5:$C$84,3,FALSE),""))</f>
        <v/>
      </c>
      <c r="Q49" s="74">
        <f>IF(F49="","",IFERROR(VLOOKUP(F49,02_Plan_Comptable!$A$5:$C$84,3,FALSE),""))</f>
        <v/>
      </c>
    </row>
    <row r="50">
      <c r="A50" s="51" t="n">
        <v>46178</v>
      </c>
      <c r="B50" s="16" t="inlineStr">
        <is>
          <t>LOY06-750</t>
        </is>
      </c>
      <c r="C50" s="16" t="inlineStr">
        <is>
          <t>Encaissement loyer</t>
        </is>
      </c>
      <c r="D50" s="16" t="inlineStr">
        <is>
          <t>Studio B – Rabat</t>
        </is>
      </c>
      <c r="E50" s="16" t="inlineStr">
        <is>
          <t>512</t>
        </is>
      </c>
      <c r="F50" s="16" t="inlineStr">
        <is>
          <t>706</t>
        </is>
      </c>
      <c r="G50" s="52" t="n">
        <v>750</v>
      </c>
      <c r="H50" s="52" t="n">
        <v>0</v>
      </c>
      <c r="I50" s="53">
        <f>N(G50)+N(H50)</f>
        <v/>
      </c>
      <c r="J50" s="16" t="inlineStr">
        <is>
          <t>Mme Sofia Benali</t>
        </is>
      </c>
      <c r="K50" s="16" t="inlineStr">
        <is>
          <t>Virement</t>
        </is>
      </c>
      <c r="L50" s="16" t="inlineStr">
        <is>
          <t>Loyer</t>
        </is>
      </c>
      <c r="M50" s="16" t="inlineStr"/>
      <c r="N50" s="54">
        <f>IF(A50="","",EOMONTH(A50,-1)+1)</f>
        <v/>
      </c>
      <c r="O50" s="22">
        <f>IF(AND(N(A50)&gt;=N(01_Parametres!$B$11),N(A50)&lt;=N(01_Parametres!$B$12)),1,0)</f>
        <v/>
      </c>
      <c r="P50" s="74">
        <f>IF(E50="","",IFERROR(VLOOKUP(E50,02_Plan_Comptable!$A$5:$C$84,3,FALSE),""))</f>
        <v/>
      </c>
      <c r="Q50" s="74">
        <f>IF(F50="","",IFERROR(VLOOKUP(F50,02_Plan_Comptable!$A$5:$C$84,3,FALSE),""))</f>
        <v/>
      </c>
    </row>
    <row r="51">
      <c r="A51" s="51" t="n">
        <v>46183</v>
      </c>
      <c r="B51" s="16" t="inlineStr">
        <is>
          <t>CP06-Appartement A</t>
        </is>
      </c>
      <c r="C51" s="16" t="inlineStr">
        <is>
          <t>Charges copropriété</t>
        </is>
      </c>
      <c r="D51" s="16" t="inlineStr">
        <is>
          <t>Appartement A – Casablanca</t>
        </is>
      </c>
      <c r="E51" s="16" t="inlineStr">
        <is>
          <t>614</t>
        </is>
      </c>
      <c r="F51" s="16" t="inlineStr">
        <is>
          <t>512</t>
        </is>
      </c>
      <c r="G51" s="52" t="n">
        <v>180</v>
      </c>
      <c r="H51" s="52" t="n">
        <v>0</v>
      </c>
      <c r="I51" s="53">
        <f>N(G51)+N(H51)</f>
        <v/>
      </c>
      <c r="J51" s="16" t="inlineStr">
        <is>
          <t>Syndic</t>
        </is>
      </c>
      <c r="K51" s="16" t="inlineStr">
        <is>
          <t>Prélèvement</t>
        </is>
      </c>
      <c r="L51" s="16" t="inlineStr">
        <is>
          <t>Copropriété</t>
        </is>
      </c>
      <c r="M51" s="16" t="inlineStr"/>
      <c r="N51" s="54">
        <f>IF(A51="","",EOMONTH(A51,-1)+1)</f>
        <v/>
      </c>
      <c r="O51" s="22">
        <f>IF(AND(N(A51)&gt;=N(01_Parametres!$B$11),N(A51)&lt;=N(01_Parametres!$B$12)),1,0)</f>
        <v/>
      </c>
      <c r="P51" s="74">
        <f>IF(E51="","",IFERROR(VLOOKUP(E51,02_Plan_Comptable!$A$5:$C$84,3,FALSE),""))</f>
        <v/>
      </c>
      <c r="Q51" s="74">
        <f>IF(F51="","",IFERROR(VLOOKUP(F51,02_Plan_Comptable!$A$5:$C$84,3,FALSE),""))</f>
        <v/>
      </c>
    </row>
    <row r="52">
      <c r="A52" s="51" t="n">
        <v>46183</v>
      </c>
      <c r="B52" s="16" t="inlineStr">
        <is>
          <t>CP06-Studio B</t>
        </is>
      </c>
      <c r="C52" s="16" t="inlineStr">
        <is>
          <t>Charges copropriété</t>
        </is>
      </c>
      <c r="D52" s="16" t="inlineStr">
        <is>
          <t>Studio B – Rabat</t>
        </is>
      </c>
      <c r="E52" s="16" t="inlineStr">
        <is>
          <t>614</t>
        </is>
      </c>
      <c r="F52" s="16" t="inlineStr">
        <is>
          <t>512</t>
        </is>
      </c>
      <c r="G52" s="52" t="n">
        <v>120</v>
      </c>
      <c r="H52" s="52" t="n">
        <v>0</v>
      </c>
      <c r="I52" s="53">
        <f>N(G52)+N(H52)</f>
        <v/>
      </c>
      <c r="J52" s="16" t="inlineStr">
        <is>
          <t>Syndic</t>
        </is>
      </c>
      <c r="K52" s="16" t="inlineStr">
        <is>
          <t>Prélèvement</t>
        </is>
      </c>
      <c r="L52" s="16" t="inlineStr">
        <is>
          <t>Copropriété</t>
        </is>
      </c>
      <c r="M52" s="16" t="inlineStr"/>
      <c r="N52" s="54">
        <f>IF(A52="","",EOMONTH(A52,-1)+1)</f>
        <v/>
      </c>
      <c r="O52" s="22">
        <f>IF(AND(N(A52)&gt;=N(01_Parametres!$B$11),N(A52)&lt;=N(01_Parametres!$B$12)),1,0)</f>
        <v/>
      </c>
      <c r="P52" s="74">
        <f>IF(E52="","",IFERROR(VLOOKUP(E52,02_Plan_Comptable!$A$5:$C$84,3,FALSE),""))</f>
        <v/>
      </c>
      <c r="Q52" s="74">
        <f>IF(F52="","",IFERROR(VLOOKUP(F52,02_Plan_Comptable!$A$5:$C$84,3,FALSE),""))</f>
        <v/>
      </c>
    </row>
    <row r="53">
      <c r="A53" s="51" t="n">
        <v>46201</v>
      </c>
      <c r="B53" s="16" t="inlineStr">
        <is>
          <t>GL06</t>
        </is>
      </c>
      <c r="C53" s="16" t="inlineStr">
        <is>
          <t>Frais gestion locative</t>
        </is>
      </c>
      <c r="D53" s="16" t="inlineStr"/>
      <c r="E53" s="16" t="inlineStr">
        <is>
          <t>6226</t>
        </is>
      </c>
      <c r="F53" s="16" t="inlineStr">
        <is>
          <t>512</t>
        </is>
      </c>
      <c r="G53" s="52" t="n">
        <v>150</v>
      </c>
      <c r="H53" s="52" t="n">
        <v>0</v>
      </c>
      <c r="I53" s="53">
        <f>N(G53)+N(H53)</f>
        <v/>
      </c>
      <c r="J53" s="16" t="inlineStr">
        <is>
          <t>Agence Gestion</t>
        </is>
      </c>
      <c r="K53" s="16" t="inlineStr">
        <is>
          <t>Prélèvement</t>
        </is>
      </c>
      <c r="L53" s="16" t="inlineStr">
        <is>
          <t>Gestion locative</t>
        </is>
      </c>
      <c r="M53" s="16" t="inlineStr"/>
      <c r="N53" s="54">
        <f>IF(A53="","",EOMONTH(A53,-1)+1)</f>
        <v/>
      </c>
      <c r="O53" s="22">
        <f>IF(AND(N(A53)&gt;=N(01_Parametres!$B$11),N(A53)&lt;=N(01_Parametres!$B$12)),1,0)</f>
        <v/>
      </c>
      <c r="P53" s="74">
        <f>IF(E53="","",IFERROR(VLOOKUP(E53,02_Plan_Comptable!$A$5:$C$84,3,FALSE),""))</f>
        <v/>
      </c>
      <c r="Q53" s="74">
        <f>IF(F53="","",IFERROR(VLOOKUP(F53,02_Plan_Comptable!$A$5:$C$84,3,FALSE),""))</f>
        <v/>
      </c>
    </row>
    <row r="54">
      <c r="A54" s="51" t="n">
        <v>46201</v>
      </c>
      <c r="B54" s="16" t="inlineStr">
        <is>
          <t>BF06</t>
        </is>
      </c>
      <c r="C54" s="16" t="inlineStr">
        <is>
          <t>Frais bancaires</t>
        </is>
      </c>
      <c r="D54" s="16" t="inlineStr"/>
      <c r="E54" s="16" t="inlineStr">
        <is>
          <t>627</t>
        </is>
      </c>
      <c r="F54" s="16" t="inlineStr">
        <is>
          <t>512</t>
        </is>
      </c>
      <c r="G54" s="52" t="n">
        <v>12</v>
      </c>
      <c r="H54" s="52" t="n">
        <v>0</v>
      </c>
      <c r="I54" s="53">
        <f>N(G54)+N(H54)</f>
        <v/>
      </c>
      <c r="J54" s="16" t="inlineStr">
        <is>
          <t>Banque</t>
        </is>
      </c>
      <c r="K54" s="16" t="inlineStr">
        <is>
          <t>Prélèvement</t>
        </is>
      </c>
      <c r="L54" s="16" t="inlineStr">
        <is>
          <t>Frais bancaires</t>
        </is>
      </c>
      <c r="M54" s="16" t="inlineStr"/>
      <c r="N54" s="54">
        <f>IF(A54="","",EOMONTH(A54,-1)+1)</f>
        <v/>
      </c>
      <c r="O54" s="22">
        <f>IF(AND(N(A54)&gt;=N(01_Parametres!$B$11),N(A54)&lt;=N(01_Parametres!$B$12)),1,0)</f>
        <v/>
      </c>
      <c r="P54" s="74">
        <f>IF(E54="","",IFERROR(VLOOKUP(E54,02_Plan_Comptable!$A$5:$C$84,3,FALSE),""))</f>
        <v/>
      </c>
      <c r="Q54" s="74">
        <f>IF(F54="","",IFERROR(VLOOKUP(F54,02_Plan_Comptable!$A$5:$C$84,3,FALSE),""))</f>
        <v/>
      </c>
    </row>
    <row r="55">
      <c r="A55" s="51" t="n">
        <v>46188</v>
      </c>
      <c r="B55" s="16" t="inlineStr">
        <is>
          <t>EM06-CAP</t>
        </is>
      </c>
      <c r="C55" s="16" t="inlineStr">
        <is>
          <t>Mensualité emprunt (capital)</t>
        </is>
      </c>
      <c r="D55" s="16" t="inlineStr"/>
      <c r="E55" s="16" t="inlineStr">
        <is>
          <t>164</t>
        </is>
      </c>
      <c r="F55" s="16" t="inlineStr">
        <is>
          <t>512</t>
        </is>
      </c>
      <c r="G55" s="52" t="n">
        <v>582.53</v>
      </c>
      <c r="H55" s="52" t="n">
        <v>0</v>
      </c>
      <c r="I55" s="53">
        <f>N(G55)+N(H55)</f>
        <v/>
      </c>
      <c r="J55" s="16" t="inlineStr">
        <is>
          <t>Banque</t>
        </is>
      </c>
      <c r="K55" s="16" t="inlineStr">
        <is>
          <t>Prélèvement</t>
        </is>
      </c>
      <c r="L55" s="16" t="inlineStr">
        <is>
          <t>Emprunt - capital</t>
        </is>
      </c>
      <c r="M55" s="16" t="inlineStr"/>
      <c r="N55" s="54">
        <f>IF(A55="","",EOMONTH(A55,-1)+1)</f>
        <v/>
      </c>
      <c r="O55" s="22">
        <f>IF(AND(N(A55)&gt;=N(01_Parametres!$B$11),N(A55)&lt;=N(01_Parametres!$B$12)),1,0)</f>
        <v/>
      </c>
      <c r="P55" s="74">
        <f>IF(E55="","",IFERROR(VLOOKUP(E55,02_Plan_Comptable!$A$5:$C$84,3,FALSE),""))</f>
        <v/>
      </c>
      <c r="Q55" s="74">
        <f>IF(F55="","",IFERROR(VLOOKUP(F55,02_Plan_Comptable!$A$5:$C$84,3,FALSE),""))</f>
        <v/>
      </c>
    </row>
    <row r="56">
      <c r="A56" s="51" t="n">
        <v>46188</v>
      </c>
      <c r="B56" s="16" t="inlineStr">
        <is>
          <t>EM06-INT</t>
        </is>
      </c>
      <c r="C56" s="16" t="inlineStr">
        <is>
          <t>Mensualité emprunt (intérêts)</t>
        </is>
      </c>
      <c r="D56" s="16" t="inlineStr"/>
      <c r="E56" s="16" t="inlineStr">
        <is>
          <t>661</t>
        </is>
      </c>
      <c r="F56" s="16" t="inlineStr">
        <is>
          <t>512</t>
        </is>
      </c>
      <c r="G56" s="52" t="n">
        <v>367.47</v>
      </c>
      <c r="H56" s="52" t="n">
        <v>0</v>
      </c>
      <c r="I56" s="53">
        <f>N(G56)+N(H56)</f>
        <v/>
      </c>
      <c r="J56" s="16" t="inlineStr">
        <is>
          <t>Banque</t>
        </is>
      </c>
      <c r="K56" s="16" t="inlineStr">
        <is>
          <t>Prélèvement</t>
        </is>
      </c>
      <c r="L56" s="16" t="inlineStr">
        <is>
          <t>Emprunt - intérêts</t>
        </is>
      </c>
      <c r="M56" s="16" t="inlineStr"/>
      <c r="N56" s="54">
        <f>IF(A56="","",EOMONTH(A56,-1)+1)</f>
        <v/>
      </c>
      <c r="O56" s="22">
        <f>IF(AND(N(A56)&gt;=N(01_Parametres!$B$11),N(A56)&lt;=N(01_Parametres!$B$12)),1,0)</f>
        <v/>
      </c>
      <c r="P56" s="74">
        <f>IF(E56="","",IFERROR(VLOOKUP(E56,02_Plan_Comptable!$A$5:$C$84,3,FALSE),""))</f>
        <v/>
      </c>
      <c r="Q56" s="74">
        <f>IF(F56="","",IFERROR(VLOOKUP(F56,02_Plan_Comptable!$A$5:$C$84,3,FALSE),""))</f>
        <v/>
      </c>
    </row>
    <row r="57">
      <c r="A57" s="51" t="n">
        <v>46208</v>
      </c>
      <c r="B57" s="16" t="inlineStr">
        <is>
          <t>LOY07-1100</t>
        </is>
      </c>
      <c r="C57" s="16" t="inlineStr">
        <is>
          <t>Encaissement loyer</t>
        </is>
      </c>
      <c r="D57" s="16" t="inlineStr">
        <is>
          <t>Appartement A – Casablanca</t>
        </is>
      </c>
      <c r="E57" s="16" t="inlineStr">
        <is>
          <t>512</t>
        </is>
      </c>
      <c r="F57" s="16" t="inlineStr">
        <is>
          <t>706</t>
        </is>
      </c>
      <c r="G57" s="52" t="n">
        <v>1100</v>
      </c>
      <c r="H57" s="52" t="n">
        <v>0</v>
      </c>
      <c r="I57" s="53">
        <f>N(G57)+N(H57)</f>
        <v/>
      </c>
      <c r="J57" s="16" t="inlineStr">
        <is>
          <t>M. Karim El Amrani</t>
        </is>
      </c>
      <c r="K57" s="16" t="inlineStr">
        <is>
          <t>Virement</t>
        </is>
      </c>
      <c r="L57" s="16" t="inlineStr">
        <is>
          <t>Loyer</t>
        </is>
      </c>
      <c r="M57" s="16" t="inlineStr"/>
      <c r="N57" s="54">
        <f>IF(A57="","",EOMONTH(A57,-1)+1)</f>
        <v/>
      </c>
      <c r="O57" s="22">
        <f>IF(AND(N(A57)&gt;=N(01_Parametres!$B$11),N(A57)&lt;=N(01_Parametres!$B$12)),1,0)</f>
        <v/>
      </c>
      <c r="P57" s="74">
        <f>IF(E57="","",IFERROR(VLOOKUP(E57,02_Plan_Comptable!$A$5:$C$84,3,FALSE),""))</f>
        <v/>
      </c>
      <c r="Q57" s="74">
        <f>IF(F57="","",IFERROR(VLOOKUP(F57,02_Plan_Comptable!$A$5:$C$84,3,FALSE),""))</f>
        <v/>
      </c>
    </row>
    <row r="58">
      <c r="A58" s="51" t="n">
        <v>46208</v>
      </c>
      <c r="B58" s="16" t="inlineStr">
        <is>
          <t>LOY07-750</t>
        </is>
      </c>
      <c r="C58" s="16" t="inlineStr">
        <is>
          <t>Encaissement loyer</t>
        </is>
      </c>
      <c r="D58" s="16" t="inlineStr">
        <is>
          <t>Studio B – Rabat</t>
        </is>
      </c>
      <c r="E58" s="16" t="inlineStr">
        <is>
          <t>512</t>
        </is>
      </c>
      <c r="F58" s="16" t="inlineStr">
        <is>
          <t>706</t>
        </is>
      </c>
      <c r="G58" s="52" t="n">
        <v>750</v>
      </c>
      <c r="H58" s="52" t="n">
        <v>0</v>
      </c>
      <c r="I58" s="53">
        <f>N(G58)+N(H58)</f>
        <v/>
      </c>
      <c r="J58" s="16" t="inlineStr">
        <is>
          <t>Mme Sofia Benali</t>
        </is>
      </c>
      <c r="K58" s="16" t="inlineStr">
        <is>
          <t>Virement</t>
        </is>
      </c>
      <c r="L58" s="16" t="inlineStr">
        <is>
          <t>Loyer</t>
        </is>
      </c>
      <c r="M58" s="16" t="inlineStr"/>
      <c r="N58" s="54">
        <f>IF(A58="","",EOMONTH(A58,-1)+1)</f>
        <v/>
      </c>
      <c r="O58" s="22">
        <f>IF(AND(N(A58)&gt;=N(01_Parametres!$B$11),N(A58)&lt;=N(01_Parametres!$B$12)),1,0)</f>
        <v/>
      </c>
      <c r="P58" s="74">
        <f>IF(E58="","",IFERROR(VLOOKUP(E58,02_Plan_Comptable!$A$5:$C$84,3,FALSE),""))</f>
        <v/>
      </c>
      <c r="Q58" s="74">
        <f>IF(F58="","",IFERROR(VLOOKUP(F58,02_Plan_Comptable!$A$5:$C$84,3,FALSE),""))</f>
        <v/>
      </c>
    </row>
    <row r="59">
      <c r="A59" s="51" t="n">
        <v>46213</v>
      </c>
      <c r="B59" s="16" t="inlineStr">
        <is>
          <t>CP07-Appartement A</t>
        </is>
      </c>
      <c r="C59" s="16" t="inlineStr">
        <is>
          <t>Charges copropriété</t>
        </is>
      </c>
      <c r="D59" s="16" t="inlineStr">
        <is>
          <t>Appartement A – Casablanca</t>
        </is>
      </c>
      <c r="E59" s="16" t="inlineStr">
        <is>
          <t>614</t>
        </is>
      </c>
      <c r="F59" s="16" t="inlineStr">
        <is>
          <t>512</t>
        </is>
      </c>
      <c r="G59" s="52" t="n">
        <v>180</v>
      </c>
      <c r="H59" s="52" t="n">
        <v>0</v>
      </c>
      <c r="I59" s="53">
        <f>N(G59)+N(H59)</f>
        <v/>
      </c>
      <c r="J59" s="16" t="inlineStr">
        <is>
          <t>Syndic</t>
        </is>
      </c>
      <c r="K59" s="16" t="inlineStr">
        <is>
          <t>Prélèvement</t>
        </is>
      </c>
      <c r="L59" s="16" t="inlineStr">
        <is>
          <t>Copropriété</t>
        </is>
      </c>
      <c r="M59" s="16" t="inlineStr"/>
      <c r="N59" s="54">
        <f>IF(A59="","",EOMONTH(A59,-1)+1)</f>
        <v/>
      </c>
      <c r="O59" s="22">
        <f>IF(AND(N(A59)&gt;=N(01_Parametres!$B$11),N(A59)&lt;=N(01_Parametres!$B$12)),1,0)</f>
        <v/>
      </c>
      <c r="P59" s="74">
        <f>IF(E59="","",IFERROR(VLOOKUP(E59,02_Plan_Comptable!$A$5:$C$84,3,FALSE),""))</f>
        <v/>
      </c>
      <c r="Q59" s="74">
        <f>IF(F59="","",IFERROR(VLOOKUP(F59,02_Plan_Comptable!$A$5:$C$84,3,FALSE),""))</f>
        <v/>
      </c>
    </row>
    <row r="60">
      <c r="A60" s="51" t="n">
        <v>46213</v>
      </c>
      <c r="B60" s="16" t="inlineStr">
        <is>
          <t>CP07-Studio B</t>
        </is>
      </c>
      <c r="C60" s="16" t="inlineStr">
        <is>
          <t>Charges copropriété</t>
        </is>
      </c>
      <c r="D60" s="16" t="inlineStr">
        <is>
          <t>Studio B – Rabat</t>
        </is>
      </c>
      <c r="E60" s="16" t="inlineStr">
        <is>
          <t>614</t>
        </is>
      </c>
      <c r="F60" s="16" t="inlineStr">
        <is>
          <t>512</t>
        </is>
      </c>
      <c r="G60" s="52" t="n">
        <v>120</v>
      </c>
      <c r="H60" s="52" t="n">
        <v>0</v>
      </c>
      <c r="I60" s="53">
        <f>N(G60)+N(H60)</f>
        <v/>
      </c>
      <c r="J60" s="16" t="inlineStr">
        <is>
          <t>Syndic</t>
        </is>
      </c>
      <c r="K60" s="16" t="inlineStr">
        <is>
          <t>Prélèvement</t>
        </is>
      </c>
      <c r="L60" s="16" t="inlineStr">
        <is>
          <t>Copropriété</t>
        </is>
      </c>
      <c r="M60" s="16" t="inlineStr"/>
      <c r="N60" s="54">
        <f>IF(A60="","",EOMONTH(A60,-1)+1)</f>
        <v/>
      </c>
      <c r="O60" s="22">
        <f>IF(AND(N(A60)&gt;=N(01_Parametres!$B$11),N(A60)&lt;=N(01_Parametres!$B$12)),1,0)</f>
        <v/>
      </c>
      <c r="P60" s="74">
        <f>IF(E60="","",IFERROR(VLOOKUP(E60,02_Plan_Comptable!$A$5:$C$84,3,FALSE),""))</f>
        <v/>
      </c>
      <c r="Q60" s="74">
        <f>IF(F60="","",IFERROR(VLOOKUP(F60,02_Plan_Comptable!$A$5:$C$84,3,FALSE),""))</f>
        <v/>
      </c>
    </row>
    <row r="61">
      <c r="A61" s="51" t="n">
        <v>46231</v>
      </c>
      <c r="B61" s="16" t="inlineStr">
        <is>
          <t>GL07</t>
        </is>
      </c>
      <c r="C61" s="16" t="inlineStr">
        <is>
          <t>Frais gestion locative</t>
        </is>
      </c>
      <c r="D61" s="16" t="inlineStr"/>
      <c r="E61" s="16" t="inlineStr">
        <is>
          <t>6226</t>
        </is>
      </c>
      <c r="F61" s="16" t="inlineStr">
        <is>
          <t>512</t>
        </is>
      </c>
      <c r="G61" s="52" t="n">
        <v>150</v>
      </c>
      <c r="H61" s="52" t="n">
        <v>0</v>
      </c>
      <c r="I61" s="53">
        <f>N(G61)+N(H61)</f>
        <v/>
      </c>
      <c r="J61" s="16" t="inlineStr">
        <is>
          <t>Agence Gestion</t>
        </is>
      </c>
      <c r="K61" s="16" t="inlineStr">
        <is>
          <t>Prélèvement</t>
        </is>
      </c>
      <c r="L61" s="16" t="inlineStr">
        <is>
          <t>Gestion locative</t>
        </is>
      </c>
      <c r="M61" s="16" t="inlineStr"/>
      <c r="N61" s="54">
        <f>IF(A61="","",EOMONTH(A61,-1)+1)</f>
        <v/>
      </c>
      <c r="O61" s="22">
        <f>IF(AND(N(A61)&gt;=N(01_Parametres!$B$11),N(A61)&lt;=N(01_Parametres!$B$12)),1,0)</f>
        <v/>
      </c>
      <c r="P61" s="74">
        <f>IF(E61="","",IFERROR(VLOOKUP(E61,02_Plan_Comptable!$A$5:$C$84,3,FALSE),""))</f>
        <v/>
      </c>
      <c r="Q61" s="74">
        <f>IF(F61="","",IFERROR(VLOOKUP(F61,02_Plan_Comptable!$A$5:$C$84,3,FALSE),""))</f>
        <v/>
      </c>
    </row>
    <row r="62">
      <c r="A62" s="51" t="n">
        <v>46231</v>
      </c>
      <c r="B62" s="16" t="inlineStr">
        <is>
          <t>BF07</t>
        </is>
      </c>
      <c r="C62" s="16" t="inlineStr">
        <is>
          <t>Frais bancaires</t>
        </is>
      </c>
      <c r="D62" s="16" t="inlineStr"/>
      <c r="E62" s="16" t="inlineStr">
        <is>
          <t>627</t>
        </is>
      </c>
      <c r="F62" s="16" t="inlineStr">
        <is>
          <t>512</t>
        </is>
      </c>
      <c r="G62" s="52" t="n">
        <v>12</v>
      </c>
      <c r="H62" s="52" t="n">
        <v>0</v>
      </c>
      <c r="I62" s="53">
        <f>N(G62)+N(H62)</f>
        <v/>
      </c>
      <c r="J62" s="16" t="inlineStr">
        <is>
          <t>Banque</t>
        </is>
      </c>
      <c r="K62" s="16" t="inlineStr">
        <is>
          <t>Prélèvement</t>
        </is>
      </c>
      <c r="L62" s="16" t="inlineStr">
        <is>
          <t>Frais bancaires</t>
        </is>
      </c>
      <c r="M62" s="16" t="inlineStr"/>
      <c r="N62" s="54">
        <f>IF(A62="","",EOMONTH(A62,-1)+1)</f>
        <v/>
      </c>
      <c r="O62" s="22">
        <f>IF(AND(N(A62)&gt;=N(01_Parametres!$B$11),N(A62)&lt;=N(01_Parametres!$B$12)),1,0)</f>
        <v/>
      </c>
      <c r="P62" s="74">
        <f>IF(E62="","",IFERROR(VLOOKUP(E62,02_Plan_Comptable!$A$5:$C$84,3,FALSE),""))</f>
        <v/>
      </c>
      <c r="Q62" s="74">
        <f>IF(F62="","",IFERROR(VLOOKUP(F62,02_Plan_Comptable!$A$5:$C$84,3,FALSE),""))</f>
        <v/>
      </c>
    </row>
    <row r="63">
      <c r="A63" s="51" t="n">
        <v>46218</v>
      </c>
      <c r="B63" s="16" t="inlineStr">
        <is>
          <t>EM07-CAP</t>
        </is>
      </c>
      <c r="C63" s="16" t="inlineStr">
        <is>
          <t>Mensualité emprunt (capital)</t>
        </is>
      </c>
      <c r="D63" s="16" t="inlineStr"/>
      <c r="E63" s="16" t="inlineStr">
        <is>
          <t>164</t>
        </is>
      </c>
      <c r="F63" s="16" t="inlineStr">
        <is>
          <t>512</t>
        </is>
      </c>
      <c r="G63" s="52" t="n">
        <v>583.75</v>
      </c>
      <c r="H63" s="52" t="n">
        <v>0</v>
      </c>
      <c r="I63" s="53">
        <f>N(G63)+N(H63)</f>
        <v/>
      </c>
      <c r="J63" s="16" t="inlineStr">
        <is>
          <t>Banque</t>
        </is>
      </c>
      <c r="K63" s="16" t="inlineStr">
        <is>
          <t>Prélèvement</t>
        </is>
      </c>
      <c r="L63" s="16" t="inlineStr">
        <is>
          <t>Emprunt - capital</t>
        </is>
      </c>
      <c r="M63" s="16" t="inlineStr"/>
      <c r="N63" s="54">
        <f>IF(A63="","",EOMONTH(A63,-1)+1)</f>
        <v/>
      </c>
      <c r="O63" s="22">
        <f>IF(AND(N(A63)&gt;=N(01_Parametres!$B$11),N(A63)&lt;=N(01_Parametres!$B$12)),1,0)</f>
        <v/>
      </c>
      <c r="P63" s="74">
        <f>IF(E63="","",IFERROR(VLOOKUP(E63,02_Plan_Comptable!$A$5:$C$84,3,FALSE),""))</f>
        <v/>
      </c>
      <c r="Q63" s="74">
        <f>IF(F63="","",IFERROR(VLOOKUP(F63,02_Plan_Comptable!$A$5:$C$84,3,FALSE),""))</f>
        <v/>
      </c>
    </row>
    <row r="64">
      <c r="A64" s="51" t="n">
        <v>46218</v>
      </c>
      <c r="B64" s="16" t="inlineStr">
        <is>
          <t>EM07-INT</t>
        </is>
      </c>
      <c r="C64" s="16" t="inlineStr">
        <is>
          <t>Mensualité emprunt (intérêts)</t>
        </is>
      </c>
      <c r="D64" s="16" t="inlineStr"/>
      <c r="E64" s="16" t="inlineStr">
        <is>
          <t>661</t>
        </is>
      </c>
      <c r="F64" s="16" t="inlineStr">
        <is>
          <t>512</t>
        </is>
      </c>
      <c r="G64" s="52" t="n">
        <v>366.25</v>
      </c>
      <c r="H64" s="52" t="n">
        <v>0</v>
      </c>
      <c r="I64" s="53">
        <f>N(G64)+N(H64)</f>
        <v/>
      </c>
      <c r="J64" s="16" t="inlineStr">
        <is>
          <t>Banque</t>
        </is>
      </c>
      <c r="K64" s="16" t="inlineStr">
        <is>
          <t>Prélèvement</t>
        </is>
      </c>
      <c r="L64" s="16" t="inlineStr">
        <is>
          <t>Emprunt - intérêts</t>
        </is>
      </c>
      <c r="M64" s="16" t="inlineStr"/>
      <c r="N64" s="54">
        <f>IF(A64="","",EOMONTH(A64,-1)+1)</f>
        <v/>
      </c>
      <c r="O64" s="22">
        <f>IF(AND(N(A64)&gt;=N(01_Parametres!$B$11),N(A64)&lt;=N(01_Parametres!$B$12)),1,0)</f>
        <v/>
      </c>
      <c r="P64" s="74">
        <f>IF(E64="","",IFERROR(VLOOKUP(E64,02_Plan_Comptable!$A$5:$C$84,3,FALSE),""))</f>
        <v/>
      </c>
      <c r="Q64" s="74">
        <f>IF(F64="","",IFERROR(VLOOKUP(F64,02_Plan_Comptable!$A$5:$C$84,3,FALSE),""))</f>
        <v/>
      </c>
    </row>
    <row r="65">
      <c r="A65" s="51" t="n">
        <v>46239</v>
      </c>
      <c r="B65" s="16" t="inlineStr">
        <is>
          <t>LOY08-1100</t>
        </is>
      </c>
      <c r="C65" s="16" t="inlineStr">
        <is>
          <t>Encaissement loyer</t>
        </is>
      </c>
      <c r="D65" s="16" t="inlineStr">
        <is>
          <t>Appartement A – Casablanca</t>
        </is>
      </c>
      <c r="E65" s="16" t="inlineStr">
        <is>
          <t>512</t>
        </is>
      </c>
      <c r="F65" s="16" t="inlineStr">
        <is>
          <t>706</t>
        </is>
      </c>
      <c r="G65" s="52" t="n">
        <v>1100</v>
      </c>
      <c r="H65" s="52" t="n">
        <v>0</v>
      </c>
      <c r="I65" s="53">
        <f>N(G65)+N(H65)</f>
        <v/>
      </c>
      <c r="J65" s="16" t="inlineStr">
        <is>
          <t>M. Karim El Amrani</t>
        </is>
      </c>
      <c r="K65" s="16" t="inlineStr">
        <is>
          <t>Virement</t>
        </is>
      </c>
      <c r="L65" s="16" t="inlineStr">
        <is>
          <t>Loyer</t>
        </is>
      </c>
      <c r="M65" s="16" t="inlineStr"/>
      <c r="N65" s="54">
        <f>IF(A65="","",EOMONTH(A65,-1)+1)</f>
        <v/>
      </c>
      <c r="O65" s="22">
        <f>IF(AND(N(A65)&gt;=N(01_Parametres!$B$11),N(A65)&lt;=N(01_Parametres!$B$12)),1,0)</f>
        <v/>
      </c>
      <c r="P65" s="74">
        <f>IF(E65="","",IFERROR(VLOOKUP(E65,02_Plan_Comptable!$A$5:$C$84,3,FALSE),""))</f>
        <v/>
      </c>
      <c r="Q65" s="74">
        <f>IF(F65="","",IFERROR(VLOOKUP(F65,02_Plan_Comptable!$A$5:$C$84,3,FALSE),""))</f>
        <v/>
      </c>
    </row>
    <row r="66">
      <c r="A66" s="51" t="n">
        <v>46244</v>
      </c>
      <c r="B66" s="16" t="inlineStr">
        <is>
          <t>CP08-Appartement A</t>
        </is>
      </c>
      <c r="C66" s="16" t="inlineStr">
        <is>
          <t>Charges copropriété</t>
        </is>
      </c>
      <c r="D66" s="16" t="inlineStr">
        <is>
          <t>Appartement A – Casablanca</t>
        </is>
      </c>
      <c r="E66" s="16" t="inlineStr">
        <is>
          <t>614</t>
        </is>
      </c>
      <c r="F66" s="16" t="inlineStr">
        <is>
          <t>512</t>
        </is>
      </c>
      <c r="G66" s="52" t="n">
        <v>180</v>
      </c>
      <c r="H66" s="52" t="n">
        <v>0</v>
      </c>
      <c r="I66" s="53">
        <f>N(G66)+N(H66)</f>
        <v/>
      </c>
      <c r="J66" s="16" t="inlineStr">
        <is>
          <t>Syndic</t>
        </is>
      </c>
      <c r="K66" s="16" t="inlineStr">
        <is>
          <t>Prélèvement</t>
        </is>
      </c>
      <c r="L66" s="16" t="inlineStr">
        <is>
          <t>Copropriété</t>
        </is>
      </c>
      <c r="M66" s="16" t="inlineStr"/>
      <c r="N66" s="54">
        <f>IF(A66="","",EOMONTH(A66,-1)+1)</f>
        <v/>
      </c>
      <c r="O66" s="22">
        <f>IF(AND(N(A66)&gt;=N(01_Parametres!$B$11),N(A66)&lt;=N(01_Parametres!$B$12)),1,0)</f>
        <v/>
      </c>
      <c r="P66" s="74">
        <f>IF(E66="","",IFERROR(VLOOKUP(E66,02_Plan_Comptable!$A$5:$C$84,3,FALSE),""))</f>
        <v/>
      </c>
      <c r="Q66" s="74">
        <f>IF(F66="","",IFERROR(VLOOKUP(F66,02_Plan_Comptable!$A$5:$C$84,3,FALSE),""))</f>
        <v/>
      </c>
    </row>
    <row r="67">
      <c r="A67" s="51" t="n">
        <v>46244</v>
      </c>
      <c r="B67" s="16" t="inlineStr">
        <is>
          <t>CP08-Studio B</t>
        </is>
      </c>
      <c r="C67" s="16" t="inlineStr">
        <is>
          <t>Charges copropriété</t>
        </is>
      </c>
      <c r="D67" s="16" t="inlineStr">
        <is>
          <t>Studio B – Rabat</t>
        </is>
      </c>
      <c r="E67" s="16" t="inlineStr">
        <is>
          <t>614</t>
        </is>
      </c>
      <c r="F67" s="16" t="inlineStr">
        <is>
          <t>512</t>
        </is>
      </c>
      <c r="G67" s="52" t="n">
        <v>120</v>
      </c>
      <c r="H67" s="52" t="n">
        <v>0</v>
      </c>
      <c r="I67" s="53">
        <f>N(G67)+N(H67)</f>
        <v/>
      </c>
      <c r="J67" s="16" t="inlineStr">
        <is>
          <t>Syndic</t>
        </is>
      </c>
      <c r="K67" s="16" t="inlineStr">
        <is>
          <t>Prélèvement</t>
        </is>
      </c>
      <c r="L67" s="16" t="inlineStr">
        <is>
          <t>Copropriété</t>
        </is>
      </c>
      <c r="M67" s="16" t="inlineStr"/>
      <c r="N67" s="54">
        <f>IF(A67="","",EOMONTH(A67,-1)+1)</f>
        <v/>
      </c>
      <c r="O67" s="22">
        <f>IF(AND(N(A67)&gt;=N(01_Parametres!$B$11),N(A67)&lt;=N(01_Parametres!$B$12)),1,0)</f>
        <v/>
      </c>
      <c r="P67" s="74">
        <f>IF(E67="","",IFERROR(VLOOKUP(E67,02_Plan_Comptable!$A$5:$C$84,3,FALSE),""))</f>
        <v/>
      </c>
      <c r="Q67" s="74">
        <f>IF(F67="","",IFERROR(VLOOKUP(F67,02_Plan_Comptable!$A$5:$C$84,3,FALSE),""))</f>
        <v/>
      </c>
    </row>
    <row r="68">
      <c r="A68" s="51" t="n">
        <v>46262</v>
      </c>
      <c r="B68" s="16" t="inlineStr">
        <is>
          <t>GL08</t>
        </is>
      </c>
      <c r="C68" s="16" t="inlineStr">
        <is>
          <t>Frais gestion locative</t>
        </is>
      </c>
      <c r="D68" s="16" t="inlineStr"/>
      <c r="E68" s="16" t="inlineStr">
        <is>
          <t>6226</t>
        </is>
      </c>
      <c r="F68" s="16" t="inlineStr">
        <is>
          <t>512</t>
        </is>
      </c>
      <c r="G68" s="52" t="n">
        <v>150</v>
      </c>
      <c r="H68" s="52" t="n">
        <v>0</v>
      </c>
      <c r="I68" s="53">
        <f>N(G68)+N(H68)</f>
        <v/>
      </c>
      <c r="J68" s="16" t="inlineStr">
        <is>
          <t>Agence Gestion</t>
        </is>
      </c>
      <c r="K68" s="16" t="inlineStr">
        <is>
          <t>Prélèvement</t>
        </is>
      </c>
      <c r="L68" s="16" t="inlineStr">
        <is>
          <t>Gestion locative</t>
        </is>
      </c>
      <c r="M68" s="16" t="inlineStr"/>
      <c r="N68" s="54">
        <f>IF(A68="","",EOMONTH(A68,-1)+1)</f>
        <v/>
      </c>
      <c r="O68" s="22">
        <f>IF(AND(N(A68)&gt;=N(01_Parametres!$B$11),N(A68)&lt;=N(01_Parametres!$B$12)),1,0)</f>
        <v/>
      </c>
      <c r="P68" s="74">
        <f>IF(E68="","",IFERROR(VLOOKUP(E68,02_Plan_Comptable!$A$5:$C$84,3,FALSE),""))</f>
        <v/>
      </c>
      <c r="Q68" s="74">
        <f>IF(F68="","",IFERROR(VLOOKUP(F68,02_Plan_Comptable!$A$5:$C$84,3,FALSE),""))</f>
        <v/>
      </c>
    </row>
    <row r="69">
      <c r="A69" s="51" t="n">
        <v>46262</v>
      </c>
      <c r="B69" s="16" t="inlineStr">
        <is>
          <t>BF08</t>
        </is>
      </c>
      <c r="C69" s="16" t="inlineStr">
        <is>
          <t>Frais bancaires</t>
        </is>
      </c>
      <c r="D69" s="16" t="inlineStr"/>
      <c r="E69" s="16" t="inlineStr">
        <is>
          <t>627</t>
        </is>
      </c>
      <c r="F69" s="16" t="inlineStr">
        <is>
          <t>512</t>
        </is>
      </c>
      <c r="G69" s="52" t="n">
        <v>12</v>
      </c>
      <c r="H69" s="52" t="n">
        <v>0</v>
      </c>
      <c r="I69" s="53">
        <f>N(G69)+N(H69)</f>
        <v/>
      </c>
      <c r="J69" s="16" t="inlineStr">
        <is>
          <t>Banque</t>
        </is>
      </c>
      <c r="K69" s="16" t="inlineStr">
        <is>
          <t>Prélèvement</t>
        </is>
      </c>
      <c r="L69" s="16" t="inlineStr">
        <is>
          <t>Frais bancaires</t>
        </is>
      </c>
      <c r="M69" s="16" t="inlineStr"/>
      <c r="N69" s="54">
        <f>IF(A69="","",EOMONTH(A69,-1)+1)</f>
        <v/>
      </c>
      <c r="O69" s="22">
        <f>IF(AND(N(A69)&gt;=N(01_Parametres!$B$11),N(A69)&lt;=N(01_Parametres!$B$12)),1,0)</f>
        <v/>
      </c>
      <c r="P69" s="74">
        <f>IF(E69="","",IFERROR(VLOOKUP(E69,02_Plan_Comptable!$A$5:$C$84,3,FALSE),""))</f>
        <v/>
      </c>
      <c r="Q69" s="74">
        <f>IF(F69="","",IFERROR(VLOOKUP(F69,02_Plan_Comptable!$A$5:$C$84,3,FALSE),""))</f>
        <v/>
      </c>
    </row>
    <row r="70">
      <c r="A70" s="51" t="n">
        <v>46249</v>
      </c>
      <c r="B70" s="16" t="inlineStr">
        <is>
          <t>EM08-CAP</t>
        </is>
      </c>
      <c r="C70" s="16" t="inlineStr">
        <is>
          <t>Mensualité emprunt (capital)</t>
        </is>
      </c>
      <c r="D70" s="16" t="inlineStr"/>
      <c r="E70" s="16" t="inlineStr">
        <is>
          <t>164</t>
        </is>
      </c>
      <c r="F70" s="16" t="inlineStr">
        <is>
          <t>512</t>
        </is>
      </c>
      <c r="G70" s="52" t="n">
        <v>584.96</v>
      </c>
      <c r="H70" s="52" t="n">
        <v>0</v>
      </c>
      <c r="I70" s="53">
        <f>N(G70)+N(H70)</f>
        <v/>
      </c>
      <c r="J70" s="16" t="inlineStr">
        <is>
          <t>Banque</t>
        </is>
      </c>
      <c r="K70" s="16" t="inlineStr">
        <is>
          <t>Prélèvement</t>
        </is>
      </c>
      <c r="L70" s="16" t="inlineStr">
        <is>
          <t>Emprunt - capital</t>
        </is>
      </c>
      <c r="M70" s="16" t="inlineStr"/>
      <c r="N70" s="54">
        <f>IF(A70="","",EOMONTH(A70,-1)+1)</f>
        <v/>
      </c>
      <c r="O70" s="22">
        <f>IF(AND(N(A70)&gt;=N(01_Parametres!$B$11),N(A70)&lt;=N(01_Parametres!$B$12)),1,0)</f>
        <v/>
      </c>
      <c r="P70" s="74">
        <f>IF(E70="","",IFERROR(VLOOKUP(E70,02_Plan_Comptable!$A$5:$C$84,3,FALSE),""))</f>
        <v/>
      </c>
      <c r="Q70" s="74">
        <f>IF(F70="","",IFERROR(VLOOKUP(F70,02_Plan_Comptable!$A$5:$C$84,3,FALSE),""))</f>
        <v/>
      </c>
    </row>
    <row r="71">
      <c r="A71" s="51" t="n">
        <v>46249</v>
      </c>
      <c r="B71" s="16" t="inlineStr">
        <is>
          <t>EM08-INT</t>
        </is>
      </c>
      <c r="C71" s="16" t="inlineStr">
        <is>
          <t>Mensualité emprunt (intérêts)</t>
        </is>
      </c>
      <c r="D71" s="16" t="inlineStr"/>
      <c r="E71" s="16" t="inlineStr">
        <is>
          <t>661</t>
        </is>
      </c>
      <c r="F71" s="16" t="inlineStr">
        <is>
          <t>512</t>
        </is>
      </c>
      <c r="G71" s="52" t="n">
        <v>365.04</v>
      </c>
      <c r="H71" s="52" t="n">
        <v>0</v>
      </c>
      <c r="I71" s="53">
        <f>N(G71)+N(H71)</f>
        <v/>
      </c>
      <c r="J71" s="16" t="inlineStr">
        <is>
          <t>Banque</t>
        </is>
      </c>
      <c r="K71" s="16" t="inlineStr">
        <is>
          <t>Prélèvement</t>
        </is>
      </c>
      <c r="L71" s="16" t="inlineStr">
        <is>
          <t>Emprunt - intérêts</t>
        </is>
      </c>
      <c r="M71" s="16" t="inlineStr"/>
      <c r="N71" s="54">
        <f>IF(A71="","",EOMONTH(A71,-1)+1)</f>
        <v/>
      </c>
      <c r="O71" s="22">
        <f>IF(AND(N(A71)&gt;=N(01_Parametres!$B$11),N(A71)&lt;=N(01_Parametres!$B$12)),1,0)</f>
        <v/>
      </c>
      <c r="P71" s="74">
        <f>IF(E71="","",IFERROR(VLOOKUP(E71,02_Plan_Comptable!$A$5:$C$84,3,FALSE),""))</f>
        <v/>
      </c>
      <c r="Q71" s="74">
        <f>IF(F71="","",IFERROR(VLOOKUP(F71,02_Plan_Comptable!$A$5:$C$84,3,FALSE),""))</f>
        <v/>
      </c>
    </row>
    <row r="72">
      <c r="A72" s="51" t="n">
        <v>46270</v>
      </c>
      <c r="B72" s="16" t="inlineStr">
        <is>
          <t>LOY09-1100</t>
        </is>
      </c>
      <c r="C72" s="16" t="inlineStr">
        <is>
          <t>Encaissement loyer</t>
        </is>
      </c>
      <c r="D72" s="16" t="inlineStr">
        <is>
          <t>Appartement A – Casablanca</t>
        </is>
      </c>
      <c r="E72" s="16" t="inlineStr">
        <is>
          <t>512</t>
        </is>
      </c>
      <c r="F72" s="16" t="inlineStr">
        <is>
          <t>706</t>
        </is>
      </c>
      <c r="G72" s="52" t="n">
        <v>1100</v>
      </c>
      <c r="H72" s="52" t="n">
        <v>0</v>
      </c>
      <c r="I72" s="53">
        <f>N(G72)+N(H72)</f>
        <v/>
      </c>
      <c r="J72" s="16" t="inlineStr">
        <is>
          <t>M. Karim El Amrani</t>
        </is>
      </c>
      <c r="K72" s="16" t="inlineStr">
        <is>
          <t>Virement</t>
        </is>
      </c>
      <c r="L72" s="16" t="inlineStr">
        <is>
          <t>Loyer</t>
        </is>
      </c>
      <c r="M72" s="16" t="inlineStr"/>
      <c r="N72" s="54">
        <f>IF(A72="","",EOMONTH(A72,-1)+1)</f>
        <v/>
      </c>
      <c r="O72" s="22">
        <f>IF(AND(N(A72)&gt;=N(01_Parametres!$B$11),N(A72)&lt;=N(01_Parametres!$B$12)),1,0)</f>
        <v/>
      </c>
      <c r="P72" s="74">
        <f>IF(E72="","",IFERROR(VLOOKUP(E72,02_Plan_Comptable!$A$5:$C$84,3,FALSE),""))</f>
        <v/>
      </c>
      <c r="Q72" s="74">
        <f>IF(F72="","",IFERROR(VLOOKUP(F72,02_Plan_Comptable!$A$5:$C$84,3,FALSE),""))</f>
        <v/>
      </c>
    </row>
    <row r="73">
      <c r="A73" s="51" t="n">
        <v>46270</v>
      </c>
      <c r="B73" s="16" t="inlineStr">
        <is>
          <t>LOY09-750</t>
        </is>
      </c>
      <c r="C73" s="16" t="inlineStr">
        <is>
          <t>Encaissement loyer</t>
        </is>
      </c>
      <c r="D73" s="16" t="inlineStr">
        <is>
          <t>Studio B – Rabat</t>
        </is>
      </c>
      <c r="E73" s="16" t="inlineStr">
        <is>
          <t>512</t>
        </is>
      </c>
      <c r="F73" s="16" t="inlineStr">
        <is>
          <t>706</t>
        </is>
      </c>
      <c r="G73" s="52" t="n">
        <v>750</v>
      </c>
      <c r="H73" s="52" t="n">
        <v>0</v>
      </c>
      <c r="I73" s="53">
        <f>N(G73)+N(H73)</f>
        <v/>
      </c>
      <c r="J73" s="16" t="inlineStr">
        <is>
          <t>Mme Sofia Benali</t>
        </is>
      </c>
      <c r="K73" s="16" t="inlineStr">
        <is>
          <t>Virement</t>
        </is>
      </c>
      <c r="L73" s="16" t="inlineStr">
        <is>
          <t>Loyer</t>
        </is>
      </c>
      <c r="M73" s="16" t="inlineStr"/>
      <c r="N73" s="54">
        <f>IF(A73="","",EOMONTH(A73,-1)+1)</f>
        <v/>
      </c>
      <c r="O73" s="22">
        <f>IF(AND(N(A73)&gt;=N(01_Parametres!$B$11),N(A73)&lt;=N(01_Parametres!$B$12)),1,0)</f>
        <v/>
      </c>
      <c r="P73" s="74">
        <f>IF(E73="","",IFERROR(VLOOKUP(E73,02_Plan_Comptable!$A$5:$C$84,3,FALSE),""))</f>
        <v/>
      </c>
      <c r="Q73" s="74">
        <f>IF(F73="","",IFERROR(VLOOKUP(F73,02_Plan_Comptable!$A$5:$C$84,3,FALSE),""))</f>
        <v/>
      </c>
    </row>
    <row r="74">
      <c r="A74" s="51" t="n">
        <v>46275</v>
      </c>
      <c r="B74" s="16" t="inlineStr">
        <is>
          <t>CP09-Appartement A</t>
        </is>
      </c>
      <c r="C74" s="16" t="inlineStr">
        <is>
          <t>Charges copropriété</t>
        </is>
      </c>
      <c r="D74" s="16" t="inlineStr">
        <is>
          <t>Appartement A – Casablanca</t>
        </is>
      </c>
      <c r="E74" s="16" t="inlineStr">
        <is>
          <t>614</t>
        </is>
      </c>
      <c r="F74" s="16" t="inlineStr">
        <is>
          <t>512</t>
        </is>
      </c>
      <c r="G74" s="52" t="n">
        <v>180</v>
      </c>
      <c r="H74" s="52" t="n">
        <v>0</v>
      </c>
      <c r="I74" s="53">
        <f>N(G74)+N(H74)</f>
        <v/>
      </c>
      <c r="J74" s="16" t="inlineStr">
        <is>
          <t>Syndic</t>
        </is>
      </c>
      <c r="K74" s="16" t="inlineStr">
        <is>
          <t>Prélèvement</t>
        </is>
      </c>
      <c r="L74" s="16" t="inlineStr">
        <is>
          <t>Copropriété</t>
        </is>
      </c>
      <c r="M74" s="16" t="inlineStr"/>
      <c r="N74" s="54">
        <f>IF(A74="","",EOMONTH(A74,-1)+1)</f>
        <v/>
      </c>
      <c r="O74" s="22">
        <f>IF(AND(N(A74)&gt;=N(01_Parametres!$B$11),N(A74)&lt;=N(01_Parametres!$B$12)),1,0)</f>
        <v/>
      </c>
      <c r="P74" s="74">
        <f>IF(E74="","",IFERROR(VLOOKUP(E74,02_Plan_Comptable!$A$5:$C$84,3,FALSE),""))</f>
        <v/>
      </c>
      <c r="Q74" s="74">
        <f>IF(F74="","",IFERROR(VLOOKUP(F74,02_Plan_Comptable!$A$5:$C$84,3,FALSE),""))</f>
        <v/>
      </c>
    </row>
    <row r="75">
      <c r="A75" s="51" t="n">
        <v>46275</v>
      </c>
      <c r="B75" s="16" t="inlineStr">
        <is>
          <t>CP09-Studio B</t>
        </is>
      </c>
      <c r="C75" s="16" t="inlineStr">
        <is>
          <t>Charges copropriété</t>
        </is>
      </c>
      <c r="D75" s="16" t="inlineStr">
        <is>
          <t>Studio B – Rabat</t>
        </is>
      </c>
      <c r="E75" s="16" t="inlineStr">
        <is>
          <t>614</t>
        </is>
      </c>
      <c r="F75" s="16" t="inlineStr">
        <is>
          <t>512</t>
        </is>
      </c>
      <c r="G75" s="52" t="n">
        <v>120</v>
      </c>
      <c r="H75" s="52" t="n">
        <v>0</v>
      </c>
      <c r="I75" s="53">
        <f>N(G75)+N(H75)</f>
        <v/>
      </c>
      <c r="J75" s="16" t="inlineStr">
        <is>
          <t>Syndic</t>
        </is>
      </c>
      <c r="K75" s="16" t="inlineStr">
        <is>
          <t>Prélèvement</t>
        </is>
      </c>
      <c r="L75" s="16" t="inlineStr">
        <is>
          <t>Copropriété</t>
        </is>
      </c>
      <c r="M75" s="16" t="inlineStr"/>
      <c r="N75" s="54">
        <f>IF(A75="","",EOMONTH(A75,-1)+1)</f>
        <v/>
      </c>
      <c r="O75" s="22">
        <f>IF(AND(N(A75)&gt;=N(01_Parametres!$B$11),N(A75)&lt;=N(01_Parametres!$B$12)),1,0)</f>
        <v/>
      </c>
      <c r="P75" s="74">
        <f>IF(E75="","",IFERROR(VLOOKUP(E75,02_Plan_Comptable!$A$5:$C$84,3,FALSE),""))</f>
        <v/>
      </c>
      <c r="Q75" s="74">
        <f>IF(F75="","",IFERROR(VLOOKUP(F75,02_Plan_Comptable!$A$5:$C$84,3,FALSE),""))</f>
        <v/>
      </c>
    </row>
    <row r="76">
      <c r="A76" s="51" t="n">
        <v>46293</v>
      </c>
      <c r="B76" s="16" t="inlineStr">
        <is>
          <t>GL09</t>
        </is>
      </c>
      <c r="C76" s="16" t="inlineStr">
        <is>
          <t>Frais gestion locative</t>
        </is>
      </c>
      <c r="D76" s="16" t="inlineStr"/>
      <c r="E76" s="16" t="inlineStr">
        <is>
          <t>6226</t>
        </is>
      </c>
      <c r="F76" s="16" t="inlineStr">
        <is>
          <t>512</t>
        </is>
      </c>
      <c r="G76" s="52" t="n">
        <v>150</v>
      </c>
      <c r="H76" s="52" t="n">
        <v>0</v>
      </c>
      <c r="I76" s="53">
        <f>N(G76)+N(H76)</f>
        <v/>
      </c>
      <c r="J76" s="16" t="inlineStr">
        <is>
          <t>Agence Gestion</t>
        </is>
      </c>
      <c r="K76" s="16" t="inlineStr">
        <is>
          <t>Prélèvement</t>
        </is>
      </c>
      <c r="L76" s="16" t="inlineStr">
        <is>
          <t>Gestion locative</t>
        </is>
      </c>
      <c r="M76" s="16" t="inlineStr"/>
      <c r="N76" s="54">
        <f>IF(A76="","",EOMONTH(A76,-1)+1)</f>
        <v/>
      </c>
      <c r="O76" s="22">
        <f>IF(AND(N(A76)&gt;=N(01_Parametres!$B$11),N(A76)&lt;=N(01_Parametres!$B$12)),1,0)</f>
        <v/>
      </c>
      <c r="P76" s="74">
        <f>IF(E76="","",IFERROR(VLOOKUP(E76,02_Plan_Comptable!$A$5:$C$84,3,FALSE),""))</f>
        <v/>
      </c>
      <c r="Q76" s="74">
        <f>IF(F76="","",IFERROR(VLOOKUP(F76,02_Plan_Comptable!$A$5:$C$84,3,FALSE),""))</f>
        <v/>
      </c>
    </row>
    <row r="77">
      <c r="A77" s="51" t="n">
        <v>46293</v>
      </c>
      <c r="B77" s="16" t="inlineStr">
        <is>
          <t>BF09</t>
        </is>
      </c>
      <c r="C77" s="16" t="inlineStr">
        <is>
          <t>Frais bancaires</t>
        </is>
      </c>
      <c r="D77" s="16" t="inlineStr"/>
      <c r="E77" s="16" t="inlineStr">
        <is>
          <t>627</t>
        </is>
      </c>
      <c r="F77" s="16" t="inlineStr">
        <is>
          <t>512</t>
        </is>
      </c>
      <c r="G77" s="52" t="n">
        <v>12</v>
      </c>
      <c r="H77" s="52" t="n">
        <v>0</v>
      </c>
      <c r="I77" s="53">
        <f>N(G77)+N(H77)</f>
        <v/>
      </c>
      <c r="J77" s="16" t="inlineStr">
        <is>
          <t>Banque</t>
        </is>
      </c>
      <c r="K77" s="16" t="inlineStr">
        <is>
          <t>Prélèvement</t>
        </is>
      </c>
      <c r="L77" s="16" t="inlineStr">
        <is>
          <t>Frais bancaires</t>
        </is>
      </c>
      <c r="M77" s="16" t="inlineStr"/>
      <c r="N77" s="54">
        <f>IF(A77="","",EOMONTH(A77,-1)+1)</f>
        <v/>
      </c>
      <c r="O77" s="22">
        <f>IF(AND(N(A77)&gt;=N(01_Parametres!$B$11),N(A77)&lt;=N(01_Parametres!$B$12)),1,0)</f>
        <v/>
      </c>
      <c r="P77" s="74">
        <f>IF(E77="","",IFERROR(VLOOKUP(E77,02_Plan_Comptable!$A$5:$C$84,3,FALSE),""))</f>
        <v/>
      </c>
      <c r="Q77" s="74">
        <f>IF(F77="","",IFERROR(VLOOKUP(F77,02_Plan_Comptable!$A$5:$C$84,3,FALSE),""))</f>
        <v/>
      </c>
    </row>
    <row r="78">
      <c r="A78" s="51" t="n">
        <v>46280</v>
      </c>
      <c r="B78" s="16" t="inlineStr">
        <is>
          <t>EM09-CAP</t>
        </is>
      </c>
      <c r="C78" s="16" t="inlineStr">
        <is>
          <t>Mensualité emprunt (capital)</t>
        </is>
      </c>
      <c r="D78" s="16" t="inlineStr"/>
      <c r="E78" s="16" t="inlineStr">
        <is>
          <t>164</t>
        </is>
      </c>
      <c r="F78" s="16" t="inlineStr">
        <is>
          <t>512</t>
        </is>
      </c>
      <c r="G78" s="52" t="n">
        <v>586.1799999999999</v>
      </c>
      <c r="H78" s="52" t="n">
        <v>0</v>
      </c>
      <c r="I78" s="53">
        <f>N(G78)+N(H78)</f>
        <v/>
      </c>
      <c r="J78" s="16" t="inlineStr">
        <is>
          <t>Banque</t>
        </is>
      </c>
      <c r="K78" s="16" t="inlineStr">
        <is>
          <t>Prélèvement</t>
        </is>
      </c>
      <c r="L78" s="16" t="inlineStr">
        <is>
          <t>Emprunt - capital</t>
        </is>
      </c>
      <c r="M78" s="16" t="inlineStr"/>
      <c r="N78" s="54">
        <f>IF(A78="","",EOMONTH(A78,-1)+1)</f>
        <v/>
      </c>
      <c r="O78" s="22">
        <f>IF(AND(N(A78)&gt;=N(01_Parametres!$B$11),N(A78)&lt;=N(01_Parametres!$B$12)),1,0)</f>
        <v/>
      </c>
      <c r="P78" s="74">
        <f>IF(E78="","",IFERROR(VLOOKUP(E78,02_Plan_Comptable!$A$5:$C$84,3,FALSE),""))</f>
        <v/>
      </c>
      <c r="Q78" s="74">
        <f>IF(F78="","",IFERROR(VLOOKUP(F78,02_Plan_Comptable!$A$5:$C$84,3,FALSE),""))</f>
        <v/>
      </c>
    </row>
    <row r="79">
      <c r="A79" s="51" t="n">
        <v>46280</v>
      </c>
      <c r="B79" s="16" t="inlineStr">
        <is>
          <t>EM09-INT</t>
        </is>
      </c>
      <c r="C79" s="16" t="inlineStr">
        <is>
          <t>Mensualité emprunt (intérêts)</t>
        </is>
      </c>
      <c r="D79" s="16" t="inlineStr"/>
      <c r="E79" s="16" t="inlineStr">
        <is>
          <t>661</t>
        </is>
      </c>
      <c r="F79" s="16" t="inlineStr">
        <is>
          <t>512</t>
        </is>
      </c>
      <c r="G79" s="52" t="n">
        <v>363.82</v>
      </c>
      <c r="H79" s="52" t="n">
        <v>0</v>
      </c>
      <c r="I79" s="53">
        <f>N(G79)+N(H79)</f>
        <v/>
      </c>
      <c r="J79" s="16" t="inlineStr">
        <is>
          <t>Banque</t>
        </is>
      </c>
      <c r="K79" s="16" t="inlineStr">
        <is>
          <t>Prélèvement</t>
        </is>
      </c>
      <c r="L79" s="16" t="inlineStr">
        <is>
          <t>Emprunt - intérêts</t>
        </is>
      </c>
      <c r="M79" s="16" t="inlineStr"/>
      <c r="N79" s="54">
        <f>IF(A79="","",EOMONTH(A79,-1)+1)</f>
        <v/>
      </c>
      <c r="O79" s="22">
        <f>IF(AND(N(A79)&gt;=N(01_Parametres!$B$11),N(A79)&lt;=N(01_Parametres!$B$12)),1,0)</f>
        <v/>
      </c>
      <c r="P79" s="74">
        <f>IF(E79="","",IFERROR(VLOOKUP(E79,02_Plan_Comptable!$A$5:$C$84,3,FALSE),""))</f>
        <v/>
      </c>
      <c r="Q79" s="74">
        <f>IF(F79="","",IFERROR(VLOOKUP(F79,02_Plan_Comptable!$A$5:$C$84,3,FALSE),""))</f>
        <v/>
      </c>
    </row>
    <row r="80">
      <c r="A80" s="51" t="n">
        <v>46300</v>
      </c>
      <c r="B80" s="16" t="inlineStr">
        <is>
          <t>LOY10-1100</t>
        </is>
      </c>
      <c r="C80" s="16" t="inlineStr">
        <is>
          <t>Encaissement loyer</t>
        </is>
      </c>
      <c r="D80" s="16" t="inlineStr">
        <is>
          <t>Appartement A – Casablanca</t>
        </is>
      </c>
      <c r="E80" s="16" t="inlineStr">
        <is>
          <t>512</t>
        </is>
      </c>
      <c r="F80" s="16" t="inlineStr">
        <is>
          <t>706</t>
        </is>
      </c>
      <c r="G80" s="52" t="n">
        <v>1100</v>
      </c>
      <c r="H80" s="52" t="n">
        <v>0</v>
      </c>
      <c r="I80" s="53">
        <f>N(G80)+N(H80)</f>
        <v/>
      </c>
      <c r="J80" s="16" t="inlineStr">
        <is>
          <t>M. Karim El Amrani</t>
        </is>
      </c>
      <c r="K80" s="16" t="inlineStr">
        <is>
          <t>Virement</t>
        </is>
      </c>
      <c r="L80" s="16" t="inlineStr">
        <is>
          <t>Loyer</t>
        </is>
      </c>
      <c r="M80" s="16" t="inlineStr"/>
      <c r="N80" s="54">
        <f>IF(A80="","",EOMONTH(A80,-1)+1)</f>
        <v/>
      </c>
      <c r="O80" s="22">
        <f>IF(AND(N(A80)&gt;=N(01_Parametres!$B$11),N(A80)&lt;=N(01_Parametres!$B$12)),1,0)</f>
        <v/>
      </c>
      <c r="P80" s="74">
        <f>IF(E80="","",IFERROR(VLOOKUP(E80,02_Plan_Comptable!$A$5:$C$84,3,FALSE),""))</f>
        <v/>
      </c>
      <c r="Q80" s="74">
        <f>IF(F80="","",IFERROR(VLOOKUP(F80,02_Plan_Comptable!$A$5:$C$84,3,FALSE),""))</f>
        <v/>
      </c>
    </row>
    <row r="81">
      <c r="A81" s="51" t="n">
        <v>46300</v>
      </c>
      <c r="B81" s="16" t="inlineStr">
        <is>
          <t>LOY10-750</t>
        </is>
      </c>
      <c r="C81" s="16" t="inlineStr">
        <is>
          <t>Encaissement loyer</t>
        </is>
      </c>
      <c r="D81" s="16" t="inlineStr">
        <is>
          <t>Studio B – Rabat</t>
        </is>
      </c>
      <c r="E81" s="16" t="inlineStr">
        <is>
          <t>512</t>
        </is>
      </c>
      <c r="F81" s="16" t="inlineStr">
        <is>
          <t>706</t>
        </is>
      </c>
      <c r="G81" s="52" t="n">
        <v>750</v>
      </c>
      <c r="H81" s="52" t="n">
        <v>0</v>
      </c>
      <c r="I81" s="53">
        <f>N(G81)+N(H81)</f>
        <v/>
      </c>
      <c r="J81" s="16" t="inlineStr">
        <is>
          <t>Mme Sofia Benali</t>
        </is>
      </c>
      <c r="K81" s="16" t="inlineStr">
        <is>
          <t>Virement</t>
        </is>
      </c>
      <c r="L81" s="16" t="inlineStr">
        <is>
          <t>Loyer</t>
        </is>
      </c>
      <c r="M81" s="16" t="inlineStr"/>
      <c r="N81" s="54">
        <f>IF(A81="","",EOMONTH(A81,-1)+1)</f>
        <v/>
      </c>
      <c r="O81" s="22">
        <f>IF(AND(N(A81)&gt;=N(01_Parametres!$B$11),N(A81)&lt;=N(01_Parametres!$B$12)),1,0)</f>
        <v/>
      </c>
      <c r="P81" s="74">
        <f>IF(E81="","",IFERROR(VLOOKUP(E81,02_Plan_Comptable!$A$5:$C$84,3,FALSE),""))</f>
        <v/>
      </c>
      <c r="Q81" s="74">
        <f>IF(F81="","",IFERROR(VLOOKUP(F81,02_Plan_Comptable!$A$5:$C$84,3,FALSE),""))</f>
        <v/>
      </c>
    </row>
    <row r="82">
      <c r="A82" s="51" t="n">
        <v>46305</v>
      </c>
      <c r="B82" s="16" t="inlineStr">
        <is>
          <t>CP10-Appartement A</t>
        </is>
      </c>
      <c r="C82" s="16" t="inlineStr">
        <is>
          <t>Charges copropriété</t>
        </is>
      </c>
      <c r="D82" s="16" t="inlineStr">
        <is>
          <t>Appartement A – Casablanca</t>
        </is>
      </c>
      <c r="E82" s="16" t="inlineStr">
        <is>
          <t>614</t>
        </is>
      </c>
      <c r="F82" s="16" t="inlineStr">
        <is>
          <t>512</t>
        </is>
      </c>
      <c r="G82" s="52" t="n">
        <v>180</v>
      </c>
      <c r="H82" s="52" t="n">
        <v>0</v>
      </c>
      <c r="I82" s="53">
        <f>N(G82)+N(H82)</f>
        <v/>
      </c>
      <c r="J82" s="16" t="inlineStr">
        <is>
          <t>Syndic</t>
        </is>
      </c>
      <c r="K82" s="16" t="inlineStr">
        <is>
          <t>Prélèvement</t>
        </is>
      </c>
      <c r="L82" s="16" t="inlineStr">
        <is>
          <t>Copropriété</t>
        </is>
      </c>
      <c r="M82" s="16" t="inlineStr"/>
      <c r="N82" s="54">
        <f>IF(A82="","",EOMONTH(A82,-1)+1)</f>
        <v/>
      </c>
      <c r="O82" s="22">
        <f>IF(AND(N(A82)&gt;=N(01_Parametres!$B$11),N(A82)&lt;=N(01_Parametres!$B$12)),1,0)</f>
        <v/>
      </c>
      <c r="P82" s="74">
        <f>IF(E82="","",IFERROR(VLOOKUP(E82,02_Plan_Comptable!$A$5:$C$84,3,FALSE),""))</f>
        <v/>
      </c>
      <c r="Q82" s="74">
        <f>IF(F82="","",IFERROR(VLOOKUP(F82,02_Plan_Comptable!$A$5:$C$84,3,FALSE),""))</f>
        <v/>
      </c>
    </row>
    <row r="83">
      <c r="A83" s="51" t="n">
        <v>46305</v>
      </c>
      <c r="B83" s="16" t="inlineStr">
        <is>
          <t>CP10-Studio B</t>
        </is>
      </c>
      <c r="C83" s="16" t="inlineStr">
        <is>
          <t>Charges copropriété</t>
        </is>
      </c>
      <c r="D83" s="16" t="inlineStr">
        <is>
          <t>Studio B – Rabat</t>
        </is>
      </c>
      <c r="E83" s="16" t="inlineStr">
        <is>
          <t>614</t>
        </is>
      </c>
      <c r="F83" s="16" t="inlineStr">
        <is>
          <t>512</t>
        </is>
      </c>
      <c r="G83" s="52" t="n">
        <v>120</v>
      </c>
      <c r="H83" s="52" t="n">
        <v>0</v>
      </c>
      <c r="I83" s="53">
        <f>N(G83)+N(H83)</f>
        <v/>
      </c>
      <c r="J83" s="16" t="inlineStr">
        <is>
          <t>Syndic</t>
        </is>
      </c>
      <c r="K83" s="16" t="inlineStr">
        <is>
          <t>Prélèvement</t>
        </is>
      </c>
      <c r="L83" s="16" t="inlineStr">
        <is>
          <t>Copropriété</t>
        </is>
      </c>
      <c r="M83" s="16" t="inlineStr"/>
      <c r="N83" s="54">
        <f>IF(A83="","",EOMONTH(A83,-1)+1)</f>
        <v/>
      </c>
      <c r="O83" s="22">
        <f>IF(AND(N(A83)&gt;=N(01_Parametres!$B$11),N(A83)&lt;=N(01_Parametres!$B$12)),1,0)</f>
        <v/>
      </c>
      <c r="P83" s="74">
        <f>IF(E83="","",IFERROR(VLOOKUP(E83,02_Plan_Comptable!$A$5:$C$84,3,FALSE),""))</f>
        <v/>
      </c>
      <c r="Q83" s="74">
        <f>IF(F83="","",IFERROR(VLOOKUP(F83,02_Plan_Comptable!$A$5:$C$84,3,FALSE),""))</f>
        <v/>
      </c>
    </row>
    <row r="84">
      <c r="A84" s="51" t="n">
        <v>46323</v>
      </c>
      <c r="B84" s="16" t="inlineStr">
        <is>
          <t>GL10</t>
        </is>
      </c>
      <c r="C84" s="16" t="inlineStr">
        <is>
          <t>Frais gestion locative</t>
        </is>
      </c>
      <c r="D84" s="16" t="inlineStr"/>
      <c r="E84" s="16" t="inlineStr">
        <is>
          <t>6226</t>
        </is>
      </c>
      <c r="F84" s="16" t="inlineStr">
        <is>
          <t>512</t>
        </is>
      </c>
      <c r="G84" s="52" t="n">
        <v>150</v>
      </c>
      <c r="H84" s="52" t="n">
        <v>0</v>
      </c>
      <c r="I84" s="53">
        <f>N(G84)+N(H84)</f>
        <v/>
      </c>
      <c r="J84" s="16" t="inlineStr">
        <is>
          <t>Agence Gestion</t>
        </is>
      </c>
      <c r="K84" s="16" t="inlineStr">
        <is>
          <t>Prélèvement</t>
        </is>
      </c>
      <c r="L84" s="16" t="inlineStr">
        <is>
          <t>Gestion locative</t>
        </is>
      </c>
      <c r="M84" s="16" t="inlineStr"/>
      <c r="N84" s="54">
        <f>IF(A84="","",EOMONTH(A84,-1)+1)</f>
        <v/>
      </c>
      <c r="O84" s="22">
        <f>IF(AND(N(A84)&gt;=N(01_Parametres!$B$11),N(A84)&lt;=N(01_Parametres!$B$12)),1,0)</f>
        <v/>
      </c>
      <c r="P84" s="74">
        <f>IF(E84="","",IFERROR(VLOOKUP(E84,02_Plan_Comptable!$A$5:$C$84,3,FALSE),""))</f>
        <v/>
      </c>
      <c r="Q84" s="74">
        <f>IF(F84="","",IFERROR(VLOOKUP(F84,02_Plan_Comptable!$A$5:$C$84,3,FALSE),""))</f>
        <v/>
      </c>
    </row>
    <row r="85">
      <c r="A85" s="51" t="n">
        <v>46323</v>
      </c>
      <c r="B85" s="16" t="inlineStr">
        <is>
          <t>BF10</t>
        </is>
      </c>
      <c r="C85" s="16" t="inlineStr">
        <is>
          <t>Frais bancaires</t>
        </is>
      </c>
      <c r="D85" s="16" t="inlineStr"/>
      <c r="E85" s="16" t="inlineStr">
        <is>
          <t>627</t>
        </is>
      </c>
      <c r="F85" s="16" t="inlineStr">
        <is>
          <t>512</t>
        </is>
      </c>
      <c r="G85" s="52" t="n">
        <v>12</v>
      </c>
      <c r="H85" s="52" t="n">
        <v>0</v>
      </c>
      <c r="I85" s="53">
        <f>N(G85)+N(H85)</f>
        <v/>
      </c>
      <c r="J85" s="16" t="inlineStr">
        <is>
          <t>Banque</t>
        </is>
      </c>
      <c r="K85" s="16" t="inlineStr">
        <is>
          <t>Prélèvement</t>
        </is>
      </c>
      <c r="L85" s="16" t="inlineStr">
        <is>
          <t>Frais bancaires</t>
        </is>
      </c>
      <c r="M85" s="16" t="inlineStr"/>
      <c r="N85" s="54">
        <f>IF(A85="","",EOMONTH(A85,-1)+1)</f>
        <v/>
      </c>
      <c r="O85" s="22">
        <f>IF(AND(N(A85)&gt;=N(01_Parametres!$B$11),N(A85)&lt;=N(01_Parametres!$B$12)),1,0)</f>
        <v/>
      </c>
      <c r="P85" s="74">
        <f>IF(E85="","",IFERROR(VLOOKUP(E85,02_Plan_Comptable!$A$5:$C$84,3,FALSE),""))</f>
        <v/>
      </c>
      <c r="Q85" s="74">
        <f>IF(F85="","",IFERROR(VLOOKUP(F85,02_Plan_Comptable!$A$5:$C$84,3,FALSE),""))</f>
        <v/>
      </c>
    </row>
    <row r="86">
      <c r="A86" s="51" t="n">
        <v>46310</v>
      </c>
      <c r="B86" s="16" t="inlineStr">
        <is>
          <t>EM10-CAP</t>
        </is>
      </c>
      <c r="C86" s="16" t="inlineStr">
        <is>
          <t>Mensualité emprunt (capital)</t>
        </is>
      </c>
      <c r="D86" s="16" t="inlineStr"/>
      <c r="E86" s="16" t="inlineStr">
        <is>
          <t>164</t>
        </is>
      </c>
      <c r="F86" s="16" t="inlineStr">
        <is>
          <t>512</t>
        </is>
      </c>
      <c r="G86" s="52" t="n">
        <v>587.4</v>
      </c>
      <c r="H86" s="52" t="n">
        <v>0</v>
      </c>
      <c r="I86" s="53">
        <f>N(G86)+N(H86)</f>
        <v/>
      </c>
      <c r="J86" s="16" t="inlineStr">
        <is>
          <t>Banque</t>
        </is>
      </c>
      <c r="K86" s="16" t="inlineStr">
        <is>
          <t>Prélèvement</t>
        </is>
      </c>
      <c r="L86" s="16" t="inlineStr">
        <is>
          <t>Emprunt - capital</t>
        </is>
      </c>
      <c r="M86" s="16" t="inlineStr"/>
      <c r="N86" s="54">
        <f>IF(A86="","",EOMONTH(A86,-1)+1)</f>
        <v/>
      </c>
      <c r="O86" s="22">
        <f>IF(AND(N(A86)&gt;=N(01_Parametres!$B$11),N(A86)&lt;=N(01_Parametres!$B$12)),1,0)</f>
        <v/>
      </c>
      <c r="P86" s="74">
        <f>IF(E86="","",IFERROR(VLOOKUP(E86,02_Plan_Comptable!$A$5:$C$84,3,FALSE),""))</f>
        <v/>
      </c>
      <c r="Q86" s="74">
        <f>IF(F86="","",IFERROR(VLOOKUP(F86,02_Plan_Comptable!$A$5:$C$84,3,FALSE),""))</f>
        <v/>
      </c>
    </row>
    <row r="87">
      <c r="A87" s="51" t="n">
        <v>46310</v>
      </c>
      <c r="B87" s="16" t="inlineStr">
        <is>
          <t>EM10-INT</t>
        </is>
      </c>
      <c r="C87" s="16" t="inlineStr">
        <is>
          <t>Mensualité emprunt (intérêts)</t>
        </is>
      </c>
      <c r="D87" s="16" t="inlineStr"/>
      <c r="E87" s="16" t="inlineStr">
        <is>
          <t>661</t>
        </is>
      </c>
      <c r="F87" s="16" t="inlineStr">
        <is>
          <t>512</t>
        </is>
      </c>
      <c r="G87" s="52" t="n">
        <v>362.6</v>
      </c>
      <c r="H87" s="52" t="n">
        <v>0</v>
      </c>
      <c r="I87" s="53">
        <f>N(G87)+N(H87)</f>
        <v/>
      </c>
      <c r="J87" s="16" t="inlineStr">
        <is>
          <t>Banque</t>
        </is>
      </c>
      <c r="K87" s="16" t="inlineStr">
        <is>
          <t>Prélèvement</t>
        </is>
      </c>
      <c r="L87" s="16" t="inlineStr">
        <is>
          <t>Emprunt - intérêts</t>
        </is>
      </c>
      <c r="M87" s="16" t="inlineStr"/>
      <c r="N87" s="54">
        <f>IF(A87="","",EOMONTH(A87,-1)+1)</f>
        <v/>
      </c>
      <c r="O87" s="22">
        <f>IF(AND(N(A87)&gt;=N(01_Parametres!$B$11),N(A87)&lt;=N(01_Parametres!$B$12)),1,0)</f>
        <v/>
      </c>
      <c r="P87" s="74">
        <f>IF(E87="","",IFERROR(VLOOKUP(E87,02_Plan_Comptable!$A$5:$C$84,3,FALSE),""))</f>
        <v/>
      </c>
      <c r="Q87" s="74">
        <f>IF(F87="","",IFERROR(VLOOKUP(F87,02_Plan_Comptable!$A$5:$C$84,3,FALSE),""))</f>
        <v/>
      </c>
    </row>
    <row r="88">
      <c r="A88" s="51" t="n">
        <v>46331</v>
      </c>
      <c r="B88" s="16" t="inlineStr">
        <is>
          <t>LOY11-1100</t>
        </is>
      </c>
      <c r="C88" s="16" t="inlineStr">
        <is>
          <t>Encaissement loyer</t>
        </is>
      </c>
      <c r="D88" s="16" t="inlineStr">
        <is>
          <t>Appartement A – Casablanca</t>
        </is>
      </c>
      <c r="E88" s="16" t="inlineStr">
        <is>
          <t>512</t>
        </is>
      </c>
      <c r="F88" s="16" t="inlineStr">
        <is>
          <t>706</t>
        </is>
      </c>
      <c r="G88" s="52" t="n">
        <v>1100</v>
      </c>
      <c r="H88" s="52" t="n">
        <v>0</v>
      </c>
      <c r="I88" s="53">
        <f>N(G88)+N(H88)</f>
        <v/>
      </c>
      <c r="J88" s="16" t="inlineStr">
        <is>
          <t>M. Karim El Amrani</t>
        </is>
      </c>
      <c r="K88" s="16" t="inlineStr">
        <is>
          <t>Virement</t>
        </is>
      </c>
      <c r="L88" s="16" t="inlineStr">
        <is>
          <t>Loyer</t>
        </is>
      </c>
      <c r="M88" s="16" t="inlineStr"/>
      <c r="N88" s="54">
        <f>IF(A88="","",EOMONTH(A88,-1)+1)</f>
        <v/>
      </c>
      <c r="O88" s="22">
        <f>IF(AND(N(A88)&gt;=N(01_Parametres!$B$11),N(A88)&lt;=N(01_Parametres!$B$12)),1,0)</f>
        <v/>
      </c>
      <c r="P88" s="74">
        <f>IF(E88="","",IFERROR(VLOOKUP(E88,02_Plan_Comptable!$A$5:$C$84,3,FALSE),""))</f>
        <v/>
      </c>
      <c r="Q88" s="74">
        <f>IF(F88="","",IFERROR(VLOOKUP(F88,02_Plan_Comptable!$A$5:$C$84,3,FALSE),""))</f>
        <v/>
      </c>
    </row>
    <row r="89">
      <c r="A89" s="51" t="n">
        <v>46331</v>
      </c>
      <c r="B89" s="16" t="inlineStr">
        <is>
          <t>LOY11-750</t>
        </is>
      </c>
      <c r="C89" s="16" t="inlineStr">
        <is>
          <t>Encaissement loyer</t>
        </is>
      </c>
      <c r="D89" s="16" t="inlineStr">
        <is>
          <t>Studio B – Rabat</t>
        </is>
      </c>
      <c r="E89" s="16" t="inlineStr">
        <is>
          <t>512</t>
        </is>
      </c>
      <c r="F89" s="16" t="inlineStr">
        <is>
          <t>706</t>
        </is>
      </c>
      <c r="G89" s="52" t="n">
        <v>750</v>
      </c>
      <c r="H89" s="52" t="n">
        <v>0</v>
      </c>
      <c r="I89" s="53">
        <f>N(G89)+N(H89)</f>
        <v/>
      </c>
      <c r="J89" s="16" t="inlineStr">
        <is>
          <t>Mme Sofia Benali</t>
        </is>
      </c>
      <c r="K89" s="16" t="inlineStr">
        <is>
          <t>Virement</t>
        </is>
      </c>
      <c r="L89" s="16" t="inlineStr">
        <is>
          <t>Loyer</t>
        </is>
      </c>
      <c r="M89" s="16" t="inlineStr"/>
      <c r="N89" s="54">
        <f>IF(A89="","",EOMONTH(A89,-1)+1)</f>
        <v/>
      </c>
      <c r="O89" s="22">
        <f>IF(AND(N(A89)&gt;=N(01_Parametres!$B$11),N(A89)&lt;=N(01_Parametres!$B$12)),1,0)</f>
        <v/>
      </c>
      <c r="P89" s="74">
        <f>IF(E89="","",IFERROR(VLOOKUP(E89,02_Plan_Comptable!$A$5:$C$84,3,FALSE),""))</f>
        <v/>
      </c>
      <c r="Q89" s="74">
        <f>IF(F89="","",IFERROR(VLOOKUP(F89,02_Plan_Comptable!$A$5:$C$84,3,FALSE),""))</f>
        <v/>
      </c>
    </row>
    <row r="90">
      <c r="A90" s="51" t="n">
        <v>46336</v>
      </c>
      <c r="B90" s="16" t="inlineStr">
        <is>
          <t>CP11-Appartement A</t>
        </is>
      </c>
      <c r="C90" s="16" t="inlineStr">
        <is>
          <t>Charges copropriété</t>
        </is>
      </c>
      <c r="D90" s="16" t="inlineStr">
        <is>
          <t>Appartement A – Casablanca</t>
        </is>
      </c>
      <c r="E90" s="16" t="inlineStr">
        <is>
          <t>614</t>
        </is>
      </c>
      <c r="F90" s="16" t="inlineStr">
        <is>
          <t>512</t>
        </is>
      </c>
      <c r="G90" s="52" t="n">
        <v>180</v>
      </c>
      <c r="H90" s="52" t="n">
        <v>0</v>
      </c>
      <c r="I90" s="53">
        <f>N(G90)+N(H90)</f>
        <v/>
      </c>
      <c r="J90" s="16" t="inlineStr">
        <is>
          <t>Syndic</t>
        </is>
      </c>
      <c r="K90" s="16" t="inlineStr">
        <is>
          <t>Prélèvement</t>
        </is>
      </c>
      <c r="L90" s="16" t="inlineStr">
        <is>
          <t>Copropriété</t>
        </is>
      </c>
      <c r="M90" s="16" t="inlineStr"/>
      <c r="N90" s="54">
        <f>IF(A90="","",EOMONTH(A90,-1)+1)</f>
        <v/>
      </c>
      <c r="O90" s="22">
        <f>IF(AND(N(A90)&gt;=N(01_Parametres!$B$11),N(A90)&lt;=N(01_Parametres!$B$12)),1,0)</f>
        <v/>
      </c>
      <c r="P90" s="74">
        <f>IF(E90="","",IFERROR(VLOOKUP(E90,02_Plan_Comptable!$A$5:$C$84,3,FALSE),""))</f>
        <v/>
      </c>
      <c r="Q90" s="74">
        <f>IF(F90="","",IFERROR(VLOOKUP(F90,02_Plan_Comptable!$A$5:$C$84,3,FALSE),""))</f>
        <v/>
      </c>
    </row>
    <row r="91">
      <c r="A91" s="51" t="n">
        <v>46336</v>
      </c>
      <c r="B91" s="16" t="inlineStr">
        <is>
          <t>CP11-Studio B</t>
        </is>
      </c>
      <c r="C91" s="16" t="inlineStr">
        <is>
          <t>Charges copropriété</t>
        </is>
      </c>
      <c r="D91" s="16" t="inlineStr">
        <is>
          <t>Studio B – Rabat</t>
        </is>
      </c>
      <c r="E91" s="16" t="inlineStr">
        <is>
          <t>614</t>
        </is>
      </c>
      <c r="F91" s="16" t="inlineStr">
        <is>
          <t>512</t>
        </is>
      </c>
      <c r="G91" s="52" t="n">
        <v>120</v>
      </c>
      <c r="H91" s="52" t="n">
        <v>0</v>
      </c>
      <c r="I91" s="53">
        <f>N(G91)+N(H91)</f>
        <v/>
      </c>
      <c r="J91" s="16" t="inlineStr">
        <is>
          <t>Syndic</t>
        </is>
      </c>
      <c r="K91" s="16" t="inlineStr">
        <is>
          <t>Prélèvement</t>
        </is>
      </c>
      <c r="L91" s="16" t="inlineStr">
        <is>
          <t>Copropriété</t>
        </is>
      </c>
      <c r="M91" s="16" t="inlineStr"/>
      <c r="N91" s="54">
        <f>IF(A91="","",EOMONTH(A91,-1)+1)</f>
        <v/>
      </c>
      <c r="O91" s="22">
        <f>IF(AND(N(A91)&gt;=N(01_Parametres!$B$11),N(A91)&lt;=N(01_Parametres!$B$12)),1,0)</f>
        <v/>
      </c>
      <c r="P91" s="74">
        <f>IF(E91="","",IFERROR(VLOOKUP(E91,02_Plan_Comptable!$A$5:$C$84,3,FALSE),""))</f>
        <v/>
      </c>
      <c r="Q91" s="74">
        <f>IF(F91="","",IFERROR(VLOOKUP(F91,02_Plan_Comptable!$A$5:$C$84,3,FALSE),""))</f>
        <v/>
      </c>
    </row>
    <row r="92">
      <c r="A92" s="51" t="n">
        <v>46354</v>
      </c>
      <c r="B92" s="16" t="inlineStr">
        <is>
          <t>GL11</t>
        </is>
      </c>
      <c r="C92" s="16" t="inlineStr">
        <is>
          <t>Frais gestion locative</t>
        </is>
      </c>
      <c r="D92" s="16" t="inlineStr"/>
      <c r="E92" s="16" t="inlineStr">
        <is>
          <t>6226</t>
        </is>
      </c>
      <c r="F92" s="16" t="inlineStr">
        <is>
          <t>512</t>
        </is>
      </c>
      <c r="G92" s="52" t="n">
        <v>150</v>
      </c>
      <c r="H92" s="52" t="n">
        <v>0</v>
      </c>
      <c r="I92" s="53">
        <f>N(G92)+N(H92)</f>
        <v/>
      </c>
      <c r="J92" s="16" t="inlineStr">
        <is>
          <t>Agence Gestion</t>
        </is>
      </c>
      <c r="K92" s="16" t="inlineStr">
        <is>
          <t>Prélèvement</t>
        </is>
      </c>
      <c r="L92" s="16" t="inlineStr">
        <is>
          <t>Gestion locative</t>
        </is>
      </c>
      <c r="M92" s="16" t="inlineStr"/>
      <c r="N92" s="54">
        <f>IF(A92="","",EOMONTH(A92,-1)+1)</f>
        <v/>
      </c>
      <c r="O92" s="22">
        <f>IF(AND(N(A92)&gt;=N(01_Parametres!$B$11),N(A92)&lt;=N(01_Parametres!$B$12)),1,0)</f>
        <v/>
      </c>
      <c r="P92" s="74">
        <f>IF(E92="","",IFERROR(VLOOKUP(E92,02_Plan_Comptable!$A$5:$C$84,3,FALSE),""))</f>
        <v/>
      </c>
      <c r="Q92" s="74">
        <f>IF(F92="","",IFERROR(VLOOKUP(F92,02_Plan_Comptable!$A$5:$C$84,3,FALSE),""))</f>
        <v/>
      </c>
    </row>
    <row r="93">
      <c r="A93" s="51" t="n">
        <v>46354</v>
      </c>
      <c r="B93" s="16" t="inlineStr">
        <is>
          <t>BF11</t>
        </is>
      </c>
      <c r="C93" s="16" t="inlineStr">
        <is>
          <t>Frais bancaires</t>
        </is>
      </c>
      <c r="D93" s="16" t="inlineStr"/>
      <c r="E93" s="16" t="inlineStr">
        <is>
          <t>627</t>
        </is>
      </c>
      <c r="F93" s="16" t="inlineStr">
        <is>
          <t>512</t>
        </is>
      </c>
      <c r="G93" s="52" t="n">
        <v>12</v>
      </c>
      <c r="H93" s="52" t="n">
        <v>0</v>
      </c>
      <c r="I93" s="53">
        <f>N(G93)+N(H93)</f>
        <v/>
      </c>
      <c r="J93" s="16" t="inlineStr">
        <is>
          <t>Banque</t>
        </is>
      </c>
      <c r="K93" s="16" t="inlineStr">
        <is>
          <t>Prélèvement</t>
        </is>
      </c>
      <c r="L93" s="16" t="inlineStr">
        <is>
          <t>Frais bancaires</t>
        </is>
      </c>
      <c r="M93" s="16" t="inlineStr"/>
      <c r="N93" s="54">
        <f>IF(A93="","",EOMONTH(A93,-1)+1)</f>
        <v/>
      </c>
      <c r="O93" s="22">
        <f>IF(AND(N(A93)&gt;=N(01_Parametres!$B$11),N(A93)&lt;=N(01_Parametres!$B$12)),1,0)</f>
        <v/>
      </c>
      <c r="P93" s="74">
        <f>IF(E93="","",IFERROR(VLOOKUP(E93,02_Plan_Comptable!$A$5:$C$84,3,FALSE),""))</f>
        <v/>
      </c>
      <c r="Q93" s="74">
        <f>IF(F93="","",IFERROR(VLOOKUP(F93,02_Plan_Comptable!$A$5:$C$84,3,FALSE),""))</f>
        <v/>
      </c>
    </row>
    <row r="94">
      <c r="A94" s="51" t="n">
        <v>46341</v>
      </c>
      <c r="B94" s="16" t="inlineStr">
        <is>
          <t>EM11-CAP</t>
        </is>
      </c>
      <c r="C94" s="16" t="inlineStr">
        <is>
          <t>Mensualité emprunt (capital)</t>
        </is>
      </c>
      <c r="D94" s="16" t="inlineStr"/>
      <c r="E94" s="16" t="inlineStr">
        <is>
          <t>164</t>
        </is>
      </c>
      <c r="F94" s="16" t="inlineStr">
        <is>
          <t>512</t>
        </is>
      </c>
      <c r="G94" s="52" t="n">
        <v>588.63</v>
      </c>
      <c r="H94" s="52" t="n">
        <v>0</v>
      </c>
      <c r="I94" s="53">
        <f>N(G94)+N(H94)</f>
        <v/>
      </c>
      <c r="J94" s="16" t="inlineStr">
        <is>
          <t>Banque</t>
        </is>
      </c>
      <c r="K94" s="16" t="inlineStr">
        <is>
          <t>Prélèvement</t>
        </is>
      </c>
      <c r="L94" s="16" t="inlineStr">
        <is>
          <t>Emprunt - capital</t>
        </is>
      </c>
      <c r="M94" s="16" t="inlineStr"/>
      <c r="N94" s="54">
        <f>IF(A94="","",EOMONTH(A94,-1)+1)</f>
        <v/>
      </c>
      <c r="O94" s="22">
        <f>IF(AND(N(A94)&gt;=N(01_Parametres!$B$11),N(A94)&lt;=N(01_Parametres!$B$12)),1,0)</f>
        <v/>
      </c>
      <c r="P94" s="74">
        <f>IF(E94="","",IFERROR(VLOOKUP(E94,02_Plan_Comptable!$A$5:$C$84,3,FALSE),""))</f>
        <v/>
      </c>
      <c r="Q94" s="74">
        <f>IF(F94="","",IFERROR(VLOOKUP(F94,02_Plan_Comptable!$A$5:$C$84,3,FALSE),""))</f>
        <v/>
      </c>
    </row>
    <row r="95">
      <c r="A95" s="51" t="n">
        <v>46341</v>
      </c>
      <c r="B95" s="16" t="inlineStr">
        <is>
          <t>EM11-INT</t>
        </is>
      </c>
      <c r="C95" s="16" t="inlineStr">
        <is>
          <t>Mensualité emprunt (intérêts)</t>
        </is>
      </c>
      <c r="D95" s="16" t="inlineStr"/>
      <c r="E95" s="16" t="inlineStr">
        <is>
          <t>661</t>
        </is>
      </c>
      <c r="F95" s="16" t="inlineStr">
        <is>
          <t>512</t>
        </is>
      </c>
      <c r="G95" s="52" t="n">
        <v>361.37</v>
      </c>
      <c r="H95" s="52" t="n">
        <v>0</v>
      </c>
      <c r="I95" s="53">
        <f>N(G95)+N(H95)</f>
        <v/>
      </c>
      <c r="J95" s="16" t="inlineStr">
        <is>
          <t>Banque</t>
        </is>
      </c>
      <c r="K95" s="16" t="inlineStr">
        <is>
          <t>Prélèvement</t>
        </is>
      </c>
      <c r="L95" s="16" t="inlineStr">
        <is>
          <t>Emprunt - intérêts</t>
        </is>
      </c>
      <c r="M95" s="16" t="inlineStr"/>
      <c r="N95" s="54">
        <f>IF(A95="","",EOMONTH(A95,-1)+1)</f>
        <v/>
      </c>
      <c r="O95" s="22">
        <f>IF(AND(N(A95)&gt;=N(01_Parametres!$B$11),N(A95)&lt;=N(01_Parametres!$B$12)),1,0)</f>
        <v/>
      </c>
      <c r="P95" s="74">
        <f>IF(E95="","",IFERROR(VLOOKUP(E95,02_Plan_Comptable!$A$5:$C$84,3,FALSE),""))</f>
        <v/>
      </c>
      <c r="Q95" s="74">
        <f>IF(F95="","",IFERROR(VLOOKUP(F95,02_Plan_Comptable!$A$5:$C$84,3,FALSE),""))</f>
        <v/>
      </c>
    </row>
    <row r="96">
      <c r="A96" s="51" t="n">
        <v>46361</v>
      </c>
      <c r="B96" s="16" t="inlineStr">
        <is>
          <t>LOY12-1100</t>
        </is>
      </c>
      <c r="C96" s="16" t="inlineStr">
        <is>
          <t>Encaissement loyer</t>
        </is>
      </c>
      <c r="D96" s="16" t="inlineStr">
        <is>
          <t>Appartement A – Casablanca</t>
        </is>
      </c>
      <c r="E96" s="16" t="inlineStr">
        <is>
          <t>512</t>
        </is>
      </c>
      <c r="F96" s="16" t="inlineStr">
        <is>
          <t>706</t>
        </is>
      </c>
      <c r="G96" s="52" t="n">
        <v>1100</v>
      </c>
      <c r="H96" s="52" t="n">
        <v>0</v>
      </c>
      <c r="I96" s="53">
        <f>N(G96)+N(H96)</f>
        <v/>
      </c>
      <c r="J96" s="16" t="inlineStr">
        <is>
          <t>M. Karim El Amrani</t>
        </is>
      </c>
      <c r="K96" s="16" t="inlineStr">
        <is>
          <t>Virement</t>
        </is>
      </c>
      <c r="L96" s="16" t="inlineStr">
        <is>
          <t>Loyer</t>
        </is>
      </c>
      <c r="M96" s="16" t="inlineStr"/>
      <c r="N96" s="54">
        <f>IF(A96="","",EOMONTH(A96,-1)+1)</f>
        <v/>
      </c>
      <c r="O96" s="22">
        <f>IF(AND(N(A96)&gt;=N(01_Parametres!$B$11),N(A96)&lt;=N(01_Parametres!$B$12)),1,0)</f>
        <v/>
      </c>
      <c r="P96" s="74">
        <f>IF(E96="","",IFERROR(VLOOKUP(E96,02_Plan_Comptable!$A$5:$C$84,3,FALSE),""))</f>
        <v/>
      </c>
      <c r="Q96" s="74">
        <f>IF(F96="","",IFERROR(VLOOKUP(F96,02_Plan_Comptable!$A$5:$C$84,3,FALSE),""))</f>
        <v/>
      </c>
    </row>
    <row r="97">
      <c r="A97" s="51" t="n">
        <v>46361</v>
      </c>
      <c r="B97" s="16" t="inlineStr">
        <is>
          <t>LOY12-750</t>
        </is>
      </c>
      <c r="C97" s="16" t="inlineStr">
        <is>
          <t>Encaissement loyer</t>
        </is>
      </c>
      <c r="D97" s="16" t="inlineStr">
        <is>
          <t>Studio B – Rabat</t>
        </is>
      </c>
      <c r="E97" s="16" t="inlineStr">
        <is>
          <t>512</t>
        </is>
      </c>
      <c r="F97" s="16" t="inlineStr">
        <is>
          <t>706</t>
        </is>
      </c>
      <c r="G97" s="52" t="n">
        <v>750</v>
      </c>
      <c r="H97" s="52" t="n">
        <v>0</v>
      </c>
      <c r="I97" s="53">
        <f>N(G97)+N(H97)</f>
        <v/>
      </c>
      <c r="J97" s="16" t="inlineStr">
        <is>
          <t>Mme Sofia Benali</t>
        </is>
      </c>
      <c r="K97" s="16" t="inlineStr">
        <is>
          <t>Virement</t>
        </is>
      </c>
      <c r="L97" s="16" t="inlineStr">
        <is>
          <t>Loyer</t>
        </is>
      </c>
      <c r="M97" s="16" t="inlineStr"/>
      <c r="N97" s="54">
        <f>IF(A97="","",EOMONTH(A97,-1)+1)</f>
        <v/>
      </c>
      <c r="O97" s="22">
        <f>IF(AND(N(A97)&gt;=N(01_Parametres!$B$11),N(A97)&lt;=N(01_Parametres!$B$12)),1,0)</f>
        <v/>
      </c>
      <c r="P97" s="74">
        <f>IF(E97="","",IFERROR(VLOOKUP(E97,02_Plan_Comptable!$A$5:$C$84,3,FALSE),""))</f>
        <v/>
      </c>
      <c r="Q97" s="74">
        <f>IF(F97="","",IFERROR(VLOOKUP(F97,02_Plan_Comptable!$A$5:$C$84,3,FALSE),""))</f>
        <v/>
      </c>
    </row>
    <row r="98">
      <c r="A98" s="51" t="n">
        <v>46366</v>
      </c>
      <c r="B98" s="16" t="inlineStr">
        <is>
          <t>CP12-Appartement A</t>
        </is>
      </c>
      <c r="C98" s="16" t="inlineStr">
        <is>
          <t>Charges copropriété</t>
        </is>
      </c>
      <c r="D98" s="16" t="inlineStr">
        <is>
          <t>Appartement A – Casablanca</t>
        </is>
      </c>
      <c r="E98" s="16" t="inlineStr">
        <is>
          <t>614</t>
        </is>
      </c>
      <c r="F98" s="16" t="inlineStr">
        <is>
          <t>512</t>
        </is>
      </c>
      <c r="G98" s="52" t="n">
        <v>180</v>
      </c>
      <c r="H98" s="52" t="n">
        <v>0</v>
      </c>
      <c r="I98" s="53">
        <f>N(G98)+N(H98)</f>
        <v/>
      </c>
      <c r="J98" s="16" t="inlineStr">
        <is>
          <t>Syndic</t>
        </is>
      </c>
      <c r="K98" s="16" t="inlineStr">
        <is>
          <t>Prélèvement</t>
        </is>
      </c>
      <c r="L98" s="16" t="inlineStr">
        <is>
          <t>Copropriété</t>
        </is>
      </c>
      <c r="M98" s="16" t="inlineStr"/>
      <c r="N98" s="54">
        <f>IF(A98="","",EOMONTH(A98,-1)+1)</f>
        <v/>
      </c>
      <c r="O98" s="22">
        <f>IF(AND(N(A98)&gt;=N(01_Parametres!$B$11),N(A98)&lt;=N(01_Parametres!$B$12)),1,0)</f>
        <v/>
      </c>
      <c r="P98" s="74">
        <f>IF(E98="","",IFERROR(VLOOKUP(E98,02_Plan_Comptable!$A$5:$C$84,3,FALSE),""))</f>
        <v/>
      </c>
      <c r="Q98" s="74">
        <f>IF(F98="","",IFERROR(VLOOKUP(F98,02_Plan_Comptable!$A$5:$C$84,3,FALSE),""))</f>
        <v/>
      </c>
    </row>
    <row r="99">
      <c r="A99" s="51" t="n">
        <v>46366</v>
      </c>
      <c r="B99" s="16" t="inlineStr">
        <is>
          <t>CP12-Studio B</t>
        </is>
      </c>
      <c r="C99" s="16" t="inlineStr">
        <is>
          <t>Charges copropriété</t>
        </is>
      </c>
      <c r="D99" s="16" t="inlineStr">
        <is>
          <t>Studio B – Rabat</t>
        </is>
      </c>
      <c r="E99" s="16" t="inlineStr">
        <is>
          <t>614</t>
        </is>
      </c>
      <c r="F99" s="16" t="inlineStr">
        <is>
          <t>512</t>
        </is>
      </c>
      <c r="G99" s="52" t="n">
        <v>120</v>
      </c>
      <c r="H99" s="52" t="n">
        <v>0</v>
      </c>
      <c r="I99" s="53">
        <f>N(G99)+N(H99)</f>
        <v/>
      </c>
      <c r="J99" s="16" t="inlineStr">
        <is>
          <t>Syndic</t>
        </is>
      </c>
      <c r="K99" s="16" t="inlineStr">
        <is>
          <t>Prélèvement</t>
        </is>
      </c>
      <c r="L99" s="16" t="inlineStr">
        <is>
          <t>Copropriété</t>
        </is>
      </c>
      <c r="M99" s="16" t="inlineStr"/>
      <c r="N99" s="54">
        <f>IF(A99="","",EOMONTH(A99,-1)+1)</f>
        <v/>
      </c>
      <c r="O99" s="22">
        <f>IF(AND(N(A99)&gt;=N(01_Parametres!$B$11),N(A99)&lt;=N(01_Parametres!$B$12)),1,0)</f>
        <v/>
      </c>
      <c r="P99" s="74">
        <f>IF(E99="","",IFERROR(VLOOKUP(E99,02_Plan_Comptable!$A$5:$C$84,3,FALSE),""))</f>
        <v/>
      </c>
      <c r="Q99" s="74">
        <f>IF(F99="","",IFERROR(VLOOKUP(F99,02_Plan_Comptable!$A$5:$C$84,3,FALSE),""))</f>
        <v/>
      </c>
    </row>
    <row r="100">
      <c r="A100" s="51" t="n">
        <v>46384</v>
      </c>
      <c r="B100" s="16" t="inlineStr">
        <is>
          <t>GL12</t>
        </is>
      </c>
      <c r="C100" s="16" t="inlineStr">
        <is>
          <t>Frais gestion locative</t>
        </is>
      </c>
      <c r="D100" s="16" t="inlineStr"/>
      <c r="E100" s="16" t="inlineStr">
        <is>
          <t>6226</t>
        </is>
      </c>
      <c r="F100" s="16" t="inlineStr">
        <is>
          <t>512</t>
        </is>
      </c>
      <c r="G100" s="52" t="n">
        <v>150</v>
      </c>
      <c r="H100" s="52" t="n">
        <v>0</v>
      </c>
      <c r="I100" s="53">
        <f>N(G100)+N(H100)</f>
        <v/>
      </c>
      <c r="J100" s="16" t="inlineStr">
        <is>
          <t>Agence Gestion</t>
        </is>
      </c>
      <c r="K100" s="16" t="inlineStr">
        <is>
          <t>Prélèvement</t>
        </is>
      </c>
      <c r="L100" s="16" t="inlineStr">
        <is>
          <t>Gestion locative</t>
        </is>
      </c>
      <c r="M100" s="16" t="inlineStr"/>
      <c r="N100" s="54">
        <f>IF(A100="","",EOMONTH(A100,-1)+1)</f>
        <v/>
      </c>
      <c r="O100" s="22">
        <f>IF(AND(N(A100)&gt;=N(01_Parametres!$B$11),N(A100)&lt;=N(01_Parametres!$B$12)),1,0)</f>
        <v/>
      </c>
      <c r="P100" s="74">
        <f>IF(E100="","",IFERROR(VLOOKUP(E100,02_Plan_Comptable!$A$5:$C$84,3,FALSE),""))</f>
        <v/>
      </c>
      <c r="Q100" s="74">
        <f>IF(F100="","",IFERROR(VLOOKUP(F100,02_Plan_Comptable!$A$5:$C$84,3,FALSE),""))</f>
        <v/>
      </c>
    </row>
    <row r="101">
      <c r="A101" s="51" t="n">
        <v>46384</v>
      </c>
      <c r="B101" s="16" t="inlineStr">
        <is>
          <t>BF12</t>
        </is>
      </c>
      <c r="C101" s="16" t="inlineStr">
        <is>
          <t>Frais bancaires</t>
        </is>
      </c>
      <c r="D101" s="16" t="inlineStr"/>
      <c r="E101" s="16" t="inlineStr">
        <is>
          <t>627</t>
        </is>
      </c>
      <c r="F101" s="16" t="inlineStr">
        <is>
          <t>512</t>
        </is>
      </c>
      <c r="G101" s="52" t="n">
        <v>12</v>
      </c>
      <c r="H101" s="52" t="n">
        <v>0</v>
      </c>
      <c r="I101" s="53">
        <f>N(G101)+N(H101)</f>
        <v/>
      </c>
      <c r="J101" s="16" t="inlineStr">
        <is>
          <t>Banque</t>
        </is>
      </c>
      <c r="K101" s="16" t="inlineStr">
        <is>
          <t>Prélèvement</t>
        </is>
      </c>
      <c r="L101" s="16" t="inlineStr">
        <is>
          <t>Frais bancaires</t>
        </is>
      </c>
      <c r="M101" s="16" t="inlineStr"/>
      <c r="N101" s="54">
        <f>IF(A101="","",EOMONTH(A101,-1)+1)</f>
        <v/>
      </c>
      <c r="O101" s="22">
        <f>IF(AND(N(A101)&gt;=N(01_Parametres!$B$11),N(A101)&lt;=N(01_Parametres!$B$12)),1,0)</f>
        <v/>
      </c>
      <c r="P101" s="74">
        <f>IF(E101="","",IFERROR(VLOOKUP(E101,02_Plan_Comptable!$A$5:$C$84,3,FALSE),""))</f>
        <v/>
      </c>
      <c r="Q101" s="74">
        <f>IF(F101="","",IFERROR(VLOOKUP(F101,02_Plan_Comptable!$A$5:$C$84,3,FALSE),""))</f>
        <v/>
      </c>
    </row>
    <row r="102">
      <c r="A102" s="51" t="n">
        <v>46371</v>
      </c>
      <c r="B102" s="16" t="inlineStr">
        <is>
          <t>EM12-CAP</t>
        </is>
      </c>
      <c r="C102" s="16" t="inlineStr">
        <is>
          <t>Mensualité emprunt (capital)</t>
        </is>
      </c>
      <c r="D102" s="16" t="inlineStr"/>
      <c r="E102" s="16" t="inlineStr">
        <is>
          <t>164</t>
        </is>
      </c>
      <c r="F102" s="16" t="inlineStr">
        <is>
          <t>512</t>
        </is>
      </c>
      <c r="G102" s="52" t="n">
        <v>589.85</v>
      </c>
      <c r="H102" s="52" t="n">
        <v>0</v>
      </c>
      <c r="I102" s="53">
        <f>N(G102)+N(H102)</f>
        <v/>
      </c>
      <c r="J102" s="16" t="inlineStr">
        <is>
          <t>Banque</t>
        </is>
      </c>
      <c r="K102" s="16" t="inlineStr">
        <is>
          <t>Prélèvement</t>
        </is>
      </c>
      <c r="L102" s="16" t="inlineStr">
        <is>
          <t>Emprunt - capital</t>
        </is>
      </c>
      <c r="M102" s="16" t="inlineStr"/>
      <c r="N102" s="54">
        <f>IF(A102="","",EOMONTH(A102,-1)+1)</f>
        <v/>
      </c>
      <c r="O102" s="22">
        <f>IF(AND(N(A102)&gt;=N(01_Parametres!$B$11),N(A102)&lt;=N(01_Parametres!$B$12)),1,0)</f>
        <v/>
      </c>
      <c r="P102" s="74">
        <f>IF(E102="","",IFERROR(VLOOKUP(E102,02_Plan_Comptable!$A$5:$C$84,3,FALSE),""))</f>
        <v/>
      </c>
      <c r="Q102" s="74">
        <f>IF(F102="","",IFERROR(VLOOKUP(F102,02_Plan_Comptable!$A$5:$C$84,3,FALSE),""))</f>
        <v/>
      </c>
    </row>
    <row r="103">
      <c r="A103" s="51" t="n">
        <v>46371</v>
      </c>
      <c r="B103" s="16" t="inlineStr">
        <is>
          <t>EM12-INT</t>
        </is>
      </c>
      <c r="C103" s="16" t="inlineStr">
        <is>
          <t>Mensualité emprunt (intérêts)</t>
        </is>
      </c>
      <c r="D103" s="16" t="inlineStr"/>
      <c r="E103" s="16" t="inlineStr">
        <is>
          <t>661</t>
        </is>
      </c>
      <c r="F103" s="16" t="inlineStr">
        <is>
          <t>512</t>
        </is>
      </c>
      <c r="G103" s="52" t="n">
        <v>360.15</v>
      </c>
      <c r="H103" s="52" t="n">
        <v>0</v>
      </c>
      <c r="I103" s="53">
        <f>N(G103)+N(H103)</f>
        <v/>
      </c>
      <c r="J103" s="16" t="inlineStr">
        <is>
          <t>Banque</t>
        </is>
      </c>
      <c r="K103" s="16" t="inlineStr">
        <is>
          <t>Prélèvement</t>
        </is>
      </c>
      <c r="L103" s="16" t="inlineStr">
        <is>
          <t>Emprunt - intérêts</t>
        </is>
      </c>
      <c r="M103" s="16" t="inlineStr"/>
      <c r="N103" s="54">
        <f>IF(A103="","",EOMONTH(A103,-1)+1)</f>
        <v/>
      </c>
      <c r="O103" s="22">
        <f>IF(AND(N(A103)&gt;=N(01_Parametres!$B$11),N(A103)&lt;=N(01_Parametres!$B$12)),1,0)</f>
        <v/>
      </c>
      <c r="P103" s="74">
        <f>IF(E103="","",IFERROR(VLOOKUP(E103,02_Plan_Comptable!$A$5:$C$84,3,FALSE),""))</f>
        <v/>
      </c>
      <c r="Q103" s="74">
        <f>IF(F103="","",IFERROR(VLOOKUP(F103,02_Plan_Comptable!$A$5:$C$84,3,FALSE),""))</f>
        <v/>
      </c>
    </row>
    <row r="104">
      <c r="A104" s="51" t="n">
        <v>46103</v>
      </c>
      <c r="B104" s="16" t="inlineStr">
        <is>
          <t>TRX01</t>
        </is>
      </c>
      <c r="C104" s="16" t="inlineStr">
        <is>
          <t>Réparation plomberie</t>
        </is>
      </c>
      <c r="D104" s="16" t="inlineStr">
        <is>
          <t>Appartement A – Casablanca</t>
        </is>
      </c>
      <c r="E104" s="16" t="inlineStr">
        <is>
          <t>615</t>
        </is>
      </c>
      <c r="F104" s="16" t="inlineStr">
        <is>
          <t>512</t>
        </is>
      </c>
      <c r="G104" s="52" t="n">
        <v>450</v>
      </c>
      <c r="H104" s="52" t="n">
        <v>0</v>
      </c>
      <c r="I104" s="53">
        <f>N(G104)+N(H104)</f>
        <v/>
      </c>
      <c r="J104" s="16" t="inlineStr">
        <is>
          <t>Artisan</t>
        </is>
      </c>
      <c r="K104" s="16" t="inlineStr">
        <is>
          <t>Virement</t>
        </is>
      </c>
      <c r="L104" s="16" t="inlineStr">
        <is>
          <t>Travaux</t>
        </is>
      </c>
      <c r="M104" s="16" t="inlineStr"/>
      <c r="N104" s="54">
        <f>IF(A104="","",EOMONTH(A104,-1)+1)</f>
        <v/>
      </c>
      <c r="O104" s="22">
        <f>IF(AND(N(A104)&gt;=N(01_Parametres!$B$11),N(A104)&lt;=N(01_Parametres!$B$12)),1,0)</f>
        <v/>
      </c>
      <c r="P104" s="74">
        <f>IF(E104="","",IFERROR(VLOOKUP(E104,02_Plan_Comptable!$A$5:$C$84,3,FALSE),""))</f>
        <v/>
      </c>
      <c r="Q104" s="74">
        <f>IF(F104="","",IFERROR(VLOOKUP(F104,02_Plan_Comptable!$A$5:$C$84,3,FALSE),""))</f>
        <v/>
      </c>
    </row>
    <row r="105">
      <c r="A105" s="51" t="n">
        <v>46142</v>
      </c>
      <c r="B105" s="16" t="inlineStr">
        <is>
          <t>EC2026</t>
        </is>
      </c>
      <c r="C105" s="16" t="inlineStr">
        <is>
          <t>Honoraires expert-comptable</t>
        </is>
      </c>
      <c r="D105" s="16" t="inlineStr"/>
      <c r="E105" s="16" t="inlineStr">
        <is>
          <t>6226</t>
        </is>
      </c>
      <c r="F105" s="16" t="inlineStr">
        <is>
          <t>512</t>
        </is>
      </c>
      <c r="G105" s="52" t="n">
        <v>600</v>
      </c>
      <c r="H105" s="52" t="n">
        <v>0</v>
      </c>
      <c r="I105" s="53">
        <f>N(G105)+N(H105)</f>
        <v/>
      </c>
      <c r="J105" s="16" t="inlineStr">
        <is>
          <t>Cabinet Comptable</t>
        </is>
      </c>
      <c r="K105" s="16" t="inlineStr">
        <is>
          <t>Virement</t>
        </is>
      </c>
      <c r="L105" s="16" t="inlineStr">
        <is>
          <t>Honoraires</t>
        </is>
      </c>
      <c r="M105" s="16" t="inlineStr"/>
      <c r="N105" s="54">
        <f>IF(A105="","",EOMONTH(A105,-1)+1)</f>
        <v/>
      </c>
      <c r="O105" s="22">
        <f>IF(AND(N(A105)&gt;=N(01_Parametres!$B$11),N(A105)&lt;=N(01_Parametres!$B$12)),1,0)</f>
        <v/>
      </c>
      <c r="P105" s="74">
        <f>IF(E105="","",IFERROR(VLOOKUP(E105,02_Plan_Comptable!$A$5:$C$84,3,FALSE),""))</f>
        <v/>
      </c>
      <c r="Q105" s="74">
        <f>IF(F105="","",IFERROR(VLOOKUP(F105,02_Plan_Comptable!$A$5:$C$84,3,FALSE),""))</f>
        <v/>
      </c>
    </row>
    <row r="106">
      <c r="A106" s="51" t="n">
        <v>46315</v>
      </c>
      <c r="B106" s="16" t="inlineStr">
        <is>
          <t>TF2026</t>
        </is>
      </c>
      <c r="C106" s="16" t="inlineStr">
        <is>
          <t>Taxe foncière</t>
        </is>
      </c>
      <c r="D106" s="16" t="inlineStr"/>
      <c r="E106" s="16" t="inlineStr">
        <is>
          <t>63512</t>
        </is>
      </c>
      <c r="F106" s="16" t="inlineStr">
        <is>
          <t>512</t>
        </is>
      </c>
      <c r="G106" s="52" t="n">
        <v>1200</v>
      </c>
      <c r="H106" s="52" t="n">
        <v>0</v>
      </c>
      <c r="I106" s="53">
        <f>N(G106)+N(H106)</f>
        <v/>
      </c>
      <c r="J106" s="16" t="inlineStr">
        <is>
          <t>Trésor Public</t>
        </is>
      </c>
      <c r="K106" s="16" t="inlineStr">
        <is>
          <t>Virement</t>
        </is>
      </c>
      <c r="L106" s="16" t="inlineStr">
        <is>
          <t>Taxe foncière</t>
        </is>
      </c>
      <c r="M106" s="16" t="inlineStr"/>
      <c r="N106" s="54">
        <f>IF(A106="","",EOMONTH(A106,-1)+1)</f>
        <v/>
      </c>
      <c r="O106" s="22">
        <f>IF(AND(N(A106)&gt;=N(01_Parametres!$B$11),N(A106)&lt;=N(01_Parametres!$B$12)),1,0)</f>
        <v/>
      </c>
      <c r="P106" s="74">
        <f>IF(E106="","",IFERROR(VLOOKUP(E106,02_Plan_Comptable!$A$5:$C$84,3,FALSE),""))</f>
        <v/>
      </c>
      <c r="Q106" s="74">
        <f>IF(F106="","",IFERROR(VLOOKUP(F106,02_Plan_Comptable!$A$5:$C$84,3,FALSE),""))</f>
        <v/>
      </c>
    </row>
    <row r="107">
      <c r="A107" s="51" t="n">
        <v>46385</v>
      </c>
      <c r="B107" s="16" t="inlineStr">
        <is>
          <t>RET01</t>
        </is>
      </c>
      <c r="C107" s="16" t="inlineStr">
        <is>
          <t>Retrait associé (CCA)</t>
        </is>
      </c>
      <c r="D107" s="16" t="inlineStr"/>
      <c r="E107" s="16" t="inlineStr">
        <is>
          <t>108</t>
        </is>
      </c>
      <c r="F107" s="16" t="inlineStr">
        <is>
          <t>512</t>
        </is>
      </c>
      <c r="G107" s="52" t="n">
        <v>800</v>
      </c>
      <c r="H107" s="52" t="n">
        <v>0</v>
      </c>
      <c r="I107" s="53">
        <f>N(G107)+N(H107)</f>
        <v/>
      </c>
      <c r="J107" s="16" t="inlineStr">
        <is>
          <t>Associé(s)</t>
        </is>
      </c>
      <c r="K107" s="16" t="inlineStr">
        <is>
          <t>Virement</t>
        </is>
      </c>
      <c r="L107" s="16" t="inlineStr">
        <is>
          <t>Associés</t>
        </is>
      </c>
      <c r="M107" s="16" t="inlineStr"/>
      <c r="N107" s="54">
        <f>IF(A107="","",EOMONTH(A107,-1)+1)</f>
        <v/>
      </c>
      <c r="O107" s="22">
        <f>IF(AND(N(A107)&gt;=N(01_Parametres!$B$11),N(A107)&lt;=N(01_Parametres!$B$12)),1,0)</f>
        <v/>
      </c>
      <c r="P107" s="74">
        <f>IF(E107="","",IFERROR(VLOOKUP(E107,02_Plan_Comptable!$A$5:$C$84,3,FALSE),""))</f>
        <v/>
      </c>
      <c r="Q107" s="74">
        <f>IF(F107="","",IFERROR(VLOOKUP(F107,02_Plan_Comptable!$A$5:$C$84,3,FALSE),""))</f>
        <v/>
      </c>
    </row>
    <row r="108">
      <c r="A108" s="51" t="n"/>
      <c r="B108" s="16" t="n"/>
      <c r="C108" s="16" t="n"/>
      <c r="D108" s="16" t="n"/>
      <c r="E108" s="16" t="n"/>
      <c r="F108" s="16" t="n"/>
      <c r="G108" s="52" t="n"/>
      <c r="H108" s="52" t="n"/>
      <c r="I108" s="53">
        <f>N(G108)+N(H108)</f>
        <v/>
      </c>
      <c r="J108" s="16" t="n"/>
      <c r="K108" s="16" t="n"/>
      <c r="L108" s="16" t="n"/>
      <c r="M108" s="16" t="n"/>
      <c r="N108" s="54">
        <f>IF(A108="","",EOMONTH(A108,-1)+1)</f>
        <v/>
      </c>
      <c r="O108" s="22">
        <f>IF(AND(N(A108)&gt;=N(01_Parametres!$B$11),N(A108)&lt;=N(01_Parametres!$B$12)),1,0)</f>
        <v/>
      </c>
      <c r="P108" s="74">
        <f>IF(E108="","",IFERROR(VLOOKUP(E108,02_Plan_Comptable!$A$5:$C$84,3,FALSE),""))</f>
        <v/>
      </c>
      <c r="Q108" s="74">
        <f>IF(F108="","",IFERROR(VLOOKUP(F108,02_Plan_Comptable!$A$5:$C$84,3,FALSE),""))</f>
        <v/>
      </c>
    </row>
    <row r="109">
      <c r="A109" s="51" t="n"/>
      <c r="B109" s="16" t="n"/>
      <c r="C109" s="16" t="n"/>
      <c r="D109" s="16" t="n"/>
      <c r="E109" s="16" t="n"/>
      <c r="F109" s="16" t="n"/>
      <c r="G109" s="52" t="n"/>
      <c r="H109" s="52" t="n"/>
      <c r="I109" s="53">
        <f>N(G109)+N(H109)</f>
        <v/>
      </c>
      <c r="J109" s="16" t="n"/>
      <c r="K109" s="16" t="n"/>
      <c r="L109" s="16" t="n"/>
      <c r="M109" s="16" t="n"/>
      <c r="N109" s="54">
        <f>IF(A109="","",EOMONTH(A109,-1)+1)</f>
        <v/>
      </c>
      <c r="O109" s="22">
        <f>IF(AND(N(A109)&gt;=N(01_Parametres!$B$11),N(A109)&lt;=N(01_Parametres!$B$12)),1,0)</f>
        <v/>
      </c>
      <c r="P109" s="74">
        <f>IF(E109="","",IFERROR(VLOOKUP(E109,02_Plan_Comptable!$A$5:$C$84,3,FALSE),""))</f>
        <v/>
      </c>
      <c r="Q109" s="74">
        <f>IF(F109="","",IFERROR(VLOOKUP(F109,02_Plan_Comptable!$A$5:$C$84,3,FALSE),""))</f>
        <v/>
      </c>
    </row>
    <row r="110">
      <c r="A110" s="51" t="n"/>
      <c r="B110" s="16" t="n"/>
      <c r="C110" s="16" t="n"/>
      <c r="D110" s="16" t="n"/>
      <c r="E110" s="16" t="n"/>
      <c r="F110" s="16" t="n"/>
      <c r="G110" s="52" t="n"/>
      <c r="H110" s="52" t="n"/>
      <c r="I110" s="53">
        <f>N(G110)+N(H110)</f>
        <v/>
      </c>
      <c r="J110" s="16" t="n"/>
      <c r="K110" s="16" t="n"/>
      <c r="L110" s="16" t="n"/>
      <c r="M110" s="16" t="n"/>
      <c r="N110" s="54">
        <f>IF(A110="","",EOMONTH(A110,-1)+1)</f>
        <v/>
      </c>
      <c r="O110" s="22">
        <f>IF(AND(N(A110)&gt;=N(01_Parametres!$B$11),N(A110)&lt;=N(01_Parametres!$B$12)),1,0)</f>
        <v/>
      </c>
      <c r="P110" s="74">
        <f>IF(E110="","",IFERROR(VLOOKUP(E110,02_Plan_Comptable!$A$5:$C$84,3,FALSE),""))</f>
        <v/>
      </c>
      <c r="Q110" s="74">
        <f>IF(F110="","",IFERROR(VLOOKUP(F110,02_Plan_Comptable!$A$5:$C$84,3,FALSE),""))</f>
        <v/>
      </c>
    </row>
    <row r="111">
      <c r="A111" s="51" t="n"/>
      <c r="B111" s="16" t="n"/>
      <c r="C111" s="16" t="n"/>
      <c r="D111" s="16" t="n"/>
      <c r="E111" s="16" t="n"/>
      <c r="F111" s="16" t="n"/>
      <c r="G111" s="52" t="n"/>
      <c r="H111" s="52" t="n"/>
      <c r="I111" s="53">
        <f>N(G111)+N(H111)</f>
        <v/>
      </c>
      <c r="J111" s="16" t="n"/>
      <c r="K111" s="16" t="n"/>
      <c r="L111" s="16" t="n"/>
      <c r="M111" s="16" t="n"/>
      <c r="N111" s="54">
        <f>IF(A111="","",EOMONTH(A111,-1)+1)</f>
        <v/>
      </c>
      <c r="O111" s="22">
        <f>IF(AND(N(A111)&gt;=N(01_Parametres!$B$11),N(A111)&lt;=N(01_Parametres!$B$12)),1,0)</f>
        <v/>
      </c>
      <c r="P111" s="74">
        <f>IF(E111="","",IFERROR(VLOOKUP(E111,02_Plan_Comptable!$A$5:$C$84,3,FALSE),""))</f>
        <v/>
      </c>
      <c r="Q111" s="74">
        <f>IF(F111="","",IFERROR(VLOOKUP(F111,02_Plan_Comptable!$A$5:$C$84,3,FALSE),""))</f>
        <v/>
      </c>
    </row>
    <row r="112">
      <c r="A112" s="51" t="n"/>
      <c r="B112" s="16" t="n"/>
      <c r="C112" s="16" t="n"/>
      <c r="D112" s="16" t="n"/>
      <c r="E112" s="16" t="n"/>
      <c r="F112" s="16" t="n"/>
      <c r="G112" s="52" t="n"/>
      <c r="H112" s="52" t="n"/>
      <c r="I112" s="53">
        <f>N(G112)+N(H112)</f>
        <v/>
      </c>
      <c r="J112" s="16" t="n"/>
      <c r="K112" s="16" t="n"/>
      <c r="L112" s="16" t="n"/>
      <c r="M112" s="16" t="n"/>
      <c r="N112" s="54">
        <f>IF(A112="","",EOMONTH(A112,-1)+1)</f>
        <v/>
      </c>
      <c r="O112" s="22">
        <f>IF(AND(N(A112)&gt;=N(01_Parametres!$B$11),N(A112)&lt;=N(01_Parametres!$B$12)),1,0)</f>
        <v/>
      </c>
      <c r="P112" s="74">
        <f>IF(E112="","",IFERROR(VLOOKUP(E112,02_Plan_Comptable!$A$5:$C$84,3,FALSE),""))</f>
        <v/>
      </c>
      <c r="Q112" s="74">
        <f>IF(F112="","",IFERROR(VLOOKUP(F112,02_Plan_Comptable!$A$5:$C$84,3,FALSE),""))</f>
        <v/>
      </c>
    </row>
    <row r="113">
      <c r="A113" s="51" t="n"/>
      <c r="B113" s="16" t="n"/>
      <c r="C113" s="16" t="n"/>
      <c r="D113" s="16" t="n"/>
      <c r="E113" s="16" t="n"/>
      <c r="F113" s="16" t="n"/>
      <c r="G113" s="52" t="n"/>
      <c r="H113" s="52" t="n"/>
      <c r="I113" s="53">
        <f>N(G113)+N(H113)</f>
        <v/>
      </c>
      <c r="J113" s="16" t="n"/>
      <c r="K113" s="16" t="n"/>
      <c r="L113" s="16" t="n"/>
      <c r="M113" s="16" t="n"/>
      <c r="N113" s="54">
        <f>IF(A113="","",EOMONTH(A113,-1)+1)</f>
        <v/>
      </c>
      <c r="O113" s="22">
        <f>IF(AND(N(A113)&gt;=N(01_Parametres!$B$11),N(A113)&lt;=N(01_Parametres!$B$12)),1,0)</f>
        <v/>
      </c>
      <c r="P113" s="74">
        <f>IF(E113="","",IFERROR(VLOOKUP(E113,02_Plan_Comptable!$A$5:$C$84,3,FALSE),""))</f>
        <v/>
      </c>
      <c r="Q113" s="74">
        <f>IF(F113="","",IFERROR(VLOOKUP(F113,02_Plan_Comptable!$A$5:$C$84,3,FALSE),""))</f>
        <v/>
      </c>
    </row>
    <row r="114">
      <c r="A114" s="51" t="n"/>
      <c r="B114" s="16" t="n"/>
      <c r="C114" s="16" t="n"/>
      <c r="D114" s="16" t="n"/>
      <c r="E114" s="16" t="n"/>
      <c r="F114" s="16" t="n"/>
      <c r="G114" s="52" t="n"/>
      <c r="H114" s="52" t="n"/>
      <c r="I114" s="53">
        <f>N(G114)+N(H114)</f>
        <v/>
      </c>
      <c r="J114" s="16" t="n"/>
      <c r="K114" s="16" t="n"/>
      <c r="L114" s="16" t="n"/>
      <c r="M114" s="16" t="n"/>
      <c r="N114" s="54">
        <f>IF(A114="","",EOMONTH(A114,-1)+1)</f>
        <v/>
      </c>
      <c r="O114" s="22">
        <f>IF(AND(N(A114)&gt;=N(01_Parametres!$B$11),N(A114)&lt;=N(01_Parametres!$B$12)),1,0)</f>
        <v/>
      </c>
      <c r="P114" s="74">
        <f>IF(E114="","",IFERROR(VLOOKUP(E114,02_Plan_Comptable!$A$5:$C$84,3,FALSE),""))</f>
        <v/>
      </c>
      <c r="Q114" s="74">
        <f>IF(F114="","",IFERROR(VLOOKUP(F114,02_Plan_Comptable!$A$5:$C$84,3,FALSE),""))</f>
        <v/>
      </c>
    </row>
    <row r="115">
      <c r="A115" s="51" t="n"/>
      <c r="B115" s="16" t="n"/>
      <c r="C115" s="16" t="n"/>
      <c r="D115" s="16" t="n"/>
      <c r="E115" s="16" t="n"/>
      <c r="F115" s="16" t="n"/>
      <c r="G115" s="52" t="n"/>
      <c r="H115" s="52" t="n"/>
      <c r="I115" s="53">
        <f>N(G115)+N(H115)</f>
        <v/>
      </c>
      <c r="J115" s="16" t="n"/>
      <c r="K115" s="16" t="n"/>
      <c r="L115" s="16" t="n"/>
      <c r="M115" s="16" t="n"/>
      <c r="N115" s="54">
        <f>IF(A115="","",EOMONTH(A115,-1)+1)</f>
        <v/>
      </c>
      <c r="O115" s="22">
        <f>IF(AND(N(A115)&gt;=N(01_Parametres!$B$11),N(A115)&lt;=N(01_Parametres!$B$12)),1,0)</f>
        <v/>
      </c>
      <c r="P115" s="74">
        <f>IF(E115="","",IFERROR(VLOOKUP(E115,02_Plan_Comptable!$A$5:$C$84,3,FALSE),""))</f>
        <v/>
      </c>
      <c r="Q115" s="74">
        <f>IF(F115="","",IFERROR(VLOOKUP(F115,02_Plan_Comptable!$A$5:$C$84,3,FALSE),""))</f>
        <v/>
      </c>
    </row>
    <row r="116">
      <c r="A116" s="51" t="n"/>
      <c r="B116" s="16" t="n"/>
      <c r="C116" s="16" t="n"/>
      <c r="D116" s="16" t="n"/>
      <c r="E116" s="16" t="n"/>
      <c r="F116" s="16" t="n"/>
      <c r="G116" s="52" t="n"/>
      <c r="H116" s="52" t="n"/>
      <c r="I116" s="53">
        <f>N(G116)+N(H116)</f>
        <v/>
      </c>
      <c r="J116" s="16" t="n"/>
      <c r="K116" s="16" t="n"/>
      <c r="L116" s="16" t="n"/>
      <c r="M116" s="16" t="n"/>
      <c r="N116" s="54">
        <f>IF(A116="","",EOMONTH(A116,-1)+1)</f>
        <v/>
      </c>
      <c r="O116" s="22">
        <f>IF(AND(N(A116)&gt;=N(01_Parametres!$B$11),N(A116)&lt;=N(01_Parametres!$B$12)),1,0)</f>
        <v/>
      </c>
      <c r="P116" s="74">
        <f>IF(E116="","",IFERROR(VLOOKUP(E116,02_Plan_Comptable!$A$5:$C$84,3,FALSE),""))</f>
        <v/>
      </c>
      <c r="Q116" s="74">
        <f>IF(F116="","",IFERROR(VLOOKUP(F116,02_Plan_Comptable!$A$5:$C$84,3,FALSE),""))</f>
        <v/>
      </c>
    </row>
    <row r="117">
      <c r="A117" s="51" t="n"/>
      <c r="B117" s="16" t="n"/>
      <c r="C117" s="16" t="n"/>
      <c r="D117" s="16" t="n"/>
      <c r="E117" s="16" t="n"/>
      <c r="F117" s="16" t="n"/>
      <c r="G117" s="52" t="n"/>
      <c r="H117" s="52" t="n"/>
      <c r="I117" s="53">
        <f>N(G117)+N(H117)</f>
        <v/>
      </c>
      <c r="J117" s="16" t="n"/>
      <c r="K117" s="16" t="n"/>
      <c r="L117" s="16" t="n"/>
      <c r="M117" s="16" t="n"/>
      <c r="N117" s="54">
        <f>IF(A117="","",EOMONTH(A117,-1)+1)</f>
        <v/>
      </c>
      <c r="O117" s="22">
        <f>IF(AND(N(A117)&gt;=N(01_Parametres!$B$11),N(A117)&lt;=N(01_Parametres!$B$12)),1,0)</f>
        <v/>
      </c>
      <c r="P117" s="74">
        <f>IF(E117="","",IFERROR(VLOOKUP(E117,02_Plan_Comptable!$A$5:$C$84,3,FALSE),""))</f>
        <v/>
      </c>
      <c r="Q117" s="74">
        <f>IF(F117="","",IFERROR(VLOOKUP(F117,02_Plan_Comptable!$A$5:$C$84,3,FALSE),""))</f>
        <v/>
      </c>
    </row>
    <row r="118">
      <c r="A118" s="51" t="n"/>
      <c r="B118" s="16" t="n"/>
      <c r="C118" s="16" t="n"/>
      <c r="D118" s="16" t="n"/>
      <c r="E118" s="16" t="n"/>
      <c r="F118" s="16" t="n"/>
      <c r="G118" s="52" t="n"/>
      <c r="H118" s="52" t="n"/>
      <c r="I118" s="53">
        <f>N(G118)+N(H118)</f>
        <v/>
      </c>
      <c r="J118" s="16" t="n"/>
      <c r="K118" s="16" t="n"/>
      <c r="L118" s="16" t="n"/>
      <c r="M118" s="16" t="n"/>
      <c r="N118" s="54">
        <f>IF(A118="","",EOMONTH(A118,-1)+1)</f>
        <v/>
      </c>
      <c r="O118" s="22">
        <f>IF(AND(N(A118)&gt;=N(01_Parametres!$B$11),N(A118)&lt;=N(01_Parametres!$B$12)),1,0)</f>
        <v/>
      </c>
      <c r="P118" s="74">
        <f>IF(E118="","",IFERROR(VLOOKUP(E118,02_Plan_Comptable!$A$5:$C$84,3,FALSE),""))</f>
        <v/>
      </c>
      <c r="Q118" s="74">
        <f>IF(F118="","",IFERROR(VLOOKUP(F118,02_Plan_Comptable!$A$5:$C$84,3,FALSE),""))</f>
        <v/>
      </c>
    </row>
    <row r="119">
      <c r="A119" s="51" t="n"/>
      <c r="B119" s="16" t="n"/>
      <c r="C119" s="16" t="n"/>
      <c r="D119" s="16" t="n"/>
      <c r="E119" s="16" t="n"/>
      <c r="F119" s="16" t="n"/>
      <c r="G119" s="52" t="n"/>
      <c r="H119" s="52" t="n"/>
      <c r="I119" s="53">
        <f>N(G119)+N(H119)</f>
        <v/>
      </c>
      <c r="J119" s="16" t="n"/>
      <c r="K119" s="16" t="n"/>
      <c r="L119" s="16" t="n"/>
      <c r="M119" s="16" t="n"/>
      <c r="N119" s="54">
        <f>IF(A119="","",EOMONTH(A119,-1)+1)</f>
        <v/>
      </c>
      <c r="O119" s="22">
        <f>IF(AND(N(A119)&gt;=N(01_Parametres!$B$11),N(A119)&lt;=N(01_Parametres!$B$12)),1,0)</f>
        <v/>
      </c>
      <c r="P119" s="74">
        <f>IF(E119="","",IFERROR(VLOOKUP(E119,02_Plan_Comptable!$A$5:$C$84,3,FALSE),""))</f>
        <v/>
      </c>
      <c r="Q119" s="74">
        <f>IF(F119="","",IFERROR(VLOOKUP(F119,02_Plan_Comptable!$A$5:$C$84,3,FALSE),""))</f>
        <v/>
      </c>
    </row>
    <row r="120">
      <c r="A120" s="51" t="n"/>
      <c r="B120" s="16" t="n"/>
      <c r="C120" s="16" t="n"/>
      <c r="D120" s="16" t="n"/>
      <c r="E120" s="16" t="n"/>
      <c r="F120" s="16" t="n"/>
      <c r="G120" s="52" t="n"/>
      <c r="H120" s="52" t="n"/>
      <c r="I120" s="53">
        <f>N(G120)+N(H120)</f>
        <v/>
      </c>
      <c r="J120" s="16" t="n"/>
      <c r="K120" s="16" t="n"/>
      <c r="L120" s="16" t="n"/>
      <c r="M120" s="16" t="n"/>
      <c r="N120" s="54">
        <f>IF(A120="","",EOMONTH(A120,-1)+1)</f>
        <v/>
      </c>
      <c r="O120" s="22">
        <f>IF(AND(N(A120)&gt;=N(01_Parametres!$B$11),N(A120)&lt;=N(01_Parametres!$B$12)),1,0)</f>
        <v/>
      </c>
      <c r="P120" s="74">
        <f>IF(E120="","",IFERROR(VLOOKUP(E120,02_Plan_Comptable!$A$5:$C$84,3,FALSE),""))</f>
        <v/>
      </c>
      <c r="Q120" s="74">
        <f>IF(F120="","",IFERROR(VLOOKUP(F120,02_Plan_Comptable!$A$5:$C$84,3,FALSE),""))</f>
        <v/>
      </c>
    </row>
    <row r="121">
      <c r="A121" s="51" t="n"/>
      <c r="B121" s="16" t="n"/>
      <c r="C121" s="16" t="n"/>
      <c r="D121" s="16" t="n"/>
      <c r="E121" s="16" t="n"/>
      <c r="F121" s="16" t="n"/>
      <c r="G121" s="52" t="n"/>
      <c r="H121" s="52" t="n"/>
      <c r="I121" s="53">
        <f>N(G121)+N(H121)</f>
        <v/>
      </c>
      <c r="J121" s="16" t="n"/>
      <c r="K121" s="16" t="n"/>
      <c r="L121" s="16" t="n"/>
      <c r="M121" s="16" t="n"/>
      <c r="N121" s="54">
        <f>IF(A121="","",EOMONTH(A121,-1)+1)</f>
        <v/>
      </c>
      <c r="O121" s="22">
        <f>IF(AND(N(A121)&gt;=N(01_Parametres!$B$11),N(A121)&lt;=N(01_Parametres!$B$12)),1,0)</f>
        <v/>
      </c>
      <c r="P121" s="74">
        <f>IF(E121="","",IFERROR(VLOOKUP(E121,02_Plan_Comptable!$A$5:$C$84,3,FALSE),""))</f>
        <v/>
      </c>
      <c r="Q121" s="74">
        <f>IF(F121="","",IFERROR(VLOOKUP(F121,02_Plan_Comptable!$A$5:$C$84,3,FALSE),""))</f>
        <v/>
      </c>
    </row>
    <row r="122">
      <c r="A122" s="51" t="n"/>
      <c r="B122" s="16" t="n"/>
      <c r="C122" s="16" t="n"/>
      <c r="D122" s="16" t="n"/>
      <c r="E122" s="16" t="n"/>
      <c r="F122" s="16" t="n"/>
      <c r="G122" s="52" t="n"/>
      <c r="H122" s="52" t="n"/>
      <c r="I122" s="53">
        <f>N(G122)+N(H122)</f>
        <v/>
      </c>
      <c r="J122" s="16" t="n"/>
      <c r="K122" s="16" t="n"/>
      <c r="L122" s="16" t="n"/>
      <c r="M122" s="16" t="n"/>
      <c r="N122" s="54">
        <f>IF(A122="","",EOMONTH(A122,-1)+1)</f>
        <v/>
      </c>
      <c r="O122" s="22">
        <f>IF(AND(N(A122)&gt;=N(01_Parametres!$B$11),N(A122)&lt;=N(01_Parametres!$B$12)),1,0)</f>
        <v/>
      </c>
      <c r="P122" s="74">
        <f>IF(E122="","",IFERROR(VLOOKUP(E122,02_Plan_Comptable!$A$5:$C$84,3,FALSE),""))</f>
        <v/>
      </c>
      <c r="Q122" s="74">
        <f>IF(F122="","",IFERROR(VLOOKUP(F122,02_Plan_Comptable!$A$5:$C$84,3,FALSE),""))</f>
        <v/>
      </c>
    </row>
    <row r="123">
      <c r="A123" s="51" t="n"/>
      <c r="B123" s="16" t="n"/>
      <c r="C123" s="16" t="n"/>
      <c r="D123" s="16" t="n"/>
      <c r="E123" s="16" t="n"/>
      <c r="F123" s="16" t="n"/>
      <c r="G123" s="52" t="n"/>
      <c r="H123" s="52" t="n"/>
      <c r="I123" s="53">
        <f>N(G123)+N(H123)</f>
        <v/>
      </c>
      <c r="J123" s="16" t="n"/>
      <c r="K123" s="16" t="n"/>
      <c r="L123" s="16" t="n"/>
      <c r="M123" s="16" t="n"/>
      <c r="N123" s="54">
        <f>IF(A123="","",EOMONTH(A123,-1)+1)</f>
        <v/>
      </c>
      <c r="O123" s="22">
        <f>IF(AND(N(A123)&gt;=N(01_Parametres!$B$11),N(A123)&lt;=N(01_Parametres!$B$12)),1,0)</f>
        <v/>
      </c>
      <c r="P123" s="74">
        <f>IF(E123="","",IFERROR(VLOOKUP(E123,02_Plan_Comptable!$A$5:$C$84,3,FALSE),""))</f>
        <v/>
      </c>
      <c r="Q123" s="74">
        <f>IF(F123="","",IFERROR(VLOOKUP(F123,02_Plan_Comptable!$A$5:$C$84,3,FALSE),""))</f>
        <v/>
      </c>
    </row>
    <row r="124">
      <c r="A124" s="51" t="n"/>
      <c r="B124" s="16" t="n"/>
      <c r="C124" s="16" t="n"/>
      <c r="D124" s="16" t="n"/>
      <c r="E124" s="16" t="n"/>
      <c r="F124" s="16" t="n"/>
      <c r="G124" s="52" t="n"/>
      <c r="H124" s="52" t="n"/>
      <c r="I124" s="53">
        <f>N(G124)+N(H124)</f>
        <v/>
      </c>
      <c r="J124" s="16" t="n"/>
      <c r="K124" s="16" t="n"/>
      <c r="L124" s="16" t="n"/>
      <c r="M124" s="16" t="n"/>
      <c r="N124" s="54">
        <f>IF(A124="","",EOMONTH(A124,-1)+1)</f>
        <v/>
      </c>
      <c r="O124" s="22">
        <f>IF(AND(N(A124)&gt;=N(01_Parametres!$B$11),N(A124)&lt;=N(01_Parametres!$B$12)),1,0)</f>
        <v/>
      </c>
      <c r="P124" s="74">
        <f>IF(E124="","",IFERROR(VLOOKUP(E124,02_Plan_Comptable!$A$5:$C$84,3,FALSE),""))</f>
        <v/>
      </c>
      <c r="Q124" s="74">
        <f>IF(F124="","",IFERROR(VLOOKUP(F124,02_Plan_Comptable!$A$5:$C$84,3,FALSE),""))</f>
        <v/>
      </c>
    </row>
    <row r="125">
      <c r="A125" s="51" t="n"/>
      <c r="B125" s="16" t="n"/>
      <c r="C125" s="16" t="n"/>
      <c r="D125" s="16" t="n"/>
      <c r="E125" s="16" t="n"/>
      <c r="F125" s="16" t="n"/>
      <c r="G125" s="52" t="n"/>
      <c r="H125" s="52" t="n"/>
      <c r="I125" s="53">
        <f>N(G125)+N(H125)</f>
        <v/>
      </c>
      <c r="J125" s="16" t="n"/>
      <c r="K125" s="16" t="n"/>
      <c r="L125" s="16" t="n"/>
      <c r="M125" s="16" t="n"/>
      <c r="N125" s="54">
        <f>IF(A125="","",EOMONTH(A125,-1)+1)</f>
        <v/>
      </c>
      <c r="O125" s="22">
        <f>IF(AND(N(A125)&gt;=N(01_Parametres!$B$11),N(A125)&lt;=N(01_Parametres!$B$12)),1,0)</f>
        <v/>
      </c>
      <c r="P125" s="74">
        <f>IF(E125="","",IFERROR(VLOOKUP(E125,02_Plan_Comptable!$A$5:$C$84,3,FALSE),""))</f>
        <v/>
      </c>
      <c r="Q125" s="74">
        <f>IF(F125="","",IFERROR(VLOOKUP(F125,02_Plan_Comptable!$A$5:$C$84,3,FALSE),""))</f>
        <v/>
      </c>
    </row>
    <row r="126">
      <c r="A126" s="51" t="n"/>
      <c r="B126" s="16" t="n"/>
      <c r="C126" s="16" t="n"/>
      <c r="D126" s="16" t="n"/>
      <c r="E126" s="16" t="n"/>
      <c r="F126" s="16" t="n"/>
      <c r="G126" s="52" t="n"/>
      <c r="H126" s="52" t="n"/>
      <c r="I126" s="53">
        <f>N(G126)+N(H126)</f>
        <v/>
      </c>
      <c r="J126" s="16" t="n"/>
      <c r="K126" s="16" t="n"/>
      <c r="L126" s="16" t="n"/>
      <c r="M126" s="16" t="n"/>
      <c r="N126" s="54">
        <f>IF(A126="","",EOMONTH(A126,-1)+1)</f>
        <v/>
      </c>
      <c r="O126" s="22">
        <f>IF(AND(N(A126)&gt;=N(01_Parametres!$B$11),N(A126)&lt;=N(01_Parametres!$B$12)),1,0)</f>
        <v/>
      </c>
      <c r="P126" s="74">
        <f>IF(E126="","",IFERROR(VLOOKUP(E126,02_Plan_Comptable!$A$5:$C$84,3,FALSE),""))</f>
        <v/>
      </c>
      <c r="Q126" s="74">
        <f>IF(F126="","",IFERROR(VLOOKUP(F126,02_Plan_Comptable!$A$5:$C$84,3,FALSE),""))</f>
        <v/>
      </c>
    </row>
    <row r="127">
      <c r="A127" s="51" t="n"/>
      <c r="B127" s="16" t="n"/>
      <c r="C127" s="16" t="n"/>
      <c r="D127" s="16" t="n"/>
      <c r="E127" s="16" t="n"/>
      <c r="F127" s="16" t="n"/>
      <c r="G127" s="52" t="n"/>
      <c r="H127" s="52" t="n"/>
      <c r="I127" s="53">
        <f>N(G127)+N(H127)</f>
        <v/>
      </c>
      <c r="J127" s="16" t="n"/>
      <c r="K127" s="16" t="n"/>
      <c r="L127" s="16" t="n"/>
      <c r="M127" s="16" t="n"/>
      <c r="N127" s="54">
        <f>IF(A127="","",EOMONTH(A127,-1)+1)</f>
        <v/>
      </c>
      <c r="O127" s="22">
        <f>IF(AND(N(A127)&gt;=N(01_Parametres!$B$11),N(A127)&lt;=N(01_Parametres!$B$12)),1,0)</f>
        <v/>
      </c>
      <c r="P127" s="74">
        <f>IF(E127="","",IFERROR(VLOOKUP(E127,02_Plan_Comptable!$A$5:$C$84,3,FALSE),""))</f>
        <v/>
      </c>
      <c r="Q127" s="74">
        <f>IF(F127="","",IFERROR(VLOOKUP(F127,02_Plan_Comptable!$A$5:$C$84,3,FALSE),""))</f>
        <v/>
      </c>
    </row>
    <row r="128">
      <c r="A128" s="51" t="n"/>
      <c r="B128" s="16" t="n"/>
      <c r="C128" s="16" t="n"/>
      <c r="D128" s="16" t="n"/>
      <c r="E128" s="16" t="n"/>
      <c r="F128" s="16" t="n"/>
      <c r="G128" s="52" t="n"/>
      <c r="H128" s="52" t="n"/>
      <c r="I128" s="53">
        <f>N(G128)+N(H128)</f>
        <v/>
      </c>
      <c r="J128" s="16" t="n"/>
      <c r="K128" s="16" t="n"/>
      <c r="L128" s="16" t="n"/>
      <c r="M128" s="16" t="n"/>
      <c r="N128" s="54">
        <f>IF(A128="","",EOMONTH(A128,-1)+1)</f>
        <v/>
      </c>
      <c r="O128" s="22">
        <f>IF(AND(N(A128)&gt;=N(01_Parametres!$B$11),N(A128)&lt;=N(01_Parametres!$B$12)),1,0)</f>
        <v/>
      </c>
      <c r="P128" s="74">
        <f>IF(E128="","",IFERROR(VLOOKUP(E128,02_Plan_Comptable!$A$5:$C$84,3,FALSE),""))</f>
        <v/>
      </c>
      <c r="Q128" s="74">
        <f>IF(F128="","",IFERROR(VLOOKUP(F128,02_Plan_Comptable!$A$5:$C$84,3,FALSE),""))</f>
        <v/>
      </c>
    </row>
    <row r="129">
      <c r="A129" s="51" t="n"/>
      <c r="B129" s="16" t="n"/>
      <c r="C129" s="16" t="n"/>
      <c r="D129" s="16" t="n"/>
      <c r="E129" s="16" t="n"/>
      <c r="F129" s="16" t="n"/>
      <c r="G129" s="52" t="n"/>
      <c r="H129" s="52" t="n"/>
      <c r="I129" s="53">
        <f>N(G129)+N(H129)</f>
        <v/>
      </c>
      <c r="J129" s="16" t="n"/>
      <c r="K129" s="16" t="n"/>
      <c r="L129" s="16" t="n"/>
      <c r="M129" s="16" t="n"/>
      <c r="N129" s="54">
        <f>IF(A129="","",EOMONTH(A129,-1)+1)</f>
        <v/>
      </c>
      <c r="O129" s="22">
        <f>IF(AND(N(A129)&gt;=N(01_Parametres!$B$11),N(A129)&lt;=N(01_Parametres!$B$12)),1,0)</f>
        <v/>
      </c>
      <c r="P129" s="74">
        <f>IF(E129="","",IFERROR(VLOOKUP(E129,02_Plan_Comptable!$A$5:$C$84,3,FALSE),""))</f>
        <v/>
      </c>
      <c r="Q129" s="74">
        <f>IF(F129="","",IFERROR(VLOOKUP(F129,02_Plan_Comptable!$A$5:$C$84,3,FALSE),""))</f>
        <v/>
      </c>
    </row>
    <row r="130">
      <c r="A130" s="51" t="n"/>
      <c r="B130" s="16" t="n"/>
      <c r="C130" s="16" t="n"/>
      <c r="D130" s="16" t="n"/>
      <c r="E130" s="16" t="n"/>
      <c r="F130" s="16" t="n"/>
      <c r="G130" s="52" t="n"/>
      <c r="H130" s="52" t="n"/>
      <c r="I130" s="53">
        <f>N(G130)+N(H130)</f>
        <v/>
      </c>
      <c r="J130" s="16" t="n"/>
      <c r="K130" s="16" t="n"/>
      <c r="L130" s="16" t="n"/>
      <c r="M130" s="16" t="n"/>
      <c r="N130" s="54">
        <f>IF(A130="","",EOMONTH(A130,-1)+1)</f>
        <v/>
      </c>
      <c r="O130" s="22">
        <f>IF(AND(N(A130)&gt;=N(01_Parametres!$B$11),N(A130)&lt;=N(01_Parametres!$B$12)),1,0)</f>
        <v/>
      </c>
      <c r="P130" s="74">
        <f>IF(E130="","",IFERROR(VLOOKUP(E130,02_Plan_Comptable!$A$5:$C$84,3,FALSE),""))</f>
        <v/>
      </c>
      <c r="Q130" s="74">
        <f>IF(F130="","",IFERROR(VLOOKUP(F130,02_Plan_Comptable!$A$5:$C$84,3,FALSE),""))</f>
        <v/>
      </c>
    </row>
    <row r="131">
      <c r="A131" s="51" t="n"/>
      <c r="B131" s="16" t="n"/>
      <c r="C131" s="16" t="n"/>
      <c r="D131" s="16" t="n"/>
      <c r="E131" s="16" t="n"/>
      <c r="F131" s="16" t="n"/>
      <c r="G131" s="52" t="n"/>
      <c r="H131" s="52" t="n"/>
      <c r="I131" s="53">
        <f>N(G131)+N(H131)</f>
        <v/>
      </c>
      <c r="J131" s="16" t="n"/>
      <c r="K131" s="16" t="n"/>
      <c r="L131" s="16" t="n"/>
      <c r="M131" s="16" t="n"/>
      <c r="N131" s="54">
        <f>IF(A131="","",EOMONTH(A131,-1)+1)</f>
        <v/>
      </c>
      <c r="O131" s="22">
        <f>IF(AND(N(A131)&gt;=N(01_Parametres!$B$11),N(A131)&lt;=N(01_Parametres!$B$12)),1,0)</f>
        <v/>
      </c>
      <c r="P131" s="74">
        <f>IF(E131="","",IFERROR(VLOOKUP(E131,02_Plan_Comptable!$A$5:$C$84,3,FALSE),""))</f>
        <v/>
      </c>
      <c r="Q131" s="74">
        <f>IF(F131="","",IFERROR(VLOOKUP(F131,02_Plan_Comptable!$A$5:$C$84,3,FALSE),""))</f>
        <v/>
      </c>
    </row>
    <row r="132">
      <c r="A132" s="51" t="n"/>
      <c r="B132" s="16" t="n"/>
      <c r="C132" s="16" t="n"/>
      <c r="D132" s="16" t="n"/>
      <c r="E132" s="16" t="n"/>
      <c r="F132" s="16" t="n"/>
      <c r="G132" s="52" t="n"/>
      <c r="H132" s="52" t="n"/>
      <c r="I132" s="53">
        <f>N(G132)+N(H132)</f>
        <v/>
      </c>
      <c r="J132" s="16" t="n"/>
      <c r="K132" s="16" t="n"/>
      <c r="L132" s="16" t="n"/>
      <c r="M132" s="16" t="n"/>
      <c r="N132" s="54">
        <f>IF(A132="","",EOMONTH(A132,-1)+1)</f>
        <v/>
      </c>
      <c r="O132" s="22">
        <f>IF(AND(N(A132)&gt;=N(01_Parametres!$B$11),N(A132)&lt;=N(01_Parametres!$B$12)),1,0)</f>
        <v/>
      </c>
      <c r="P132" s="74">
        <f>IF(E132="","",IFERROR(VLOOKUP(E132,02_Plan_Comptable!$A$5:$C$84,3,FALSE),""))</f>
        <v/>
      </c>
      <c r="Q132" s="74">
        <f>IF(F132="","",IFERROR(VLOOKUP(F132,02_Plan_Comptable!$A$5:$C$84,3,FALSE),""))</f>
        <v/>
      </c>
    </row>
    <row r="133">
      <c r="A133" s="51" t="n"/>
      <c r="B133" s="16" t="n"/>
      <c r="C133" s="16" t="n"/>
      <c r="D133" s="16" t="n"/>
      <c r="E133" s="16" t="n"/>
      <c r="F133" s="16" t="n"/>
      <c r="G133" s="52" t="n"/>
      <c r="H133" s="52" t="n"/>
      <c r="I133" s="53">
        <f>N(G133)+N(H133)</f>
        <v/>
      </c>
      <c r="J133" s="16" t="n"/>
      <c r="K133" s="16" t="n"/>
      <c r="L133" s="16" t="n"/>
      <c r="M133" s="16" t="n"/>
      <c r="N133" s="54">
        <f>IF(A133="","",EOMONTH(A133,-1)+1)</f>
        <v/>
      </c>
      <c r="O133" s="22">
        <f>IF(AND(N(A133)&gt;=N(01_Parametres!$B$11),N(A133)&lt;=N(01_Parametres!$B$12)),1,0)</f>
        <v/>
      </c>
      <c r="P133" s="74">
        <f>IF(E133="","",IFERROR(VLOOKUP(E133,02_Plan_Comptable!$A$5:$C$84,3,FALSE),""))</f>
        <v/>
      </c>
      <c r="Q133" s="74">
        <f>IF(F133="","",IFERROR(VLOOKUP(F133,02_Plan_Comptable!$A$5:$C$84,3,FALSE),""))</f>
        <v/>
      </c>
    </row>
    <row r="134">
      <c r="A134" s="51" t="n"/>
      <c r="B134" s="16" t="n"/>
      <c r="C134" s="16" t="n"/>
      <c r="D134" s="16" t="n"/>
      <c r="E134" s="16" t="n"/>
      <c r="F134" s="16" t="n"/>
      <c r="G134" s="52" t="n"/>
      <c r="H134" s="52" t="n"/>
      <c r="I134" s="53">
        <f>N(G134)+N(H134)</f>
        <v/>
      </c>
      <c r="J134" s="16" t="n"/>
      <c r="K134" s="16" t="n"/>
      <c r="L134" s="16" t="n"/>
      <c r="M134" s="16" t="n"/>
      <c r="N134" s="54">
        <f>IF(A134="","",EOMONTH(A134,-1)+1)</f>
        <v/>
      </c>
      <c r="O134" s="22">
        <f>IF(AND(N(A134)&gt;=N(01_Parametres!$B$11),N(A134)&lt;=N(01_Parametres!$B$12)),1,0)</f>
        <v/>
      </c>
      <c r="P134" s="74">
        <f>IF(E134="","",IFERROR(VLOOKUP(E134,02_Plan_Comptable!$A$5:$C$84,3,FALSE),""))</f>
        <v/>
      </c>
      <c r="Q134" s="74">
        <f>IF(F134="","",IFERROR(VLOOKUP(F134,02_Plan_Comptable!$A$5:$C$84,3,FALSE),""))</f>
        <v/>
      </c>
    </row>
    <row r="135">
      <c r="A135" s="51" t="n"/>
      <c r="B135" s="16" t="n"/>
      <c r="C135" s="16" t="n"/>
      <c r="D135" s="16" t="n"/>
      <c r="E135" s="16" t="n"/>
      <c r="F135" s="16" t="n"/>
      <c r="G135" s="52" t="n"/>
      <c r="H135" s="52" t="n"/>
      <c r="I135" s="53">
        <f>N(G135)+N(H135)</f>
        <v/>
      </c>
      <c r="J135" s="16" t="n"/>
      <c r="K135" s="16" t="n"/>
      <c r="L135" s="16" t="n"/>
      <c r="M135" s="16" t="n"/>
      <c r="N135" s="54">
        <f>IF(A135="","",EOMONTH(A135,-1)+1)</f>
        <v/>
      </c>
      <c r="O135" s="22">
        <f>IF(AND(N(A135)&gt;=N(01_Parametres!$B$11),N(A135)&lt;=N(01_Parametres!$B$12)),1,0)</f>
        <v/>
      </c>
      <c r="P135" s="74">
        <f>IF(E135="","",IFERROR(VLOOKUP(E135,02_Plan_Comptable!$A$5:$C$84,3,FALSE),""))</f>
        <v/>
      </c>
      <c r="Q135" s="74">
        <f>IF(F135="","",IFERROR(VLOOKUP(F135,02_Plan_Comptable!$A$5:$C$84,3,FALSE),""))</f>
        <v/>
      </c>
    </row>
    <row r="136">
      <c r="A136" s="51" t="n"/>
      <c r="B136" s="16" t="n"/>
      <c r="C136" s="16" t="n"/>
      <c r="D136" s="16" t="n"/>
      <c r="E136" s="16" t="n"/>
      <c r="F136" s="16" t="n"/>
      <c r="G136" s="52" t="n"/>
      <c r="H136" s="52" t="n"/>
      <c r="I136" s="53">
        <f>N(G136)+N(H136)</f>
        <v/>
      </c>
      <c r="J136" s="16" t="n"/>
      <c r="K136" s="16" t="n"/>
      <c r="L136" s="16" t="n"/>
      <c r="M136" s="16" t="n"/>
      <c r="N136" s="54">
        <f>IF(A136="","",EOMONTH(A136,-1)+1)</f>
        <v/>
      </c>
      <c r="O136" s="22">
        <f>IF(AND(N(A136)&gt;=N(01_Parametres!$B$11),N(A136)&lt;=N(01_Parametres!$B$12)),1,0)</f>
        <v/>
      </c>
      <c r="P136" s="74">
        <f>IF(E136="","",IFERROR(VLOOKUP(E136,02_Plan_Comptable!$A$5:$C$84,3,FALSE),""))</f>
        <v/>
      </c>
      <c r="Q136" s="74">
        <f>IF(F136="","",IFERROR(VLOOKUP(F136,02_Plan_Comptable!$A$5:$C$84,3,FALSE),""))</f>
        <v/>
      </c>
    </row>
    <row r="137">
      <c r="A137" s="51" t="n"/>
      <c r="B137" s="16" t="n"/>
      <c r="C137" s="16" t="n"/>
      <c r="D137" s="16" t="n"/>
      <c r="E137" s="16" t="n"/>
      <c r="F137" s="16" t="n"/>
      <c r="G137" s="52" t="n"/>
      <c r="H137" s="52" t="n"/>
      <c r="I137" s="53">
        <f>N(G137)+N(H137)</f>
        <v/>
      </c>
      <c r="J137" s="16" t="n"/>
      <c r="K137" s="16" t="n"/>
      <c r="L137" s="16" t="n"/>
      <c r="M137" s="16" t="n"/>
      <c r="N137" s="54">
        <f>IF(A137="","",EOMONTH(A137,-1)+1)</f>
        <v/>
      </c>
      <c r="O137" s="22">
        <f>IF(AND(N(A137)&gt;=N(01_Parametres!$B$11),N(A137)&lt;=N(01_Parametres!$B$12)),1,0)</f>
        <v/>
      </c>
      <c r="P137" s="74">
        <f>IF(E137="","",IFERROR(VLOOKUP(E137,02_Plan_Comptable!$A$5:$C$84,3,FALSE),""))</f>
        <v/>
      </c>
      <c r="Q137" s="74">
        <f>IF(F137="","",IFERROR(VLOOKUP(F137,02_Plan_Comptable!$A$5:$C$84,3,FALSE),""))</f>
        <v/>
      </c>
    </row>
    <row r="138">
      <c r="A138" s="51" t="n"/>
      <c r="B138" s="16" t="n"/>
      <c r="C138" s="16" t="n"/>
      <c r="D138" s="16" t="n"/>
      <c r="E138" s="16" t="n"/>
      <c r="F138" s="16" t="n"/>
      <c r="G138" s="52" t="n"/>
      <c r="H138" s="52" t="n"/>
      <c r="I138" s="53">
        <f>N(G138)+N(H138)</f>
        <v/>
      </c>
      <c r="J138" s="16" t="n"/>
      <c r="K138" s="16" t="n"/>
      <c r="L138" s="16" t="n"/>
      <c r="M138" s="16" t="n"/>
      <c r="N138" s="54">
        <f>IF(A138="","",EOMONTH(A138,-1)+1)</f>
        <v/>
      </c>
      <c r="O138" s="22">
        <f>IF(AND(N(A138)&gt;=N(01_Parametres!$B$11),N(A138)&lt;=N(01_Parametres!$B$12)),1,0)</f>
        <v/>
      </c>
      <c r="P138" s="74">
        <f>IF(E138="","",IFERROR(VLOOKUP(E138,02_Plan_Comptable!$A$5:$C$84,3,FALSE),""))</f>
        <v/>
      </c>
      <c r="Q138" s="74">
        <f>IF(F138="","",IFERROR(VLOOKUP(F138,02_Plan_Comptable!$A$5:$C$84,3,FALSE),""))</f>
        <v/>
      </c>
    </row>
    <row r="139">
      <c r="A139" s="51" t="n"/>
      <c r="B139" s="16" t="n"/>
      <c r="C139" s="16" t="n"/>
      <c r="D139" s="16" t="n"/>
      <c r="E139" s="16" t="n"/>
      <c r="F139" s="16" t="n"/>
      <c r="G139" s="52" t="n"/>
      <c r="H139" s="52" t="n"/>
      <c r="I139" s="53">
        <f>N(G139)+N(H139)</f>
        <v/>
      </c>
      <c r="J139" s="16" t="n"/>
      <c r="K139" s="16" t="n"/>
      <c r="L139" s="16" t="n"/>
      <c r="M139" s="16" t="n"/>
      <c r="N139" s="54">
        <f>IF(A139="","",EOMONTH(A139,-1)+1)</f>
        <v/>
      </c>
      <c r="O139" s="22">
        <f>IF(AND(N(A139)&gt;=N(01_Parametres!$B$11),N(A139)&lt;=N(01_Parametres!$B$12)),1,0)</f>
        <v/>
      </c>
      <c r="P139" s="74">
        <f>IF(E139="","",IFERROR(VLOOKUP(E139,02_Plan_Comptable!$A$5:$C$84,3,FALSE),""))</f>
        <v/>
      </c>
      <c r="Q139" s="74">
        <f>IF(F139="","",IFERROR(VLOOKUP(F139,02_Plan_Comptable!$A$5:$C$84,3,FALSE),""))</f>
        <v/>
      </c>
    </row>
    <row r="140">
      <c r="A140" s="51" t="n"/>
      <c r="B140" s="16" t="n"/>
      <c r="C140" s="16" t="n"/>
      <c r="D140" s="16" t="n"/>
      <c r="E140" s="16" t="n"/>
      <c r="F140" s="16" t="n"/>
      <c r="G140" s="52" t="n"/>
      <c r="H140" s="52" t="n"/>
      <c r="I140" s="53">
        <f>N(G140)+N(H140)</f>
        <v/>
      </c>
      <c r="J140" s="16" t="n"/>
      <c r="K140" s="16" t="n"/>
      <c r="L140" s="16" t="n"/>
      <c r="M140" s="16" t="n"/>
      <c r="N140" s="54">
        <f>IF(A140="","",EOMONTH(A140,-1)+1)</f>
        <v/>
      </c>
      <c r="O140" s="22">
        <f>IF(AND(N(A140)&gt;=N(01_Parametres!$B$11),N(A140)&lt;=N(01_Parametres!$B$12)),1,0)</f>
        <v/>
      </c>
      <c r="P140" s="74">
        <f>IF(E140="","",IFERROR(VLOOKUP(E140,02_Plan_Comptable!$A$5:$C$84,3,FALSE),""))</f>
        <v/>
      </c>
      <c r="Q140" s="74">
        <f>IF(F140="","",IFERROR(VLOOKUP(F140,02_Plan_Comptable!$A$5:$C$84,3,FALSE),""))</f>
        <v/>
      </c>
    </row>
    <row r="141">
      <c r="A141" s="51" t="n"/>
      <c r="B141" s="16" t="n"/>
      <c r="C141" s="16" t="n"/>
      <c r="D141" s="16" t="n"/>
      <c r="E141" s="16" t="n"/>
      <c r="F141" s="16" t="n"/>
      <c r="G141" s="52" t="n"/>
      <c r="H141" s="52" t="n"/>
      <c r="I141" s="53">
        <f>N(G141)+N(H141)</f>
        <v/>
      </c>
      <c r="J141" s="16" t="n"/>
      <c r="K141" s="16" t="n"/>
      <c r="L141" s="16" t="n"/>
      <c r="M141" s="16" t="n"/>
      <c r="N141" s="54">
        <f>IF(A141="","",EOMONTH(A141,-1)+1)</f>
        <v/>
      </c>
      <c r="O141" s="22">
        <f>IF(AND(N(A141)&gt;=N(01_Parametres!$B$11),N(A141)&lt;=N(01_Parametres!$B$12)),1,0)</f>
        <v/>
      </c>
      <c r="P141" s="74">
        <f>IF(E141="","",IFERROR(VLOOKUP(E141,02_Plan_Comptable!$A$5:$C$84,3,FALSE),""))</f>
        <v/>
      </c>
      <c r="Q141" s="74">
        <f>IF(F141="","",IFERROR(VLOOKUP(F141,02_Plan_Comptable!$A$5:$C$84,3,FALSE),""))</f>
        <v/>
      </c>
    </row>
    <row r="142">
      <c r="A142" s="51" t="n"/>
      <c r="B142" s="16" t="n"/>
      <c r="C142" s="16" t="n"/>
      <c r="D142" s="16" t="n"/>
      <c r="E142" s="16" t="n"/>
      <c r="F142" s="16" t="n"/>
      <c r="G142" s="52" t="n"/>
      <c r="H142" s="52" t="n"/>
      <c r="I142" s="53">
        <f>N(G142)+N(H142)</f>
        <v/>
      </c>
      <c r="J142" s="16" t="n"/>
      <c r="K142" s="16" t="n"/>
      <c r="L142" s="16" t="n"/>
      <c r="M142" s="16" t="n"/>
      <c r="N142" s="54">
        <f>IF(A142="","",EOMONTH(A142,-1)+1)</f>
        <v/>
      </c>
      <c r="O142" s="22">
        <f>IF(AND(N(A142)&gt;=N(01_Parametres!$B$11),N(A142)&lt;=N(01_Parametres!$B$12)),1,0)</f>
        <v/>
      </c>
      <c r="P142" s="74">
        <f>IF(E142="","",IFERROR(VLOOKUP(E142,02_Plan_Comptable!$A$5:$C$84,3,FALSE),""))</f>
        <v/>
      </c>
      <c r="Q142" s="74">
        <f>IF(F142="","",IFERROR(VLOOKUP(F142,02_Plan_Comptable!$A$5:$C$84,3,FALSE),""))</f>
        <v/>
      </c>
    </row>
    <row r="143">
      <c r="A143" s="51" t="n"/>
      <c r="B143" s="16" t="n"/>
      <c r="C143" s="16" t="n"/>
      <c r="D143" s="16" t="n"/>
      <c r="E143" s="16" t="n"/>
      <c r="F143" s="16" t="n"/>
      <c r="G143" s="52" t="n"/>
      <c r="H143" s="52" t="n"/>
      <c r="I143" s="53">
        <f>N(G143)+N(H143)</f>
        <v/>
      </c>
      <c r="J143" s="16" t="n"/>
      <c r="K143" s="16" t="n"/>
      <c r="L143" s="16" t="n"/>
      <c r="M143" s="16" t="n"/>
      <c r="N143" s="54">
        <f>IF(A143="","",EOMONTH(A143,-1)+1)</f>
        <v/>
      </c>
      <c r="O143" s="22">
        <f>IF(AND(N(A143)&gt;=N(01_Parametres!$B$11),N(A143)&lt;=N(01_Parametres!$B$12)),1,0)</f>
        <v/>
      </c>
      <c r="P143" s="74">
        <f>IF(E143="","",IFERROR(VLOOKUP(E143,02_Plan_Comptable!$A$5:$C$84,3,FALSE),""))</f>
        <v/>
      </c>
      <c r="Q143" s="74">
        <f>IF(F143="","",IFERROR(VLOOKUP(F143,02_Plan_Comptable!$A$5:$C$84,3,FALSE),""))</f>
        <v/>
      </c>
    </row>
    <row r="144">
      <c r="A144" s="51" t="n"/>
      <c r="B144" s="16" t="n"/>
      <c r="C144" s="16" t="n"/>
      <c r="D144" s="16" t="n"/>
      <c r="E144" s="16" t="n"/>
      <c r="F144" s="16" t="n"/>
      <c r="G144" s="52" t="n"/>
      <c r="H144" s="52" t="n"/>
      <c r="I144" s="53">
        <f>N(G144)+N(H144)</f>
        <v/>
      </c>
      <c r="J144" s="16" t="n"/>
      <c r="K144" s="16" t="n"/>
      <c r="L144" s="16" t="n"/>
      <c r="M144" s="16" t="n"/>
      <c r="N144" s="54">
        <f>IF(A144="","",EOMONTH(A144,-1)+1)</f>
        <v/>
      </c>
      <c r="O144" s="22">
        <f>IF(AND(N(A144)&gt;=N(01_Parametres!$B$11),N(A144)&lt;=N(01_Parametres!$B$12)),1,0)</f>
        <v/>
      </c>
      <c r="P144" s="74">
        <f>IF(E144="","",IFERROR(VLOOKUP(E144,02_Plan_Comptable!$A$5:$C$84,3,FALSE),""))</f>
        <v/>
      </c>
      <c r="Q144" s="74">
        <f>IF(F144="","",IFERROR(VLOOKUP(F144,02_Plan_Comptable!$A$5:$C$84,3,FALSE),""))</f>
        <v/>
      </c>
    </row>
    <row r="145">
      <c r="A145" s="51" t="n"/>
      <c r="B145" s="16" t="n"/>
      <c r="C145" s="16" t="n"/>
      <c r="D145" s="16" t="n"/>
      <c r="E145" s="16" t="n"/>
      <c r="F145" s="16" t="n"/>
      <c r="G145" s="52" t="n"/>
      <c r="H145" s="52" t="n"/>
      <c r="I145" s="53">
        <f>N(G145)+N(H145)</f>
        <v/>
      </c>
      <c r="J145" s="16" t="n"/>
      <c r="K145" s="16" t="n"/>
      <c r="L145" s="16" t="n"/>
      <c r="M145" s="16" t="n"/>
      <c r="N145" s="54">
        <f>IF(A145="","",EOMONTH(A145,-1)+1)</f>
        <v/>
      </c>
      <c r="O145" s="22">
        <f>IF(AND(N(A145)&gt;=N(01_Parametres!$B$11),N(A145)&lt;=N(01_Parametres!$B$12)),1,0)</f>
        <v/>
      </c>
      <c r="P145" s="74">
        <f>IF(E145="","",IFERROR(VLOOKUP(E145,02_Plan_Comptable!$A$5:$C$84,3,FALSE),""))</f>
        <v/>
      </c>
      <c r="Q145" s="74">
        <f>IF(F145="","",IFERROR(VLOOKUP(F145,02_Plan_Comptable!$A$5:$C$84,3,FALSE),""))</f>
        <v/>
      </c>
    </row>
    <row r="146">
      <c r="A146" s="51" t="n"/>
      <c r="B146" s="16" t="n"/>
      <c r="C146" s="16" t="n"/>
      <c r="D146" s="16" t="n"/>
      <c r="E146" s="16" t="n"/>
      <c r="F146" s="16" t="n"/>
      <c r="G146" s="52" t="n"/>
      <c r="H146" s="52" t="n"/>
      <c r="I146" s="53">
        <f>N(G146)+N(H146)</f>
        <v/>
      </c>
      <c r="J146" s="16" t="n"/>
      <c r="K146" s="16" t="n"/>
      <c r="L146" s="16" t="n"/>
      <c r="M146" s="16" t="n"/>
      <c r="N146" s="54">
        <f>IF(A146="","",EOMONTH(A146,-1)+1)</f>
        <v/>
      </c>
      <c r="O146" s="22">
        <f>IF(AND(N(A146)&gt;=N(01_Parametres!$B$11),N(A146)&lt;=N(01_Parametres!$B$12)),1,0)</f>
        <v/>
      </c>
      <c r="P146" s="74">
        <f>IF(E146="","",IFERROR(VLOOKUP(E146,02_Plan_Comptable!$A$5:$C$84,3,FALSE),""))</f>
        <v/>
      </c>
      <c r="Q146" s="74">
        <f>IF(F146="","",IFERROR(VLOOKUP(F146,02_Plan_Comptable!$A$5:$C$84,3,FALSE),""))</f>
        <v/>
      </c>
    </row>
    <row r="147">
      <c r="A147" s="51" t="n"/>
      <c r="B147" s="16" t="n"/>
      <c r="C147" s="16" t="n"/>
      <c r="D147" s="16" t="n"/>
      <c r="E147" s="16" t="n"/>
      <c r="F147" s="16" t="n"/>
      <c r="G147" s="52" t="n"/>
      <c r="H147" s="52" t="n"/>
      <c r="I147" s="53">
        <f>N(G147)+N(H147)</f>
        <v/>
      </c>
      <c r="J147" s="16" t="n"/>
      <c r="K147" s="16" t="n"/>
      <c r="L147" s="16" t="n"/>
      <c r="M147" s="16" t="n"/>
      <c r="N147" s="54">
        <f>IF(A147="","",EOMONTH(A147,-1)+1)</f>
        <v/>
      </c>
      <c r="O147" s="22">
        <f>IF(AND(N(A147)&gt;=N(01_Parametres!$B$11),N(A147)&lt;=N(01_Parametres!$B$12)),1,0)</f>
        <v/>
      </c>
      <c r="P147" s="74">
        <f>IF(E147="","",IFERROR(VLOOKUP(E147,02_Plan_Comptable!$A$5:$C$84,3,FALSE),""))</f>
        <v/>
      </c>
      <c r="Q147" s="74">
        <f>IF(F147="","",IFERROR(VLOOKUP(F147,02_Plan_Comptable!$A$5:$C$84,3,FALSE),""))</f>
        <v/>
      </c>
    </row>
    <row r="148">
      <c r="A148" s="51" t="n"/>
      <c r="B148" s="16" t="n"/>
      <c r="C148" s="16" t="n"/>
      <c r="D148" s="16" t="n"/>
      <c r="E148" s="16" t="n"/>
      <c r="F148" s="16" t="n"/>
      <c r="G148" s="52" t="n"/>
      <c r="H148" s="52" t="n"/>
      <c r="I148" s="53">
        <f>N(G148)+N(H148)</f>
        <v/>
      </c>
      <c r="J148" s="16" t="n"/>
      <c r="K148" s="16" t="n"/>
      <c r="L148" s="16" t="n"/>
      <c r="M148" s="16" t="n"/>
      <c r="N148" s="54">
        <f>IF(A148="","",EOMONTH(A148,-1)+1)</f>
        <v/>
      </c>
      <c r="O148" s="22">
        <f>IF(AND(N(A148)&gt;=N(01_Parametres!$B$11),N(A148)&lt;=N(01_Parametres!$B$12)),1,0)</f>
        <v/>
      </c>
      <c r="P148" s="74">
        <f>IF(E148="","",IFERROR(VLOOKUP(E148,02_Plan_Comptable!$A$5:$C$84,3,FALSE),""))</f>
        <v/>
      </c>
      <c r="Q148" s="74">
        <f>IF(F148="","",IFERROR(VLOOKUP(F148,02_Plan_Comptable!$A$5:$C$84,3,FALSE),""))</f>
        <v/>
      </c>
    </row>
    <row r="149">
      <c r="A149" s="51" t="n"/>
      <c r="B149" s="16" t="n"/>
      <c r="C149" s="16" t="n"/>
      <c r="D149" s="16" t="n"/>
      <c r="E149" s="16" t="n"/>
      <c r="F149" s="16" t="n"/>
      <c r="G149" s="52" t="n"/>
      <c r="H149" s="52" t="n"/>
      <c r="I149" s="53">
        <f>N(G149)+N(H149)</f>
        <v/>
      </c>
      <c r="J149" s="16" t="n"/>
      <c r="K149" s="16" t="n"/>
      <c r="L149" s="16" t="n"/>
      <c r="M149" s="16" t="n"/>
      <c r="N149" s="54">
        <f>IF(A149="","",EOMONTH(A149,-1)+1)</f>
        <v/>
      </c>
      <c r="O149" s="22">
        <f>IF(AND(N(A149)&gt;=N(01_Parametres!$B$11),N(A149)&lt;=N(01_Parametres!$B$12)),1,0)</f>
        <v/>
      </c>
      <c r="P149" s="74">
        <f>IF(E149="","",IFERROR(VLOOKUP(E149,02_Plan_Comptable!$A$5:$C$84,3,FALSE),""))</f>
        <v/>
      </c>
      <c r="Q149" s="74">
        <f>IF(F149="","",IFERROR(VLOOKUP(F149,02_Plan_Comptable!$A$5:$C$84,3,FALSE),""))</f>
        <v/>
      </c>
    </row>
    <row r="150">
      <c r="A150" s="51" t="n"/>
      <c r="B150" s="16" t="n"/>
      <c r="C150" s="16" t="n"/>
      <c r="D150" s="16" t="n"/>
      <c r="E150" s="16" t="n"/>
      <c r="F150" s="16" t="n"/>
      <c r="G150" s="52" t="n"/>
      <c r="H150" s="52" t="n"/>
      <c r="I150" s="53">
        <f>N(G150)+N(H150)</f>
        <v/>
      </c>
      <c r="J150" s="16" t="n"/>
      <c r="K150" s="16" t="n"/>
      <c r="L150" s="16" t="n"/>
      <c r="M150" s="16" t="n"/>
      <c r="N150" s="54">
        <f>IF(A150="","",EOMONTH(A150,-1)+1)</f>
        <v/>
      </c>
      <c r="O150" s="22">
        <f>IF(AND(N(A150)&gt;=N(01_Parametres!$B$11),N(A150)&lt;=N(01_Parametres!$B$12)),1,0)</f>
        <v/>
      </c>
      <c r="P150" s="74">
        <f>IF(E150="","",IFERROR(VLOOKUP(E150,02_Plan_Comptable!$A$5:$C$84,3,FALSE),""))</f>
        <v/>
      </c>
      <c r="Q150" s="74">
        <f>IF(F150="","",IFERROR(VLOOKUP(F150,02_Plan_Comptable!$A$5:$C$84,3,FALSE),""))</f>
        <v/>
      </c>
    </row>
    <row r="151">
      <c r="A151" s="51" t="n"/>
      <c r="B151" s="16" t="n"/>
      <c r="C151" s="16" t="n"/>
      <c r="D151" s="16" t="n"/>
      <c r="E151" s="16" t="n"/>
      <c r="F151" s="16" t="n"/>
      <c r="G151" s="52" t="n"/>
      <c r="H151" s="52" t="n"/>
      <c r="I151" s="53">
        <f>N(G151)+N(H151)</f>
        <v/>
      </c>
      <c r="J151" s="16" t="n"/>
      <c r="K151" s="16" t="n"/>
      <c r="L151" s="16" t="n"/>
      <c r="M151" s="16" t="n"/>
      <c r="N151" s="54">
        <f>IF(A151="","",EOMONTH(A151,-1)+1)</f>
        <v/>
      </c>
      <c r="O151" s="22">
        <f>IF(AND(N(A151)&gt;=N(01_Parametres!$B$11),N(A151)&lt;=N(01_Parametres!$B$12)),1,0)</f>
        <v/>
      </c>
      <c r="P151" s="74">
        <f>IF(E151="","",IFERROR(VLOOKUP(E151,02_Plan_Comptable!$A$5:$C$84,3,FALSE),""))</f>
        <v/>
      </c>
      <c r="Q151" s="74">
        <f>IF(F151="","",IFERROR(VLOOKUP(F151,02_Plan_Comptable!$A$5:$C$84,3,FALSE),""))</f>
        <v/>
      </c>
    </row>
    <row r="152">
      <c r="A152" s="51" t="n"/>
      <c r="B152" s="16" t="n"/>
      <c r="C152" s="16" t="n"/>
      <c r="D152" s="16" t="n"/>
      <c r="E152" s="16" t="n"/>
      <c r="F152" s="16" t="n"/>
      <c r="G152" s="52" t="n"/>
      <c r="H152" s="52" t="n"/>
      <c r="I152" s="53">
        <f>N(G152)+N(H152)</f>
        <v/>
      </c>
      <c r="J152" s="16" t="n"/>
      <c r="K152" s="16" t="n"/>
      <c r="L152" s="16" t="n"/>
      <c r="M152" s="16" t="n"/>
      <c r="N152" s="54">
        <f>IF(A152="","",EOMONTH(A152,-1)+1)</f>
        <v/>
      </c>
      <c r="O152" s="22">
        <f>IF(AND(N(A152)&gt;=N(01_Parametres!$B$11),N(A152)&lt;=N(01_Parametres!$B$12)),1,0)</f>
        <v/>
      </c>
      <c r="P152" s="74">
        <f>IF(E152="","",IFERROR(VLOOKUP(E152,02_Plan_Comptable!$A$5:$C$84,3,FALSE),""))</f>
        <v/>
      </c>
      <c r="Q152" s="74">
        <f>IF(F152="","",IFERROR(VLOOKUP(F152,02_Plan_Comptable!$A$5:$C$84,3,FALSE),""))</f>
        <v/>
      </c>
    </row>
    <row r="153">
      <c r="A153" s="51" t="n"/>
      <c r="B153" s="16" t="n"/>
      <c r="C153" s="16" t="n"/>
      <c r="D153" s="16" t="n"/>
      <c r="E153" s="16" t="n"/>
      <c r="F153" s="16" t="n"/>
      <c r="G153" s="52" t="n"/>
      <c r="H153" s="52" t="n"/>
      <c r="I153" s="53">
        <f>N(G153)+N(H153)</f>
        <v/>
      </c>
      <c r="J153" s="16" t="n"/>
      <c r="K153" s="16" t="n"/>
      <c r="L153" s="16" t="n"/>
      <c r="M153" s="16" t="n"/>
      <c r="N153" s="54">
        <f>IF(A153="","",EOMONTH(A153,-1)+1)</f>
        <v/>
      </c>
      <c r="O153" s="22">
        <f>IF(AND(N(A153)&gt;=N(01_Parametres!$B$11),N(A153)&lt;=N(01_Parametres!$B$12)),1,0)</f>
        <v/>
      </c>
      <c r="P153" s="74">
        <f>IF(E153="","",IFERROR(VLOOKUP(E153,02_Plan_Comptable!$A$5:$C$84,3,FALSE),""))</f>
        <v/>
      </c>
      <c r="Q153" s="74">
        <f>IF(F153="","",IFERROR(VLOOKUP(F153,02_Plan_Comptable!$A$5:$C$84,3,FALSE),""))</f>
        <v/>
      </c>
    </row>
    <row r="154">
      <c r="A154" s="51" t="n"/>
      <c r="B154" s="16" t="n"/>
      <c r="C154" s="16" t="n"/>
      <c r="D154" s="16" t="n"/>
      <c r="E154" s="16" t="n"/>
      <c r="F154" s="16" t="n"/>
      <c r="G154" s="52" t="n"/>
      <c r="H154" s="52" t="n"/>
      <c r="I154" s="53">
        <f>N(G154)+N(H154)</f>
        <v/>
      </c>
      <c r="J154" s="16" t="n"/>
      <c r="K154" s="16" t="n"/>
      <c r="L154" s="16" t="n"/>
      <c r="M154" s="16" t="n"/>
      <c r="N154" s="54">
        <f>IF(A154="","",EOMONTH(A154,-1)+1)</f>
        <v/>
      </c>
      <c r="O154" s="22">
        <f>IF(AND(N(A154)&gt;=N(01_Parametres!$B$11),N(A154)&lt;=N(01_Parametres!$B$12)),1,0)</f>
        <v/>
      </c>
      <c r="P154" s="74">
        <f>IF(E154="","",IFERROR(VLOOKUP(E154,02_Plan_Comptable!$A$5:$C$84,3,FALSE),""))</f>
        <v/>
      </c>
      <c r="Q154" s="74">
        <f>IF(F154="","",IFERROR(VLOOKUP(F154,02_Plan_Comptable!$A$5:$C$84,3,FALSE),""))</f>
        <v/>
      </c>
    </row>
    <row r="155">
      <c r="A155" s="51" t="n"/>
      <c r="B155" s="16" t="n"/>
      <c r="C155" s="16" t="n"/>
      <c r="D155" s="16" t="n"/>
      <c r="E155" s="16" t="n"/>
      <c r="F155" s="16" t="n"/>
      <c r="G155" s="52" t="n"/>
      <c r="H155" s="52" t="n"/>
      <c r="I155" s="53">
        <f>N(G155)+N(H155)</f>
        <v/>
      </c>
      <c r="J155" s="16" t="n"/>
      <c r="K155" s="16" t="n"/>
      <c r="L155" s="16" t="n"/>
      <c r="M155" s="16" t="n"/>
      <c r="N155" s="54">
        <f>IF(A155="","",EOMONTH(A155,-1)+1)</f>
        <v/>
      </c>
      <c r="O155" s="22">
        <f>IF(AND(N(A155)&gt;=N(01_Parametres!$B$11),N(A155)&lt;=N(01_Parametres!$B$12)),1,0)</f>
        <v/>
      </c>
      <c r="P155" s="74">
        <f>IF(E155="","",IFERROR(VLOOKUP(E155,02_Plan_Comptable!$A$5:$C$84,3,FALSE),""))</f>
        <v/>
      </c>
      <c r="Q155" s="74">
        <f>IF(F155="","",IFERROR(VLOOKUP(F155,02_Plan_Comptable!$A$5:$C$84,3,FALSE),""))</f>
        <v/>
      </c>
    </row>
    <row r="156">
      <c r="A156" s="51" t="n"/>
      <c r="B156" s="16" t="n"/>
      <c r="C156" s="16" t="n"/>
      <c r="D156" s="16" t="n"/>
      <c r="E156" s="16" t="n"/>
      <c r="F156" s="16" t="n"/>
      <c r="G156" s="52" t="n"/>
      <c r="H156" s="52" t="n"/>
      <c r="I156" s="53">
        <f>N(G156)+N(H156)</f>
        <v/>
      </c>
      <c r="J156" s="16" t="n"/>
      <c r="K156" s="16" t="n"/>
      <c r="L156" s="16" t="n"/>
      <c r="M156" s="16" t="n"/>
      <c r="N156" s="54">
        <f>IF(A156="","",EOMONTH(A156,-1)+1)</f>
        <v/>
      </c>
      <c r="O156" s="22">
        <f>IF(AND(N(A156)&gt;=N(01_Parametres!$B$11),N(A156)&lt;=N(01_Parametres!$B$12)),1,0)</f>
        <v/>
      </c>
      <c r="P156" s="74">
        <f>IF(E156="","",IFERROR(VLOOKUP(E156,02_Plan_Comptable!$A$5:$C$84,3,FALSE),""))</f>
        <v/>
      </c>
      <c r="Q156" s="74">
        <f>IF(F156="","",IFERROR(VLOOKUP(F156,02_Plan_Comptable!$A$5:$C$84,3,FALSE),""))</f>
        <v/>
      </c>
    </row>
    <row r="157">
      <c r="A157" s="51" t="n"/>
      <c r="B157" s="16" t="n"/>
      <c r="C157" s="16" t="n"/>
      <c r="D157" s="16" t="n"/>
      <c r="E157" s="16" t="n"/>
      <c r="F157" s="16" t="n"/>
      <c r="G157" s="52" t="n"/>
      <c r="H157" s="52" t="n"/>
      <c r="I157" s="53">
        <f>N(G157)+N(H157)</f>
        <v/>
      </c>
      <c r="J157" s="16" t="n"/>
      <c r="K157" s="16" t="n"/>
      <c r="L157" s="16" t="n"/>
      <c r="M157" s="16" t="n"/>
      <c r="N157" s="54">
        <f>IF(A157="","",EOMONTH(A157,-1)+1)</f>
        <v/>
      </c>
      <c r="O157" s="22">
        <f>IF(AND(N(A157)&gt;=N(01_Parametres!$B$11),N(A157)&lt;=N(01_Parametres!$B$12)),1,0)</f>
        <v/>
      </c>
      <c r="P157" s="74">
        <f>IF(E157="","",IFERROR(VLOOKUP(E157,02_Plan_Comptable!$A$5:$C$84,3,FALSE),""))</f>
        <v/>
      </c>
      <c r="Q157" s="74">
        <f>IF(F157="","",IFERROR(VLOOKUP(F157,02_Plan_Comptable!$A$5:$C$84,3,FALSE),""))</f>
        <v/>
      </c>
    </row>
    <row r="158">
      <c r="A158" s="51" t="n"/>
      <c r="B158" s="16" t="n"/>
      <c r="C158" s="16" t="n"/>
      <c r="D158" s="16" t="n"/>
      <c r="E158" s="16" t="n"/>
      <c r="F158" s="16" t="n"/>
      <c r="G158" s="52" t="n"/>
      <c r="H158" s="52" t="n"/>
      <c r="I158" s="53">
        <f>N(G158)+N(H158)</f>
        <v/>
      </c>
      <c r="J158" s="16" t="n"/>
      <c r="K158" s="16" t="n"/>
      <c r="L158" s="16" t="n"/>
      <c r="M158" s="16" t="n"/>
      <c r="N158" s="54">
        <f>IF(A158="","",EOMONTH(A158,-1)+1)</f>
        <v/>
      </c>
      <c r="O158" s="22">
        <f>IF(AND(N(A158)&gt;=N(01_Parametres!$B$11),N(A158)&lt;=N(01_Parametres!$B$12)),1,0)</f>
        <v/>
      </c>
      <c r="P158" s="74">
        <f>IF(E158="","",IFERROR(VLOOKUP(E158,02_Plan_Comptable!$A$5:$C$84,3,FALSE),""))</f>
        <v/>
      </c>
      <c r="Q158" s="74">
        <f>IF(F158="","",IFERROR(VLOOKUP(F158,02_Plan_Comptable!$A$5:$C$84,3,FALSE),""))</f>
        <v/>
      </c>
    </row>
    <row r="159">
      <c r="A159" s="51" t="n"/>
      <c r="B159" s="16" t="n"/>
      <c r="C159" s="16" t="n"/>
      <c r="D159" s="16" t="n"/>
      <c r="E159" s="16" t="n"/>
      <c r="F159" s="16" t="n"/>
      <c r="G159" s="52" t="n"/>
      <c r="H159" s="52" t="n"/>
      <c r="I159" s="53">
        <f>N(G159)+N(H159)</f>
        <v/>
      </c>
      <c r="J159" s="16" t="n"/>
      <c r="K159" s="16" t="n"/>
      <c r="L159" s="16" t="n"/>
      <c r="M159" s="16" t="n"/>
      <c r="N159" s="54">
        <f>IF(A159="","",EOMONTH(A159,-1)+1)</f>
        <v/>
      </c>
      <c r="O159" s="22">
        <f>IF(AND(N(A159)&gt;=N(01_Parametres!$B$11),N(A159)&lt;=N(01_Parametres!$B$12)),1,0)</f>
        <v/>
      </c>
      <c r="P159" s="74">
        <f>IF(E159="","",IFERROR(VLOOKUP(E159,02_Plan_Comptable!$A$5:$C$84,3,FALSE),""))</f>
        <v/>
      </c>
      <c r="Q159" s="74">
        <f>IF(F159="","",IFERROR(VLOOKUP(F159,02_Plan_Comptable!$A$5:$C$84,3,FALSE),""))</f>
        <v/>
      </c>
    </row>
    <row r="160">
      <c r="A160" s="51" t="n"/>
      <c r="B160" s="16" t="n"/>
      <c r="C160" s="16" t="n"/>
      <c r="D160" s="16" t="n"/>
      <c r="E160" s="16" t="n"/>
      <c r="F160" s="16" t="n"/>
      <c r="G160" s="52" t="n"/>
      <c r="H160" s="52" t="n"/>
      <c r="I160" s="53">
        <f>N(G160)+N(H160)</f>
        <v/>
      </c>
      <c r="J160" s="16" t="n"/>
      <c r="K160" s="16" t="n"/>
      <c r="L160" s="16" t="n"/>
      <c r="M160" s="16" t="n"/>
      <c r="N160" s="54">
        <f>IF(A160="","",EOMONTH(A160,-1)+1)</f>
        <v/>
      </c>
      <c r="O160" s="22">
        <f>IF(AND(N(A160)&gt;=N(01_Parametres!$B$11),N(A160)&lt;=N(01_Parametres!$B$12)),1,0)</f>
        <v/>
      </c>
      <c r="P160" s="74">
        <f>IF(E160="","",IFERROR(VLOOKUP(E160,02_Plan_Comptable!$A$5:$C$84,3,FALSE),""))</f>
        <v/>
      </c>
      <c r="Q160" s="74">
        <f>IF(F160="","",IFERROR(VLOOKUP(F160,02_Plan_Comptable!$A$5:$C$84,3,FALSE),""))</f>
        <v/>
      </c>
    </row>
    <row r="161">
      <c r="A161" s="51" t="n"/>
      <c r="B161" s="16" t="n"/>
      <c r="C161" s="16" t="n"/>
      <c r="D161" s="16" t="n"/>
      <c r="E161" s="16" t="n"/>
      <c r="F161" s="16" t="n"/>
      <c r="G161" s="52" t="n"/>
      <c r="H161" s="52" t="n"/>
      <c r="I161" s="53">
        <f>N(G161)+N(H161)</f>
        <v/>
      </c>
      <c r="J161" s="16" t="n"/>
      <c r="K161" s="16" t="n"/>
      <c r="L161" s="16" t="n"/>
      <c r="M161" s="16" t="n"/>
      <c r="N161" s="54">
        <f>IF(A161="","",EOMONTH(A161,-1)+1)</f>
        <v/>
      </c>
      <c r="O161" s="22">
        <f>IF(AND(N(A161)&gt;=N(01_Parametres!$B$11),N(A161)&lt;=N(01_Parametres!$B$12)),1,0)</f>
        <v/>
      </c>
      <c r="P161" s="74">
        <f>IF(E161="","",IFERROR(VLOOKUP(E161,02_Plan_Comptable!$A$5:$C$84,3,FALSE),""))</f>
        <v/>
      </c>
      <c r="Q161" s="74">
        <f>IF(F161="","",IFERROR(VLOOKUP(F161,02_Plan_Comptable!$A$5:$C$84,3,FALSE),""))</f>
        <v/>
      </c>
    </row>
    <row r="162">
      <c r="A162" s="51" t="n"/>
      <c r="B162" s="16" t="n"/>
      <c r="C162" s="16" t="n"/>
      <c r="D162" s="16" t="n"/>
      <c r="E162" s="16" t="n"/>
      <c r="F162" s="16" t="n"/>
      <c r="G162" s="52" t="n"/>
      <c r="H162" s="52" t="n"/>
      <c r="I162" s="53">
        <f>N(G162)+N(H162)</f>
        <v/>
      </c>
      <c r="J162" s="16" t="n"/>
      <c r="K162" s="16" t="n"/>
      <c r="L162" s="16" t="n"/>
      <c r="M162" s="16" t="n"/>
      <c r="N162" s="54">
        <f>IF(A162="","",EOMONTH(A162,-1)+1)</f>
        <v/>
      </c>
      <c r="O162" s="22">
        <f>IF(AND(N(A162)&gt;=N(01_Parametres!$B$11),N(A162)&lt;=N(01_Parametres!$B$12)),1,0)</f>
        <v/>
      </c>
      <c r="P162" s="74">
        <f>IF(E162="","",IFERROR(VLOOKUP(E162,02_Plan_Comptable!$A$5:$C$84,3,FALSE),""))</f>
        <v/>
      </c>
      <c r="Q162" s="74">
        <f>IF(F162="","",IFERROR(VLOOKUP(F162,02_Plan_Comptable!$A$5:$C$84,3,FALSE),""))</f>
        <v/>
      </c>
    </row>
    <row r="163">
      <c r="A163" s="51" t="n"/>
      <c r="B163" s="16" t="n"/>
      <c r="C163" s="16" t="n"/>
      <c r="D163" s="16" t="n"/>
      <c r="E163" s="16" t="n"/>
      <c r="F163" s="16" t="n"/>
      <c r="G163" s="52" t="n"/>
      <c r="H163" s="52" t="n"/>
      <c r="I163" s="53">
        <f>N(G163)+N(H163)</f>
        <v/>
      </c>
      <c r="J163" s="16" t="n"/>
      <c r="K163" s="16" t="n"/>
      <c r="L163" s="16" t="n"/>
      <c r="M163" s="16" t="n"/>
      <c r="N163" s="54">
        <f>IF(A163="","",EOMONTH(A163,-1)+1)</f>
        <v/>
      </c>
      <c r="O163" s="22">
        <f>IF(AND(N(A163)&gt;=N(01_Parametres!$B$11),N(A163)&lt;=N(01_Parametres!$B$12)),1,0)</f>
        <v/>
      </c>
      <c r="P163" s="74">
        <f>IF(E163="","",IFERROR(VLOOKUP(E163,02_Plan_Comptable!$A$5:$C$84,3,FALSE),""))</f>
        <v/>
      </c>
      <c r="Q163" s="74">
        <f>IF(F163="","",IFERROR(VLOOKUP(F163,02_Plan_Comptable!$A$5:$C$84,3,FALSE),""))</f>
        <v/>
      </c>
    </row>
    <row r="164">
      <c r="A164" s="51" t="n"/>
      <c r="B164" s="16" t="n"/>
      <c r="C164" s="16" t="n"/>
      <c r="D164" s="16" t="n"/>
      <c r="E164" s="16" t="n"/>
      <c r="F164" s="16" t="n"/>
      <c r="G164" s="52" t="n"/>
      <c r="H164" s="52" t="n"/>
      <c r="I164" s="53">
        <f>N(G164)+N(H164)</f>
        <v/>
      </c>
      <c r="J164" s="16" t="n"/>
      <c r="K164" s="16" t="n"/>
      <c r="L164" s="16" t="n"/>
      <c r="M164" s="16" t="n"/>
      <c r="N164" s="54">
        <f>IF(A164="","",EOMONTH(A164,-1)+1)</f>
        <v/>
      </c>
      <c r="O164" s="22">
        <f>IF(AND(N(A164)&gt;=N(01_Parametres!$B$11),N(A164)&lt;=N(01_Parametres!$B$12)),1,0)</f>
        <v/>
      </c>
      <c r="P164" s="74">
        <f>IF(E164="","",IFERROR(VLOOKUP(E164,02_Plan_Comptable!$A$5:$C$84,3,FALSE),""))</f>
        <v/>
      </c>
      <c r="Q164" s="74">
        <f>IF(F164="","",IFERROR(VLOOKUP(F164,02_Plan_Comptable!$A$5:$C$84,3,FALSE),""))</f>
        <v/>
      </c>
    </row>
    <row r="165">
      <c r="A165" s="51" t="n"/>
      <c r="B165" s="16" t="n"/>
      <c r="C165" s="16" t="n"/>
      <c r="D165" s="16" t="n"/>
      <c r="E165" s="16" t="n"/>
      <c r="F165" s="16" t="n"/>
      <c r="G165" s="52" t="n"/>
      <c r="H165" s="52" t="n"/>
      <c r="I165" s="53">
        <f>N(G165)+N(H165)</f>
        <v/>
      </c>
      <c r="J165" s="16" t="n"/>
      <c r="K165" s="16" t="n"/>
      <c r="L165" s="16" t="n"/>
      <c r="M165" s="16" t="n"/>
      <c r="N165" s="54">
        <f>IF(A165="","",EOMONTH(A165,-1)+1)</f>
        <v/>
      </c>
      <c r="O165" s="22">
        <f>IF(AND(N(A165)&gt;=N(01_Parametres!$B$11),N(A165)&lt;=N(01_Parametres!$B$12)),1,0)</f>
        <v/>
      </c>
      <c r="P165" s="74">
        <f>IF(E165="","",IFERROR(VLOOKUP(E165,02_Plan_Comptable!$A$5:$C$84,3,FALSE),""))</f>
        <v/>
      </c>
      <c r="Q165" s="74">
        <f>IF(F165="","",IFERROR(VLOOKUP(F165,02_Plan_Comptable!$A$5:$C$84,3,FALSE),""))</f>
        <v/>
      </c>
    </row>
    <row r="166">
      <c r="A166" s="51" t="n"/>
      <c r="B166" s="16" t="n"/>
      <c r="C166" s="16" t="n"/>
      <c r="D166" s="16" t="n"/>
      <c r="E166" s="16" t="n"/>
      <c r="F166" s="16" t="n"/>
      <c r="G166" s="52" t="n"/>
      <c r="H166" s="52" t="n"/>
      <c r="I166" s="53">
        <f>N(G166)+N(H166)</f>
        <v/>
      </c>
      <c r="J166" s="16" t="n"/>
      <c r="K166" s="16" t="n"/>
      <c r="L166" s="16" t="n"/>
      <c r="M166" s="16" t="n"/>
      <c r="N166" s="54">
        <f>IF(A166="","",EOMONTH(A166,-1)+1)</f>
        <v/>
      </c>
      <c r="O166" s="22">
        <f>IF(AND(N(A166)&gt;=N(01_Parametres!$B$11),N(A166)&lt;=N(01_Parametres!$B$12)),1,0)</f>
        <v/>
      </c>
      <c r="P166" s="74">
        <f>IF(E166="","",IFERROR(VLOOKUP(E166,02_Plan_Comptable!$A$5:$C$84,3,FALSE),""))</f>
        <v/>
      </c>
      <c r="Q166" s="74">
        <f>IF(F166="","",IFERROR(VLOOKUP(F166,02_Plan_Comptable!$A$5:$C$84,3,FALSE),""))</f>
        <v/>
      </c>
    </row>
    <row r="167">
      <c r="A167" s="51" t="n"/>
      <c r="B167" s="16" t="n"/>
      <c r="C167" s="16" t="n"/>
      <c r="D167" s="16" t="n"/>
      <c r="E167" s="16" t="n"/>
      <c r="F167" s="16" t="n"/>
      <c r="G167" s="52" t="n"/>
      <c r="H167" s="52" t="n"/>
      <c r="I167" s="53">
        <f>N(G167)+N(H167)</f>
        <v/>
      </c>
      <c r="J167" s="16" t="n"/>
      <c r="K167" s="16" t="n"/>
      <c r="L167" s="16" t="n"/>
      <c r="M167" s="16" t="n"/>
      <c r="N167" s="54">
        <f>IF(A167="","",EOMONTH(A167,-1)+1)</f>
        <v/>
      </c>
      <c r="O167" s="22">
        <f>IF(AND(N(A167)&gt;=N(01_Parametres!$B$11),N(A167)&lt;=N(01_Parametres!$B$12)),1,0)</f>
        <v/>
      </c>
      <c r="P167" s="74">
        <f>IF(E167="","",IFERROR(VLOOKUP(E167,02_Plan_Comptable!$A$5:$C$84,3,FALSE),""))</f>
        <v/>
      </c>
      <c r="Q167" s="74">
        <f>IF(F167="","",IFERROR(VLOOKUP(F167,02_Plan_Comptable!$A$5:$C$84,3,FALSE),""))</f>
        <v/>
      </c>
    </row>
    <row r="168">
      <c r="A168" s="51" t="n"/>
      <c r="B168" s="16" t="n"/>
      <c r="C168" s="16" t="n"/>
      <c r="D168" s="16" t="n"/>
      <c r="E168" s="16" t="n"/>
      <c r="F168" s="16" t="n"/>
      <c r="G168" s="52" t="n"/>
      <c r="H168" s="52" t="n"/>
      <c r="I168" s="53">
        <f>N(G168)+N(H168)</f>
        <v/>
      </c>
      <c r="J168" s="16" t="n"/>
      <c r="K168" s="16" t="n"/>
      <c r="L168" s="16" t="n"/>
      <c r="M168" s="16" t="n"/>
      <c r="N168" s="54">
        <f>IF(A168="","",EOMONTH(A168,-1)+1)</f>
        <v/>
      </c>
      <c r="O168" s="22">
        <f>IF(AND(N(A168)&gt;=N(01_Parametres!$B$11),N(A168)&lt;=N(01_Parametres!$B$12)),1,0)</f>
        <v/>
      </c>
      <c r="P168" s="74">
        <f>IF(E168="","",IFERROR(VLOOKUP(E168,02_Plan_Comptable!$A$5:$C$84,3,FALSE),""))</f>
        <v/>
      </c>
      <c r="Q168" s="74">
        <f>IF(F168="","",IFERROR(VLOOKUP(F168,02_Plan_Comptable!$A$5:$C$84,3,FALSE),""))</f>
        <v/>
      </c>
    </row>
    <row r="169">
      <c r="A169" s="51" t="n"/>
      <c r="B169" s="16" t="n"/>
      <c r="C169" s="16" t="n"/>
      <c r="D169" s="16" t="n"/>
      <c r="E169" s="16" t="n"/>
      <c r="F169" s="16" t="n"/>
      <c r="G169" s="52" t="n"/>
      <c r="H169" s="52" t="n"/>
      <c r="I169" s="53">
        <f>N(G169)+N(H169)</f>
        <v/>
      </c>
      <c r="J169" s="16" t="n"/>
      <c r="K169" s="16" t="n"/>
      <c r="L169" s="16" t="n"/>
      <c r="M169" s="16" t="n"/>
      <c r="N169" s="54">
        <f>IF(A169="","",EOMONTH(A169,-1)+1)</f>
        <v/>
      </c>
      <c r="O169" s="22">
        <f>IF(AND(N(A169)&gt;=N(01_Parametres!$B$11),N(A169)&lt;=N(01_Parametres!$B$12)),1,0)</f>
        <v/>
      </c>
      <c r="P169" s="74">
        <f>IF(E169="","",IFERROR(VLOOKUP(E169,02_Plan_Comptable!$A$5:$C$84,3,FALSE),""))</f>
        <v/>
      </c>
      <c r="Q169" s="74">
        <f>IF(F169="","",IFERROR(VLOOKUP(F169,02_Plan_Comptable!$A$5:$C$84,3,FALSE),""))</f>
        <v/>
      </c>
    </row>
    <row r="170">
      <c r="A170" s="51" t="n"/>
      <c r="B170" s="16" t="n"/>
      <c r="C170" s="16" t="n"/>
      <c r="D170" s="16" t="n"/>
      <c r="E170" s="16" t="n"/>
      <c r="F170" s="16" t="n"/>
      <c r="G170" s="52" t="n"/>
      <c r="H170" s="52" t="n"/>
      <c r="I170" s="53">
        <f>N(G170)+N(H170)</f>
        <v/>
      </c>
      <c r="J170" s="16" t="n"/>
      <c r="K170" s="16" t="n"/>
      <c r="L170" s="16" t="n"/>
      <c r="M170" s="16" t="n"/>
      <c r="N170" s="54">
        <f>IF(A170="","",EOMONTH(A170,-1)+1)</f>
        <v/>
      </c>
      <c r="O170" s="22">
        <f>IF(AND(N(A170)&gt;=N(01_Parametres!$B$11),N(A170)&lt;=N(01_Parametres!$B$12)),1,0)</f>
        <v/>
      </c>
      <c r="P170" s="74">
        <f>IF(E170="","",IFERROR(VLOOKUP(E170,02_Plan_Comptable!$A$5:$C$84,3,FALSE),""))</f>
        <v/>
      </c>
      <c r="Q170" s="74">
        <f>IF(F170="","",IFERROR(VLOOKUP(F170,02_Plan_Comptable!$A$5:$C$84,3,FALSE),""))</f>
        <v/>
      </c>
    </row>
    <row r="171">
      <c r="A171" s="51" t="n"/>
      <c r="B171" s="16" t="n"/>
      <c r="C171" s="16" t="n"/>
      <c r="D171" s="16" t="n"/>
      <c r="E171" s="16" t="n"/>
      <c r="F171" s="16" t="n"/>
      <c r="G171" s="52" t="n"/>
      <c r="H171" s="52" t="n"/>
      <c r="I171" s="53">
        <f>N(G171)+N(H171)</f>
        <v/>
      </c>
      <c r="J171" s="16" t="n"/>
      <c r="K171" s="16" t="n"/>
      <c r="L171" s="16" t="n"/>
      <c r="M171" s="16" t="n"/>
      <c r="N171" s="54">
        <f>IF(A171="","",EOMONTH(A171,-1)+1)</f>
        <v/>
      </c>
      <c r="O171" s="22">
        <f>IF(AND(N(A171)&gt;=N(01_Parametres!$B$11),N(A171)&lt;=N(01_Parametres!$B$12)),1,0)</f>
        <v/>
      </c>
      <c r="P171" s="74">
        <f>IF(E171="","",IFERROR(VLOOKUP(E171,02_Plan_Comptable!$A$5:$C$84,3,FALSE),""))</f>
        <v/>
      </c>
      <c r="Q171" s="74">
        <f>IF(F171="","",IFERROR(VLOOKUP(F171,02_Plan_Comptable!$A$5:$C$84,3,FALSE),""))</f>
        <v/>
      </c>
    </row>
    <row r="172">
      <c r="A172" s="51" t="n"/>
      <c r="B172" s="16" t="n"/>
      <c r="C172" s="16" t="n"/>
      <c r="D172" s="16" t="n"/>
      <c r="E172" s="16" t="n"/>
      <c r="F172" s="16" t="n"/>
      <c r="G172" s="52" t="n"/>
      <c r="H172" s="52" t="n"/>
      <c r="I172" s="53">
        <f>N(G172)+N(H172)</f>
        <v/>
      </c>
      <c r="J172" s="16" t="n"/>
      <c r="K172" s="16" t="n"/>
      <c r="L172" s="16" t="n"/>
      <c r="M172" s="16" t="n"/>
      <c r="N172" s="54">
        <f>IF(A172="","",EOMONTH(A172,-1)+1)</f>
        <v/>
      </c>
      <c r="O172" s="22">
        <f>IF(AND(N(A172)&gt;=N(01_Parametres!$B$11),N(A172)&lt;=N(01_Parametres!$B$12)),1,0)</f>
        <v/>
      </c>
      <c r="P172" s="74">
        <f>IF(E172="","",IFERROR(VLOOKUP(E172,02_Plan_Comptable!$A$5:$C$84,3,FALSE),""))</f>
        <v/>
      </c>
      <c r="Q172" s="74">
        <f>IF(F172="","",IFERROR(VLOOKUP(F172,02_Plan_Comptable!$A$5:$C$84,3,FALSE),""))</f>
        <v/>
      </c>
    </row>
    <row r="173">
      <c r="A173" s="51" t="n"/>
      <c r="B173" s="16" t="n"/>
      <c r="C173" s="16" t="n"/>
      <c r="D173" s="16" t="n"/>
      <c r="E173" s="16" t="n"/>
      <c r="F173" s="16" t="n"/>
      <c r="G173" s="52" t="n"/>
      <c r="H173" s="52" t="n"/>
      <c r="I173" s="53">
        <f>N(G173)+N(H173)</f>
        <v/>
      </c>
      <c r="J173" s="16" t="n"/>
      <c r="K173" s="16" t="n"/>
      <c r="L173" s="16" t="n"/>
      <c r="M173" s="16" t="n"/>
      <c r="N173" s="54">
        <f>IF(A173="","",EOMONTH(A173,-1)+1)</f>
        <v/>
      </c>
      <c r="O173" s="22">
        <f>IF(AND(N(A173)&gt;=N(01_Parametres!$B$11),N(A173)&lt;=N(01_Parametres!$B$12)),1,0)</f>
        <v/>
      </c>
      <c r="P173" s="74">
        <f>IF(E173="","",IFERROR(VLOOKUP(E173,02_Plan_Comptable!$A$5:$C$84,3,FALSE),""))</f>
        <v/>
      </c>
      <c r="Q173" s="74">
        <f>IF(F173="","",IFERROR(VLOOKUP(F173,02_Plan_Comptable!$A$5:$C$84,3,FALSE),""))</f>
        <v/>
      </c>
    </row>
    <row r="174">
      <c r="A174" s="51" t="n"/>
      <c r="B174" s="16" t="n"/>
      <c r="C174" s="16" t="n"/>
      <c r="D174" s="16" t="n"/>
      <c r="E174" s="16" t="n"/>
      <c r="F174" s="16" t="n"/>
      <c r="G174" s="52" t="n"/>
      <c r="H174" s="52" t="n"/>
      <c r="I174" s="53">
        <f>N(G174)+N(H174)</f>
        <v/>
      </c>
      <c r="J174" s="16" t="n"/>
      <c r="K174" s="16" t="n"/>
      <c r="L174" s="16" t="n"/>
      <c r="M174" s="16" t="n"/>
      <c r="N174" s="54">
        <f>IF(A174="","",EOMONTH(A174,-1)+1)</f>
        <v/>
      </c>
      <c r="O174" s="22">
        <f>IF(AND(N(A174)&gt;=N(01_Parametres!$B$11),N(A174)&lt;=N(01_Parametres!$B$12)),1,0)</f>
        <v/>
      </c>
      <c r="P174" s="74">
        <f>IF(E174="","",IFERROR(VLOOKUP(E174,02_Plan_Comptable!$A$5:$C$84,3,FALSE),""))</f>
        <v/>
      </c>
      <c r="Q174" s="74">
        <f>IF(F174="","",IFERROR(VLOOKUP(F174,02_Plan_Comptable!$A$5:$C$84,3,FALSE),""))</f>
        <v/>
      </c>
    </row>
    <row r="175">
      <c r="A175" s="51" t="n"/>
      <c r="B175" s="16" t="n"/>
      <c r="C175" s="16" t="n"/>
      <c r="D175" s="16" t="n"/>
      <c r="E175" s="16" t="n"/>
      <c r="F175" s="16" t="n"/>
      <c r="G175" s="52" t="n"/>
      <c r="H175" s="52" t="n"/>
      <c r="I175" s="53">
        <f>N(G175)+N(H175)</f>
        <v/>
      </c>
      <c r="J175" s="16" t="n"/>
      <c r="K175" s="16" t="n"/>
      <c r="L175" s="16" t="n"/>
      <c r="M175" s="16" t="n"/>
      <c r="N175" s="54">
        <f>IF(A175="","",EOMONTH(A175,-1)+1)</f>
        <v/>
      </c>
      <c r="O175" s="22">
        <f>IF(AND(N(A175)&gt;=N(01_Parametres!$B$11),N(A175)&lt;=N(01_Parametres!$B$12)),1,0)</f>
        <v/>
      </c>
      <c r="P175" s="74">
        <f>IF(E175="","",IFERROR(VLOOKUP(E175,02_Plan_Comptable!$A$5:$C$84,3,FALSE),""))</f>
        <v/>
      </c>
      <c r="Q175" s="74">
        <f>IF(F175="","",IFERROR(VLOOKUP(F175,02_Plan_Comptable!$A$5:$C$84,3,FALSE),""))</f>
        <v/>
      </c>
    </row>
    <row r="176">
      <c r="A176" s="51" t="n"/>
      <c r="B176" s="16" t="n"/>
      <c r="C176" s="16" t="n"/>
      <c r="D176" s="16" t="n"/>
      <c r="E176" s="16" t="n"/>
      <c r="F176" s="16" t="n"/>
      <c r="G176" s="52" t="n"/>
      <c r="H176" s="52" t="n"/>
      <c r="I176" s="53">
        <f>N(G176)+N(H176)</f>
        <v/>
      </c>
      <c r="J176" s="16" t="n"/>
      <c r="K176" s="16" t="n"/>
      <c r="L176" s="16" t="n"/>
      <c r="M176" s="16" t="n"/>
      <c r="N176" s="54">
        <f>IF(A176="","",EOMONTH(A176,-1)+1)</f>
        <v/>
      </c>
      <c r="O176" s="22">
        <f>IF(AND(N(A176)&gt;=N(01_Parametres!$B$11),N(A176)&lt;=N(01_Parametres!$B$12)),1,0)</f>
        <v/>
      </c>
      <c r="P176" s="74">
        <f>IF(E176="","",IFERROR(VLOOKUP(E176,02_Plan_Comptable!$A$5:$C$84,3,FALSE),""))</f>
        <v/>
      </c>
      <c r="Q176" s="74">
        <f>IF(F176="","",IFERROR(VLOOKUP(F176,02_Plan_Comptable!$A$5:$C$84,3,FALSE),""))</f>
        <v/>
      </c>
    </row>
    <row r="177">
      <c r="A177" s="51" t="n"/>
      <c r="B177" s="16" t="n"/>
      <c r="C177" s="16" t="n"/>
      <c r="D177" s="16" t="n"/>
      <c r="E177" s="16" t="n"/>
      <c r="F177" s="16" t="n"/>
      <c r="G177" s="52" t="n"/>
      <c r="H177" s="52" t="n"/>
      <c r="I177" s="53">
        <f>N(G177)+N(H177)</f>
        <v/>
      </c>
      <c r="J177" s="16" t="n"/>
      <c r="K177" s="16" t="n"/>
      <c r="L177" s="16" t="n"/>
      <c r="M177" s="16" t="n"/>
      <c r="N177" s="54">
        <f>IF(A177="","",EOMONTH(A177,-1)+1)</f>
        <v/>
      </c>
      <c r="O177" s="22">
        <f>IF(AND(N(A177)&gt;=N(01_Parametres!$B$11),N(A177)&lt;=N(01_Parametres!$B$12)),1,0)</f>
        <v/>
      </c>
      <c r="P177" s="74">
        <f>IF(E177="","",IFERROR(VLOOKUP(E177,02_Plan_Comptable!$A$5:$C$84,3,FALSE),""))</f>
        <v/>
      </c>
      <c r="Q177" s="74">
        <f>IF(F177="","",IFERROR(VLOOKUP(F177,02_Plan_Comptable!$A$5:$C$84,3,FALSE),""))</f>
        <v/>
      </c>
    </row>
    <row r="178">
      <c r="A178" s="51" t="n"/>
      <c r="B178" s="16" t="n"/>
      <c r="C178" s="16" t="n"/>
      <c r="D178" s="16" t="n"/>
      <c r="E178" s="16" t="n"/>
      <c r="F178" s="16" t="n"/>
      <c r="G178" s="52" t="n"/>
      <c r="H178" s="52" t="n"/>
      <c r="I178" s="53">
        <f>N(G178)+N(H178)</f>
        <v/>
      </c>
      <c r="J178" s="16" t="n"/>
      <c r="K178" s="16" t="n"/>
      <c r="L178" s="16" t="n"/>
      <c r="M178" s="16" t="n"/>
      <c r="N178" s="54">
        <f>IF(A178="","",EOMONTH(A178,-1)+1)</f>
        <v/>
      </c>
      <c r="O178" s="22">
        <f>IF(AND(N(A178)&gt;=N(01_Parametres!$B$11),N(A178)&lt;=N(01_Parametres!$B$12)),1,0)</f>
        <v/>
      </c>
      <c r="P178" s="74">
        <f>IF(E178="","",IFERROR(VLOOKUP(E178,02_Plan_Comptable!$A$5:$C$84,3,FALSE),""))</f>
        <v/>
      </c>
      <c r="Q178" s="74">
        <f>IF(F178="","",IFERROR(VLOOKUP(F178,02_Plan_Comptable!$A$5:$C$84,3,FALSE),""))</f>
        <v/>
      </c>
    </row>
    <row r="179">
      <c r="A179" s="51" t="n"/>
      <c r="B179" s="16" t="n"/>
      <c r="C179" s="16" t="n"/>
      <c r="D179" s="16" t="n"/>
      <c r="E179" s="16" t="n"/>
      <c r="F179" s="16" t="n"/>
      <c r="G179" s="52" t="n"/>
      <c r="H179" s="52" t="n"/>
      <c r="I179" s="53">
        <f>N(G179)+N(H179)</f>
        <v/>
      </c>
      <c r="J179" s="16" t="n"/>
      <c r="K179" s="16" t="n"/>
      <c r="L179" s="16" t="n"/>
      <c r="M179" s="16" t="n"/>
      <c r="N179" s="54">
        <f>IF(A179="","",EOMONTH(A179,-1)+1)</f>
        <v/>
      </c>
      <c r="O179" s="22">
        <f>IF(AND(N(A179)&gt;=N(01_Parametres!$B$11),N(A179)&lt;=N(01_Parametres!$B$12)),1,0)</f>
        <v/>
      </c>
      <c r="P179" s="74">
        <f>IF(E179="","",IFERROR(VLOOKUP(E179,02_Plan_Comptable!$A$5:$C$84,3,FALSE),""))</f>
        <v/>
      </c>
      <c r="Q179" s="74">
        <f>IF(F179="","",IFERROR(VLOOKUP(F179,02_Plan_Comptable!$A$5:$C$84,3,FALSE),""))</f>
        <v/>
      </c>
    </row>
    <row r="180">
      <c r="A180" s="51" t="n"/>
      <c r="B180" s="16" t="n"/>
      <c r="C180" s="16" t="n"/>
      <c r="D180" s="16" t="n"/>
      <c r="E180" s="16" t="n"/>
      <c r="F180" s="16" t="n"/>
      <c r="G180" s="52" t="n"/>
      <c r="H180" s="52" t="n"/>
      <c r="I180" s="53">
        <f>N(G180)+N(H180)</f>
        <v/>
      </c>
      <c r="J180" s="16" t="n"/>
      <c r="K180" s="16" t="n"/>
      <c r="L180" s="16" t="n"/>
      <c r="M180" s="16" t="n"/>
      <c r="N180" s="54">
        <f>IF(A180="","",EOMONTH(A180,-1)+1)</f>
        <v/>
      </c>
      <c r="O180" s="22">
        <f>IF(AND(N(A180)&gt;=N(01_Parametres!$B$11),N(A180)&lt;=N(01_Parametres!$B$12)),1,0)</f>
        <v/>
      </c>
      <c r="P180" s="74">
        <f>IF(E180="","",IFERROR(VLOOKUP(E180,02_Plan_Comptable!$A$5:$C$84,3,FALSE),""))</f>
        <v/>
      </c>
      <c r="Q180" s="74">
        <f>IF(F180="","",IFERROR(VLOOKUP(F180,02_Plan_Comptable!$A$5:$C$84,3,FALSE),""))</f>
        <v/>
      </c>
    </row>
    <row r="181">
      <c r="A181" s="51" t="n"/>
      <c r="B181" s="16" t="n"/>
      <c r="C181" s="16" t="n"/>
      <c r="D181" s="16" t="n"/>
      <c r="E181" s="16" t="n"/>
      <c r="F181" s="16" t="n"/>
      <c r="G181" s="52" t="n"/>
      <c r="H181" s="52" t="n"/>
      <c r="I181" s="53">
        <f>N(G181)+N(H181)</f>
        <v/>
      </c>
      <c r="J181" s="16" t="n"/>
      <c r="K181" s="16" t="n"/>
      <c r="L181" s="16" t="n"/>
      <c r="M181" s="16" t="n"/>
      <c r="N181" s="54">
        <f>IF(A181="","",EOMONTH(A181,-1)+1)</f>
        <v/>
      </c>
      <c r="O181" s="22">
        <f>IF(AND(N(A181)&gt;=N(01_Parametres!$B$11),N(A181)&lt;=N(01_Parametres!$B$12)),1,0)</f>
        <v/>
      </c>
      <c r="P181" s="74">
        <f>IF(E181="","",IFERROR(VLOOKUP(E181,02_Plan_Comptable!$A$5:$C$84,3,FALSE),""))</f>
        <v/>
      </c>
      <c r="Q181" s="74">
        <f>IF(F181="","",IFERROR(VLOOKUP(F181,02_Plan_Comptable!$A$5:$C$84,3,FALSE),""))</f>
        <v/>
      </c>
    </row>
    <row r="182">
      <c r="A182" s="51" t="n"/>
      <c r="B182" s="16" t="n"/>
      <c r="C182" s="16" t="n"/>
      <c r="D182" s="16" t="n"/>
      <c r="E182" s="16" t="n"/>
      <c r="F182" s="16" t="n"/>
      <c r="G182" s="52" t="n"/>
      <c r="H182" s="52" t="n"/>
      <c r="I182" s="53">
        <f>N(G182)+N(H182)</f>
        <v/>
      </c>
      <c r="J182" s="16" t="n"/>
      <c r="K182" s="16" t="n"/>
      <c r="L182" s="16" t="n"/>
      <c r="M182" s="16" t="n"/>
      <c r="N182" s="54">
        <f>IF(A182="","",EOMONTH(A182,-1)+1)</f>
        <v/>
      </c>
      <c r="O182" s="22">
        <f>IF(AND(N(A182)&gt;=N(01_Parametres!$B$11),N(A182)&lt;=N(01_Parametres!$B$12)),1,0)</f>
        <v/>
      </c>
      <c r="P182" s="74">
        <f>IF(E182="","",IFERROR(VLOOKUP(E182,02_Plan_Comptable!$A$5:$C$84,3,FALSE),""))</f>
        <v/>
      </c>
      <c r="Q182" s="74">
        <f>IF(F182="","",IFERROR(VLOOKUP(F182,02_Plan_Comptable!$A$5:$C$84,3,FALSE),""))</f>
        <v/>
      </c>
    </row>
    <row r="183">
      <c r="A183" s="51" t="n"/>
      <c r="B183" s="16" t="n"/>
      <c r="C183" s="16" t="n"/>
      <c r="D183" s="16" t="n"/>
      <c r="E183" s="16" t="n"/>
      <c r="F183" s="16" t="n"/>
      <c r="G183" s="52" t="n"/>
      <c r="H183" s="52" t="n"/>
      <c r="I183" s="53">
        <f>N(G183)+N(H183)</f>
        <v/>
      </c>
      <c r="J183" s="16" t="n"/>
      <c r="K183" s="16" t="n"/>
      <c r="L183" s="16" t="n"/>
      <c r="M183" s="16" t="n"/>
      <c r="N183" s="54">
        <f>IF(A183="","",EOMONTH(A183,-1)+1)</f>
        <v/>
      </c>
      <c r="O183" s="22">
        <f>IF(AND(N(A183)&gt;=N(01_Parametres!$B$11),N(A183)&lt;=N(01_Parametres!$B$12)),1,0)</f>
        <v/>
      </c>
      <c r="P183" s="74">
        <f>IF(E183="","",IFERROR(VLOOKUP(E183,02_Plan_Comptable!$A$5:$C$84,3,FALSE),""))</f>
        <v/>
      </c>
      <c r="Q183" s="74">
        <f>IF(F183="","",IFERROR(VLOOKUP(F183,02_Plan_Comptable!$A$5:$C$84,3,FALSE),""))</f>
        <v/>
      </c>
    </row>
    <row r="184">
      <c r="A184" s="51" t="n"/>
      <c r="B184" s="16" t="n"/>
      <c r="C184" s="16" t="n"/>
      <c r="D184" s="16" t="n"/>
      <c r="E184" s="16" t="n"/>
      <c r="F184" s="16" t="n"/>
      <c r="G184" s="52" t="n"/>
      <c r="H184" s="52" t="n"/>
      <c r="I184" s="53">
        <f>N(G184)+N(H184)</f>
        <v/>
      </c>
      <c r="J184" s="16" t="n"/>
      <c r="K184" s="16" t="n"/>
      <c r="L184" s="16" t="n"/>
      <c r="M184" s="16" t="n"/>
      <c r="N184" s="54">
        <f>IF(A184="","",EOMONTH(A184,-1)+1)</f>
        <v/>
      </c>
      <c r="O184" s="22">
        <f>IF(AND(N(A184)&gt;=N(01_Parametres!$B$11),N(A184)&lt;=N(01_Parametres!$B$12)),1,0)</f>
        <v/>
      </c>
      <c r="P184" s="74">
        <f>IF(E184="","",IFERROR(VLOOKUP(E184,02_Plan_Comptable!$A$5:$C$84,3,FALSE),""))</f>
        <v/>
      </c>
      <c r="Q184" s="74">
        <f>IF(F184="","",IFERROR(VLOOKUP(F184,02_Plan_Comptable!$A$5:$C$84,3,FALSE),""))</f>
        <v/>
      </c>
    </row>
    <row r="185">
      <c r="A185" s="51" t="n"/>
      <c r="B185" s="16" t="n"/>
      <c r="C185" s="16" t="n"/>
      <c r="D185" s="16" t="n"/>
      <c r="E185" s="16" t="n"/>
      <c r="F185" s="16" t="n"/>
      <c r="G185" s="52" t="n"/>
      <c r="H185" s="52" t="n"/>
      <c r="I185" s="53">
        <f>N(G185)+N(H185)</f>
        <v/>
      </c>
      <c r="J185" s="16" t="n"/>
      <c r="K185" s="16" t="n"/>
      <c r="L185" s="16" t="n"/>
      <c r="M185" s="16" t="n"/>
      <c r="N185" s="54">
        <f>IF(A185="","",EOMONTH(A185,-1)+1)</f>
        <v/>
      </c>
      <c r="O185" s="22">
        <f>IF(AND(N(A185)&gt;=N(01_Parametres!$B$11),N(A185)&lt;=N(01_Parametres!$B$12)),1,0)</f>
        <v/>
      </c>
      <c r="P185" s="74">
        <f>IF(E185="","",IFERROR(VLOOKUP(E185,02_Plan_Comptable!$A$5:$C$84,3,FALSE),""))</f>
        <v/>
      </c>
      <c r="Q185" s="74">
        <f>IF(F185="","",IFERROR(VLOOKUP(F185,02_Plan_Comptable!$A$5:$C$84,3,FALSE),""))</f>
        <v/>
      </c>
    </row>
    <row r="186">
      <c r="A186" s="51" t="n"/>
      <c r="B186" s="16" t="n"/>
      <c r="C186" s="16" t="n"/>
      <c r="D186" s="16" t="n"/>
      <c r="E186" s="16" t="n"/>
      <c r="F186" s="16" t="n"/>
      <c r="G186" s="52" t="n"/>
      <c r="H186" s="52" t="n"/>
      <c r="I186" s="53">
        <f>N(G186)+N(H186)</f>
        <v/>
      </c>
      <c r="J186" s="16" t="n"/>
      <c r="K186" s="16" t="n"/>
      <c r="L186" s="16" t="n"/>
      <c r="M186" s="16" t="n"/>
      <c r="N186" s="54">
        <f>IF(A186="","",EOMONTH(A186,-1)+1)</f>
        <v/>
      </c>
      <c r="O186" s="22">
        <f>IF(AND(N(A186)&gt;=N(01_Parametres!$B$11),N(A186)&lt;=N(01_Parametres!$B$12)),1,0)</f>
        <v/>
      </c>
      <c r="P186" s="74">
        <f>IF(E186="","",IFERROR(VLOOKUP(E186,02_Plan_Comptable!$A$5:$C$84,3,FALSE),""))</f>
        <v/>
      </c>
      <c r="Q186" s="74">
        <f>IF(F186="","",IFERROR(VLOOKUP(F186,02_Plan_Comptable!$A$5:$C$84,3,FALSE),""))</f>
        <v/>
      </c>
    </row>
    <row r="187">
      <c r="A187" s="51" t="n"/>
      <c r="B187" s="16" t="n"/>
      <c r="C187" s="16" t="n"/>
      <c r="D187" s="16" t="n"/>
      <c r="E187" s="16" t="n"/>
      <c r="F187" s="16" t="n"/>
      <c r="G187" s="52" t="n"/>
      <c r="H187" s="52" t="n"/>
      <c r="I187" s="53">
        <f>N(G187)+N(H187)</f>
        <v/>
      </c>
      <c r="J187" s="16" t="n"/>
      <c r="K187" s="16" t="n"/>
      <c r="L187" s="16" t="n"/>
      <c r="M187" s="16" t="n"/>
      <c r="N187" s="54">
        <f>IF(A187="","",EOMONTH(A187,-1)+1)</f>
        <v/>
      </c>
      <c r="O187" s="22">
        <f>IF(AND(N(A187)&gt;=N(01_Parametres!$B$11),N(A187)&lt;=N(01_Parametres!$B$12)),1,0)</f>
        <v/>
      </c>
      <c r="P187" s="74">
        <f>IF(E187="","",IFERROR(VLOOKUP(E187,02_Plan_Comptable!$A$5:$C$84,3,FALSE),""))</f>
        <v/>
      </c>
      <c r="Q187" s="74">
        <f>IF(F187="","",IFERROR(VLOOKUP(F187,02_Plan_Comptable!$A$5:$C$84,3,FALSE),""))</f>
        <v/>
      </c>
    </row>
    <row r="188">
      <c r="A188" s="51" t="n"/>
      <c r="B188" s="16" t="n"/>
      <c r="C188" s="16" t="n"/>
      <c r="D188" s="16" t="n"/>
      <c r="E188" s="16" t="n"/>
      <c r="F188" s="16" t="n"/>
      <c r="G188" s="52" t="n"/>
      <c r="H188" s="52" t="n"/>
      <c r="I188" s="53">
        <f>N(G188)+N(H188)</f>
        <v/>
      </c>
      <c r="J188" s="16" t="n"/>
      <c r="K188" s="16" t="n"/>
      <c r="L188" s="16" t="n"/>
      <c r="M188" s="16" t="n"/>
      <c r="N188" s="54">
        <f>IF(A188="","",EOMONTH(A188,-1)+1)</f>
        <v/>
      </c>
      <c r="O188" s="22">
        <f>IF(AND(N(A188)&gt;=N(01_Parametres!$B$11),N(A188)&lt;=N(01_Parametres!$B$12)),1,0)</f>
        <v/>
      </c>
      <c r="P188" s="74">
        <f>IF(E188="","",IFERROR(VLOOKUP(E188,02_Plan_Comptable!$A$5:$C$84,3,FALSE),""))</f>
        <v/>
      </c>
      <c r="Q188" s="74">
        <f>IF(F188="","",IFERROR(VLOOKUP(F188,02_Plan_Comptable!$A$5:$C$84,3,FALSE),""))</f>
        <v/>
      </c>
    </row>
    <row r="189">
      <c r="A189" s="51" t="n"/>
      <c r="B189" s="16" t="n"/>
      <c r="C189" s="16" t="n"/>
      <c r="D189" s="16" t="n"/>
      <c r="E189" s="16" t="n"/>
      <c r="F189" s="16" t="n"/>
      <c r="G189" s="52" t="n"/>
      <c r="H189" s="52" t="n"/>
      <c r="I189" s="53">
        <f>N(G189)+N(H189)</f>
        <v/>
      </c>
      <c r="J189" s="16" t="n"/>
      <c r="K189" s="16" t="n"/>
      <c r="L189" s="16" t="n"/>
      <c r="M189" s="16" t="n"/>
      <c r="N189" s="54">
        <f>IF(A189="","",EOMONTH(A189,-1)+1)</f>
        <v/>
      </c>
      <c r="O189" s="22">
        <f>IF(AND(N(A189)&gt;=N(01_Parametres!$B$11),N(A189)&lt;=N(01_Parametres!$B$12)),1,0)</f>
        <v/>
      </c>
      <c r="P189" s="74">
        <f>IF(E189="","",IFERROR(VLOOKUP(E189,02_Plan_Comptable!$A$5:$C$84,3,FALSE),""))</f>
        <v/>
      </c>
      <c r="Q189" s="74">
        <f>IF(F189="","",IFERROR(VLOOKUP(F189,02_Plan_Comptable!$A$5:$C$84,3,FALSE),""))</f>
        <v/>
      </c>
    </row>
    <row r="190">
      <c r="A190" s="51" t="n"/>
      <c r="B190" s="16" t="n"/>
      <c r="C190" s="16" t="n"/>
      <c r="D190" s="16" t="n"/>
      <c r="E190" s="16" t="n"/>
      <c r="F190" s="16" t="n"/>
      <c r="G190" s="52" t="n"/>
      <c r="H190" s="52" t="n"/>
      <c r="I190" s="53">
        <f>N(G190)+N(H190)</f>
        <v/>
      </c>
      <c r="J190" s="16" t="n"/>
      <c r="K190" s="16" t="n"/>
      <c r="L190" s="16" t="n"/>
      <c r="M190" s="16" t="n"/>
      <c r="N190" s="54">
        <f>IF(A190="","",EOMONTH(A190,-1)+1)</f>
        <v/>
      </c>
      <c r="O190" s="22">
        <f>IF(AND(N(A190)&gt;=N(01_Parametres!$B$11),N(A190)&lt;=N(01_Parametres!$B$12)),1,0)</f>
        <v/>
      </c>
      <c r="P190" s="74">
        <f>IF(E190="","",IFERROR(VLOOKUP(E190,02_Plan_Comptable!$A$5:$C$84,3,FALSE),""))</f>
        <v/>
      </c>
      <c r="Q190" s="74">
        <f>IF(F190="","",IFERROR(VLOOKUP(F190,02_Plan_Comptable!$A$5:$C$84,3,FALSE),""))</f>
        <v/>
      </c>
    </row>
    <row r="191">
      <c r="A191" s="51" t="n"/>
      <c r="B191" s="16" t="n"/>
      <c r="C191" s="16" t="n"/>
      <c r="D191" s="16" t="n"/>
      <c r="E191" s="16" t="n"/>
      <c r="F191" s="16" t="n"/>
      <c r="G191" s="52" t="n"/>
      <c r="H191" s="52" t="n"/>
      <c r="I191" s="53">
        <f>N(G191)+N(H191)</f>
        <v/>
      </c>
      <c r="J191" s="16" t="n"/>
      <c r="K191" s="16" t="n"/>
      <c r="L191" s="16" t="n"/>
      <c r="M191" s="16" t="n"/>
      <c r="N191" s="54">
        <f>IF(A191="","",EOMONTH(A191,-1)+1)</f>
        <v/>
      </c>
      <c r="O191" s="22">
        <f>IF(AND(N(A191)&gt;=N(01_Parametres!$B$11),N(A191)&lt;=N(01_Parametres!$B$12)),1,0)</f>
        <v/>
      </c>
      <c r="P191" s="74">
        <f>IF(E191="","",IFERROR(VLOOKUP(E191,02_Plan_Comptable!$A$5:$C$84,3,FALSE),""))</f>
        <v/>
      </c>
      <c r="Q191" s="74">
        <f>IF(F191="","",IFERROR(VLOOKUP(F191,02_Plan_Comptable!$A$5:$C$84,3,FALSE),""))</f>
        <v/>
      </c>
    </row>
    <row r="192">
      <c r="A192" s="51" t="n"/>
      <c r="B192" s="16" t="n"/>
      <c r="C192" s="16" t="n"/>
      <c r="D192" s="16" t="n"/>
      <c r="E192" s="16" t="n"/>
      <c r="F192" s="16" t="n"/>
      <c r="G192" s="52" t="n"/>
      <c r="H192" s="52" t="n"/>
      <c r="I192" s="53">
        <f>N(G192)+N(H192)</f>
        <v/>
      </c>
      <c r="J192" s="16" t="n"/>
      <c r="K192" s="16" t="n"/>
      <c r="L192" s="16" t="n"/>
      <c r="M192" s="16" t="n"/>
      <c r="N192" s="54">
        <f>IF(A192="","",EOMONTH(A192,-1)+1)</f>
        <v/>
      </c>
      <c r="O192" s="22">
        <f>IF(AND(N(A192)&gt;=N(01_Parametres!$B$11),N(A192)&lt;=N(01_Parametres!$B$12)),1,0)</f>
        <v/>
      </c>
      <c r="P192" s="74">
        <f>IF(E192="","",IFERROR(VLOOKUP(E192,02_Plan_Comptable!$A$5:$C$84,3,FALSE),""))</f>
        <v/>
      </c>
      <c r="Q192" s="74">
        <f>IF(F192="","",IFERROR(VLOOKUP(F192,02_Plan_Comptable!$A$5:$C$84,3,FALSE),""))</f>
        <v/>
      </c>
    </row>
    <row r="193">
      <c r="A193" s="51" t="n"/>
      <c r="B193" s="16" t="n"/>
      <c r="C193" s="16" t="n"/>
      <c r="D193" s="16" t="n"/>
      <c r="E193" s="16" t="n"/>
      <c r="F193" s="16" t="n"/>
      <c r="G193" s="52" t="n"/>
      <c r="H193" s="52" t="n"/>
      <c r="I193" s="53">
        <f>N(G193)+N(H193)</f>
        <v/>
      </c>
      <c r="J193" s="16" t="n"/>
      <c r="K193" s="16" t="n"/>
      <c r="L193" s="16" t="n"/>
      <c r="M193" s="16" t="n"/>
      <c r="N193" s="54">
        <f>IF(A193="","",EOMONTH(A193,-1)+1)</f>
        <v/>
      </c>
      <c r="O193" s="22">
        <f>IF(AND(N(A193)&gt;=N(01_Parametres!$B$11),N(A193)&lt;=N(01_Parametres!$B$12)),1,0)</f>
        <v/>
      </c>
      <c r="P193" s="74">
        <f>IF(E193="","",IFERROR(VLOOKUP(E193,02_Plan_Comptable!$A$5:$C$84,3,FALSE),""))</f>
        <v/>
      </c>
      <c r="Q193" s="74">
        <f>IF(F193="","",IFERROR(VLOOKUP(F193,02_Plan_Comptable!$A$5:$C$84,3,FALSE),""))</f>
        <v/>
      </c>
    </row>
    <row r="194">
      <c r="A194" s="51" t="n"/>
      <c r="B194" s="16" t="n"/>
      <c r="C194" s="16" t="n"/>
      <c r="D194" s="16" t="n"/>
      <c r="E194" s="16" t="n"/>
      <c r="F194" s="16" t="n"/>
      <c r="G194" s="52" t="n"/>
      <c r="H194" s="52" t="n"/>
      <c r="I194" s="53">
        <f>N(G194)+N(H194)</f>
        <v/>
      </c>
      <c r="J194" s="16" t="n"/>
      <c r="K194" s="16" t="n"/>
      <c r="L194" s="16" t="n"/>
      <c r="M194" s="16" t="n"/>
      <c r="N194" s="54">
        <f>IF(A194="","",EOMONTH(A194,-1)+1)</f>
        <v/>
      </c>
      <c r="O194" s="22">
        <f>IF(AND(N(A194)&gt;=N(01_Parametres!$B$11),N(A194)&lt;=N(01_Parametres!$B$12)),1,0)</f>
        <v/>
      </c>
      <c r="P194" s="74">
        <f>IF(E194="","",IFERROR(VLOOKUP(E194,02_Plan_Comptable!$A$5:$C$84,3,FALSE),""))</f>
        <v/>
      </c>
      <c r="Q194" s="74">
        <f>IF(F194="","",IFERROR(VLOOKUP(F194,02_Plan_Comptable!$A$5:$C$84,3,FALSE),""))</f>
        <v/>
      </c>
    </row>
    <row r="195">
      <c r="A195" s="51" t="n"/>
      <c r="B195" s="16" t="n"/>
      <c r="C195" s="16" t="n"/>
      <c r="D195" s="16" t="n"/>
      <c r="E195" s="16" t="n"/>
      <c r="F195" s="16" t="n"/>
      <c r="G195" s="52" t="n"/>
      <c r="H195" s="52" t="n"/>
      <c r="I195" s="53">
        <f>N(G195)+N(H195)</f>
        <v/>
      </c>
      <c r="J195" s="16" t="n"/>
      <c r="K195" s="16" t="n"/>
      <c r="L195" s="16" t="n"/>
      <c r="M195" s="16" t="n"/>
      <c r="N195" s="54">
        <f>IF(A195="","",EOMONTH(A195,-1)+1)</f>
        <v/>
      </c>
      <c r="O195" s="22">
        <f>IF(AND(N(A195)&gt;=N(01_Parametres!$B$11),N(A195)&lt;=N(01_Parametres!$B$12)),1,0)</f>
        <v/>
      </c>
      <c r="P195" s="74">
        <f>IF(E195="","",IFERROR(VLOOKUP(E195,02_Plan_Comptable!$A$5:$C$84,3,FALSE),""))</f>
        <v/>
      </c>
      <c r="Q195" s="74">
        <f>IF(F195="","",IFERROR(VLOOKUP(F195,02_Plan_Comptable!$A$5:$C$84,3,FALSE),""))</f>
        <v/>
      </c>
    </row>
    <row r="196">
      <c r="A196" s="51" t="n"/>
      <c r="B196" s="16" t="n"/>
      <c r="C196" s="16" t="n"/>
      <c r="D196" s="16" t="n"/>
      <c r="E196" s="16" t="n"/>
      <c r="F196" s="16" t="n"/>
      <c r="G196" s="52" t="n"/>
      <c r="H196" s="52" t="n"/>
      <c r="I196" s="53">
        <f>N(G196)+N(H196)</f>
        <v/>
      </c>
      <c r="J196" s="16" t="n"/>
      <c r="K196" s="16" t="n"/>
      <c r="L196" s="16" t="n"/>
      <c r="M196" s="16" t="n"/>
      <c r="N196" s="54">
        <f>IF(A196="","",EOMONTH(A196,-1)+1)</f>
        <v/>
      </c>
      <c r="O196" s="22">
        <f>IF(AND(N(A196)&gt;=N(01_Parametres!$B$11),N(A196)&lt;=N(01_Parametres!$B$12)),1,0)</f>
        <v/>
      </c>
      <c r="P196" s="74">
        <f>IF(E196="","",IFERROR(VLOOKUP(E196,02_Plan_Comptable!$A$5:$C$84,3,FALSE),""))</f>
        <v/>
      </c>
      <c r="Q196" s="74">
        <f>IF(F196="","",IFERROR(VLOOKUP(F196,02_Plan_Comptable!$A$5:$C$84,3,FALSE),""))</f>
        <v/>
      </c>
    </row>
    <row r="197">
      <c r="A197" s="51" t="n"/>
      <c r="B197" s="16" t="n"/>
      <c r="C197" s="16" t="n"/>
      <c r="D197" s="16" t="n"/>
      <c r="E197" s="16" t="n"/>
      <c r="F197" s="16" t="n"/>
      <c r="G197" s="52" t="n"/>
      <c r="H197" s="52" t="n"/>
      <c r="I197" s="53">
        <f>N(G197)+N(H197)</f>
        <v/>
      </c>
      <c r="J197" s="16" t="n"/>
      <c r="K197" s="16" t="n"/>
      <c r="L197" s="16" t="n"/>
      <c r="M197" s="16" t="n"/>
      <c r="N197" s="54">
        <f>IF(A197="","",EOMONTH(A197,-1)+1)</f>
        <v/>
      </c>
      <c r="O197" s="22">
        <f>IF(AND(N(A197)&gt;=N(01_Parametres!$B$11),N(A197)&lt;=N(01_Parametres!$B$12)),1,0)</f>
        <v/>
      </c>
      <c r="P197" s="74">
        <f>IF(E197="","",IFERROR(VLOOKUP(E197,02_Plan_Comptable!$A$5:$C$84,3,FALSE),""))</f>
        <v/>
      </c>
      <c r="Q197" s="74">
        <f>IF(F197="","",IFERROR(VLOOKUP(F197,02_Plan_Comptable!$A$5:$C$84,3,FALSE),""))</f>
        <v/>
      </c>
    </row>
    <row r="198">
      <c r="A198" s="51" t="n"/>
      <c r="B198" s="16" t="n"/>
      <c r="C198" s="16" t="n"/>
      <c r="D198" s="16" t="n"/>
      <c r="E198" s="16" t="n"/>
      <c r="F198" s="16" t="n"/>
      <c r="G198" s="52" t="n"/>
      <c r="H198" s="52" t="n"/>
      <c r="I198" s="53">
        <f>N(G198)+N(H198)</f>
        <v/>
      </c>
      <c r="J198" s="16" t="n"/>
      <c r="K198" s="16" t="n"/>
      <c r="L198" s="16" t="n"/>
      <c r="M198" s="16" t="n"/>
      <c r="N198" s="54">
        <f>IF(A198="","",EOMONTH(A198,-1)+1)</f>
        <v/>
      </c>
      <c r="O198" s="22">
        <f>IF(AND(N(A198)&gt;=N(01_Parametres!$B$11),N(A198)&lt;=N(01_Parametres!$B$12)),1,0)</f>
        <v/>
      </c>
      <c r="P198" s="74">
        <f>IF(E198="","",IFERROR(VLOOKUP(E198,02_Plan_Comptable!$A$5:$C$84,3,FALSE),""))</f>
        <v/>
      </c>
      <c r="Q198" s="74">
        <f>IF(F198="","",IFERROR(VLOOKUP(F198,02_Plan_Comptable!$A$5:$C$84,3,FALSE),""))</f>
        <v/>
      </c>
    </row>
    <row r="199">
      <c r="A199" s="51" t="n"/>
      <c r="B199" s="16" t="n"/>
      <c r="C199" s="16" t="n"/>
      <c r="D199" s="16" t="n"/>
      <c r="E199" s="16" t="n"/>
      <c r="F199" s="16" t="n"/>
      <c r="G199" s="52" t="n"/>
      <c r="H199" s="52" t="n"/>
      <c r="I199" s="53">
        <f>N(G199)+N(H199)</f>
        <v/>
      </c>
      <c r="J199" s="16" t="n"/>
      <c r="K199" s="16" t="n"/>
      <c r="L199" s="16" t="n"/>
      <c r="M199" s="16" t="n"/>
      <c r="N199" s="54">
        <f>IF(A199="","",EOMONTH(A199,-1)+1)</f>
        <v/>
      </c>
      <c r="O199" s="22">
        <f>IF(AND(N(A199)&gt;=N(01_Parametres!$B$11),N(A199)&lt;=N(01_Parametres!$B$12)),1,0)</f>
        <v/>
      </c>
      <c r="P199" s="74">
        <f>IF(E199="","",IFERROR(VLOOKUP(E199,02_Plan_Comptable!$A$5:$C$84,3,FALSE),""))</f>
        <v/>
      </c>
      <c r="Q199" s="74">
        <f>IF(F199="","",IFERROR(VLOOKUP(F199,02_Plan_Comptable!$A$5:$C$84,3,FALSE),""))</f>
        <v/>
      </c>
    </row>
    <row r="200">
      <c r="A200" s="51" t="n"/>
      <c r="B200" s="16" t="n"/>
      <c r="C200" s="16" t="n"/>
      <c r="D200" s="16" t="n"/>
      <c r="E200" s="16" t="n"/>
      <c r="F200" s="16" t="n"/>
      <c r="G200" s="52" t="n"/>
      <c r="H200" s="52" t="n"/>
      <c r="I200" s="53">
        <f>N(G200)+N(H200)</f>
        <v/>
      </c>
      <c r="J200" s="16" t="n"/>
      <c r="K200" s="16" t="n"/>
      <c r="L200" s="16" t="n"/>
      <c r="M200" s="16" t="n"/>
      <c r="N200" s="54">
        <f>IF(A200="","",EOMONTH(A200,-1)+1)</f>
        <v/>
      </c>
      <c r="O200" s="22">
        <f>IF(AND(N(A200)&gt;=N(01_Parametres!$B$11),N(A200)&lt;=N(01_Parametres!$B$12)),1,0)</f>
        <v/>
      </c>
      <c r="P200" s="74">
        <f>IF(E200="","",IFERROR(VLOOKUP(E200,02_Plan_Comptable!$A$5:$C$84,3,FALSE),""))</f>
        <v/>
      </c>
      <c r="Q200" s="74">
        <f>IF(F200="","",IFERROR(VLOOKUP(F200,02_Plan_Comptable!$A$5:$C$84,3,FALSE),""))</f>
        <v/>
      </c>
    </row>
    <row r="201">
      <c r="A201" s="51" t="n"/>
      <c r="B201" s="16" t="n"/>
      <c r="C201" s="16" t="n"/>
      <c r="D201" s="16" t="n"/>
      <c r="E201" s="16" t="n"/>
      <c r="F201" s="16" t="n"/>
      <c r="G201" s="52" t="n"/>
      <c r="H201" s="52" t="n"/>
      <c r="I201" s="53">
        <f>N(G201)+N(H201)</f>
        <v/>
      </c>
      <c r="J201" s="16" t="n"/>
      <c r="K201" s="16" t="n"/>
      <c r="L201" s="16" t="n"/>
      <c r="M201" s="16" t="n"/>
      <c r="N201" s="54">
        <f>IF(A201="","",EOMONTH(A201,-1)+1)</f>
        <v/>
      </c>
      <c r="O201" s="22">
        <f>IF(AND(N(A201)&gt;=N(01_Parametres!$B$11),N(A201)&lt;=N(01_Parametres!$B$12)),1,0)</f>
        <v/>
      </c>
      <c r="P201" s="74">
        <f>IF(E201="","",IFERROR(VLOOKUP(E201,02_Plan_Comptable!$A$5:$C$84,3,FALSE),""))</f>
        <v/>
      </c>
      <c r="Q201" s="74">
        <f>IF(F201="","",IFERROR(VLOOKUP(F201,02_Plan_Comptable!$A$5:$C$84,3,FALSE),""))</f>
        <v/>
      </c>
    </row>
    <row r="202">
      <c r="A202" s="51" t="n"/>
      <c r="B202" s="16" t="n"/>
      <c r="C202" s="16" t="n"/>
      <c r="D202" s="16" t="n"/>
      <c r="E202" s="16" t="n"/>
      <c r="F202" s="16" t="n"/>
      <c r="G202" s="52" t="n"/>
      <c r="H202" s="52" t="n"/>
      <c r="I202" s="53">
        <f>N(G202)+N(H202)</f>
        <v/>
      </c>
      <c r="J202" s="16" t="n"/>
      <c r="K202" s="16" t="n"/>
      <c r="L202" s="16" t="n"/>
      <c r="M202" s="16" t="n"/>
      <c r="N202" s="54">
        <f>IF(A202="","",EOMONTH(A202,-1)+1)</f>
        <v/>
      </c>
      <c r="O202" s="22">
        <f>IF(AND(N(A202)&gt;=N(01_Parametres!$B$11),N(A202)&lt;=N(01_Parametres!$B$12)),1,0)</f>
        <v/>
      </c>
      <c r="P202" s="74">
        <f>IF(E202="","",IFERROR(VLOOKUP(E202,02_Plan_Comptable!$A$5:$C$84,3,FALSE),""))</f>
        <v/>
      </c>
      <c r="Q202" s="74">
        <f>IF(F202="","",IFERROR(VLOOKUP(F202,02_Plan_Comptable!$A$5:$C$84,3,FALSE),""))</f>
        <v/>
      </c>
    </row>
    <row r="203">
      <c r="A203" s="51" t="n"/>
      <c r="B203" s="16" t="n"/>
      <c r="C203" s="16" t="n"/>
      <c r="D203" s="16" t="n"/>
      <c r="E203" s="16" t="n"/>
      <c r="F203" s="16" t="n"/>
      <c r="G203" s="52" t="n"/>
      <c r="H203" s="52" t="n"/>
      <c r="I203" s="53">
        <f>N(G203)+N(H203)</f>
        <v/>
      </c>
      <c r="J203" s="16" t="n"/>
      <c r="K203" s="16" t="n"/>
      <c r="L203" s="16" t="n"/>
      <c r="M203" s="16" t="n"/>
      <c r="N203" s="54">
        <f>IF(A203="","",EOMONTH(A203,-1)+1)</f>
        <v/>
      </c>
      <c r="O203" s="22">
        <f>IF(AND(N(A203)&gt;=N(01_Parametres!$B$11),N(A203)&lt;=N(01_Parametres!$B$12)),1,0)</f>
        <v/>
      </c>
      <c r="P203" s="74">
        <f>IF(E203="","",IFERROR(VLOOKUP(E203,02_Plan_Comptable!$A$5:$C$84,3,FALSE),""))</f>
        <v/>
      </c>
      <c r="Q203" s="74">
        <f>IF(F203="","",IFERROR(VLOOKUP(F203,02_Plan_Comptable!$A$5:$C$84,3,FALSE),""))</f>
        <v/>
      </c>
    </row>
    <row r="204">
      <c r="A204" s="51" t="n"/>
      <c r="B204" s="16" t="n"/>
      <c r="C204" s="16" t="n"/>
      <c r="D204" s="16" t="n"/>
      <c r="E204" s="16" t="n"/>
      <c r="F204" s="16" t="n"/>
      <c r="G204" s="52" t="n"/>
      <c r="H204" s="52" t="n"/>
      <c r="I204" s="53">
        <f>N(G204)+N(H204)</f>
        <v/>
      </c>
      <c r="J204" s="16" t="n"/>
      <c r="K204" s="16" t="n"/>
      <c r="L204" s="16" t="n"/>
      <c r="M204" s="16" t="n"/>
      <c r="N204" s="54">
        <f>IF(A204="","",EOMONTH(A204,-1)+1)</f>
        <v/>
      </c>
      <c r="O204" s="22">
        <f>IF(AND(N(A204)&gt;=N(01_Parametres!$B$11),N(A204)&lt;=N(01_Parametres!$B$12)),1,0)</f>
        <v/>
      </c>
      <c r="P204" s="74">
        <f>IF(E204="","",IFERROR(VLOOKUP(E204,02_Plan_Comptable!$A$5:$C$84,3,FALSE),""))</f>
        <v/>
      </c>
      <c r="Q204" s="74">
        <f>IF(F204="","",IFERROR(VLOOKUP(F204,02_Plan_Comptable!$A$5:$C$84,3,FALSE),""))</f>
        <v/>
      </c>
    </row>
    <row r="205">
      <c r="A205" s="51" t="n"/>
      <c r="B205" s="16" t="n"/>
      <c r="C205" s="16" t="n"/>
      <c r="D205" s="16" t="n"/>
      <c r="E205" s="16" t="n"/>
      <c r="F205" s="16" t="n"/>
      <c r="G205" s="52" t="n"/>
      <c r="H205" s="52" t="n"/>
      <c r="I205" s="53">
        <f>N(G205)+N(H205)</f>
        <v/>
      </c>
      <c r="J205" s="16" t="n"/>
      <c r="K205" s="16" t="n"/>
      <c r="L205" s="16" t="n"/>
      <c r="M205" s="16" t="n"/>
      <c r="N205" s="54">
        <f>IF(A205="","",EOMONTH(A205,-1)+1)</f>
        <v/>
      </c>
      <c r="O205" s="22">
        <f>IF(AND(N(A205)&gt;=N(01_Parametres!$B$11),N(A205)&lt;=N(01_Parametres!$B$12)),1,0)</f>
        <v/>
      </c>
      <c r="P205" s="74">
        <f>IF(E205="","",IFERROR(VLOOKUP(E205,02_Plan_Comptable!$A$5:$C$84,3,FALSE),""))</f>
        <v/>
      </c>
      <c r="Q205" s="74">
        <f>IF(F205="","",IFERROR(VLOOKUP(F205,02_Plan_Comptable!$A$5:$C$84,3,FALSE),""))</f>
        <v/>
      </c>
    </row>
    <row r="206">
      <c r="A206" s="51" t="n"/>
      <c r="B206" s="16" t="n"/>
      <c r="C206" s="16" t="n"/>
      <c r="D206" s="16" t="n"/>
      <c r="E206" s="16" t="n"/>
      <c r="F206" s="16" t="n"/>
      <c r="G206" s="52" t="n"/>
      <c r="H206" s="52" t="n"/>
      <c r="I206" s="53">
        <f>N(G206)+N(H206)</f>
        <v/>
      </c>
      <c r="J206" s="16" t="n"/>
      <c r="K206" s="16" t="n"/>
      <c r="L206" s="16" t="n"/>
      <c r="M206" s="16" t="n"/>
      <c r="N206" s="54">
        <f>IF(A206="","",EOMONTH(A206,-1)+1)</f>
        <v/>
      </c>
      <c r="O206" s="22">
        <f>IF(AND(N(A206)&gt;=N(01_Parametres!$B$11),N(A206)&lt;=N(01_Parametres!$B$12)),1,0)</f>
        <v/>
      </c>
      <c r="P206" s="74">
        <f>IF(E206="","",IFERROR(VLOOKUP(E206,02_Plan_Comptable!$A$5:$C$84,3,FALSE),""))</f>
        <v/>
      </c>
      <c r="Q206" s="74">
        <f>IF(F206="","",IFERROR(VLOOKUP(F206,02_Plan_Comptable!$A$5:$C$84,3,FALSE),""))</f>
        <v/>
      </c>
    </row>
    <row r="207">
      <c r="A207" s="51" t="n"/>
      <c r="B207" s="16" t="n"/>
      <c r="C207" s="16" t="n"/>
      <c r="D207" s="16" t="n"/>
      <c r="E207" s="16" t="n"/>
      <c r="F207" s="16" t="n"/>
      <c r="G207" s="52" t="n"/>
      <c r="H207" s="52" t="n"/>
      <c r="I207" s="53">
        <f>N(G207)+N(H207)</f>
        <v/>
      </c>
      <c r="J207" s="16" t="n"/>
      <c r="K207" s="16" t="n"/>
      <c r="L207" s="16" t="n"/>
      <c r="M207" s="16" t="n"/>
      <c r="N207" s="54">
        <f>IF(A207="","",EOMONTH(A207,-1)+1)</f>
        <v/>
      </c>
      <c r="O207" s="22">
        <f>IF(AND(N(A207)&gt;=N(01_Parametres!$B$11),N(A207)&lt;=N(01_Parametres!$B$12)),1,0)</f>
        <v/>
      </c>
      <c r="P207" s="74">
        <f>IF(E207="","",IFERROR(VLOOKUP(E207,02_Plan_Comptable!$A$5:$C$84,3,FALSE),""))</f>
        <v/>
      </c>
      <c r="Q207" s="74">
        <f>IF(F207="","",IFERROR(VLOOKUP(F207,02_Plan_Comptable!$A$5:$C$84,3,FALSE),""))</f>
        <v/>
      </c>
    </row>
    <row r="208">
      <c r="A208" s="51" t="n"/>
      <c r="B208" s="16" t="n"/>
      <c r="C208" s="16" t="n"/>
      <c r="D208" s="16" t="n"/>
      <c r="E208" s="16" t="n"/>
      <c r="F208" s="16" t="n"/>
      <c r="G208" s="52" t="n"/>
      <c r="H208" s="52" t="n"/>
      <c r="I208" s="53">
        <f>N(G208)+N(H208)</f>
        <v/>
      </c>
      <c r="J208" s="16" t="n"/>
      <c r="K208" s="16" t="n"/>
      <c r="L208" s="16" t="n"/>
      <c r="M208" s="16" t="n"/>
      <c r="N208" s="54">
        <f>IF(A208="","",EOMONTH(A208,-1)+1)</f>
        <v/>
      </c>
      <c r="O208" s="22">
        <f>IF(AND(N(A208)&gt;=N(01_Parametres!$B$11),N(A208)&lt;=N(01_Parametres!$B$12)),1,0)</f>
        <v/>
      </c>
      <c r="P208" s="74">
        <f>IF(E208="","",IFERROR(VLOOKUP(E208,02_Plan_Comptable!$A$5:$C$84,3,FALSE),""))</f>
        <v/>
      </c>
      <c r="Q208" s="74">
        <f>IF(F208="","",IFERROR(VLOOKUP(F208,02_Plan_Comptable!$A$5:$C$84,3,FALSE),""))</f>
        <v/>
      </c>
    </row>
    <row r="209">
      <c r="A209" s="51" t="n"/>
      <c r="B209" s="16" t="n"/>
      <c r="C209" s="16" t="n"/>
      <c r="D209" s="16" t="n"/>
      <c r="E209" s="16" t="n"/>
      <c r="F209" s="16" t="n"/>
      <c r="G209" s="52" t="n"/>
      <c r="H209" s="52" t="n"/>
      <c r="I209" s="53">
        <f>N(G209)+N(H209)</f>
        <v/>
      </c>
      <c r="J209" s="16" t="n"/>
      <c r="K209" s="16" t="n"/>
      <c r="L209" s="16" t="n"/>
      <c r="M209" s="16" t="n"/>
      <c r="N209" s="54">
        <f>IF(A209="","",EOMONTH(A209,-1)+1)</f>
        <v/>
      </c>
      <c r="O209" s="22">
        <f>IF(AND(N(A209)&gt;=N(01_Parametres!$B$11),N(A209)&lt;=N(01_Parametres!$B$12)),1,0)</f>
        <v/>
      </c>
      <c r="P209" s="74">
        <f>IF(E209="","",IFERROR(VLOOKUP(E209,02_Plan_Comptable!$A$5:$C$84,3,FALSE),""))</f>
        <v/>
      </c>
      <c r="Q209" s="74">
        <f>IF(F209="","",IFERROR(VLOOKUP(F209,02_Plan_Comptable!$A$5:$C$84,3,FALSE),""))</f>
        <v/>
      </c>
    </row>
    <row r="210">
      <c r="A210" s="51" t="n"/>
      <c r="B210" s="16" t="n"/>
      <c r="C210" s="16" t="n"/>
      <c r="D210" s="16" t="n"/>
      <c r="E210" s="16" t="n"/>
      <c r="F210" s="16" t="n"/>
      <c r="G210" s="52" t="n"/>
      <c r="H210" s="52" t="n"/>
      <c r="I210" s="53">
        <f>N(G210)+N(H210)</f>
        <v/>
      </c>
      <c r="J210" s="16" t="n"/>
      <c r="K210" s="16" t="n"/>
      <c r="L210" s="16" t="n"/>
      <c r="M210" s="16" t="n"/>
      <c r="N210" s="54">
        <f>IF(A210="","",EOMONTH(A210,-1)+1)</f>
        <v/>
      </c>
      <c r="O210" s="22">
        <f>IF(AND(N(A210)&gt;=N(01_Parametres!$B$11),N(A210)&lt;=N(01_Parametres!$B$12)),1,0)</f>
        <v/>
      </c>
      <c r="P210" s="74">
        <f>IF(E210="","",IFERROR(VLOOKUP(E210,02_Plan_Comptable!$A$5:$C$84,3,FALSE),""))</f>
        <v/>
      </c>
      <c r="Q210" s="74">
        <f>IF(F210="","",IFERROR(VLOOKUP(F210,02_Plan_Comptable!$A$5:$C$84,3,FALSE),""))</f>
        <v/>
      </c>
    </row>
    <row r="211">
      <c r="A211" s="51" t="n"/>
      <c r="B211" s="16" t="n"/>
      <c r="C211" s="16" t="n"/>
      <c r="D211" s="16" t="n"/>
      <c r="E211" s="16" t="n"/>
      <c r="F211" s="16" t="n"/>
      <c r="G211" s="52" t="n"/>
      <c r="H211" s="52" t="n"/>
      <c r="I211" s="53">
        <f>N(G211)+N(H211)</f>
        <v/>
      </c>
      <c r="J211" s="16" t="n"/>
      <c r="K211" s="16" t="n"/>
      <c r="L211" s="16" t="n"/>
      <c r="M211" s="16" t="n"/>
      <c r="N211" s="54">
        <f>IF(A211="","",EOMONTH(A211,-1)+1)</f>
        <v/>
      </c>
      <c r="O211" s="22">
        <f>IF(AND(N(A211)&gt;=N(01_Parametres!$B$11),N(A211)&lt;=N(01_Parametres!$B$12)),1,0)</f>
        <v/>
      </c>
      <c r="P211" s="74">
        <f>IF(E211="","",IFERROR(VLOOKUP(E211,02_Plan_Comptable!$A$5:$C$84,3,FALSE),""))</f>
        <v/>
      </c>
      <c r="Q211" s="74">
        <f>IF(F211="","",IFERROR(VLOOKUP(F211,02_Plan_Comptable!$A$5:$C$84,3,FALSE),""))</f>
        <v/>
      </c>
    </row>
    <row r="212">
      <c r="A212" s="51" t="n"/>
      <c r="B212" s="16" t="n"/>
      <c r="C212" s="16" t="n"/>
      <c r="D212" s="16" t="n"/>
      <c r="E212" s="16" t="n"/>
      <c r="F212" s="16" t="n"/>
      <c r="G212" s="52" t="n"/>
      <c r="H212" s="52" t="n"/>
      <c r="I212" s="53">
        <f>N(G212)+N(H212)</f>
        <v/>
      </c>
      <c r="J212" s="16" t="n"/>
      <c r="K212" s="16" t="n"/>
      <c r="L212" s="16" t="n"/>
      <c r="M212" s="16" t="n"/>
      <c r="N212" s="54">
        <f>IF(A212="","",EOMONTH(A212,-1)+1)</f>
        <v/>
      </c>
      <c r="O212" s="22">
        <f>IF(AND(N(A212)&gt;=N(01_Parametres!$B$11),N(A212)&lt;=N(01_Parametres!$B$12)),1,0)</f>
        <v/>
      </c>
      <c r="P212" s="74">
        <f>IF(E212="","",IFERROR(VLOOKUP(E212,02_Plan_Comptable!$A$5:$C$84,3,FALSE),""))</f>
        <v/>
      </c>
      <c r="Q212" s="74">
        <f>IF(F212="","",IFERROR(VLOOKUP(F212,02_Plan_Comptable!$A$5:$C$84,3,FALSE),""))</f>
        <v/>
      </c>
    </row>
    <row r="213">
      <c r="A213" s="51" t="n"/>
      <c r="B213" s="16" t="n"/>
      <c r="C213" s="16" t="n"/>
      <c r="D213" s="16" t="n"/>
      <c r="E213" s="16" t="n"/>
      <c r="F213" s="16" t="n"/>
      <c r="G213" s="52" t="n"/>
      <c r="H213" s="52" t="n"/>
      <c r="I213" s="53">
        <f>N(G213)+N(H213)</f>
        <v/>
      </c>
      <c r="J213" s="16" t="n"/>
      <c r="K213" s="16" t="n"/>
      <c r="L213" s="16" t="n"/>
      <c r="M213" s="16" t="n"/>
      <c r="N213" s="54">
        <f>IF(A213="","",EOMONTH(A213,-1)+1)</f>
        <v/>
      </c>
      <c r="O213" s="22">
        <f>IF(AND(N(A213)&gt;=N(01_Parametres!$B$11),N(A213)&lt;=N(01_Parametres!$B$12)),1,0)</f>
        <v/>
      </c>
      <c r="P213" s="74">
        <f>IF(E213="","",IFERROR(VLOOKUP(E213,02_Plan_Comptable!$A$5:$C$84,3,FALSE),""))</f>
        <v/>
      </c>
      <c r="Q213" s="74">
        <f>IF(F213="","",IFERROR(VLOOKUP(F213,02_Plan_Comptable!$A$5:$C$84,3,FALSE),""))</f>
        <v/>
      </c>
    </row>
    <row r="214">
      <c r="A214" s="51" t="n"/>
      <c r="B214" s="16" t="n"/>
      <c r="C214" s="16" t="n"/>
      <c r="D214" s="16" t="n"/>
      <c r="E214" s="16" t="n"/>
      <c r="F214" s="16" t="n"/>
      <c r="G214" s="52" t="n"/>
      <c r="H214" s="52" t="n"/>
      <c r="I214" s="53">
        <f>N(G214)+N(H214)</f>
        <v/>
      </c>
      <c r="J214" s="16" t="n"/>
      <c r="K214" s="16" t="n"/>
      <c r="L214" s="16" t="n"/>
      <c r="M214" s="16" t="n"/>
      <c r="N214" s="54">
        <f>IF(A214="","",EOMONTH(A214,-1)+1)</f>
        <v/>
      </c>
      <c r="O214" s="22">
        <f>IF(AND(N(A214)&gt;=N(01_Parametres!$B$11),N(A214)&lt;=N(01_Parametres!$B$12)),1,0)</f>
        <v/>
      </c>
      <c r="P214" s="74">
        <f>IF(E214="","",IFERROR(VLOOKUP(E214,02_Plan_Comptable!$A$5:$C$84,3,FALSE),""))</f>
        <v/>
      </c>
      <c r="Q214" s="74">
        <f>IF(F214="","",IFERROR(VLOOKUP(F214,02_Plan_Comptable!$A$5:$C$84,3,FALSE),""))</f>
        <v/>
      </c>
    </row>
    <row r="215">
      <c r="A215" s="51" t="n"/>
      <c r="B215" s="16" t="n"/>
      <c r="C215" s="16" t="n"/>
      <c r="D215" s="16" t="n"/>
      <c r="E215" s="16" t="n"/>
      <c r="F215" s="16" t="n"/>
      <c r="G215" s="52" t="n"/>
      <c r="H215" s="52" t="n"/>
      <c r="I215" s="53">
        <f>N(G215)+N(H215)</f>
        <v/>
      </c>
      <c r="J215" s="16" t="n"/>
      <c r="K215" s="16" t="n"/>
      <c r="L215" s="16" t="n"/>
      <c r="M215" s="16" t="n"/>
      <c r="N215" s="54">
        <f>IF(A215="","",EOMONTH(A215,-1)+1)</f>
        <v/>
      </c>
      <c r="O215" s="22">
        <f>IF(AND(N(A215)&gt;=N(01_Parametres!$B$11),N(A215)&lt;=N(01_Parametres!$B$12)),1,0)</f>
        <v/>
      </c>
      <c r="P215" s="74">
        <f>IF(E215="","",IFERROR(VLOOKUP(E215,02_Plan_Comptable!$A$5:$C$84,3,FALSE),""))</f>
        <v/>
      </c>
      <c r="Q215" s="74">
        <f>IF(F215="","",IFERROR(VLOOKUP(F215,02_Plan_Comptable!$A$5:$C$84,3,FALSE),""))</f>
        <v/>
      </c>
    </row>
    <row r="216">
      <c r="A216" s="51" t="n"/>
      <c r="B216" s="16" t="n"/>
      <c r="C216" s="16" t="n"/>
      <c r="D216" s="16" t="n"/>
      <c r="E216" s="16" t="n"/>
      <c r="F216" s="16" t="n"/>
      <c r="G216" s="52" t="n"/>
      <c r="H216" s="52" t="n"/>
      <c r="I216" s="53">
        <f>N(G216)+N(H216)</f>
        <v/>
      </c>
      <c r="J216" s="16" t="n"/>
      <c r="K216" s="16" t="n"/>
      <c r="L216" s="16" t="n"/>
      <c r="M216" s="16" t="n"/>
      <c r="N216" s="54">
        <f>IF(A216="","",EOMONTH(A216,-1)+1)</f>
        <v/>
      </c>
      <c r="O216" s="22">
        <f>IF(AND(N(A216)&gt;=N(01_Parametres!$B$11),N(A216)&lt;=N(01_Parametres!$B$12)),1,0)</f>
        <v/>
      </c>
      <c r="P216" s="74">
        <f>IF(E216="","",IFERROR(VLOOKUP(E216,02_Plan_Comptable!$A$5:$C$84,3,FALSE),""))</f>
        <v/>
      </c>
      <c r="Q216" s="74">
        <f>IF(F216="","",IFERROR(VLOOKUP(F216,02_Plan_Comptable!$A$5:$C$84,3,FALSE),""))</f>
        <v/>
      </c>
    </row>
    <row r="217">
      <c r="A217" s="51" t="n"/>
      <c r="B217" s="16" t="n"/>
      <c r="C217" s="16" t="n"/>
      <c r="D217" s="16" t="n"/>
      <c r="E217" s="16" t="n"/>
      <c r="F217" s="16" t="n"/>
      <c r="G217" s="52" t="n"/>
      <c r="H217" s="52" t="n"/>
      <c r="I217" s="53">
        <f>N(G217)+N(H217)</f>
        <v/>
      </c>
      <c r="J217" s="16" t="n"/>
      <c r="K217" s="16" t="n"/>
      <c r="L217" s="16" t="n"/>
      <c r="M217" s="16" t="n"/>
      <c r="N217" s="54">
        <f>IF(A217="","",EOMONTH(A217,-1)+1)</f>
        <v/>
      </c>
      <c r="O217" s="22">
        <f>IF(AND(N(A217)&gt;=N(01_Parametres!$B$11),N(A217)&lt;=N(01_Parametres!$B$12)),1,0)</f>
        <v/>
      </c>
      <c r="P217" s="74">
        <f>IF(E217="","",IFERROR(VLOOKUP(E217,02_Plan_Comptable!$A$5:$C$84,3,FALSE),""))</f>
        <v/>
      </c>
      <c r="Q217" s="74">
        <f>IF(F217="","",IFERROR(VLOOKUP(F217,02_Plan_Comptable!$A$5:$C$84,3,FALSE),""))</f>
        <v/>
      </c>
    </row>
    <row r="218">
      <c r="A218" s="51" t="n"/>
      <c r="B218" s="16" t="n"/>
      <c r="C218" s="16" t="n"/>
      <c r="D218" s="16" t="n"/>
      <c r="E218" s="16" t="n"/>
      <c r="F218" s="16" t="n"/>
      <c r="G218" s="52" t="n"/>
      <c r="H218" s="52" t="n"/>
      <c r="I218" s="53">
        <f>N(G218)+N(H218)</f>
        <v/>
      </c>
      <c r="J218" s="16" t="n"/>
      <c r="K218" s="16" t="n"/>
      <c r="L218" s="16" t="n"/>
      <c r="M218" s="16" t="n"/>
      <c r="N218" s="54">
        <f>IF(A218="","",EOMONTH(A218,-1)+1)</f>
        <v/>
      </c>
      <c r="O218" s="22">
        <f>IF(AND(N(A218)&gt;=N(01_Parametres!$B$11),N(A218)&lt;=N(01_Parametres!$B$12)),1,0)</f>
        <v/>
      </c>
      <c r="P218" s="74">
        <f>IF(E218="","",IFERROR(VLOOKUP(E218,02_Plan_Comptable!$A$5:$C$84,3,FALSE),""))</f>
        <v/>
      </c>
      <c r="Q218" s="74">
        <f>IF(F218="","",IFERROR(VLOOKUP(F218,02_Plan_Comptable!$A$5:$C$84,3,FALSE),""))</f>
        <v/>
      </c>
    </row>
    <row r="219">
      <c r="A219" s="51" t="n"/>
      <c r="B219" s="16" t="n"/>
      <c r="C219" s="16" t="n"/>
      <c r="D219" s="16" t="n"/>
      <c r="E219" s="16" t="n"/>
      <c r="F219" s="16" t="n"/>
      <c r="G219" s="52" t="n"/>
      <c r="H219" s="52" t="n"/>
      <c r="I219" s="53">
        <f>N(G219)+N(H219)</f>
        <v/>
      </c>
      <c r="J219" s="16" t="n"/>
      <c r="K219" s="16" t="n"/>
      <c r="L219" s="16" t="n"/>
      <c r="M219" s="16" t="n"/>
      <c r="N219" s="54">
        <f>IF(A219="","",EOMONTH(A219,-1)+1)</f>
        <v/>
      </c>
      <c r="O219" s="22">
        <f>IF(AND(N(A219)&gt;=N(01_Parametres!$B$11),N(A219)&lt;=N(01_Parametres!$B$12)),1,0)</f>
        <v/>
      </c>
      <c r="P219" s="74">
        <f>IF(E219="","",IFERROR(VLOOKUP(E219,02_Plan_Comptable!$A$5:$C$84,3,FALSE),""))</f>
        <v/>
      </c>
      <c r="Q219" s="74">
        <f>IF(F219="","",IFERROR(VLOOKUP(F219,02_Plan_Comptable!$A$5:$C$84,3,FALSE),""))</f>
        <v/>
      </c>
    </row>
    <row r="220">
      <c r="A220" s="51" t="n"/>
      <c r="B220" s="16" t="n"/>
      <c r="C220" s="16" t="n"/>
      <c r="D220" s="16" t="n"/>
      <c r="E220" s="16" t="n"/>
      <c r="F220" s="16" t="n"/>
      <c r="G220" s="52" t="n"/>
      <c r="H220" s="52" t="n"/>
      <c r="I220" s="53">
        <f>N(G220)+N(H220)</f>
        <v/>
      </c>
      <c r="J220" s="16" t="n"/>
      <c r="K220" s="16" t="n"/>
      <c r="L220" s="16" t="n"/>
      <c r="M220" s="16" t="n"/>
      <c r="N220" s="54">
        <f>IF(A220="","",EOMONTH(A220,-1)+1)</f>
        <v/>
      </c>
      <c r="O220" s="22">
        <f>IF(AND(N(A220)&gt;=N(01_Parametres!$B$11),N(A220)&lt;=N(01_Parametres!$B$12)),1,0)</f>
        <v/>
      </c>
      <c r="P220" s="74">
        <f>IF(E220="","",IFERROR(VLOOKUP(E220,02_Plan_Comptable!$A$5:$C$84,3,FALSE),""))</f>
        <v/>
      </c>
      <c r="Q220" s="74">
        <f>IF(F220="","",IFERROR(VLOOKUP(F220,02_Plan_Comptable!$A$5:$C$84,3,FALSE),""))</f>
        <v/>
      </c>
    </row>
    <row r="221">
      <c r="A221" s="51" t="n"/>
      <c r="B221" s="16" t="n"/>
      <c r="C221" s="16" t="n"/>
      <c r="D221" s="16" t="n"/>
      <c r="E221" s="16" t="n"/>
      <c r="F221" s="16" t="n"/>
      <c r="G221" s="52" t="n"/>
      <c r="H221" s="52" t="n"/>
      <c r="I221" s="53">
        <f>N(G221)+N(H221)</f>
        <v/>
      </c>
      <c r="J221" s="16" t="n"/>
      <c r="K221" s="16" t="n"/>
      <c r="L221" s="16" t="n"/>
      <c r="M221" s="16" t="n"/>
      <c r="N221" s="54">
        <f>IF(A221="","",EOMONTH(A221,-1)+1)</f>
        <v/>
      </c>
      <c r="O221" s="22">
        <f>IF(AND(N(A221)&gt;=N(01_Parametres!$B$11),N(A221)&lt;=N(01_Parametres!$B$12)),1,0)</f>
        <v/>
      </c>
      <c r="P221" s="74">
        <f>IF(E221="","",IFERROR(VLOOKUP(E221,02_Plan_Comptable!$A$5:$C$84,3,FALSE),""))</f>
        <v/>
      </c>
      <c r="Q221" s="74">
        <f>IF(F221="","",IFERROR(VLOOKUP(F221,02_Plan_Comptable!$A$5:$C$84,3,FALSE),""))</f>
        <v/>
      </c>
    </row>
    <row r="222">
      <c r="A222" s="51" t="n"/>
      <c r="B222" s="16" t="n"/>
      <c r="C222" s="16" t="n"/>
      <c r="D222" s="16" t="n"/>
      <c r="E222" s="16" t="n"/>
      <c r="F222" s="16" t="n"/>
      <c r="G222" s="52" t="n"/>
      <c r="H222" s="52" t="n"/>
      <c r="I222" s="53">
        <f>N(G222)+N(H222)</f>
        <v/>
      </c>
      <c r="J222" s="16" t="n"/>
      <c r="K222" s="16" t="n"/>
      <c r="L222" s="16" t="n"/>
      <c r="M222" s="16" t="n"/>
      <c r="N222" s="54">
        <f>IF(A222="","",EOMONTH(A222,-1)+1)</f>
        <v/>
      </c>
      <c r="O222" s="22">
        <f>IF(AND(N(A222)&gt;=N(01_Parametres!$B$11),N(A222)&lt;=N(01_Parametres!$B$12)),1,0)</f>
        <v/>
      </c>
      <c r="P222" s="74">
        <f>IF(E222="","",IFERROR(VLOOKUP(E222,02_Plan_Comptable!$A$5:$C$84,3,FALSE),""))</f>
        <v/>
      </c>
      <c r="Q222" s="74">
        <f>IF(F222="","",IFERROR(VLOOKUP(F222,02_Plan_Comptable!$A$5:$C$84,3,FALSE),""))</f>
        <v/>
      </c>
    </row>
    <row r="223">
      <c r="A223" s="51" t="n"/>
      <c r="B223" s="16" t="n"/>
      <c r="C223" s="16" t="n"/>
      <c r="D223" s="16" t="n"/>
      <c r="E223" s="16" t="n"/>
      <c r="F223" s="16" t="n"/>
      <c r="G223" s="52" t="n"/>
      <c r="H223" s="52" t="n"/>
      <c r="I223" s="53">
        <f>N(G223)+N(H223)</f>
        <v/>
      </c>
      <c r="J223" s="16" t="n"/>
      <c r="K223" s="16" t="n"/>
      <c r="L223" s="16" t="n"/>
      <c r="M223" s="16" t="n"/>
      <c r="N223" s="54">
        <f>IF(A223="","",EOMONTH(A223,-1)+1)</f>
        <v/>
      </c>
      <c r="O223" s="22">
        <f>IF(AND(N(A223)&gt;=N(01_Parametres!$B$11),N(A223)&lt;=N(01_Parametres!$B$12)),1,0)</f>
        <v/>
      </c>
      <c r="P223" s="74">
        <f>IF(E223="","",IFERROR(VLOOKUP(E223,02_Plan_Comptable!$A$5:$C$84,3,FALSE),""))</f>
        <v/>
      </c>
      <c r="Q223" s="74">
        <f>IF(F223="","",IFERROR(VLOOKUP(F223,02_Plan_Comptable!$A$5:$C$84,3,FALSE),""))</f>
        <v/>
      </c>
    </row>
    <row r="224">
      <c r="A224" s="51" t="n"/>
      <c r="B224" s="16" t="n"/>
      <c r="C224" s="16" t="n"/>
      <c r="D224" s="16" t="n"/>
      <c r="E224" s="16" t="n"/>
      <c r="F224" s="16" t="n"/>
      <c r="G224" s="52" t="n"/>
      <c r="H224" s="52" t="n"/>
      <c r="I224" s="53">
        <f>N(G224)+N(H224)</f>
        <v/>
      </c>
      <c r="J224" s="16" t="n"/>
      <c r="K224" s="16" t="n"/>
      <c r="L224" s="16" t="n"/>
      <c r="M224" s="16" t="n"/>
      <c r="N224" s="54">
        <f>IF(A224="","",EOMONTH(A224,-1)+1)</f>
        <v/>
      </c>
      <c r="O224" s="22">
        <f>IF(AND(N(A224)&gt;=N(01_Parametres!$B$11),N(A224)&lt;=N(01_Parametres!$B$12)),1,0)</f>
        <v/>
      </c>
      <c r="P224" s="74">
        <f>IF(E224="","",IFERROR(VLOOKUP(E224,02_Plan_Comptable!$A$5:$C$84,3,FALSE),""))</f>
        <v/>
      </c>
      <c r="Q224" s="74">
        <f>IF(F224="","",IFERROR(VLOOKUP(F224,02_Plan_Comptable!$A$5:$C$84,3,FALSE),""))</f>
        <v/>
      </c>
    </row>
    <row r="225">
      <c r="A225" s="51" t="n"/>
      <c r="B225" s="16" t="n"/>
      <c r="C225" s="16" t="n"/>
      <c r="D225" s="16" t="n"/>
      <c r="E225" s="16" t="n"/>
      <c r="F225" s="16" t="n"/>
      <c r="G225" s="52" t="n"/>
      <c r="H225" s="52" t="n"/>
      <c r="I225" s="53">
        <f>N(G225)+N(H225)</f>
        <v/>
      </c>
      <c r="J225" s="16" t="n"/>
      <c r="K225" s="16" t="n"/>
      <c r="L225" s="16" t="n"/>
      <c r="M225" s="16" t="n"/>
      <c r="N225" s="54">
        <f>IF(A225="","",EOMONTH(A225,-1)+1)</f>
        <v/>
      </c>
      <c r="O225" s="22">
        <f>IF(AND(N(A225)&gt;=N(01_Parametres!$B$11),N(A225)&lt;=N(01_Parametres!$B$12)),1,0)</f>
        <v/>
      </c>
      <c r="P225" s="74">
        <f>IF(E225="","",IFERROR(VLOOKUP(E225,02_Plan_Comptable!$A$5:$C$84,3,FALSE),""))</f>
        <v/>
      </c>
      <c r="Q225" s="74">
        <f>IF(F225="","",IFERROR(VLOOKUP(F225,02_Plan_Comptable!$A$5:$C$84,3,FALSE),""))</f>
        <v/>
      </c>
    </row>
    <row r="226">
      <c r="A226" s="51" t="n"/>
      <c r="B226" s="16" t="n"/>
      <c r="C226" s="16" t="n"/>
      <c r="D226" s="16" t="n"/>
      <c r="E226" s="16" t="n"/>
      <c r="F226" s="16" t="n"/>
      <c r="G226" s="52" t="n"/>
      <c r="H226" s="52" t="n"/>
      <c r="I226" s="53">
        <f>N(G226)+N(H226)</f>
        <v/>
      </c>
      <c r="J226" s="16" t="n"/>
      <c r="K226" s="16" t="n"/>
      <c r="L226" s="16" t="n"/>
      <c r="M226" s="16" t="n"/>
      <c r="N226" s="54">
        <f>IF(A226="","",EOMONTH(A226,-1)+1)</f>
        <v/>
      </c>
      <c r="O226" s="22">
        <f>IF(AND(N(A226)&gt;=N(01_Parametres!$B$11),N(A226)&lt;=N(01_Parametres!$B$12)),1,0)</f>
        <v/>
      </c>
      <c r="P226" s="74">
        <f>IF(E226="","",IFERROR(VLOOKUP(E226,02_Plan_Comptable!$A$5:$C$84,3,FALSE),""))</f>
        <v/>
      </c>
      <c r="Q226" s="74">
        <f>IF(F226="","",IFERROR(VLOOKUP(F226,02_Plan_Comptable!$A$5:$C$84,3,FALSE),""))</f>
        <v/>
      </c>
    </row>
    <row r="227">
      <c r="A227" s="51" t="n"/>
      <c r="B227" s="16" t="n"/>
      <c r="C227" s="16" t="n"/>
      <c r="D227" s="16" t="n"/>
      <c r="E227" s="16" t="n"/>
      <c r="F227" s="16" t="n"/>
      <c r="G227" s="52" t="n"/>
      <c r="H227" s="52" t="n"/>
      <c r="I227" s="53">
        <f>N(G227)+N(H227)</f>
        <v/>
      </c>
      <c r="J227" s="16" t="n"/>
      <c r="K227" s="16" t="n"/>
      <c r="L227" s="16" t="n"/>
      <c r="M227" s="16" t="n"/>
      <c r="N227" s="54">
        <f>IF(A227="","",EOMONTH(A227,-1)+1)</f>
        <v/>
      </c>
      <c r="O227" s="22">
        <f>IF(AND(N(A227)&gt;=N(01_Parametres!$B$11),N(A227)&lt;=N(01_Parametres!$B$12)),1,0)</f>
        <v/>
      </c>
      <c r="P227" s="74">
        <f>IF(E227="","",IFERROR(VLOOKUP(E227,02_Plan_Comptable!$A$5:$C$84,3,FALSE),""))</f>
        <v/>
      </c>
      <c r="Q227" s="74">
        <f>IF(F227="","",IFERROR(VLOOKUP(F227,02_Plan_Comptable!$A$5:$C$84,3,FALSE),""))</f>
        <v/>
      </c>
    </row>
    <row r="228">
      <c r="A228" s="51" t="n"/>
      <c r="B228" s="16" t="n"/>
      <c r="C228" s="16" t="n"/>
      <c r="D228" s="16" t="n"/>
      <c r="E228" s="16" t="n"/>
      <c r="F228" s="16" t="n"/>
      <c r="G228" s="52" t="n"/>
      <c r="H228" s="52" t="n"/>
      <c r="I228" s="53">
        <f>N(G228)+N(H228)</f>
        <v/>
      </c>
      <c r="J228" s="16" t="n"/>
      <c r="K228" s="16" t="n"/>
      <c r="L228" s="16" t="n"/>
      <c r="M228" s="16" t="n"/>
      <c r="N228" s="54">
        <f>IF(A228="","",EOMONTH(A228,-1)+1)</f>
        <v/>
      </c>
      <c r="O228" s="22">
        <f>IF(AND(N(A228)&gt;=N(01_Parametres!$B$11),N(A228)&lt;=N(01_Parametres!$B$12)),1,0)</f>
        <v/>
      </c>
      <c r="P228" s="74">
        <f>IF(E228="","",IFERROR(VLOOKUP(E228,02_Plan_Comptable!$A$5:$C$84,3,FALSE),""))</f>
        <v/>
      </c>
      <c r="Q228" s="74">
        <f>IF(F228="","",IFERROR(VLOOKUP(F228,02_Plan_Comptable!$A$5:$C$84,3,FALSE),""))</f>
        <v/>
      </c>
    </row>
    <row r="229">
      <c r="A229" s="51" t="n"/>
      <c r="B229" s="16" t="n"/>
      <c r="C229" s="16" t="n"/>
      <c r="D229" s="16" t="n"/>
      <c r="E229" s="16" t="n"/>
      <c r="F229" s="16" t="n"/>
      <c r="G229" s="52" t="n"/>
      <c r="H229" s="52" t="n"/>
      <c r="I229" s="53">
        <f>N(G229)+N(H229)</f>
        <v/>
      </c>
      <c r="J229" s="16" t="n"/>
      <c r="K229" s="16" t="n"/>
      <c r="L229" s="16" t="n"/>
      <c r="M229" s="16" t="n"/>
      <c r="N229" s="54">
        <f>IF(A229="","",EOMONTH(A229,-1)+1)</f>
        <v/>
      </c>
      <c r="O229" s="22">
        <f>IF(AND(N(A229)&gt;=N(01_Parametres!$B$11),N(A229)&lt;=N(01_Parametres!$B$12)),1,0)</f>
        <v/>
      </c>
      <c r="P229" s="74">
        <f>IF(E229="","",IFERROR(VLOOKUP(E229,02_Plan_Comptable!$A$5:$C$84,3,FALSE),""))</f>
        <v/>
      </c>
      <c r="Q229" s="74">
        <f>IF(F229="","",IFERROR(VLOOKUP(F229,02_Plan_Comptable!$A$5:$C$84,3,FALSE),""))</f>
        <v/>
      </c>
    </row>
    <row r="230">
      <c r="A230" s="51" t="n"/>
      <c r="B230" s="16" t="n"/>
      <c r="C230" s="16" t="n"/>
      <c r="D230" s="16" t="n"/>
      <c r="E230" s="16" t="n"/>
      <c r="F230" s="16" t="n"/>
      <c r="G230" s="52" t="n"/>
      <c r="H230" s="52" t="n"/>
      <c r="I230" s="53">
        <f>N(G230)+N(H230)</f>
        <v/>
      </c>
      <c r="J230" s="16" t="n"/>
      <c r="K230" s="16" t="n"/>
      <c r="L230" s="16" t="n"/>
      <c r="M230" s="16" t="n"/>
      <c r="N230" s="54">
        <f>IF(A230="","",EOMONTH(A230,-1)+1)</f>
        <v/>
      </c>
      <c r="O230" s="22">
        <f>IF(AND(N(A230)&gt;=N(01_Parametres!$B$11),N(A230)&lt;=N(01_Parametres!$B$12)),1,0)</f>
        <v/>
      </c>
      <c r="P230" s="74">
        <f>IF(E230="","",IFERROR(VLOOKUP(E230,02_Plan_Comptable!$A$5:$C$84,3,FALSE),""))</f>
        <v/>
      </c>
      <c r="Q230" s="74">
        <f>IF(F230="","",IFERROR(VLOOKUP(F230,02_Plan_Comptable!$A$5:$C$84,3,FALSE),""))</f>
        <v/>
      </c>
    </row>
    <row r="231">
      <c r="A231" s="51" t="n"/>
      <c r="B231" s="16" t="n"/>
      <c r="C231" s="16" t="n"/>
      <c r="D231" s="16" t="n"/>
      <c r="E231" s="16" t="n"/>
      <c r="F231" s="16" t="n"/>
      <c r="G231" s="52" t="n"/>
      <c r="H231" s="52" t="n"/>
      <c r="I231" s="53">
        <f>N(G231)+N(H231)</f>
        <v/>
      </c>
      <c r="J231" s="16" t="n"/>
      <c r="K231" s="16" t="n"/>
      <c r="L231" s="16" t="n"/>
      <c r="M231" s="16" t="n"/>
      <c r="N231" s="54">
        <f>IF(A231="","",EOMONTH(A231,-1)+1)</f>
        <v/>
      </c>
      <c r="O231" s="22">
        <f>IF(AND(N(A231)&gt;=N(01_Parametres!$B$11),N(A231)&lt;=N(01_Parametres!$B$12)),1,0)</f>
        <v/>
      </c>
      <c r="P231" s="74">
        <f>IF(E231="","",IFERROR(VLOOKUP(E231,02_Plan_Comptable!$A$5:$C$84,3,FALSE),""))</f>
        <v/>
      </c>
      <c r="Q231" s="74">
        <f>IF(F231="","",IFERROR(VLOOKUP(F231,02_Plan_Comptable!$A$5:$C$84,3,FALSE),""))</f>
        <v/>
      </c>
    </row>
    <row r="232">
      <c r="A232" s="51" t="n"/>
      <c r="B232" s="16" t="n"/>
      <c r="C232" s="16" t="n"/>
      <c r="D232" s="16" t="n"/>
      <c r="E232" s="16" t="n"/>
      <c r="F232" s="16" t="n"/>
      <c r="G232" s="52" t="n"/>
      <c r="H232" s="52" t="n"/>
      <c r="I232" s="53">
        <f>N(G232)+N(H232)</f>
        <v/>
      </c>
      <c r="J232" s="16" t="n"/>
      <c r="K232" s="16" t="n"/>
      <c r="L232" s="16" t="n"/>
      <c r="M232" s="16" t="n"/>
      <c r="N232" s="54">
        <f>IF(A232="","",EOMONTH(A232,-1)+1)</f>
        <v/>
      </c>
      <c r="O232" s="22">
        <f>IF(AND(N(A232)&gt;=N(01_Parametres!$B$11),N(A232)&lt;=N(01_Parametres!$B$12)),1,0)</f>
        <v/>
      </c>
      <c r="P232" s="74">
        <f>IF(E232="","",IFERROR(VLOOKUP(E232,02_Plan_Comptable!$A$5:$C$84,3,FALSE),""))</f>
        <v/>
      </c>
      <c r="Q232" s="74">
        <f>IF(F232="","",IFERROR(VLOOKUP(F232,02_Plan_Comptable!$A$5:$C$84,3,FALSE),""))</f>
        <v/>
      </c>
    </row>
    <row r="233">
      <c r="A233" s="51" t="n"/>
      <c r="B233" s="16" t="n"/>
      <c r="C233" s="16" t="n"/>
      <c r="D233" s="16" t="n"/>
      <c r="E233" s="16" t="n"/>
      <c r="F233" s="16" t="n"/>
      <c r="G233" s="52" t="n"/>
      <c r="H233" s="52" t="n"/>
      <c r="I233" s="53">
        <f>N(G233)+N(H233)</f>
        <v/>
      </c>
      <c r="J233" s="16" t="n"/>
      <c r="K233" s="16" t="n"/>
      <c r="L233" s="16" t="n"/>
      <c r="M233" s="16" t="n"/>
      <c r="N233" s="54">
        <f>IF(A233="","",EOMONTH(A233,-1)+1)</f>
        <v/>
      </c>
      <c r="O233" s="22">
        <f>IF(AND(N(A233)&gt;=N(01_Parametres!$B$11),N(A233)&lt;=N(01_Parametres!$B$12)),1,0)</f>
        <v/>
      </c>
      <c r="P233" s="74">
        <f>IF(E233="","",IFERROR(VLOOKUP(E233,02_Plan_Comptable!$A$5:$C$84,3,FALSE),""))</f>
        <v/>
      </c>
      <c r="Q233" s="74">
        <f>IF(F233="","",IFERROR(VLOOKUP(F233,02_Plan_Comptable!$A$5:$C$84,3,FALSE),""))</f>
        <v/>
      </c>
    </row>
    <row r="234">
      <c r="A234" s="51" t="n"/>
      <c r="B234" s="16" t="n"/>
      <c r="C234" s="16" t="n"/>
      <c r="D234" s="16" t="n"/>
      <c r="E234" s="16" t="n"/>
      <c r="F234" s="16" t="n"/>
      <c r="G234" s="52" t="n"/>
      <c r="H234" s="52" t="n"/>
      <c r="I234" s="53">
        <f>N(G234)+N(H234)</f>
        <v/>
      </c>
      <c r="J234" s="16" t="n"/>
      <c r="K234" s="16" t="n"/>
      <c r="L234" s="16" t="n"/>
      <c r="M234" s="16" t="n"/>
      <c r="N234" s="54">
        <f>IF(A234="","",EOMONTH(A234,-1)+1)</f>
        <v/>
      </c>
      <c r="O234" s="22">
        <f>IF(AND(N(A234)&gt;=N(01_Parametres!$B$11),N(A234)&lt;=N(01_Parametres!$B$12)),1,0)</f>
        <v/>
      </c>
      <c r="P234" s="74">
        <f>IF(E234="","",IFERROR(VLOOKUP(E234,02_Plan_Comptable!$A$5:$C$84,3,FALSE),""))</f>
        <v/>
      </c>
      <c r="Q234" s="74">
        <f>IF(F234="","",IFERROR(VLOOKUP(F234,02_Plan_Comptable!$A$5:$C$84,3,FALSE),""))</f>
        <v/>
      </c>
    </row>
    <row r="235">
      <c r="A235" s="51" t="n"/>
      <c r="B235" s="16" t="n"/>
      <c r="C235" s="16" t="n"/>
      <c r="D235" s="16" t="n"/>
      <c r="E235" s="16" t="n"/>
      <c r="F235" s="16" t="n"/>
      <c r="G235" s="52" t="n"/>
      <c r="H235" s="52" t="n"/>
      <c r="I235" s="53">
        <f>N(G235)+N(H235)</f>
        <v/>
      </c>
      <c r="J235" s="16" t="n"/>
      <c r="K235" s="16" t="n"/>
      <c r="L235" s="16" t="n"/>
      <c r="M235" s="16" t="n"/>
      <c r="N235" s="54">
        <f>IF(A235="","",EOMONTH(A235,-1)+1)</f>
        <v/>
      </c>
      <c r="O235" s="22">
        <f>IF(AND(N(A235)&gt;=N(01_Parametres!$B$11),N(A235)&lt;=N(01_Parametres!$B$12)),1,0)</f>
        <v/>
      </c>
      <c r="P235" s="74">
        <f>IF(E235="","",IFERROR(VLOOKUP(E235,02_Plan_Comptable!$A$5:$C$84,3,FALSE),""))</f>
        <v/>
      </c>
      <c r="Q235" s="74">
        <f>IF(F235="","",IFERROR(VLOOKUP(F235,02_Plan_Comptable!$A$5:$C$84,3,FALSE),""))</f>
        <v/>
      </c>
    </row>
    <row r="236">
      <c r="A236" s="51" t="n"/>
      <c r="B236" s="16" t="n"/>
      <c r="C236" s="16" t="n"/>
      <c r="D236" s="16" t="n"/>
      <c r="E236" s="16" t="n"/>
      <c r="F236" s="16" t="n"/>
      <c r="G236" s="52" t="n"/>
      <c r="H236" s="52" t="n"/>
      <c r="I236" s="53">
        <f>N(G236)+N(H236)</f>
        <v/>
      </c>
      <c r="J236" s="16" t="n"/>
      <c r="K236" s="16" t="n"/>
      <c r="L236" s="16" t="n"/>
      <c r="M236" s="16" t="n"/>
      <c r="N236" s="54">
        <f>IF(A236="","",EOMONTH(A236,-1)+1)</f>
        <v/>
      </c>
      <c r="O236" s="22">
        <f>IF(AND(N(A236)&gt;=N(01_Parametres!$B$11),N(A236)&lt;=N(01_Parametres!$B$12)),1,0)</f>
        <v/>
      </c>
      <c r="P236" s="74">
        <f>IF(E236="","",IFERROR(VLOOKUP(E236,02_Plan_Comptable!$A$5:$C$84,3,FALSE),""))</f>
        <v/>
      </c>
      <c r="Q236" s="74">
        <f>IF(F236="","",IFERROR(VLOOKUP(F236,02_Plan_Comptable!$A$5:$C$84,3,FALSE),""))</f>
        <v/>
      </c>
    </row>
    <row r="237">
      <c r="A237" s="51" t="n"/>
      <c r="B237" s="16" t="n"/>
      <c r="C237" s="16" t="n"/>
      <c r="D237" s="16" t="n"/>
      <c r="E237" s="16" t="n"/>
      <c r="F237" s="16" t="n"/>
      <c r="G237" s="52" t="n"/>
      <c r="H237" s="52" t="n"/>
      <c r="I237" s="53">
        <f>N(G237)+N(H237)</f>
        <v/>
      </c>
      <c r="J237" s="16" t="n"/>
      <c r="K237" s="16" t="n"/>
      <c r="L237" s="16" t="n"/>
      <c r="M237" s="16" t="n"/>
      <c r="N237" s="54">
        <f>IF(A237="","",EOMONTH(A237,-1)+1)</f>
        <v/>
      </c>
      <c r="O237" s="22">
        <f>IF(AND(N(A237)&gt;=N(01_Parametres!$B$11),N(A237)&lt;=N(01_Parametres!$B$12)),1,0)</f>
        <v/>
      </c>
      <c r="P237" s="74">
        <f>IF(E237="","",IFERROR(VLOOKUP(E237,02_Plan_Comptable!$A$5:$C$84,3,FALSE),""))</f>
        <v/>
      </c>
      <c r="Q237" s="74">
        <f>IF(F237="","",IFERROR(VLOOKUP(F237,02_Plan_Comptable!$A$5:$C$84,3,FALSE),""))</f>
        <v/>
      </c>
    </row>
    <row r="238">
      <c r="A238" s="51" t="n"/>
      <c r="B238" s="16" t="n"/>
      <c r="C238" s="16" t="n"/>
      <c r="D238" s="16" t="n"/>
      <c r="E238" s="16" t="n"/>
      <c r="F238" s="16" t="n"/>
      <c r="G238" s="52" t="n"/>
      <c r="H238" s="52" t="n"/>
      <c r="I238" s="53">
        <f>N(G238)+N(H238)</f>
        <v/>
      </c>
      <c r="J238" s="16" t="n"/>
      <c r="K238" s="16" t="n"/>
      <c r="L238" s="16" t="n"/>
      <c r="M238" s="16" t="n"/>
      <c r="N238" s="54">
        <f>IF(A238="","",EOMONTH(A238,-1)+1)</f>
        <v/>
      </c>
      <c r="O238" s="22">
        <f>IF(AND(N(A238)&gt;=N(01_Parametres!$B$11),N(A238)&lt;=N(01_Parametres!$B$12)),1,0)</f>
        <v/>
      </c>
      <c r="P238" s="74">
        <f>IF(E238="","",IFERROR(VLOOKUP(E238,02_Plan_Comptable!$A$5:$C$84,3,FALSE),""))</f>
        <v/>
      </c>
      <c r="Q238" s="74">
        <f>IF(F238="","",IFERROR(VLOOKUP(F238,02_Plan_Comptable!$A$5:$C$84,3,FALSE),""))</f>
        <v/>
      </c>
    </row>
    <row r="239">
      <c r="A239" s="51" t="n"/>
      <c r="B239" s="16" t="n"/>
      <c r="C239" s="16" t="n"/>
      <c r="D239" s="16" t="n"/>
      <c r="E239" s="16" t="n"/>
      <c r="F239" s="16" t="n"/>
      <c r="G239" s="52" t="n"/>
      <c r="H239" s="52" t="n"/>
      <c r="I239" s="53">
        <f>N(G239)+N(H239)</f>
        <v/>
      </c>
      <c r="J239" s="16" t="n"/>
      <c r="K239" s="16" t="n"/>
      <c r="L239" s="16" t="n"/>
      <c r="M239" s="16" t="n"/>
      <c r="N239" s="54">
        <f>IF(A239="","",EOMONTH(A239,-1)+1)</f>
        <v/>
      </c>
      <c r="O239" s="22">
        <f>IF(AND(N(A239)&gt;=N(01_Parametres!$B$11),N(A239)&lt;=N(01_Parametres!$B$12)),1,0)</f>
        <v/>
      </c>
      <c r="P239" s="74">
        <f>IF(E239="","",IFERROR(VLOOKUP(E239,02_Plan_Comptable!$A$5:$C$84,3,FALSE),""))</f>
        <v/>
      </c>
      <c r="Q239" s="74">
        <f>IF(F239="","",IFERROR(VLOOKUP(F239,02_Plan_Comptable!$A$5:$C$84,3,FALSE),""))</f>
        <v/>
      </c>
    </row>
    <row r="240">
      <c r="A240" s="51" t="n"/>
      <c r="B240" s="16" t="n"/>
      <c r="C240" s="16" t="n"/>
      <c r="D240" s="16" t="n"/>
      <c r="E240" s="16" t="n"/>
      <c r="F240" s="16" t="n"/>
      <c r="G240" s="52" t="n"/>
      <c r="H240" s="52" t="n"/>
      <c r="I240" s="53">
        <f>N(G240)+N(H240)</f>
        <v/>
      </c>
      <c r="J240" s="16" t="n"/>
      <c r="K240" s="16" t="n"/>
      <c r="L240" s="16" t="n"/>
      <c r="M240" s="16" t="n"/>
      <c r="N240" s="54">
        <f>IF(A240="","",EOMONTH(A240,-1)+1)</f>
        <v/>
      </c>
      <c r="O240" s="22">
        <f>IF(AND(N(A240)&gt;=N(01_Parametres!$B$11),N(A240)&lt;=N(01_Parametres!$B$12)),1,0)</f>
        <v/>
      </c>
      <c r="P240" s="74">
        <f>IF(E240="","",IFERROR(VLOOKUP(E240,02_Plan_Comptable!$A$5:$C$84,3,FALSE),""))</f>
        <v/>
      </c>
      <c r="Q240" s="74">
        <f>IF(F240="","",IFERROR(VLOOKUP(F240,02_Plan_Comptable!$A$5:$C$84,3,FALSE),""))</f>
        <v/>
      </c>
    </row>
    <row r="241">
      <c r="A241" s="51" t="n"/>
      <c r="B241" s="16" t="n"/>
      <c r="C241" s="16" t="n"/>
      <c r="D241" s="16" t="n"/>
      <c r="E241" s="16" t="n"/>
      <c r="F241" s="16" t="n"/>
      <c r="G241" s="52" t="n"/>
      <c r="H241" s="52" t="n"/>
      <c r="I241" s="53">
        <f>N(G241)+N(H241)</f>
        <v/>
      </c>
      <c r="J241" s="16" t="n"/>
      <c r="K241" s="16" t="n"/>
      <c r="L241" s="16" t="n"/>
      <c r="M241" s="16" t="n"/>
      <c r="N241" s="54">
        <f>IF(A241="","",EOMONTH(A241,-1)+1)</f>
        <v/>
      </c>
      <c r="O241" s="22">
        <f>IF(AND(N(A241)&gt;=N(01_Parametres!$B$11),N(A241)&lt;=N(01_Parametres!$B$12)),1,0)</f>
        <v/>
      </c>
      <c r="P241" s="74">
        <f>IF(E241="","",IFERROR(VLOOKUP(E241,02_Plan_Comptable!$A$5:$C$84,3,FALSE),""))</f>
        <v/>
      </c>
      <c r="Q241" s="74">
        <f>IF(F241="","",IFERROR(VLOOKUP(F241,02_Plan_Comptable!$A$5:$C$84,3,FALSE),""))</f>
        <v/>
      </c>
    </row>
    <row r="242">
      <c r="A242" s="51" t="n"/>
      <c r="B242" s="16" t="n"/>
      <c r="C242" s="16" t="n"/>
      <c r="D242" s="16" t="n"/>
      <c r="E242" s="16" t="n"/>
      <c r="F242" s="16" t="n"/>
      <c r="G242" s="52" t="n"/>
      <c r="H242" s="52" t="n"/>
      <c r="I242" s="53">
        <f>N(G242)+N(H242)</f>
        <v/>
      </c>
      <c r="J242" s="16" t="n"/>
      <c r="K242" s="16" t="n"/>
      <c r="L242" s="16" t="n"/>
      <c r="M242" s="16" t="n"/>
      <c r="N242" s="54">
        <f>IF(A242="","",EOMONTH(A242,-1)+1)</f>
        <v/>
      </c>
      <c r="O242" s="22">
        <f>IF(AND(N(A242)&gt;=N(01_Parametres!$B$11),N(A242)&lt;=N(01_Parametres!$B$12)),1,0)</f>
        <v/>
      </c>
      <c r="P242" s="74">
        <f>IF(E242="","",IFERROR(VLOOKUP(E242,02_Plan_Comptable!$A$5:$C$84,3,FALSE),""))</f>
        <v/>
      </c>
      <c r="Q242" s="74">
        <f>IF(F242="","",IFERROR(VLOOKUP(F242,02_Plan_Comptable!$A$5:$C$84,3,FALSE),""))</f>
        <v/>
      </c>
    </row>
    <row r="243">
      <c r="A243" s="51" t="n"/>
      <c r="B243" s="16" t="n"/>
      <c r="C243" s="16" t="n"/>
      <c r="D243" s="16" t="n"/>
      <c r="E243" s="16" t="n"/>
      <c r="F243" s="16" t="n"/>
      <c r="G243" s="52" t="n"/>
      <c r="H243" s="52" t="n"/>
      <c r="I243" s="53">
        <f>N(G243)+N(H243)</f>
        <v/>
      </c>
      <c r="J243" s="16" t="n"/>
      <c r="K243" s="16" t="n"/>
      <c r="L243" s="16" t="n"/>
      <c r="M243" s="16" t="n"/>
      <c r="N243" s="54">
        <f>IF(A243="","",EOMONTH(A243,-1)+1)</f>
        <v/>
      </c>
      <c r="O243" s="22">
        <f>IF(AND(N(A243)&gt;=N(01_Parametres!$B$11),N(A243)&lt;=N(01_Parametres!$B$12)),1,0)</f>
        <v/>
      </c>
      <c r="P243" s="74">
        <f>IF(E243="","",IFERROR(VLOOKUP(E243,02_Plan_Comptable!$A$5:$C$84,3,FALSE),""))</f>
        <v/>
      </c>
      <c r="Q243" s="74">
        <f>IF(F243="","",IFERROR(VLOOKUP(F243,02_Plan_Comptable!$A$5:$C$84,3,FALSE),""))</f>
        <v/>
      </c>
    </row>
    <row r="244">
      <c r="A244" s="51" t="n"/>
      <c r="B244" s="16" t="n"/>
      <c r="C244" s="16" t="n"/>
      <c r="D244" s="16" t="n"/>
      <c r="E244" s="16" t="n"/>
      <c r="F244" s="16" t="n"/>
      <c r="G244" s="52" t="n"/>
      <c r="H244" s="52" t="n"/>
      <c r="I244" s="53">
        <f>N(G244)+N(H244)</f>
        <v/>
      </c>
      <c r="J244" s="16" t="n"/>
      <c r="K244" s="16" t="n"/>
      <c r="L244" s="16" t="n"/>
      <c r="M244" s="16" t="n"/>
      <c r="N244" s="54">
        <f>IF(A244="","",EOMONTH(A244,-1)+1)</f>
        <v/>
      </c>
      <c r="O244" s="22">
        <f>IF(AND(N(A244)&gt;=N(01_Parametres!$B$11),N(A244)&lt;=N(01_Parametres!$B$12)),1,0)</f>
        <v/>
      </c>
      <c r="P244" s="74">
        <f>IF(E244="","",IFERROR(VLOOKUP(E244,02_Plan_Comptable!$A$5:$C$84,3,FALSE),""))</f>
        <v/>
      </c>
      <c r="Q244" s="74">
        <f>IF(F244="","",IFERROR(VLOOKUP(F244,02_Plan_Comptable!$A$5:$C$84,3,FALSE),""))</f>
        <v/>
      </c>
    </row>
    <row r="245">
      <c r="A245" s="51" t="n"/>
      <c r="B245" s="16" t="n"/>
      <c r="C245" s="16" t="n"/>
      <c r="D245" s="16" t="n"/>
      <c r="E245" s="16" t="n"/>
      <c r="F245" s="16" t="n"/>
      <c r="G245" s="52" t="n"/>
      <c r="H245" s="52" t="n"/>
      <c r="I245" s="53">
        <f>N(G245)+N(H245)</f>
        <v/>
      </c>
      <c r="J245" s="16" t="n"/>
      <c r="K245" s="16" t="n"/>
      <c r="L245" s="16" t="n"/>
      <c r="M245" s="16" t="n"/>
      <c r="N245" s="54">
        <f>IF(A245="","",EOMONTH(A245,-1)+1)</f>
        <v/>
      </c>
      <c r="O245" s="22">
        <f>IF(AND(N(A245)&gt;=N(01_Parametres!$B$11),N(A245)&lt;=N(01_Parametres!$B$12)),1,0)</f>
        <v/>
      </c>
      <c r="P245" s="74">
        <f>IF(E245="","",IFERROR(VLOOKUP(E245,02_Plan_Comptable!$A$5:$C$84,3,FALSE),""))</f>
        <v/>
      </c>
      <c r="Q245" s="74">
        <f>IF(F245="","",IFERROR(VLOOKUP(F245,02_Plan_Comptable!$A$5:$C$84,3,FALSE),""))</f>
        <v/>
      </c>
    </row>
    <row r="246">
      <c r="A246" s="51" t="n"/>
      <c r="B246" s="16" t="n"/>
      <c r="C246" s="16" t="n"/>
      <c r="D246" s="16" t="n"/>
      <c r="E246" s="16" t="n"/>
      <c r="F246" s="16" t="n"/>
      <c r="G246" s="52" t="n"/>
      <c r="H246" s="52" t="n"/>
      <c r="I246" s="53">
        <f>N(G246)+N(H246)</f>
        <v/>
      </c>
      <c r="J246" s="16" t="n"/>
      <c r="K246" s="16" t="n"/>
      <c r="L246" s="16" t="n"/>
      <c r="M246" s="16" t="n"/>
      <c r="N246" s="54">
        <f>IF(A246="","",EOMONTH(A246,-1)+1)</f>
        <v/>
      </c>
      <c r="O246" s="22">
        <f>IF(AND(N(A246)&gt;=N(01_Parametres!$B$11),N(A246)&lt;=N(01_Parametres!$B$12)),1,0)</f>
        <v/>
      </c>
      <c r="P246" s="74">
        <f>IF(E246="","",IFERROR(VLOOKUP(E246,02_Plan_Comptable!$A$5:$C$84,3,FALSE),""))</f>
        <v/>
      </c>
      <c r="Q246" s="74">
        <f>IF(F246="","",IFERROR(VLOOKUP(F246,02_Plan_Comptable!$A$5:$C$84,3,FALSE),""))</f>
        <v/>
      </c>
    </row>
    <row r="247">
      <c r="A247" s="51" t="n"/>
      <c r="B247" s="16" t="n"/>
      <c r="C247" s="16" t="n"/>
      <c r="D247" s="16" t="n"/>
      <c r="E247" s="16" t="n"/>
      <c r="F247" s="16" t="n"/>
      <c r="G247" s="52" t="n"/>
      <c r="H247" s="52" t="n"/>
      <c r="I247" s="53">
        <f>N(G247)+N(H247)</f>
        <v/>
      </c>
      <c r="J247" s="16" t="n"/>
      <c r="K247" s="16" t="n"/>
      <c r="L247" s="16" t="n"/>
      <c r="M247" s="16" t="n"/>
      <c r="N247" s="54">
        <f>IF(A247="","",EOMONTH(A247,-1)+1)</f>
        <v/>
      </c>
      <c r="O247" s="22">
        <f>IF(AND(N(A247)&gt;=N(01_Parametres!$B$11),N(A247)&lt;=N(01_Parametres!$B$12)),1,0)</f>
        <v/>
      </c>
      <c r="P247" s="74">
        <f>IF(E247="","",IFERROR(VLOOKUP(E247,02_Plan_Comptable!$A$5:$C$84,3,FALSE),""))</f>
        <v/>
      </c>
      <c r="Q247" s="74">
        <f>IF(F247="","",IFERROR(VLOOKUP(F247,02_Plan_Comptable!$A$5:$C$84,3,FALSE),""))</f>
        <v/>
      </c>
    </row>
    <row r="248">
      <c r="A248" s="51" t="n"/>
      <c r="B248" s="16" t="n"/>
      <c r="C248" s="16" t="n"/>
      <c r="D248" s="16" t="n"/>
      <c r="E248" s="16" t="n"/>
      <c r="F248" s="16" t="n"/>
      <c r="G248" s="52" t="n"/>
      <c r="H248" s="52" t="n"/>
      <c r="I248" s="53">
        <f>N(G248)+N(H248)</f>
        <v/>
      </c>
      <c r="J248" s="16" t="n"/>
      <c r="K248" s="16" t="n"/>
      <c r="L248" s="16" t="n"/>
      <c r="M248" s="16" t="n"/>
      <c r="N248" s="54">
        <f>IF(A248="","",EOMONTH(A248,-1)+1)</f>
        <v/>
      </c>
      <c r="O248" s="22">
        <f>IF(AND(N(A248)&gt;=N(01_Parametres!$B$11),N(A248)&lt;=N(01_Parametres!$B$12)),1,0)</f>
        <v/>
      </c>
      <c r="P248" s="74">
        <f>IF(E248="","",IFERROR(VLOOKUP(E248,02_Plan_Comptable!$A$5:$C$84,3,FALSE),""))</f>
        <v/>
      </c>
      <c r="Q248" s="74">
        <f>IF(F248="","",IFERROR(VLOOKUP(F248,02_Plan_Comptable!$A$5:$C$84,3,FALSE),""))</f>
        <v/>
      </c>
    </row>
    <row r="249">
      <c r="A249" s="51" t="n"/>
      <c r="B249" s="16" t="n"/>
      <c r="C249" s="16" t="n"/>
      <c r="D249" s="16" t="n"/>
      <c r="E249" s="16" t="n"/>
      <c r="F249" s="16" t="n"/>
      <c r="G249" s="52" t="n"/>
      <c r="H249" s="52" t="n"/>
      <c r="I249" s="53">
        <f>N(G249)+N(H249)</f>
        <v/>
      </c>
      <c r="J249" s="16" t="n"/>
      <c r="K249" s="16" t="n"/>
      <c r="L249" s="16" t="n"/>
      <c r="M249" s="16" t="n"/>
      <c r="N249" s="54">
        <f>IF(A249="","",EOMONTH(A249,-1)+1)</f>
        <v/>
      </c>
      <c r="O249" s="22">
        <f>IF(AND(N(A249)&gt;=N(01_Parametres!$B$11),N(A249)&lt;=N(01_Parametres!$B$12)),1,0)</f>
        <v/>
      </c>
      <c r="P249" s="74">
        <f>IF(E249="","",IFERROR(VLOOKUP(E249,02_Plan_Comptable!$A$5:$C$84,3,FALSE),""))</f>
        <v/>
      </c>
      <c r="Q249" s="74">
        <f>IF(F249="","",IFERROR(VLOOKUP(F249,02_Plan_Comptable!$A$5:$C$84,3,FALSE),""))</f>
        <v/>
      </c>
    </row>
    <row r="250">
      <c r="A250" s="51" t="n"/>
      <c r="B250" s="16" t="n"/>
      <c r="C250" s="16" t="n"/>
      <c r="D250" s="16" t="n"/>
      <c r="E250" s="16" t="n"/>
      <c r="F250" s="16" t="n"/>
      <c r="G250" s="52" t="n"/>
      <c r="H250" s="52" t="n"/>
      <c r="I250" s="53">
        <f>N(G250)+N(H250)</f>
        <v/>
      </c>
      <c r="J250" s="16" t="n"/>
      <c r="K250" s="16" t="n"/>
      <c r="L250" s="16" t="n"/>
      <c r="M250" s="16" t="n"/>
      <c r="N250" s="54">
        <f>IF(A250="","",EOMONTH(A250,-1)+1)</f>
        <v/>
      </c>
      <c r="O250" s="22">
        <f>IF(AND(N(A250)&gt;=N(01_Parametres!$B$11),N(A250)&lt;=N(01_Parametres!$B$12)),1,0)</f>
        <v/>
      </c>
      <c r="P250" s="74">
        <f>IF(E250="","",IFERROR(VLOOKUP(E250,02_Plan_Comptable!$A$5:$C$84,3,FALSE),""))</f>
        <v/>
      </c>
      <c r="Q250" s="74">
        <f>IF(F250="","",IFERROR(VLOOKUP(F250,02_Plan_Comptable!$A$5:$C$84,3,FALSE),""))</f>
        <v/>
      </c>
    </row>
    <row r="251">
      <c r="A251" s="51" t="n"/>
      <c r="B251" s="16" t="n"/>
      <c r="C251" s="16" t="n"/>
      <c r="D251" s="16" t="n"/>
      <c r="E251" s="16" t="n"/>
      <c r="F251" s="16" t="n"/>
      <c r="G251" s="52" t="n"/>
      <c r="H251" s="52" t="n"/>
      <c r="I251" s="53">
        <f>N(G251)+N(H251)</f>
        <v/>
      </c>
      <c r="J251" s="16" t="n"/>
      <c r="K251" s="16" t="n"/>
      <c r="L251" s="16" t="n"/>
      <c r="M251" s="16" t="n"/>
      <c r="N251" s="54">
        <f>IF(A251="","",EOMONTH(A251,-1)+1)</f>
        <v/>
      </c>
      <c r="O251" s="22">
        <f>IF(AND(N(A251)&gt;=N(01_Parametres!$B$11),N(A251)&lt;=N(01_Parametres!$B$12)),1,0)</f>
        <v/>
      </c>
      <c r="P251" s="74">
        <f>IF(E251="","",IFERROR(VLOOKUP(E251,02_Plan_Comptable!$A$5:$C$84,3,FALSE),""))</f>
        <v/>
      </c>
      <c r="Q251" s="74">
        <f>IF(F251="","",IFERROR(VLOOKUP(F251,02_Plan_Comptable!$A$5:$C$84,3,FALSE),""))</f>
        <v/>
      </c>
    </row>
    <row r="252">
      <c r="A252" s="51" t="n"/>
      <c r="B252" s="16" t="n"/>
      <c r="C252" s="16" t="n"/>
      <c r="D252" s="16" t="n"/>
      <c r="E252" s="16" t="n"/>
      <c r="F252" s="16" t="n"/>
      <c r="G252" s="52" t="n"/>
      <c r="H252" s="52" t="n"/>
      <c r="I252" s="53">
        <f>N(G252)+N(H252)</f>
        <v/>
      </c>
      <c r="J252" s="16" t="n"/>
      <c r="K252" s="16" t="n"/>
      <c r="L252" s="16" t="n"/>
      <c r="M252" s="16" t="n"/>
      <c r="N252" s="54">
        <f>IF(A252="","",EOMONTH(A252,-1)+1)</f>
        <v/>
      </c>
      <c r="O252" s="22">
        <f>IF(AND(N(A252)&gt;=N(01_Parametres!$B$11),N(A252)&lt;=N(01_Parametres!$B$12)),1,0)</f>
        <v/>
      </c>
      <c r="P252" s="74">
        <f>IF(E252="","",IFERROR(VLOOKUP(E252,02_Plan_Comptable!$A$5:$C$84,3,FALSE),""))</f>
        <v/>
      </c>
      <c r="Q252" s="74">
        <f>IF(F252="","",IFERROR(VLOOKUP(F252,02_Plan_Comptable!$A$5:$C$84,3,FALSE),""))</f>
        <v/>
      </c>
    </row>
    <row r="253">
      <c r="A253" s="51" t="n"/>
      <c r="B253" s="16" t="n"/>
      <c r="C253" s="16" t="n"/>
      <c r="D253" s="16" t="n"/>
      <c r="E253" s="16" t="n"/>
      <c r="F253" s="16" t="n"/>
      <c r="G253" s="52" t="n"/>
      <c r="H253" s="52" t="n"/>
      <c r="I253" s="53">
        <f>N(G253)+N(H253)</f>
        <v/>
      </c>
      <c r="J253" s="16" t="n"/>
      <c r="K253" s="16" t="n"/>
      <c r="L253" s="16" t="n"/>
      <c r="M253" s="16" t="n"/>
      <c r="N253" s="54">
        <f>IF(A253="","",EOMONTH(A253,-1)+1)</f>
        <v/>
      </c>
      <c r="O253" s="22">
        <f>IF(AND(N(A253)&gt;=N(01_Parametres!$B$11),N(A253)&lt;=N(01_Parametres!$B$12)),1,0)</f>
        <v/>
      </c>
      <c r="P253" s="74">
        <f>IF(E253="","",IFERROR(VLOOKUP(E253,02_Plan_Comptable!$A$5:$C$84,3,FALSE),""))</f>
        <v/>
      </c>
      <c r="Q253" s="74">
        <f>IF(F253="","",IFERROR(VLOOKUP(F253,02_Plan_Comptable!$A$5:$C$84,3,FALSE),""))</f>
        <v/>
      </c>
    </row>
    <row r="254">
      <c r="A254" s="51" t="n"/>
      <c r="B254" s="16" t="n"/>
      <c r="C254" s="16" t="n"/>
      <c r="D254" s="16" t="n"/>
      <c r="E254" s="16" t="n"/>
      <c r="F254" s="16" t="n"/>
      <c r="G254" s="52" t="n"/>
      <c r="H254" s="52" t="n"/>
      <c r="I254" s="53">
        <f>N(G254)+N(H254)</f>
        <v/>
      </c>
      <c r="J254" s="16" t="n"/>
      <c r="K254" s="16" t="n"/>
      <c r="L254" s="16" t="n"/>
      <c r="M254" s="16" t="n"/>
      <c r="N254" s="54">
        <f>IF(A254="","",EOMONTH(A254,-1)+1)</f>
        <v/>
      </c>
      <c r="O254" s="22">
        <f>IF(AND(N(A254)&gt;=N(01_Parametres!$B$11),N(A254)&lt;=N(01_Parametres!$B$12)),1,0)</f>
        <v/>
      </c>
      <c r="P254" s="74">
        <f>IF(E254="","",IFERROR(VLOOKUP(E254,02_Plan_Comptable!$A$5:$C$84,3,FALSE),""))</f>
        <v/>
      </c>
      <c r="Q254" s="74">
        <f>IF(F254="","",IFERROR(VLOOKUP(F254,02_Plan_Comptable!$A$5:$C$84,3,FALSE),""))</f>
        <v/>
      </c>
    </row>
    <row r="255">
      <c r="A255" s="51" t="n"/>
      <c r="B255" s="16" t="n"/>
      <c r="C255" s="16" t="n"/>
      <c r="D255" s="16" t="n"/>
      <c r="E255" s="16" t="n"/>
      <c r="F255" s="16" t="n"/>
      <c r="G255" s="52" t="n"/>
      <c r="H255" s="52" t="n"/>
      <c r="I255" s="53">
        <f>N(G255)+N(H255)</f>
        <v/>
      </c>
      <c r="J255" s="16" t="n"/>
      <c r="K255" s="16" t="n"/>
      <c r="L255" s="16" t="n"/>
      <c r="M255" s="16" t="n"/>
      <c r="N255" s="54">
        <f>IF(A255="","",EOMONTH(A255,-1)+1)</f>
        <v/>
      </c>
      <c r="O255" s="22">
        <f>IF(AND(N(A255)&gt;=N(01_Parametres!$B$11),N(A255)&lt;=N(01_Parametres!$B$12)),1,0)</f>
        <v/>
      </c>
      <c r="P255" s="74">
        <f>IF(E255="","",IFERROR(VLOOKUP(E255,02_Plan_Comptable!$A$5:$C$84,3,FALSE),""))</f>
        <v/>
      </c>
      <c r="Q255" s="74">
        <f>IF(F255="","",IFERROR(VLOOKUP(F255,02_Plan_Comptable!$A$5:$C$84,3,FALSE),""))</f>
        <v/>
      </c>
    </row>
    <row r="256">
      <c r="A256" s="51" t="n"/>
      <c r="B256" s="16" t="n"/>
      <c r="C256" s="16" t="n"/>
      <c r="D256" s="16" t="n"/>
      <c r="E256" s="16" t="n"/>
      <c r="F256" s="16" t="n"/>
      <c r="G256" s="52" t="n"/>
      <c r="H256" s="52" t="n"/>
      <c r="I256" s="53">
        <f>N(G256)+N(H256)</f>
        <v/>
      </c>
      <c r="J256" s="16" t="n"/>
      <c r="K256" s="16" t="n"/>
      <c r="L256" s="16" t="n"/>
      <c r="M256" s="16" t="n"/>
      <c r="N256" s="54">
        <f>IF(A256="","",EOMONTH(A256,-1)+1)</f>
        <v/>
      </c>
      <c r="O256" s="22">
        <f>IF(AND(N(A256)&gt;=N(01_Parametres!$B$11),N(A256)&lt;=N(01_Parametres!$B$12)),1,0)</f>
        <v/>
      </c>
      <c r="P256" s="74">
        <f>IF(E256="","",IFERROR(VLOOKUP(E256,02_Plan_Comptable!$A$5:$C$84,3,FALSE),""))</f>
        <v/>
      </c>
      <c r="Q256" s="74">
        <f>IF(F256="","",IFERROR(VLOOKUP(F256,02_Plan_Comptable!$A$5:$C$84,3,FALSE),""))</f>
        <v/>
      </c>
    </row>
    <row r="257">
      <c r="A257" s="51" t="n"/>
      <c r="B257" s="16" t="n"/>
      <c r="C257" s="16" t="n"/>
      <c r="D257" s="16" t="n"/>
      <c r="E257" s="16" t="n"/>
      <c r="F257" s="16" t="n"/>
      <c r="G257" s="52" t="n"/>
      <c r="H257" s="52" t="n"/>
      <c r="I257" s="53">
        <f>N(G257)+N(H257)</f>
        <v/>
      </c>
      <c r="J257" s="16" t="n"/>
      <c r="K257" s="16" t="n"/>
      <c r="L257" s="16" t="n"/>
      <c r="M257" s="16" t="n"/>
      <c r="N257" s="54">
        <f>IF(A257="","",EOMONTH(A257,-1)+1)</f>
        <v/>
      </c>
      <c r="O257" s="22">
        <f>IF(AND(N(A257)&gt;=N(01_Parametres!$B$11),N(A257)&lt;=N(01_Parametres!$B$12)),1,0)</f>
        <v/>
      </c>
      <c r="P257" s="74">
        <f>IF(E257="","",IFERROR(VLOOKUP(E257,02_Plan_Comptable!$A$5:$C$84,3,FALSE),""))</f>
        <v/>
      </c>
      <c r="Q257" s="74">
        <f>IF(F257="","",IFERROR(VLOOKUP(F257,02_Plan_Comptable!$A$5:$C$84,3,FALSE),""))</f>
        <v/>
      </c>
    </row>
    <row r="258">
      <c r="A258" s="51" t="n"/>
      <c r="B258" s="16" t="n"/>
      <c r="C258" s="16" t="n"/>
      <c r="D258" s="16" t="n"/>
      <c r="E258" s="16" t="n"/>
      <c r="F258" s="16" t="n"/>
      <c r="G258" s="52" t="n"/>
      <c r="H258" s="52" t="n"/>
      <c r="I258" s="53">
        <f>N(G258)+N(H258)</f>
        <v/>
      </c>
      <c r="J258" s="16" t="n"/>
      <c r="K258" s="16" t="n"/>
      <c r="L258" s="16" t="n"/>
      <c r="M258" s="16" t="n"/>
      <c r="N258" s="54">
        <f>IF(A258="","",EOMONTH(A258,-1)+1)</f>
        <v/>
      </c>
      <c r="O258" s="22">
        <f>IF(AND(N(A258)&gt;=N(01_Parametres!$B$11),N(A258)&lt;=N(01_Parametres!$B$12)),1,0)</f>
        <v/>
      </c>
      <c r="P258" s="74">
        <f>IF(E258="","",IFERROR(VLOOKUP(E258,02_Plan_Comptable!$A$5:$C$84,3,FALSE),""))</f>
        <v/>
      </c>
      <c r="Q258" s="74">
        <f>IF(F258="","",IFERROR(VLOOKUP(F258,02_Plan_Comptable!$A$5:$C$84,3,FALSE),""))</f>
        <v/>
      </c>
    </row>
    <row r="259">
      <c r="A259" s="51" t="n"/>
      <c r="B259" s="16" t="n"/>
      <c r="C259" s="16" t="n"/>
      <c r="D259" s="16" t="n"/>
      <c r="E259" s="16" t="n"/>
      <c r="F259" s="16" t="n"/>
      <c r="G259" s="52" t="n"/>
      <c r="H259" s="52" t="n"/>
      <c r="I259" s="53">
        <f>N(G259)+N(H259)</f>
        <v/>
      </c>
      <c r="J259" s="16" t="n"/>
      <c r="K259" s="16" t="n"/>
      <c r="L259" s="16" t="n"/>
      <c r="M259" s="16" t="n"/>
      <c r="N259" s="54">
        <f>IF(A259="","",EOMONTH(A259,-1)+1)</f>
        <v/>
      </c>
      <c r="O259" s="22">
        <f>IF(AND(N(A259)&gt;=N(01_Parametres!$B$11),N(A259)&lt;=N(01_Parametres!$B$12)),1,0)</f>
        <v/>
      </c>
      <c r="P259" s="74">
        <f>IF(E259="","",IFERROR(VLOOKUP(E259,02_Plan_Comptable!$A$5:$C$84,3,FALSE),""))</f>
        <v/>
      </c>
      <c r="Q259" s="74">
        <f>IF(F259="","",IFERROR(VLOOKUP(F259,02_Plan_Comptable!$A$5:$C$84,3,FALSE),""))</f>
        <v/>
      </c>
    </row>
    <row r="260">
      <c r="A260" s="51" t="n"/>
      <c r="B260" s="16" t="n"/>
      <c r="C260" s="16" t="n"/>
      <c r="D260" s="16" t="n"/>
      <c r="E260" s="16" t="n"/>
      <c r="F260" s="16" t="n"/>
      <c r="G260" s="52" t="n"/>
      <c r="H260" s="52" t="n"/>
      <c r="I260" s="53">
        <f>N(G260)+N(H260)</f>
        <v/>
      </c>
      <c r="J260" s="16" t="n"/>
      <c r="K260" s="16" t="n"/>
      <c r="L260" s="16" t="n"/>
      <c r="M260" s="16" t="n"/>
      <c r="N260" s="54">
        <f>IF(A260="","",EOMONTH(A260,-1)+1)</f>
        <v/>
      </c>
      <c r="O260" s="22">
        <f>IF(AND(N(A260)&gt;=N(01_Parametres!$B$11),N(A260)&lt;=N(01_Parametres!$B$12)),1,0)</f>
        <v/>
      </c>
      <c r="P260" s="74">
        <f>IF(E260="","",IFERROR(VLOOKUP(E260,02_Plan_Comptable!$A$5:$C$84,3,FALSE),""))</f>
        <v/>
      </c>
      <c r="Q260" s="74">
        <f>IF(F260="","",IFERROR(VLOOKUP(F260,02_Plan_Comptable!$A$5:$C$84,3,FALSE),""))</f>
        <v/>
      </c>
    </row>
    <row r="261">
      <c r="A261" s="51" t="n"/>
      <c r="B261" s="16" t="n"/>
      <c r="C261" s="16" t="n"/>
      <c r="D261" s="16" t="n"/>
      <c r="E261" s="16" t="n"/>
      <c r="F261" s="16" t="n"/>
      <c r="G261" s="52" t="n"/>
      <c r="H261" s="52" t="n"/>
      <c r="I261" s="53">
        <f>N(G261)+N(H261)</f>
        <v/>
      </c>
      <c r="J261" s="16" t="n"/>
      <c r="K261" s="16" t="n"/>
      <c r="L261" s="16" t="n"/>
      <c r="M261" s="16" t="n"/>
      <c r="N261" s="54">
        <f>IF(A261="","",EOMONTH(A261,-1)+1)</f>
        <v/>
      </c>
      <c r="O261" s="22">
        <f>IF(AND(N(A261)&gt;=N(01_Parametres!$B$11),N(A261)&lt;=N(01_Parametres!$B$12)),1,0)</f>
        <v/>
      </c>
      <c r="P261" s="74">
        <f>IF(E261="","",IFERROR(VLOOKUP(E261,02_Plan_Comptable!$A$5:$C$84,3,FALSE),""))</f>
        <v/>
      </c>
      <c r="Q261" s="74">
        <f>IF(F261="","",IFERROR(VLOOKUP(F261,02_Plan_Comptable!$A$5:$C$84,3,FALSE),""))</f>
        <v/>
      </c>
    </row>
    <row r="262">
      <c r="A262" s="51" t="n"/>
      <c r="B262" s="16" t="n"/>
      <c r="C262" s="16" t="n"/>
      <c r="D262" s="16" t="n"/>
      <c r="E262" s="16" t="n"/>
      <c r="F262" s="16" t="n"/>
      <c r="G262" s="52" t="n"/>
      <c r="H262" s="52" t="n"/>
      <c r="I262" s="53">
        <f>N(G262)+N(H262)</f>
        <v/>
      </c>
      <c r="J262" s="16" t="n"/>
      <c r="K262" s="16" t="n"/>
      <c r="L262" s="16" t="n"/>
      <c r="M262" s="16" t="n"/>
      <c r="N262" s="54">
        <f>IF(A262="","",EOMONTH(A262,-1)+1)</f>
        <v/>
      </c>
      <c r="O262" s="22">
        <f>IF(AND(N(A262)&gt;=N(01_Parametres!$B$11),N(A262)&lt;=N(01_Parametres!$B$12)),1,0)</f>
        <v/>
      </c>
      <c r="P262" s="74">
        <f>IF(E262="","",IFERROR(VLOOKUP(E262,02_Plan_Comptable!$A$5:$C$84,3,FALSE),""))</f>
        <v/>
      </c>
      <c r="Q262" s="74">
        <f>IF(F262="","",IFERROR(VLOOKUP(F262,02_Plan_Comptable!$A$5:$C$84,3,FALSE),""))</f>
        <v/>
      </c>
    </row>
    <row r="263">
      <c r="A263" s="51" t="n"/>
      <c r="B263" s="16" t="n"/>
      <c r="C263" s="16" t="n"/>
      <c r="D263" s="16" t="n"/>
      <c r="E263" s="16" t="n"/>
      <c r="F263" s="16" t="n"/>
      <c r="G263" s="52" t="n"/>
      <c r="H263" s="52" t="n"/>
      <c r="I263" s="53">
        <f>N(G263)+N(H263)</f>
        <v/>
      </c>
      <c r="J263" s="16" t="n"/>
      <c r="K263" s="16" t="n"/>
      <c r="L263" s="16" t="n"/>
      <c r="M263" s="16" t="n"/>
      <c r="N263" s="54">
        <f>IF(A263="","",EOMONTH(A263,-1)+1)</f>
        <v/>
      </c>
      <c r="O263" s="22">
        <f>IF(AND(N(A263)&gt;=N(01_Parametres!$B$11),N(A263)&lt;=N(01_Parametres!$B$12)),1,0)</f>
        <v/>
      </c>
      <c r="P263" s="74">
        <f>IF(E263="","",IFERROR(VLOOKUP(E263,02_Plan_Comptable!$A$5:$C$84,3,FALSE),""))</f>
        <v/>
      </c>
      <c r="Q263" s="74">
        <f>IF(F263="","",IFERROR(VLOOKUP(F263,02_Plan_Comptable!$A$5:$C$84,3,FALSE),""))</f>
        <v/>
      </c>
    </row>
    <row r="264">
      <c r="A264" s="51" t="n"/>
      <c r="B264" s="16" t="n"/>
      <c r="C264" s="16" t="n"/>
      <c r="D264" s="16" t="n"/>
      <c r="E264" s="16" t="n"/>
      <c r="F264" s="16" t="n"/>
      <c r="G264" s="52" t="n"/>
      <c r="H264" s="52" t="n"/>
      <c r="I264" s="53">
        <f>N(G264)+N(H264)</f>
        <v/>
      </c>
      <c r="J264" s="16" t="n"/>
      <c r="K264" s="16" t="n"/>
      <c r="L264" s="16" t="n"/>
      <c r="M264" s="16" t="n"/>
      <c r="N264" s="54">
        <f>IF(A264="","",EOMONTH(A264,-1)+1)</f>
        <v/>
      </c>
      <c r="O264" s="22">
        <f>IF(AND(N(A264)&gt;=N(01_Parametres!$B$11),N(A264)&lt;=N(01_Parametres!$B$12)),1,0)</f>
        <v/>
      </c>
      <c r="P264" s="74">
        <f>IF(E264="","",IFERROR(VLOOKUP(E264,02_Plan_Comptable!$A$5:$C$84,3,FALSE),""))</f>
        <v/>
      </c>
      <c r="Q264" s="74">
        <f>IF(F264="","",IFERROR(VLOOKUP(F264,02_Plan_Comptable!$A$5:$C$84,3,FALSE),""))</f>
        <v/>
      </c>
    </row>
    <row r="265">
      <c r="A265" s="51" t="n"/>
      <c r="B265" s="16" t="n"/>
      <c r="C265" s="16" t="n"/>
      <c r="D265" s="16" t="n"/>
      <c r="E265" s="16" t="n"/>
      <c r="F265" s="16" t="n"/>
      <c r="G265" s="52" t="n"/>
      <c r="H265" s="52" t="n"/>
      <c r="I265" s="53">
        <f>N(G265)+N(H265)</f>
        <v/>
      </c>
      <c r="J265" s="16" t="n"/>
      <c r="K265" s="16" t="n"/>
      <c r="L265" s="16" t="n"/>
      <c r="M265" s="16" t="n"/>
      <c r="N265" s="54">
        <f>IF(A265="","",EOMONTH(A265,-1)+1)</f>
        <v/>
      </c>
      <c r="O265" s="22">
        <f>IF(AND(N(A265)&gt;=N(01_Parametres!$B$11),N(A265)&lt;=N(01_Parametres!$B$12)),1,0)</f>
        <v/>
      </c>
      <c r="P265" s="74">
        <f>IF(E265="","",IFERROR(VLOOKUP(E265,02_Plan_Comptable!$A$5:$C$84,3,FALSE),""))</f>
        <v/>
      </c>
      <c r="Q265" s="74">
        <f>IF(F265="","",IFERROR(VLOOKUP(F265,02_Plan_Comptable!$A$5:$C$84,3,FALSE),""))</f>
        <v/>
      </c>
    </row>
    <row r="266">
      <c r="A266" s="51" t="n"/>
      <c r="B266" s="16" t="n"/>
      <c r="C266" s="16" t="n"/>
      <c r="D266" s="16" t="n"/>
      <c r="E266" s="16" t="n"/>
      <c r="F266" s="16" t="n"/>
      <c r="G266" s="52" t="n"/>
      <c r="H266" s="52" t="n"/>
      <c r="I266" s="53">
        <f>N(G266)+N(H266)</f>
        <v/>
      </c>
      <c r="J266" s="16" t="n"/>
      <c r="K266" s="16" t="n"/>
      <c r="L266" s="16" t="n"/>
      <c r="M266" s="16" t="n"/>
      <c r="N266" s="54">
        <f>IF(A266="","",EOMONTH(A266,-1)+1)</f>
        <v/>
      </c>
      <c r="O266" s="22">
        <f>IF(AND(N(A266)&gt;=N(01_Parametres!$B$11),N(A266)&lt;=N(01_Parametres!$B$12)),1,0)</f>
        <v/>
      </c>
      <c r="P266" s="74">
        <f>IF(E266="","",IFERROR(VLOOKUP(E266,02_Plan_Comptable!$A$5:$C$84,3,FALSE),""))</f>
        <v/>
      </c>
      <c r="Q266" s="74">
        <f>IF(F266="","",IFERROR(VLOOKUP(F266,02_Plan_Comptable!$A$5:$C$84,3,FALSE),""))</f>
        <v/>
      </c>
    </row>
    <row r="267">
      <c r="A267" s="51" t="n"/>
      <c r="B267" s="16" t="n"/>
      <c r="C267" s="16" t="n"/>
      <c r="D267" s="16" t="n"/>
      <c r="E267" s="16" t="n"/>
      <c r="F267" s="16" t="n"/>
      <c r="G267" s="52" t="n"/>
      <c r="H267" s="52" t="n"/>
      <c r="I267" s="53">
        <f>N(G267)+N(H267)</f>
        <v/>
      </c>
      <c r="J267" s="16" t="n"/>
      <c r="K267" s="16" t="n"/>
      <c r="L267" s="16" t="n"/>
      <c r="M267" s="16" t="n"/>
      <c r="N267" s="54">
        <f>IF(A267="","",EOMONTH(A267,-1)+1)</f>
        <v/>
      </c>
      <c r="O267" s="22">
        <f>IF(AND(N(A267)&gt;=N(01_Parametres!$B$11),N(A267)&lt;=N(01_Parametres!$B$12)),1,0)</f>
        <v/>
      </c>
      <c r="P267" s="74">
        <f>IF(E267="","",IFERROR(VLOOKUP(E267,02_Plan_Comptable!$A$5:$C$84,3,FALSE),""))</f>
        <v/>
      </c>
      <c r="Q267" s="74">
        <f>IF(F267="","",IFERROR(VLOOKUP(F267,02_Plan_Comptable!$A$5:$C$84,3,FALSE),""))</f>
        <v/>
      </c>
    </row>
    <row r="268">
      <c r="A268" s="51" t="n"/>
      <c r="B268" s="16" t="n"/>
      <c r="C268" s="16" t="n"/>
      <c r="D268" s="16" t="n"/>
      <c r="E268" s="16" t="n"/>
      <c r="F268" s="16" t="n"/>
      <c r="G268" s="52" t="n"/>
      <c r="H268" s="52" t="n"/>
      <c r="I268" s="53">
        <f>N(G268)+N(H268)</f>
        <v/>
      </c>
      <c r="J268" s="16" t="n"/>
      <c r="K268" s="16" t="n"/>
      <c r="L268" s="16" t="n"/>
      <c r="M268" s="16" t="n"/>
      <c r="N268" s="54">
        <f>IF(A268="","",EOMONTH(A268,-1)+1)</f>
        <v/>
      </c>
      <c r="O268" s="22">
        <f>IF(AND(N(A268)&gt;=N(01_Parametres!$B$11),N(A268)&lt;=N(01_Parametres!$B$12)),1,0)</f>
        <v/>
      </c>
      <c r="P268" s="74">
        <f>IF(E268="","",IFERROR(VLOOKUP(E268,02_Plan_Comptable!$A$5:$C$84,3,FALSE),""))</f>
        <v/>
      </c>
      <c r="Q268" s="74">
        <f>IF(F268="","",IFERROR(VLOOKUP(F268,02_Plan_Comptable!$A$5:$C$84,3,FALSE),""))</f>
        <v/>
      </c>
    </row>
    <row r="269">
      <c r="A269" s="51" t="n"/>
      <c r="B269" s="16" t="n"/>
      <c r="C269" s="16" t="n"/>
      <c r="D269" s="16" t="n"/>
      <c r="E269" s="16" t="n"/>
      <c r="F269" s="16" t="n"/>
      <c r="G269" s="52" t="n"/>
      <c r="H269" s="52" t="n"/>
      <c r="I269" s="53">
        <f>N(G269)+N(H269)</f>
        <v/>
      </c>
      <c r="J269" s="16" t="n"/>
      <c r="K269" s="16" t="n"/>
      <c r="L269" s="16" t="n"/>
      <c r="M269" s="16" t="n"/>
      <c r="N269" s="54">
        <f>IF(A269="","",EOMONTH(A269,-1)+1)</f>
        <v/>
      </c>
      <c r="O269" s="22">
        <f>IF(AND(N(A269)&gt;=N(01_Parametres!$B$11),N(A269)&lt;=N(01_Parametres!$B$12)),1,0)</f>
        <v/>
      </c>
      <c r="P269" s="74">
        <f>IF(E269="","",IFERROR(VLOOKUP(E269,02_Plan_Comptable!$A$5:$C$84,3,FALSE),""))</f>
        <v/>
      </c>
      <c r="Q269" s="74">
        <f>IF(F269="","",IFERROR(VLOOKUP(F269,02_Plan_Comptable!$A$5:$C$84,3,FALSE),""))</f>
        <v/>
      </c>
    </row>
    <row r="270">
      <c r="A270" s="51" t="n"/>
      <c r="B270" s="16" t="n"/>
      <c r="C270" s="16" t="n"/>
      <c r="D270" s="16" t="n"/>
      <c r="E270" s="16" t="n"/>
      <c r="F270" s="16" t="n"/>
      <c r="G270" s="52" t="n"/>
      <c r="H270" s="52" t="n"/>
      <c r="I270" s="53">
        <f>N(G270)+N(H270)</f>
        <v/>
      </c>
      <c r="J270" s="16" t="n"/>
      <c r="K270" s="16" t="n"/>
      <c r="L270" s="16" t="n"/>
      <c r="M270" s="16" t="n"/>
      <c r="N270" s="54">
        <f>IF(A270="","",EOMONTH(A270,-1)+1)</f>
        <v/>
      </c>
      <c r="O270" s="22">
        <f>IF(AND(N(A270)&gt;=N(01_Parametres!$B$11),N(A270)&lt;=N(01_Parametres!$B$12)),1,0)</f>
        <v/>
      </c>
      <c r="P270" s="74">
        <f>IF(E270="","",IFERROR(VLOOKUP(E270,02_Plan_Comptable!$A$5:$C$84,3,FALSE),""))</f>
        <v/>
      </c>
      <c r="Q270" s="74">
        <f>IF(F270="","",IFERROR(VLOOKUP(F270,02_Plan_Comptable!$A$5:$C$84,3,FALSE),""))</f>
        <v/>
      </c>
    </row>
    <row r="271">
      <c r="A271" s="51" t="n"/>
      <c r="B271" s="16" t="n"/>
      <c r="C271" s="16" t="n"/>
      <c r="D271" s="16" t="n"/>
      <c r="E271" s="16" t="n"/>
      <c r="F271" s="16" t="n"/>
      <c r="G271" s="52" t="n"/>
      <c r="H271" s="52" t="n"/>
      <c r="I271" s="53">
        <f>N(G271)+N(H271)</f>
        <v/>
      </c>
      <c r="J271" s="16" t="n"/>
      <c r="K271" s="16" t="n"/>
      <c r="L271" s="16" t="n"/>
      <c r="M271" s="16" t="n"/>
      <c r="N271" s="54">
        <f>IF(A271="","",EOMONTH(A271,-1)+1)</f>
        <v/>
      </c>
      <c r="O271" s="22">
        <f>IF(AND(N(A271)&gt;=N(01_Parametres!$B$11),N(A271)&lt;=N(01_Parametres!$B$12)),1,0)</f>
        <v/>
      </c>
      <c r="P271" s="74">
        <f>IF(E271="","",IFERROR(VLOOKUP(E271,02_Plan_Comptable!$A$5:$C$84,3,FALSE),""))</f>
        <v/>
      </c>
      <c r="Q271" s="74">
        <f>IF(F271="","",IFERROR(VLOOKUP(F271,02_Plan_Comptable!$A$5:$C$84,3,FALSE),""))</f>
        <v/>
      </c>
    </row>
    <row r="272">
      <c r="A272" s="51" t="n"/>
      <c r="B272" s="16" t="n"/>
      <c r="C272" s="16" t="n"/>
      <c r="D272" s="16" t="n"/>
      <c r="E272" s="16" t="n"/>
      <c r="F272" s="16" t="n"/>
      <c r="G272" s="52" t="n"/>
      <c r="H272" s="52" t="n"/>
      <c r="I272" s="53">
        <f>N(G272)+N(H272)</f>
        <v/>
      </c>
      <c r="J272" s="16" t="n"/>
      <c r="K272" s="16" t="n"/>
      <c r="L272" s="16" t="n"/>
      <c r="M272" s="16" t="n"/>
      <c r="N272" s="54">
        <f>IF(A272="","",EOMONTH(A272,-1)+1)</f>
        <v/>
      </c>
      <c r="O272" s="22">
        <f>IF(AND(N(A272)&gt;=N(01_Parametres!$B$11),N(A272)&lt;=N(01_Parametres!$B$12)),1,0)</f>
        <v/>
      </c>
      <c r="P272" s="74">
        <f>IF(E272="","",IFERROR(VLOOKUP(E272,02_Plan_Comptable!$A$5:$C$84,3,FALSE),""))</f>
        <v/>
      </c>
      <c r="Q272" s="74">
        <f>IF(F272="","",IFERROR(VLOOKUP(F272,02_Plan_Comptable!$A$5:$C$84,3,FALSE),""))</f>
        <v/>
      </c>
    </row>
    <row r="273">
      <c r="A273" s="51" t="n"/>
      <c r="B273" s="16" t="n"/>
      <c r="C273" s="16" t="n"/>
      <c r="D273" s="16" t="n"/>
      <c r="E273" s="16" t="n"/>
      <c r="F273" s="16" t="n"/>
      <c r="G273" s="52" t="n"/>
      <c r="H273" s="52" t="n"/>
      <c r="I273" s="53">
        <f>N(G273)+N(H273)</f>
        <v/>
      </c>
      <c r="J273" s="16" t="n"/>
      <c r="K273" s="16" t="n"/>
      <c r="L273" s="16" t="n"/>
      <c r="M273" s="16" t="n"/>
      <c r="N273" s="54">
        <f>IF(A273="","",EOMONTH(A273,-1)+1)</f>
        <v/>
      </c>
      <c r="O273" s="22">
        <f>IF(AND(N(A273)&gt;=N(01_Parametres!$B$11),N(A273)&lt;=N(01_Parametres!$B$12)),1,0)</f>
        <v/>
      </c>
      <c r="P273" s="74">
        <f>IF(E273="","",IFERROR(VLOOKUP(E273,02_Plan_Comptable!$A$5:$C$84,3,FALSE),""))</f>
        <v/>
      </c>
      <c r="Q273" s="74">
        <f>IF(F273="","",IFERROR(VLOOKUP(F273,02_Plan_Comptable!$A$5:$C$84,3,FALSE),""))</f>
        <v/>
      </c>
    </row>
    <row r="274">
      <c r="A274" s="51" t="n"/>
      <c r="B274" s="16" t="n"/>
      <c r="C274" s="16" t="n"/>
      <c r="D274" s="16" t="n"/>
      <c r="E274" s="16" t="n"/>
      <c r="F274" s="16" t="n"/>
      <c r="G274" s="52" t="n"/>
      <c r="H274" s="52" t="n"/>
      <c r="I274" s="53">
        <f>N(G274)+N(H274)</f>
        <v/>
      </c>
      <c r="J274" s="16" t="n"/>
      <c r="K274" s="16" t="n"/>
      <c r="L274" s="16" t="n"/>
      <c r="M274" s="16" t="n"/>
      <c r="N274" s="54">
        <f>IF(A274="","",EOMONTH(A274,-1)+1)</f>
        <v/>
      </c>
      <c r="O274" s="22">
        <f>IF(AND(N(A274)&gt;=N(01_Parametres!$B$11),N(A274)&lt;=N(01_Parametres!$B$12)),1,0)</f>
        <v/>
      </c>
      <c r="P274" s="74">
        <f>IF(E274="","",IFERROR(VLOOKUP(E274,02_Plan_Comptable!$A$5:$C$84,3,FALSE),""))</f>
        <v/>
      </c>
      <c r="Q274" s="74">
        <f>IF(F274="","",IFERROR(VLOOKUP(F274,02_Plan_Comptable!$A$5:$C$84,3,FALSE),""))</f>
        <v/>
      </c>
    </row>
    <row r="275">
      <c r="A275" s="51" t="n"/>
      <c r="B275" s="16" t="n"/>
      <c r="C275" s="16" t="n"/>
      <c r="D275" s="16" t="n"/>
      <c r="E275" s="16" t="n"/>
      <c r="F275" s="16" t="n"/>
      <c r="G275" s="52" t="n"/>
      <c r="H275" s="52" t="n"/>
      <c r="I275" s="53">
        <f>N(G275)+N(H275)</f>
        <v/>
      </c>
      <c r="J275" s="16" t="n"/>
      <c r="K275" s="16" t="n"/>
      <c r="L275" s="16" t="n"/>
      <c r="M275" s="16" t="n"/>
      <c r="N275" s="54">
        <f>IF(A275="","",EOMONTH(A275,-1)+1)</f>
        <v/>
      </c>
      <c r="O275" s="22">
        <f>IF(AND(N(A275)&gt;=N(01_Parametres!$B$11),N(A275)&lt;=N(01_Parametres!$B$12)),1,0)</f>
        <v/>
      </c>
      <c r="P275" s="74">
        <f>IF(E275="","",IFERROR(VLOOKUP(E275,02_Plan_Comptable!$A$5:$C$84,3,FALSE),""))</f>
        <v/>
      </c>
      <c r="Q275" s="74">
        <f>IF(F275="","",IFERROR(VLOOKUP(F275,02_Plan_Comptable!$A$5:$C$84,3,FALSE),""))</f>
        <v/>
      </c>
    </row>
    <row r="276">
      <c r="A276" s="51" t="n"/>
      <c r="B276" s="16" t="n"/>
      <c r="C276" s="16" t="n"/>
      <c r="D276" s="16" t="n"/>
      <c r="E276" s="16" t="n"/>
      <c r="F276" s="16" t="n"/>
      <c r="G276" s="52" t="n"/>
      <c r="H276" s="52" t="n"/>
      <c r="I276" s="53">
        <f>N(G276)+N(H276)</f>
        <v/>
      </c>
      <c r="J276" s="16" t="n"/>
      <c r="K276" s="16" t="n"/>
      <c r="L276" s="16" t="n"/>
      <c r="M276" s="16" t="n"/>
      <c r="N276" s="54">
        <f>IF(A276="","",EOMONTH(A276,-1)+1)</f>
        <v/>
      </c>
      <c r="O276" s="22">
        <f>IF(AND(N(A276)&gt;=N(01_Parametres!$B$11),N(A276)&lt;=N(01_Parametres!$B$12)),1,0)</f>
        <v/>
      </c>
      <c r="P276" s="74">
        <f>IF(E276="","",IFERROR(VLOOKUP(E276,02_Plan_Comptable!$A$5:$C$84,3,FALSE),""))</f>
        <v/>
      </c>
      <c r="Q276" s="74">
        <f>IF(F276="","",IFERROR(VLOOKUP(F276,02_Plan_Comptable!$A$5:$C$84,3,FALSE),""))</f>
        <v/>
      </c>
    </row>
    <row r="277">
      <c r="A277" s="51" t="n"/>
      <c r="B277" s="16" t="n"/>
      <c r="C277" s="16" t="n"/>
      <c r="D277" s="16" t="n"/>
      <c r="E277" s="16" t="n"/>
      <c r="F277" s="16" t="n"/>
      <c r="G277" s="52" t="n"/>
      <c r="H277" s="52" t="n"/>
      <c r="I277" s="53">
        <f>N(G277)+N(H277)</f>
        <v/>
      </c>
      <c r="J277" s="16" t="n"/>
      <c r="K277" s="16" t="n"/>
      <c r="L277" s="16" t="n"/>
      <c r="M277" s="16" t="n"/>
      <c r="N277" s="54">
        <f>IF(A277="","",EOMONTH(A277,-1)+1)</f>
        <v/>
      </c>
      <c r="O277" s="22">
        <f>IF(AND(N(A277)&gt;=N(01_Parametres!$B$11),N(A277)&lt;=N(01_Parametres!$B$12)),1,0)</f>
        <v/>
      </c>
      <c r="P277" s="74">
        <f>IF(E277="","",IFERROR(VLOOKUP(E277,02_Plan_Comptable!$A$5:$C$84,3,FALSE),""))</f>
        <v/>
      </c>
      <c r="Q277" s="74">
        <f>IF(F277="","",IFERROR(VLOOKUP(F277,02_Plan_Comptable!$A$5:$C$84,3,FALSE),""))</f>
        <v/>
      </c>
    </row>
    <row r="278">
      <c r="A278" s="51" t="n"/>
      <c r="B278" s="16" t="n"/>
      <c r="C278" s="16" t="n"/>
      <c r="D278" s="16" t="n"/>
      <c r="E278" s="16" t="n"/>
      <c r="F278" s="16" t="n"/>
      <c r="G278" s="52" t="n"/>
      <c r="H278" s="52" t="n"/>
      <c r="I278" s="53">
        <f>N(G278)+N(H278)</f>
        <v/>
      </c>
      <c r="J278" s="16" t="n"/>
      <c r="K278" s="16" t="n"/>
      <c r="L278" s="16" t="n"/>
      <c r="M278" s="16" t="n"/>
      <c r="N278" s="54">
        <f>IF(A278="","",EOMONTH(A278,-1)+1)</f>
        <v/>
      </c>
      <c r="O278" s="22">
        <f>IF(AND(N(A278)&gt;=N(01_Parametres!$B$11),N(A278)&lt;=N(01_Parametres!$B$12)),1,0)</f>
        <v/>
      </c>
      <c r="P278" s="74">
        <f>IF(E278="","",IFERROR(VLOOKUP(E278,02_Plan_Comptable!$A$5:$C$84,3,FALSE),""))</f>
        <v/>
      </c>
      <c r="Q278" s="74">
        <f>IF(F278="","",IFERROR(VLOOKUP(F278,02_Plan_Comptable!$A$5:$C$84,3,FALSE),""))</f>
        <v/>
      </c>
    </row>
    <row r="279">
      <c r="A279" s="51" t="n"/>
      <c r="B279" s="16" t="n"/>
      <c r="C279" s="16" t="n"/>
      <c r="D279" s="16" t="n"/>
      <c r="E279" s="16" t="n"/>
      <c r="F279" s="16" t="n"/>
      <c r="G279" s="52" t="n"/>
      <c r="H279" s="52" t="n"/>
      <c r="I279" s="53">
        <f>N(G279)+N(H279)</f>
        <v/>
      </c>
      <c r="J279" s="16" t="n"/>
      <c r="K279" s="16" t="n"/>
      <c r="L279" s="16" t="n"/>
      <c r="M279" s="16" t="n"/>
      <c r="N279" s="54">
        <f>IF(A279="","",EOMONTH(A279,-1)+1)</f>
        <v/>
      </c>
      <c r="O279" s="22">
        <f>IF(AND(N(A279)&gt;=N(01_Parametres!$B$11),N(A279)&lt;=N(01_Parametres!$B$12)),1,0)</f>
        <v/>
      </c>
      <c r="P279" s="74">
        <f>IF(E279="","",IFERROR(VLOOKUP(E279,02_Plan_Comptable!$A$5:$C$84,3,FALSE),""))</f>
        <v/>
      </c>
      <c r="Q279" s="74">
        <f>IF(F279="","",IFERROR(VLOOKUP(F279,02_Plan_Comptable!$A$5:$C$84,3,FALSE),""))</f>
        <v/>
      </c>
    </row>
    <row r="280">
      <c r="A280" s="51" t="n"/>
      <c r="B280" s="16" t="n"/>
      <c r="C280" s="16" t="n"/>
      <c r="D280" s="16" t="n"/>
      <c r="E280" s="16" t="n"/>
      <c r="F280" s="16" t="n"/>
      <c r="G280" s="52" t="n"/>
      <c r="H280" s="52" t="n"/>
      <c r="I280" s="53">
        <f>N(G280)+N(H280)</f>
        <v/>
      </c>
      <c r="J280" s="16" t="n"/>
      <c r="K280" s="16" t="n"/>
      <c r="L280" s="16" t="n"/>
      <c r="M280" s="16" t="n"/>
      <c r="N280" s="54">
        <f>IF(A280="","",EOMONTH(A280,-1)+1)</f>
        <v/>
      </c>
      <c r="O280" s="22">
        <f>IF(AND(N(A280)&gt;=N(01_Parametres!$B$11),N(A280)&lt;=N(01_Parametres!$B$12)),1,0)</f>
        <v/>
      </c>
      <c r="P280" s="74">
        <f>IF(E280="","",IFERROR(VLOOKUP(E280,02_Plan_Comptable!$A$5:$C$84,3,FALSE),""))</f>
        <v/>
      </c>
      <c r="Q280" s="74">
        <f>IF(F280="","",IFERROR(VLOOKUP(F280,02_Plan_Comptable!$A$5:$C$84,3,FALSE),""))</f>
        <v/>
      </c>
    </row>
    <row r="281">
      <c r="A281" s="51" t="n"/>
      <c r="B281" s="16" t="n"/>
      <c r="C281" s="16" t="n"/>
      <c r="D281" s="16" t="n"/>
      <c r="E281" s="16" t="n"/>
      <c r="F281" s="16" t="n"/>
      <c r="G281" s="52" t="n"/>
      <c r="H281" s="52" t="n"/>
      <c r="I281" s="53">
        <f>N(G281)+N(H281)</f>
        <v/>
      </c>
      <c r="J281" s="16" t="n"/>
      <c r="K281" s="16" t="n"/>
      <c r="L281" s="16" t="n"/>
      <c r="M281" s="16" t="n"/>
      <c r="N281" s="54">
        <f>IF(A281="","",EOMONTH(A281,-1)+1)</f>
        <v/>
      </c>
      <c r="O281" s="22">
        <f>IF(AND(N(A281)&gt;=N(01_Parametres!$B$11),N(A281)&lt;=N(01_Parametres!$B$12)),1,0)</f>
        <v/>
      </c>
      <c r="P281" s="74">
        <f>IF(E281="","",IFERROR(VLOOKUP(E281,02_Plan_Comptable!$A$5:$C$84,3,FALSE),""))</f>
        <v/>
      </c>
      <c r="Q281" s="74">
        <f>IF(F281="","",IFERROR(VLOOKUP(F281,02_Plan_Comptable!$A$5:$C$84,3,FALSE),""))</f>
        <v/>
      </c>
    </row>
    <row r="282">
      <c r="A282" s="51" t="n"/>
      <c r="B282" s="16" t="n"/>
      <c r="C282" s="16" t="n"/>
      <c r="D282" s="16" t="n"/>
      <c r="E282" s="16" t="n"/>
      <c r="F282" s="16" t="n"/>
      <c r="G282" s="52" t="n"/>
      <c r="H282" s="52" t="n"/>
      <c r="I282" s="53">
        <f>N(G282)+N(H282)</f>
        <v/>
      </c>
      <c r="J282" s="16" t="n"/>
      <c r="K282" s="16" t="n"/>
      <c r="L282" s="16" t="n"/>
      <c r="M282" s="16" t="n"/>
      <c r="N282" s="54">
        <f>IF(A282="","",EOMONTH(A282,-1)+1)</f>
        <v/>
      </c>
      <c r="O282" s="22">
        <f>IF(AND(N(A282)&gt;=N(01_Parametres!$B$11),N(A282)&lt;=N(01_Parametres!$B$12)),1,0)</f>
        <v/>
      </c>
      <c r="P282" s="74">
        <f>IF(E282="","",IFERROR(VLOOKUP(E282,02_Plan_Comptable!$A$5:$C$84,3,FALSE),""))</f>
        <v/>
      </c>
      <c r="Q282" s="74">
        <f>IF(F282="","",IFERROR(VLOOKUP(F282,02_Plan_Comptable!$A$5:$C$84,3,FALSE),""))</f>
        <v/>
      </c>
    </row>
    <row r="283">
      <c r="A283" s="51" t="n"/>
      <c r="B283" s="16" t="n"/>
      <c r="C283" s="16" t="n"/>
      <c r="D283" s="16" t="n"/>
      <c r="E283" s="16" t="n"/>
      <c r="F283" s="16" t="n"/>
      <c r="G283" s="52" t="n"/>
      <c r="H283" s="52" t="n"/>
      <c r="I283" s="53">
        <f>N(G283)+N(H283)</f>
        <v/>
      </c>
      <c r="J283" s="16" t="n"/>
      <c r="K283" s="16" t="n"/>
      <c r="L283" s="16" t="n"/>
      <c r="M283" s="16" t="n"/>
      <c r="N283" s="54">
        <f>IF(A283="","",EOMONTH(A283,-1)+1)</f>
        <v/>
      </c>
      <c r="O283" s="22">
        <f>IF(AND(N(A283)&gt;=N(01_Parametres!$B$11),N(A283)&lt;=N(01_Parametres!$B$12)),1,0)</f>
        <v/>
      </c>
      <c r="P283" s="74">
        <f>IF(E283="","",IFERROR(VLOOKUP(E283,02_Plan_Comptable!$A$5:$C$84,3,FALSE),""))</f>
        <v/>
      </c>
      <c r="Q283" s="74">
        <f>IF(F283="","",IFERROR(VLOOKUP(F283,02_Plan_Comptable!$A$5:$C$84,3,FALSE),""))</f>
        <v/>
      </c>
    </row>
    <row r="284">
      <c r="A284" s="51" t="n"/>
      <c r="B284" s="16" t="n"/>
      <c r="C284" s="16" t="n"/>
      <c r="D284" s="16" t="n"/>
      <c r="E284" s="16" t="n"/>
      <c r="F284" s="16" t="n"/>
      <c r="G284" s="52" t="n"/>
      <c r="H284" s="52" t="n"/>
      <c r="I284" s="53">
        <f>N(G284)+N(H284)</f>
        <v/>
      </c>
      <c r="J284" s="16" t="n"/>
      <c r="K284" s="16" t="n"/>
      <c r="L284" s="16" t="n"/>
      <c r="M284" s="16" t="n"/>
      <c r="N284" s="54">
        <f>IF(A284="","",EOMONTH(A284,-1)+1)</f>
        <v/>
      </c>
      <c r="O284" s="22">
        <f>IF(AND(N(A284)&gt;=N(01_Parametres!$B$11),N(A284)&lt;=N(01_Parametres!$B$12)),1,0)</f>
        <v/>
      </c>
      <c r="P284" s="74">
        <f>IF(E284="","",IFERROR(VLOOKUP(E284,02_Plan_Comptable!$A$5:$C$84,3,FALSE),""))</f>
        <v/>
      </c>
      <c r="Q284" s="74">
        <f>IF(F284="","",IFERROR(VLOOKUP(F284,02_Plan_Comptable!$A$5:$C$84,3,FALSE),""))</f>
        <v/>
      </c>
    </row>
    <row r="285">
      <c r="A285" s="51" t="n"/>
      <c r="B285" s="16" t="n"/>
      <c r="C285" s="16" t="n"/>
      <c r="D285" s="16" t="n"/>
      <c r="E285" s="16" t="n"/>
      <c r="F285" s="16" t="n"/>
      <c r="G285" s="52" t="n"/>
      <c r="H285" s="52" t="n"/>
      <c r="I285" s="53">
        <f>N(G285)+N(H285)</f>
        <v/>
      </c>
      <c r="J285" s="16" t="n"/>
      <c r="K285" s="16" t="n"/>
      <c r="L285" s="16" t="n"/>
      <c r="M285" s="16" t="n"/>
      <c r="N285" s="54">
        <f>IF(A285="","",EOMONTH(A285,-1)+1)</f>
        <v/>
      </c>
      <c r="O285" s="22">
        <f>IF(AND(N(A285)&gt;=N(01_Parametres!$B$11),N(A285)&lt;=N(01_Parametres!$B$12)),1,0)</f>
        <v/>
      </c>
      <c r="P285" s="74">
        <f>IF(E285="","",IFERROR(VLOOKUP(E285,02_Plan_Comptable!$A$5:$C$84,3,FALSE),""))</f>
        <v/>
      </c>
      <c r="Q285" s="74">
        <f>IF(F285="","",IFERROR(VLOOKUP(F285,02_Plan_Comptable!$A$5:$C$84,3,FALSE),""))</f>
        <v/>
      </c>
    </row>
    <row r="286">
      <c r="A286" s="51" t="n"/>
      <c r="B286" s="16" t="n"/>
      <c r="C286" s="16" t="n"/>
      <c r="D286" s="16" t="n"/>
      <c r="E286" s="16" t="n"/>
      <c r="F286" s="16" t="n"/>
      <c r="G286" s="52" t="n"/>
      <c r="H286" s="52" t="n"/>
      <c r="I286" s="53">
        <f>N(G286)+N(H286)</f>
        <v/>
      </c>
      <c r="J286" s="16" t="n"/>
      <c r="K286" s="16" t="n"/>
      <c r="L286" s="16" t="n"/>
      <c r="M286" s="16" t="n"/>
      <c r="N286" s="54">
        <f>IF(A286="","",EOMONTH(A286,-1)+1)</f>
        <v/>
      </c>
      <c r="O286" s="22">
        <f>IF(AND(N(A286)&gt;=N(01_Parametres!$B$11),N(A286)&lt;=N(01_Parametres!$B$12)),1,0)</f>
        <v/>
      </c>
      <c r="P286" s="74">
        <f>IF(E286="","",IFERROR(VLOOKUP(E286,02_Plan_Comptable!$A$5:$C$84,3,FALSE),""))</f>
        <v/>
      </c>
      <c r="Q286" s="74">
        <f>IF(F286="","",IFERROR(VLOOKUP(F286,02_Plan_Comptable!$A$5:$C$84,3,FALSE),""))</f>
        <v/>
      </c>
    </row>
    <row r="287">
      <c r="A287" s="51" t="n"/>
      <c r="B287" s="16" t="n"/>
      <c r="C287" s="16" t="n"/>
      <c r="D287" s="16" t="n"/>
      <c r="E287" s="16" t="n"/>
      <c r="F287" s="16" t="n"/>
      <c r="G287" s="52" t="n"/>
      <c r="H287" s="52" t="n"/>
      <c r="I287" s="53">
        <f>N(G287)+N(H287)</f>
        <v/>
      </c>
      <c r="J287" s="16" t="n"/>
      <c r="K287" s="16" t="n"/>
      <c r="L287" s="16" t="n"/>
      <c r="M287" s="16" t="n"/>
      <c r="N287" s="54">
        <f>IF(A287="","",EOMONTH(A287,-1)+1)</f>
        <v/>
      </c>
      <c r="O287" s="22">
        <f>IF(AND(N(A287)&gt;=N(01_Parametres!$B$11),N(A287)&lt;=N(01_Parametres!$B$12)),1,0)</f>
        <v/>
      </c>
      <c r="P287" s="74">
        <f>IF(E287="","",IFERROR(VLOOKUP(E287,02_Plan_Comptable!$A$5:$C$84,3,FALSE),""))</f>
        <v/>
      </c>
      <c r="Q287" s="74">
        <f>IF(F287="","",IFERROR(VLOOKUP(F287,02_Plan_Comptable!$A$5:$C$84,3,FALSE),""))</f>
        <v/>
      </c>
    </row>
    <row r="288">
      <c r="A288" s="51" t="n"/>
      <c r="B288" s="16" t="n"/>
      <c r="C288" s="16" t="n"/>
      <c r="D288" s="16" t="n"/>
      <c r="E288" s="16" t="n"/>
      <c r="F288" s="16" t="n"/>
      <c r="G288" s="52" t="n"/>
      <c r="H288" s="52" t="n"/>
      <c r="I288" s="53">
        <f>N(G288)+N(H288)</f>
        <v/>
      </c>
      <c r="J288" s="16" t="n"/>
      <c r="K288" s="16" t="n"/>
      <c r="L288" s="16" t="n"/>
      <c r="M288" s="16" t="n"/>
      <c r="N288" s="54">
        <f>IF(A288="","",EOMONTH(A288,-1)+1)</f>
        <v/>
      </c>
      <c r="O288" s="22">
        <f>IF(AND(N(A288)&gt;=N(01_Parametres!$B$11),N(A288)&lt;=N(01_Parametres!$B$12)),1,0)</f>
        <v/>
      </c>
      <c r="P288" s="74">
        <f>IF(E288="","",IFERROR(VLOOKUP(E288,02_Plan_Comptable!$A$5:$C$84,3,FALSE),""))</f>
        <v/>
      </c>
      <c r="Q288" s="74">
        <f>IF(F288="","",IFERROR(VLOOKUP(F288,02_Plan_Comptable!$A$5:$C$84,3,FALSE),""))</f>
        <v/>
      </c>
    </row>
    <row r="289">
      <c r="A289" s="51" t="n"/>
      <c r="B289" s="16" t="n"/>
      <c r="C289" s="16" t="n"/>
      <c r="D289" s="16" t="n"/>
      <c r="E289" s="16" t="n"/>
      <c r="F289" s="16" t="n"/>
      <c r="G289" s="52" t="n"/>
      <c r="H289" s="52" t="n"/>
      <c r="I289" s="53">
        <f>N(G289)+N(H289)</f>
        <v/>
      </c>
      <c r="J289" s="16" t="n"/>
      <c r="K289" s="16" t="n"/>
      <c r="L289" s="16" t="n"/>
      <c r="M289" s="16" t="n"/>
      <c r="N289" s="54">
        <f>IF(A289="","",EOMONTH(A289,-1)+1)</f>
        <v/>
      </c>
      <c r="O289" s="22">
        <f>IF(AND(N(A289)&gt;=N(01_Parametres!$B$11),N(A289)&lt;=N(01_Parametres!$B$12)),1,0)</f>
        <v/>
      </c>
      <c r="P289" s="74">
        <f>IF(E289="","",IFERROR(VLOOKUP(E289,02_Plan_Comptable!$A$5:$C$84,3,FALSE),""))</f>
        <v/>
      </c>
      <c r="Q289" s="74">
        <f>IF(F289="","",IFERROR(VLOOKUP(F289,02_Plan_Comptable!$A$5:$C$84,3,FALSE),""))</f>
        <v/>
      </c>
    </row>
    <row r="290">
      <c r="A290" s="51" t="n"/>
      <c r="B290" s="16" t="n"/>
      <c r="C290" s="16" t="n"/>
      <c r="D290" s="16" t="n"/>
      <c r="E290" s="16" t="n"/>
      <c r="F290" s="16" t="n"/>
      <c r="G290" s="52" t="n"/>
      <c r="H290" s="52" t="n"/>
      <c r="I290" s="53">
        <f>N(G290)+N(H290)</f>
        <v/>
      </c>
      <c r="J290" s="16" t="n"/>
      <c r="K290" s="16" t="n"/>
      <c r="L290" s="16" t="n"/>
      <c r="M290" s="16" t="n"/>
      <c r="N290" s="54">
        <f>IF(A290="","",EOMONTH(A290,-1)+1)</f>
        <v/>
      </c>
      <c r="O290" s="22">
        <f>IF(AND(N(A290)&gt;=N(01_Parametres!$B$11),N(A290)&lt;=N(01_Parametres!$B$12)),1,0)</f>
        <v/>
      </c>
      <c r="P290" s="74">
        <f>IF(E290="","",IFERROR(VLOOKUP(E290,02_Plan_Comptable!$A$5:$C$84,3,FALSE),""))</f>
        <v/>
      </c>
      <c r="Q290" s="74">
        <f>IF(F290="","",IFERROR(VLOOKUP(F290,02_Plan_Comptable!$A$5:$C$84,3,FALSE),""))</f>
        <v/>
      </c>
    </row>
    <row r="291">
      <c r="A291" s="51" t="n"/>
      <c r="B291" s="16" t="n"/>
      <c r="C291" s="16" t="n"/>
      <c r="D291" s="16" t="n"/>
      <c r="E291" s="16" t="n"/>
      <c r="F291" s="16" t="n"/>
      <c r="G291" s="52" t="n"/>
      <c r="H291" s="52" t="n"/>
      <c r="I291" s="53">
        <f>N(G291)+N(H291)</f>
        <v/>
      </c>
      <c r="J291" s="16" t="n"/>
      <c r="K291" s="16" t="n"/>
      <c r="L291" s="16" t="n"/>
      <c r="M291" s="16" t="n"/>
      <c r="N291" s="54">
        <f>IF(A291="","",EOMONTH(A291,-1)+1)</f>
        <v/>
      </c>
      <c r="O291" s="22">
        <f>IF(AND(N(A291)&gt;=N(01_Parametres!$B$11),N(A291)&lt;=N(01_Parametres!$B$12)),1,0)</f>
        <v/>
      </c>
      <c r="P291" s="74">
        <f>IF(E291="","",IFERROR(VLOOKUP(E291,02_Plan_Comptable!$A$5:$C$84,3,FALSE),""))</f>
        <v/>
      </c>
      <c r="Q291" s="74">
        <f>IF(F291="","",IFERROR(VLOOKUP(F291,02_Plan_Comptable!$A$5:$C$84,3,FALSE),""))</f>
        <v/>
      </c>
    </row>
    <row r="292">
      <c r="A292" s="51" t="n"/>
      <c r="B292" s="16" t="n"/>
      <c r="C292" s="16" t="n"/>
      <c r="D292" s="16" t="n"/>
      <c r="E292" s="16" t="n"/>
      <c r="F292" s="16" t="n"/>
      <c r="G292" s="52" t="n"/>
      <c r="H292" s="52" t="n"/>
      <c r="I292" s="53">
        <f>N(G292)+N(H292)</f>
        <v/>
      </c>
      <c r="J292" s="16" t="n"/>
      <c r="K292" s="16" t="n"/>
      <c r="L292" s="16" t="n"/>
      <c r="M292" s="16" t="n"/>
      <c r="N292" s="54">
        <f>IF(A292="","",EOMONTH(A292,-1)+1)</f>
        <v/>
      </c>
      <c r="O292" s="22">
        <f>IF(AND(N(A292)&gt;=N(01_Parametres!$B$11),N(A292)&lt;=N(01_Parametres!$B$12)),1,0)</f>
        <v/>
      </c>
      <c r="P292" s="74">
        <f>IF(E292="","",IFERROR(VLOOKUP(E292,02_Plan_Comptable!$A$5:$C$84,3,FALSE),""))</f>
        <v/>
      </c>
      <c r="Q292" s="74">
        <f>IF(F292="","",IFERROR(VLOOKUP(F292,02_Plan_Comptable!$A$5:$C$84,3,FALSE),""))</f>
        <v/>
      </c>
    </row>
    <row r="293">
      <c r="A293" s="51" t="n"/>
      <c r="B293" s="16" t="n"/>
      <c r="C293" s="16" t="n"/>
      <c r="D293" s="16" t="n"/>
      <c r="E293" s="16" t="n"/>
      <c r="F293" s="16" t="n"/>
      <c r="G293" s="52" t="n"/>
      <c r="H293" s="52" t="n"/>
      <c r="I293" s="53">
        <f>N(G293)+N(H293)</f>
        <v/>
      </c>
      <c r="J293" s="16" t="n"/>
      <c r="K293" s="16" t="n"/>
      <c r="L293" s="16" t="n"/>
      <c r="M293" s="16" t="n"/>
      <c r="N293" s="54">
        <f>IF(A293="","",EOMONTH(A293,-1)+1)</f>
        <v/>
      </c>
      <c r="O293" s="22">
        <f>IF(AND(N(A293)&gt;=N(01_Parametres!$B$11),N(A293)&lt;=N(01_Parametres!$B$12)),1,0)</f>
        <v/>
      </c>
      <c r="P293" s="74">
        <f>IF(E293="","",IFERROR(VLOOKUP(E293,02_Plan_Comptable!$A$5:$C$84,3,FALSE),""))</f>
        <v/>
      </c>
      <c r="Q293" s="74">
        <f>IF(F293="","",IFERROR(VLOOKUP(F293,02_Plan_Comptable!$A$5:$C$84,3,FALSE),""))</f>
        <v/>
      </c>
    </row>
    <row r="294">
      <c r="A294" s="51" t="n"/>
      <c r="B294" s="16" t="n"/>
      <c r="C294" s="16" t="n"/>
      <c r="D294" s="16" t="n"/>
      <c r="E294" s="16" t="n"/>
      <c r="F294" s="16" t="n"/>
      <c r="G294" s="52" t="n"/>
      <c r="H294" s="52" t="n"/>
      <c r="I294" s="53">
        <f>N(G294)+N(H294)</f>
        <v/>
      </c>
      <c r="J294" s="16" t="n"/>
      <c r="K294" s="16" t="n"/>
      <c r="L294" s="16" t="n"/>
      <c r="M294" s="16" t="n"/>
      <c r="N294" s="54">
        <f>IF(A294="","",EOMONTH(A294,-1)+1)</f>
        <v/>
      </c>
      <c r="O294" s="22">
        <f>IF(AND(N(A294)&gt;=N(01_Parametres!$B$11),N(A294)&lt;=N(01_Parametres!$B$12)),1,0)</f>
        <v/>
      </c>
      <c r="P294" s="74">
        <f>IF(E294="","",IFERROR(VLOOKUP(E294,02_Plan_Comptable!$A$5:$C$84,3,FALSE),""))</f>
        <v/>
      </c>
      <c r="Q294" s="74">
        <f>IF(F294="","",IFERROR(VLOOKUP(F294,02_Plan_Comptable!$A$5:$C$84,3,FALSE),""))</f>
        <v/>
      </c>
    </row>
    <row r="295">
      <c r="A295" s="51" t="n"/>
      <c r="B295" s="16" t="n"/>
      <c r="C295" s="16" t="n"/>
      <c r="D295" s="16" t="n"/>
      <c r="E295" s="16" t="n"/>
      <c r="F295" s="16" t="n"/>
      <c r="G295" s="52" t="n"/>
      <c r="H295" s="52" t="n"/>
      <c r="I295" s="53">
        <f>N(G295)+N(H295)</f>
        <v/>
      </c>
      <c r="J295" s="16" t="n"/>
      <c r="K295" s="16" t="n"/>
      <c r="L295" s="16" t="n"/>
      <c r="M295" s="16" t="n"/>
      <c r="N295" s="54">
        <f>IF(A295="","",EOMONTH(A295,-1)+1)</f>
        <v/>
      </c>
      <c r="O295" s="22">
        <f>IF(AND(N(A295)&gt;=N(01_Parametres!$B$11),N(A295)&lt;=N(01_Parametres!$B$12)),1,0)</f>
        <v/>
      </c>
      <c r="P295" s="74">
        <f>IF(E295="","",IFERROR(VLOOKUP(E295,02_Plan_Comptable!$A$5:$C$84,3,FALSE),""))</f>
        <v/>
      </c>
      <c r="Q295" s="74">
        <f>IF(F295="","",IFERROR(VLOOKUP(F295,02_Plan_Comptable!$A$5:$C$84,3,FALSE),""))</f>
        <v/>
      </c>
    </row>
    <row r="296">
      <c r="A296" s="51" t="n"/>
      <c r="B296" s="16" t="n"/>
      <c r="C296" s="16" t="n"/>
      <c r="D296" s="16" t="n"/>
      <c r="E296" s="16" t="n"/>
      <c r="F296" s="16" t="n"/>
      <c r="G296" s="52" t="n"/>
      <c r="H296" s="52" t="n"/>
      <c r="I296" s="53">
        <f>N(G296)+N(H296)</f>
        <v/>
      </c>
      <c r="J296" s="16" t="n"/>
      <c r="K296" s="16" t="n"/>
      <c r="L296" s="16" t="n"/>
      <c r="M296" s="16" t="n"/>
      <c r="N296" s="54">
        <f>IF(A296="","",EOMONTH(A296,-1)+1)</f>
        <v/>
      </c>
      <c r="O296" s="22">
        <f>IF(AND(N(A296)&gt;=N(01_Parametres!$B$11),N(A296)&lt;=N(01_Parametres!$B$12)),1,0)</f>
        <v/>
      </c>
      <c r="P296" s="74">
        <f>IF(E296="","",IFERROR(VLOOKUP(E296,02_Plan_Comptable!$A$5:$C$84,3,FALSE),""))</f>
        <v/>
      </c>
      <c r="Q296" s="74">
        <f>IF(F296="","",IFERROR(VLOOKUP(F296,02_Plan_Comptable!$A$5:$C$84,3,FALSE),""))</f>
        <v/>
      </c>
    </row>
    <row r="297">
      <c r="A297" s="51" t="n"/>
      <c r="B297" s="16" t="n"/>
      <c r="C297" s="16" t="n"/>
      <c r="D297" s="16" t="n"/>
      <c r="E297" s="16" t="n"/>
      <c r="F297" s="16" t="n"/>
      <c r="G297" s="52" t="n"/>
      <c r="H297" s="52" t="n"/>
      <c r="I297" s="53">
        <f>N(G297)+N(H297)</f>
        <v/>
      </c>
      <c r="J297" s="16" t="n"/>
      <c r="K297" s="16" t="n"/>
      <c r="L297" s="16" t="n"/>
      <c r="M297" s="16" t="n"/>
      <c r="N297" s="54">
        <f>IF(A297="","",EOMONTH(A297,-1)+1)</f>
        <v/>
      </c>
      <c r="O297" s="22">
        <f>IF(AND(N(A297)&gt;=N(01_Parametres!$B$11),N(A297)&lt;=N(01_Parametres!$B$12)),1,0)</f>
        <v/>
      </c>
      <c r="P297" s="74">
        <f>IF(E297="","",IFERROR(VLOOKUP(E297,02_Plan_Comptable!$A$5:$C$84,3,FALSE),""))</f>
        <v/>
      </c>
      <c r="Q297" s="74">
        <f>IF(F297="","",IFERROR(VLOOKUP(F297,02_Plan_Comptable!$A$5:$C$84,3,FALSE),""))</f>
        <v/>
      </c>
    </row>
    <row r="298">
      <c r="A298" s="51" t="n"/>
      <c r="B298" s="16" t="n"/>
      <c r="C298" s="16" t="n"/>
      <c r="D298" s="16" t="n"/>
      <c r="E298" s="16" t="n"/>
      <c r="F298" s="16" t="n"/>
      <c r="G298" s="52" t="n"/>
      <c r="H298" s="52" t="n"/>
      <c r="I298" s="53">
        <f>N(G298)+N(H298)</f>
        <v/>
      </c>
      <c r="J298" s="16" t="n"/>
      <c r="K298" s="16" t="n"/>
      <c r="L298" s="16" t="n"/>
      <c r="M298" s="16" t="n"/>
      <c r="N298" s="54">
        <f>IF(A298="","",EOMONTH(A298,-1)+1)</f>
        <v/>
      </c>
      <c r="O298" s="22">
        <f>IF(AND(N(A298)&gt;=N(01_Parametres!$B$11),N(A298)&lt;=N(01_Parametres!$B$12)),1,0)</f>
        <v/>
      </c>
      <c r="P298" s="74">
        <f>IF(E298="","",IFERROR(VLOOKUP(E298,02_Plan_Comptable!$A$5:$C$84,3,FALSE),""))</f>
        <v/>
      </c>
      <c r="Q298" s="74">
        <f>IF(F298="","",IFERROR(VLOOKUP(F298,02_Plan_Comptable!$A$5:$C$84,3,FALSE),""))</f>
        <v/>
      </c>
    </row>
    <row r="299">
      <c r="A299" s="51" t="n"/>
      <c r="B299" s="16" t="n"/>
      <c r="C299" s="16" t="n"/>
      <c r="D299" s="16" t="n"/>
      <c r="E299" s="16" t="n"/>
      <c r="F299" s="16" t="n"/>
      <c r="G299" s="52" t="n"/>
      <c r="H299" s="52" t="n"/>
      <c r="I299" s="53">
        <f>N(G299)+N(H299)</f>
        <v/>
      </c>
      <c r="J299" s="16" t="n"/>
      <c r="K299" s="16" t="n"/>
      <c r="L299" s="16" t="n"/>
      <c r="M299" s="16" t="n"/>
      <c r="N299" s="54">
        <f>IF(A299="","",EOMONTH(A299,-1)+1)</f>
        <v/>
      </c>
      <c r="O299" s="22">
        <f>IF(AND(N(A299)&gt;=N(01_Parametres!$B$11),N(A299)&lt;=N(01_Parametres!$B$12)),1,0)</f>
        <v/>
      </c>
      <c r="P299" s="74">
        <f>IF(E299="","",IFERROR(VLOOKUP(E299,02_Plan_Comptable!$A$5:$C$84,3,FALSE),""))</f>
        <v/>
      </c>
      <c r="Q299" s="74">
        <f>IF(F299="","",IFERROR(VLOOKUP(F299,02_Plan_Comptable!$A$5:$C$84,3,FALSE),""))</f>
        <v/>
      </c>
    </row>
    <row r="300">
      <c r="A300" s="51" t="n"/>
      <c r="B300" s="16" t="n"/>
      <c r="C300" s="16" t="n"/>
      <c r="D300" s="16" t="n"/>
      <c r="E300" s="16" t="n"/>
      <c r="F300" s="16" t="n"/>
      <c r="G300" s="52" t="n"/>
      <c r="H300" s="52" t="n"/>
      <c r="I300" s="53">
        <f>N(G300)+N(H300)</f>
        <v/>
      </c>
      <c r="J300" s="16" t="n"/>
      <c r="K300" s="16" t="n"/>
      <c r="L300" s="16" t="n"/>
      <c r="M300" s="16" t="n"/>
      <c r="N300" s="54">
        <f>IF(A300="","",EOMONTH(A300,-1)+1)</f>
        <v/>
      </c>
      <c r="O300" s="22">
        <f>IF(AND(N(A300)&gt;=N(01_Parametres!$B$11),N(A300)&lt;=N(01_Parametres!$B$12)),1,0)</f>
        <v/>
      </c>
      <c r="P300" s="74">
        <f>IF(E300="","",IFERROR(VLOOKUP(E300,02_Plan_Comptable!$A$5:$C$84,3,FALSE),""))</f>
        <v/>
      </c>
      <c r="Q300" s="74">
        <f>IF(F300="","",IFERROR(VLOOKUP(F300,02_Plan_Comptable!$A$5:$C$84,3,FALSE),""))</f>
        <v/>
      </c>
    </row>
    <row r="301">
      <c r="A301" s="51" t="n"/>
      <c r="B301" s="16" t="n"/>
      <c r="C301" s="16" t="n"/>
      <c r="D301" s="16" t="n"/>
      <c r="E301" s="16" t="n"/>
      <c r="F301" s="16" t="n"/>
      <c r="G301" s="52" t="n"/>
      <c r="H301" s="52" t="n"/>
      <c r="I301" s="53">
        <f>N(G301)+N(H301)</f>
        <v/>
      </c>
      <c r="J301" s="16" t="n"/>
      <c r="K301" s="16" t="n"/>
      <c r="L301" s="16" t="n"/>
      <c r="M301" s="16" t="n"/>
      <c r="N301" s="54">
        <f>IF(A301="","",EOMONTH(A301,-1)+1)</f>
        <v/>
      </c>
      <c r="O301" s="22">
        <f>IF(AND(N(A301)&gt;=N(01_Parametres!$B$11),N(A301)&lt;=N(01_Parametres!$B$12)),1,0)</f>
        <v/>
      </c>
      <c r="P301" s="74">
        <f>IF(E301="","",IFERROR(VLOOKUP(E301,02_Plan_Comptable!$A$5:$C$84,3,FALSE),""))</f>
        <v/>
      </c>
      <c r="Q301" s="74">
        <f>IF(F301="","",IFERROR(VLOOKUP(F301,02_Plan_Comptable!$A$5:$C$84,3,FALSE),""))</f>
        <v/>
      </c>
    </row>
    <row r="302">
      <c r="A302" s="51" t="n"/>
      <c r="B302" s="16" t="n"/>
      <c r="C302" s="16" t="n"/>
      <c r="D302" s="16" t="n"/>
      <c r="E302" s="16" t="n"/>
      <c r="F302" s="16" t="n"/>
      <c r="G302" s="52" t="n"/>
      <c r="H302" s="52" t="n"/>
      <c r="I302" s="53">
        <f>N(G302)+N(H302)</f>
        <v/>
      </c>
      <c r="J302" s="16" t="n"/>
      <c r="K302" s="16" t="n"/>
      <c r="L302" s="16" t="n"/>
      <c r="M302" s="16" t="n"/>
      <c r="N302" s="54">
        <f>IF(A302="","",EOMONTH(A302,-1)+1)</f>
        <v/>
      </c>
      <c r="O302" s="22">
        <f>IF(AND(N(A302)&gt;=N(01_Parametres!$B$11),N(A302)&lt;=N(01_Parametres!$B$12)),1,0)</f>
        <v/>
      </c>
      <c r="P302" s="74">
        <f>IF(E302="","",IFERROR(VLOOKUP(E302,02_Plan_Comptable!$A$5:$C$84,3,FALSE),""))</f>
        <v/>
      </c>
      <c r="Q302" s="74">
        <f>IF(F302="","",IFERROR(VLOOKUP(F302,02_Plan_Comptable!$A$5:$C$84,3,FALSE),""))</f>
        <v/>
      </c>
    </row>
    <row r="303">
      <c r="A303" s="51" t="n"/>
      <c r="B303" s="16" t="n"/>
      <c r="C303" s="16" t="n"/>
      <c r="D303" s="16" t="n"/>
      <c r="E303" s="16" t="n"/>
      <c r="F303" s="16" t="n"/>
      <c r="G303" s="52" t="n"/>
      <c r="H303" s="52" t="n"/>
      <c r="I303" s="53">
        <f>N(G303)+N(H303)</f>
        <v/>
      </c>
      <c r="J303" s="16" t="n"/>
      <c r="K303" s="16" t="n"/>
      <c r="L303" s="16" t="n"/>
      <c r="M303" s="16" t="n"/>
      <c r="N303" s="54">
        <f>IF(A303="","",EOMONTH(A303,-1)+1)</f>
        <v/>
      </c>
      <c r="O303" s="22">
        <f>IF(AND(N(A303)&gt;=N(01_Parametres!$B$11),N(A303)&lt;=N(01_Parametres!$B$12)),1,0)</f>
        <v/>
      </c>
      <c r="P303" s="74">
        <f>IF(E303="","",IFERROR(VLOOKUP(E303,02_Plan_Comptable!$A$5:$C$84,3,FALSE),""))</f>
        <v/>
      </c>
      <c r="Q303" s="74">
        <f>IF(F303="","",IFERROR(VLOOKUP(F303,02_Plan_Comptable!$A$5:$C$84,3,FALSE),""))</f>
        <v/>
      </c>
    </row>
    <row r="304">
      <c r="A304" s="51" t="n"/>
      <c r="B304" s="16" t="n"/>
      <c r="C304" s="16" t="n"/>
      <c r="D304" s="16" t="n"/>
      <c r="E304" s="16" t="n"/>
      <c r="F304" s="16" t="n"/>
      <c r="G304" s="52" t="n"/>
      <c r="H304" s="52" t="n"/>
      <c r="I304" s="53">
        <f>N(G304)+N(H304)</f>
        <v/>
      </c>
      <c r="J304" s="16" t="n"/>
      <c r="K304" s="16" t="n"/>
      <c r="L304" s="16" t="n"/>
      <c r="M304" s="16" t="n"/>
      <c r="N304" s="54">
        <f>IF(A304="","",EOMONTH(A304,-1)+1)</f>
        <v/>
      </c>
      <c r="O304" s="22">
        <f>IF(AND(N(A304)&gt;=N(01_Parametres!$B$11),N(A304)&lt;=N(01_Parametres!$B$12)),1,0)</f>
        <v/>
      </c>
      <c r="P304" s="74">
        <f>IF(E304="","",IFERROR(VLOOKUP(E304,02_Plan_Comptable!$A$5:$C$84,3,FALSE),""))</f>
        <v/>
      </c>
      <c r="Q304" s="74">
        <f>IF(F304="","",IFERROR(VLOOKUP(F304,02_Plan_Comptable!$A$5:$C$84,3,FALSE),""))</f>
        <v/>
      </c>
    </row>
    <row r="305">
      <c r="A305" s="51" t="n"/>
      <c r="B305" s="16" t="n"/>
      <c r="C305" s="16" t="n"/>
      <c r="D305" s="16" t="n"/>
      <c r="E305" s="16" t="n"/>
      <c r="F305" s="16" t="n"/>
      <c r="G305" s="52" t="n"/>
      <c r="H305" s="52" t="n"/>
      <c r="I305" s="53">
        <f>N(G305)+N(H305)</f>
        <v/>
      </c>
      <c r="J305" s="16" t="n"/>
      <c r="K305" s="16" t="n"/>
      <c r="L305" s="16" t="n"/>
      <c r="M305" s="16" t="n"/>
      <c r="N305" s="54">
        <f>IF(A305="","",EOMONTH(A305,-1)+1)</f>
        <v/>
      </c>
      <c r="O305" s="22">
        <f>IF(AND(N(A305)&gt;=N(01_Parametres!$B$11),N(A305)&lt;=N(01_Parametres!$B$12)),1,0)</f>
        <v/>
      </c>
      <c r="P305" s="74">
        <f>IF(E305="","",IFERROR(VLOOKUP(E305,02_Plan_Comptable!$A$5:$C$84,3,FALSE),""))</f>
        <v/>
      </c>
      <c r="Q305" s="74">
        <f>IF(F305="","",IFERROR(VLOOKUP(F305,02_Plan_Comptable!$A$5:$C$84,3,FALSE),""))</f>
        <v/>
      </c>
    </row>
    <row r="306">
      <c r="A306" s="51" t="n"/>
      <c r="B306" s="16" t="n"/>
      <c r="C306" s="16" t="n"/>
      <c r="D306" s="16" t="n"/>
      <c r="E306" s="16" t="n"/>
      <c r="F306" s="16" t="n"/>
      <c r="G306" s="52" t="n"/>
      <c r="H306" s="52" t="n"/>
      <c r="I306" s="53">
        <f>N(G306)+N(H306)</f>
        <v/>
      </c>
      <c r="J306" s="16" t="n"/>
      <c r="K306" s="16" t="n"/>
      <c r="L306" s="16" t="n"/>
      <c r="M306" s="16" t="n"/>
      <c r="N306" s="54">
        <f>IF(A306="","",EOMONTH(A306,-1)+1)</f>
        <v/>
      </c>
      <c r="O306" s="22">
        <f>IF(AND(N(A306)&gt;=N(01_Parametres!$B$11),N(A306)&lt;=N(01_Parametres!$B$12)),1,0)</f>
        <v/>
      </c>
      <c r="P306" s="74">
        <f>IF(E306="","",IFERROR(VLOOKUP(E306,02_Plan_Comptable!$A$5:$C$84,3,FALSE),""))</f>
        <v/>
      </c>
      <c r="Q306" s="74">
        <f>IF(F306="","",IFERROR(VLOOKUP(F306,02_Plan_Comptable!$A$5:$C$84,3,FALSE),""))</f>
        <v/>
      </c>
    </row>
    <row r="307">
      <c r="A307" s="51" t="n"/>
      <c r="B307" s="16" t="n"/>
      <c r="C307" s="16" t="n"/>
      <c r="D307" s="16" t="n"/>
      <c r="E307" s="16" t="n"/>
      <c r="F307" s="16" t="n"/>
      <c r="G307" s="52" t="n"/>
      <c r="H307" s="52" t="n"/>
      <c r="I307" s="53">
        <f>N(G307)+N(H307)</f>
        <v/>
      </c>
      <c r="J307" s="16" t="n"/>
      <c r="K307" s="16" t="n"/>
      <c r="L307" s="16" t="n"/>
      <c r="M307" s="16" t="n"/>
      <c r="N307" s="54">
        <f>IF(A307="","",EOMONTH(A307,-1)+1)</f>
        <v/>
      </c>
      <c r="O307" s="22">
        <f>IF(AND(N(A307)&gt;=N(01_Parametres!$B$11),N(A307)&lt;=N(01_Parametres!$B$12)),1,0)</f>
        <v/>
      </c>
      <c r="P307" s="74">
        <f>IF(E307="","",IFERROR(VLOOKUP(E307,02_Plan_Comptable!$A$5:$C$84,3,FALSE),""))</f>
        <v/>
      </c>
      <c r="Q307" s="74">
        <f>IF(F307="","",IFERROR(VLOOKUP(F307,02_Plan_Comptable!$A$5:$C$84,3,FALSE),""))</f>
        <v/>
      </c>
    </row>
    <row r="308">
      <c r="A308" s="51" t="n"/>
      <c r="B308" s="16" t="n"/>
      <c r="C308" s="16" t="n"/>
      <c r="D308" s="16" t="n"/>
      <c r="E308" s="16" t="n"/>
      <c r="F308" s="16" t="n"/>
      <c r="G308" s="52" t="n"/>
      <c r="H308" s="52" t="n"/>
      <c r="I308" s="53">
        <f>N(G308)+N(H308)</f>
        <v/>
      </c>
      <c r="J308" s="16" t="n"/>
      <c r="K308" s="16" t="n"/>
      <c r="L308" s="16" t="n"/>
      <c r="M308" s="16" t="n"/>
      <c r="N308" s="54">
        <f>IF(A308="","",EOMONTH(A308,-1)+1)</f>
        <v/>
      </c>
      <c r="O308" s="22">
        <f>IF(AND(N(A308)&gt;=N(01_Parametres!$B$11),N(A308)&lt;=N(01_Parametres!$B$12)),1,0)</f>
        <v/>
      </c>
      <c r="P308" s="74">
        <f>IF(E308="","",IFERROR(VLOOKUP(E308,02_Plan_Comptable!$A$5:$C$84,3,FALSE),""))</f>
        <v/>
      </c>
      <c r="Q308" s="74">
        <f>IF(F308="","",IFERROR(VLOOKUP(F308,02_Plan_Comptable!$A$5:$C$84,3,FALSE),""))</f>
        <v/>
      </c>
    </row>
    <row r="309">
      <c r="A309" s="51" t="n"/>
      <c r="B309" s="16" t="n"/>
      <c r="C309" s="16" t="n"/>
      <c r="D309" s="16" t="n"/>
      <c r="E309" s="16" t="n"/>
      <c r="F309" s="16" t="n"/>
      <c r="G309" s="52" t="n"/>
      <c r="H309" s="52" t="n"/>
      <c r="I309" s="53">
        <f>N(G309)+N(H309)</f>
        <v/>
      </c>
      <c r="J309" s="16" t="n"/>
      <c r="K309" s="16" t="n"/>
      <c r="L309" s="16" t="n"/>
      <c r="M309" s="16" t="n"/>
      <c r="N309" s="54">
        <f>IF(A309="","",EOMONTH(A309,-1)+1)</f>
        <v/>
      </c>
      <c r="O309" s="22">
        <f>IF(AND(N(A309)&gt;=N(01_Parametres!$B$11),N(A309)&lt;=N(01_Parametres!$B$12)),1,0)</f>
        <v/>
      </c>
      <c r="P309" s="74">
        <f>IF(E309="","",IFERROR(VLOOKUP(E309,02_Plan_Comptable!$A$5:$C$84,3,FALSE),""))</f>
        <v/>
      </c>
      <c r="Q309" s="74">
        <f>IF(F309="","",IFERROR(VLOOKUP(F309,02_Plan_Comptable!$A$5:$C$84,3,FALSE),""))</f>
        <v/>
      </c>
    </row>
    <row r="310">
      <c r="A310" s="51" t="n"/>
      <c r="B310" s="16" t="n"/>
      <c r="C310" s="16" t="n"/>
      <c r="D310" s="16" t="n"/>
      <c r="E310" s="16" t="n"/>
      <c r="F310" s="16" t="n"/>
      <c r="G310" s="52" t="n"/>
      <c r="H310" s="52" t="n"/>
      <c r="I310" s="53">
        <f>N(G310)+N(H310)</f>
        <v/>
      </c>
      <c r="J310" s="16" t="n"/>
      <c r="K310" s="16" t="n"/>
      <c r="L310" s="16" t="n"/>
      <c r="M310" s="16" t="n"/>
      <c r="N310" s="54">
        <f>IF(A310="","",EOMONTH(A310,-1)+1)</f>
        <v/>
      </c>
      <c r="O310" s="22">
        <f>IF(AND(N(A310)&gt;=N(01_Parametres!$B$11),N(A310)&lt;=N(01_Parametres!$B$12)),1,0)</f>
        <v/>
      </c>
      <c r="P310" s="74">
        <f>IF(E310="","",IFERROR(VLOOKUP(E310,02_Plan_Comptable!$A$5:$C$84,3,FALSE),""))</f>
        <v/>
      </c>
      <c r="Q310" s="74">
        <f>IF(F310="","",IFERROR(VLOOKUP(F310,02_Plan_Comptable!$A$5:$C$84,3,FALSE),""))</f>
        <v/>
      </c>
    </row>
    <row r="311">
      <c r="A311" s="51" t="n"/>
      <c r="B311" s="16" t="n"/>
      <c r="C311" s="16" t="n"/>
      <c r="D311" s="16" t="n"/>
      <c r="E311" s="16" t="n"/>
      <c r="F311" s="16" t="n"/>
      <c r="G311" s="52" t="n"/>
      <c r="H311" s="52" t="n"/>
      <c r="I311" s="53">
        <f>N(G311)+N(H311)</f>
        <v/>
      </c>
      <c r="J311" s="16" t="n"/>
      <c r="K311" s="16" t="n"/>
      <c r="L311" s="16" t="n"/>
      <c r="M311" s="16" t="n"/>
      <c r="N311" s="54">
        <f>IF(A311="","",EOMONTH(A311,-1)+1)</f>
        <v/>
      </c>
      <c r="O311" s="22">
        <f>IF(AND(N(A311)&gt;=N(01_Parametres!$B$11),N(A311)&lt;=N(01_Parametres!$B$12)),1,0)</f>
        <v/>
      </c>
      <c r="P311" s="74">
        <f>IF(E311="","",IFERROR(VLOOKUP(E311,02_Plan_Comptable!$A$5:$C$84,3,FALSE),""))</f>
        <v/>
      </c>
      <c r="Q311" s="74">
        <f>IF(F311="","",IFERROR(VLOOKUP(F311,02_Plan_Comptable!$A$5:$C$84,3,FALSE),""))</f>
        <v/>
      </c>
    </row>
    <row r="312">
      <c r="A312" s="51" t="n"/>
      <c r="B312" s="16" t="n"/>
      <c r="C312" s="16" t="n"/>
      <c r="D312" s="16" t="n"/>
      <c r="E312" s="16" t="n"/>
      <c r="F312" s="16" t="n"/>
      <c r="G312" s="52" t="n"/>
      <c r="H312" s="52" t="n"/>
      <c r="I312" s="53">
        <f>N(G312)+N(H312)</f>
        <v/>
      </c>
      <c r="J312" s="16" t="n"/>
      <c r="K312" s="16" t="n"/>
      <c r="L312" s="16" t="n"/>
      <c r="M312" s="16" t="n"/>
      <c r="N312" s="54">
        <f>IF(A312="","",EOMONTH(A312,-1)+1)</f>
        <v/>
      </c>
      <c r="O312" s="22">
        <f>IF(AND(N(A312)&gt;=N(01_Parametres!$B$11),N(A312)&lt;=N(01_Parametres!$B$12)),1,0)</f>
        <v/>
      </c>
      <c r="P312" s="74">
        <f>IF(E312="","",IFERROR(VLOOKUP(E312,02_Plan_Comptable!$A$5:$C$84,3,FALSE),""))</f>
        <v/>
      </c>
      <c r="Q312" s="74">
        <f>IF(F312="","",IFERROR(VLOOKUP(F312,02_Plan_Comptable!$A$5:$C$84,3,FALSE),""))</f>
        <v/>
      </c>
    </row>
    <row r="313">
      <c r="A313" s="51" t="n"/>
      <c r="B313" s="16" t="n"/>
      <c r="C313" s="16" t="n"/>
      <c r="D313" s="16" t="n"/>
      <c r="E313" s="16" t="n"/>
      <c r="F313" s="16" t="n"/>
      <c r="G313" s="52" t="n"/>
      <c r="H313" s="52" t="n"/>
      <c r="I313" s="53">
        <f>N(G313)+N(H313)</f>
        <v/>
      </c>
      <c r="J313" s="16" t="n"/>
      <c r="K313" s="16" t="n"/>
      <c r="L313" s="16" t="n"/>
      <c r="M313" s="16" t="n"/>
      <c r="N313" s="54">
        <f>IF(A313="","",EOMONTH(A313,-1)+1)</f>
        <v/>
      </c>
      <c r="O313" s="22">
        <f>IF(AND(N(A313)&gt;=N(01_Parametres!$B$11),N(A313)&lt;=N(01_Parametres!$B$12)),1,0)</f>
        <v/>
      </c>
      <c r="P313" s="74">
        <f>IF(E313="","",IFERROR(VLOOKUP(E313,02_Plan_Comptable!$A$5:$C$84,3,FALSE),""))</f>
        <v/>
      </c>
      <c r="Q313" s="74">
        <f>IF(F313="","",IFERROR(VLOOKUP(F313,02_Plan_Comptable!$A$5:$C$84,3,FALSE),""))</f>
        <v/>
      </c>
    </row>
    <row r="314">
      <c r="A314" s="51" t="n"/>
      <c r="B314" s="16" t="n"/>
      <c r="C314" s="16" t="n"/>
      <c r="D314" s="16" t="n"/>
      <c r="E314" s="16" t="n"/>
      <c r="F314" s="16" t="n"/>
      <c r="G314" s="52" t="n"/>
      <c r="H314" s="52" t="n"/>
      <c r="I314" s="53">
        <f>N(G314)+N(H314)</f>
        <v/>
      </c>
      <c r="J314" s="16" t="n"/>
      <c r="K314" s="16" t="n"/>
      <c r="L314" s="16" t="n"/>
      <c r="M314" s="16" t="n"/>
      <c r="N314" s="54">
        <f>IF(A314="","",EOMONTH(A314,-1)+1)</f>
        <v/>
      </c>
      <c r="O314" s="22">
        <f>IF(AND(N(A314)&gt;=N(01_Parametres!$B$11),N(A314)&lt;=N(01_Parametres!$B$12)),1,0)</f>
        <v/>
      </c>
      <c r="P314" s="74">
        <f>IF(E314="","",IFERROR(VLOOKUP(E314,02_Plan_Comptable!$A$5:$C$84,3,FALSE),""))</f>
        <v/>
      </c>
      <c r="Q314" s="74">
        <f>IF(F314="","",IFERROR(VLOOKUP(F314,02_Plan_Comptable!$A$5:$C$84,3,FALSE),""))</f>
        <v/>
      </c>
    </row>
    <row r="315">
      <c r="A315" s="51" t="n"/>
      <c r="B315" s="16" t="n"/>
      <c r="C315" s="16" t="n"/>
      <c r="D315" s="16" t="n"/>
      <c r="E315" s="16" t="n"/>
      <c r="F315" s="16" t="n"/>
      <c r="G315" s="52" t="n"/>
      <c r="H315" s="52" t="n"/>
      <c r="I315" s="53">
        <f>N(G315)+N(H315)</f>
        <v/>
      </c>
      <c r="J315" s="16" t="n"/>
      <c r="K315" s="16" t="n"/>
      <c r="L315" s="16" t="n"/>
      <c r="M315" s="16" t="n"/>
      <c r="N315" s="54">
        <f>IF(A315="","",EOMONTH(A315,-1)+1)</f>
        <v/>
      </c>
      <c r="O315" s="22">
        <f>IF(AND(N(A315)&gt;=N(01_Parametres!$B$11),N(A315)&lt;=N(01_Parametres!$B$12)),1,0)</f>
        <v/>
      </c>
      <c r="P315" s="74">
        <f>IF(E315="","",IFERROR(VLOOKUP(E315,02_Plan_Comptable!$A$5:$C$84,3,FALSE),""))</f>
        <v/>
      </c>
      <c r="Q315" s="74">
        <f>IF(F315="","",IFERROR(VLOOKUP(F315,02_Plan_Comptable!$A$5:$C$84,3,FALSE),""))</f>
        <v/>
      </c>
    </row>
    <row r="316">
      <c r="A316" s="51" t="n"/>
      <c r="B316" s="16" t="n"/>
      <c r="C316" s="16" t="n"/>
      <c r="D316" s="16" t="n"/>
      <c r="E316" s="16" t="n"/>
      <c r="F316" s="16" t="n"/>
      <c r="G316" s="52" t="n"/>
      <c r="H316" s="52" t="n"/>
      <c r="I316" s="53">
        <f>N(G316)+N(H316)</f>
        <v/>
      </c>
      <c r="J316" s="16" t="n"/>
      <c r="K316" s="16" t="n"/>
      <c r="L316" s="16" t="n"/>
      <c r="M316" s="16" t="n"/>
      <c r="N316" s="54">
        <f>IF(A316="","",EOMONTH(A316,-1)+1)</f>
        <v/>
      </c>
      <c r="O316" s="22">
        <f>IF(AND(N(A316)&gt;=N(01_Parametres!$B$11),N(A316)&lt;=N(01_Parametres!$B$12)),1,0)</f>
        <v/>
      </c>
      <c r="P316" s="74">
        <f>IF(E316="","",IFERROR(VLOOKUP(E316,02_Plan_Comptable!$A$5:$C$84,3,FALSE),""))</f>
        <v/>
      </c>
      <c r="Q316" s="74">
        <f>IF(F316="","",IFERROR(VLOOKUP(F316,02_Plan_Comptable!$A$5:$C$84,3,FALSE),""))</f>
        <v/>
      </c>
    </row>
    <row r="317">
      <c r="A317" s="51" t="n"/>
      <c r="B317" s="16" t="n"/>
      <c r="C317" s="16" t="n"/>
      <c r="D317" s="16" t="n"/>
      <c r="E317" s="16" t="n"/>
      <c r="F317" s="16" t="n"/>
      <c r="G317" s="52" t="n"/>
      <c r="H317" s="52" t="n"/>
      <c r="I317" s="53">
        <f>N(G317)+N(H317)</f>
        <v/>
      </c>
      <c r="J317" s="16" t="n"/>
      <c r="K317" s="16" t="n"/>
      <c r="L317" s="16" t="n"/>
      <c r="M317" s="16" t="n"/>
      <c r="N317" s="54">
        <f>IF(A317="","",EOMONTH(A317,-1)+1)</f>
        <v/>
      </c>
      <c r="O317" s="22">
        <f>IF(AND(N(A317)&gt;=N(01_Parametres!$B$11),N(A317)&lt;=N(01_Parametres!$B$12)),1,0)</f>
        <v/>
      </c>
      <c r="P317" s="74">
        <f>IF(E317="","",IFERROR(VLOOKUP(E317,02_Plan_Comptable!$A$5:$C$84,3,FALSE),""))</f>
        <v/>
      </c>
      <c r="Q317" s="74">
        <f>IF(F317="","",IFERROR(VLOOKUP(F317,02_Plan_Comptable!$A$5:$C$84,3,FALSE),""))</f>
        <v/>
      </c>
    </row>
    <row r="318">
      <c r="A318" s="51" t="n"/>
      <c r="B318" s="16" t="n"/>
      <c r="C318" s="16" t="n"/>
      <c r="D318" s="16" t="n"/>
      <c r="E318" s="16" t="n"/>
      <c r="F318" s="16" t="n"/>
      <c r="G318" s="52" t="n"/>
      <c r="H318" s="52" t="n"/>
      <c r="I318" s="53">
        <f>N(G318)+N(H318)</f>
        <v/>
      </c>
      <c r="J318" s="16" t="n"/>
      <c r="K318" s="16" t="n"/>
      <c r="L318" s="16" t="n"/>
      <c r="M318" s="16" t="n"/>
      <c r="N318" s="54">
        <f>IF(A318="","",EOMONTH(A318,-1)+1)</f>
        <v/>
      </c>
      <c r="O318" s="22">
        <f>IF(AND(N(A318)&gt;=N(01_Parametres!$B$11),N(A318)&lt;=N(01_Parametres!$B$12)),1,0)</f>
        <v/>
      </c>
      <c r="P318" s="74">
        <f>IF(E318="","",IFERROR(VLOOKUP(E318,02_Plan_Comptable!$A$5:$C$84,3,FALSE),""))</f>
        <v/>
      </c>
      <c r="Q318" s="74">
        <f>IF(F318="","",IFERROR(VLOOKUP(F318,02_Plan_Comptable!$A$5:$C$84,3,FALSE),""))</f>
        <v/>
      </c>
    </row>
    <row r="319">
      <c r="A319" s="51" t="n"/>
      <c r="B319" s="16" t="n"/>
      <c r="C319" s="16" t="n"/>
      <c r="D319" s="16" t="n"/>
      <c r="E319" s="16" t="n"/>
      <c r="F319" s="16" t="n"/>
      <c r="G319" s="52" t="n"/>
      <c r="H319" s="52" t="n"/>
      <c r="I319" s="53">
        <f>N(G319)+N(H319)</f>
        <v/>
      </c>
      <c r="J319" s="16" t="n"/>
      <c r="K319" s="16" t="n"/>
      <c r="L319" s="16" t="n"/>
      <c r="M319" s="16" t="n"/>
      <c r="N319" s="54">
        <f>IF(A319="","",EOMONTH(A319,-1)+1)</f>
        <v/>
      </c>
      <c r="O319" s="22">
        <f>IF(AND(N(A319)&gt;=N(01_Parametres!$B$11),N(A319)&lt;=N(01_Parametres!$B$12)),1,0)</f>
        <v/>
      </c>
      <c r="P319" s="74">
        <f>IF(E319="","",IFERROR(VLOOKUP(E319,02_Plan_Comptable!$A$5:$C$84,3,FALSE),""))</f>
        <v/>
      </c>
      <c r="Q319" s="74">
        <f>IF(F319="","",IFERROR(VLOOKUP(F319,02_Plan_Comptable!$A$5:$C$84,3,FALSE),""))</f>
        <v/>
      </c>
    </row>
    <row r="320">
      <c r="A320" s="51" t="n"/>
      <c r="B320" s="16" t="n"/>
      <c r="C320" s="16" t="n"/>
      <c r="D320" s="16" t="n"/>
      <c r="E320" s="16" t="n"/>
      <c r="F320" s="16" t="n"/>
      <c r="G320" s="52" t="n"/>
      <c r="H320" s="52" t="n"/>
      <c r="I320" s="53">
        <f>N(G320)+N(H320)</f>
        <v/>
      </c>
      <c r="J320" s="16" t="n"/>
      <c r="K320" s="16" t="n"/>
      <c r="L320" s="16" t="n"/>
      <c r="M320" s="16" t="n"/>
      <c r="N320" s="54">
        <f>IF(A320="","",EOMONTH(A320,-1)+1)</f>
        <v/>
      </c>
      <c r="O320" s="22">
        <f>IF(AND(N(A320)&gt;=N(01_Parametres!$B$11),N(A320)&lt;=N(01_Parametres!$B$12)),1,0)</f>
        <v/>
      </c>
      <c r="P320" s="74">
        <f>IF(E320="","",IFERROR(VLOOKUP(E320,02_Plan_Comptable!$A$5:$C$84,3,FALSE),""))</f>
        <v/>
      </c>
      <c r="Q320" s="74">
        <f>IF(F320="","",IFERROR(VLOOKUP(F320,02_Plan_Comptable!$A$5:$C$84,3,FALSE),""))</f>
        <v/>
      </c>
    </row>
    <row r="321">
      <c r="A321" s="51" t="n"/>
      <c r="B321" s="16" t="n"/>
      <c r="C321" s="16" t="n"/>
      <c r="D321" s="16" t="n"/>
      <c r="E321" s="16" t="n"/>
      <c r="F321" s="16" t="n"/>
      <c r="G321" s="52" t="n"/>
      <c r="H321" s="52" t="n"/>
      <c r="I321" s="53">
        <f>N(G321)+N(H321)</f>
        <v/>
      </c>
      <c r="J321" s="16" t="n"/>
      <c r="K321" s="16" t="n"/>
      <c r="L321" s="16" t="n"/>
      <c r="M321" s="16" t="n"/>
      <c r="N321" s="54">
        <f>IF(A321="","",EOMONTH(A321,-1)+1)</f>
        <v/>
      </c>
      <c r="O321" s="22">
        <f>IF(AND(N(A321)&gt;=N(01_Parametres!$B$11),N(A321)&lt;=N(01_Parametres!$B$12)),1,0)</f>
        <v/>
      </c>
      <c r="P321" s="74">
        <f>IF(E321="","",IFERROR(VLOOKUP(E321,02_Plan_Comptable!$A$5:$C$84,3,FALSE),""))</f>
        <v/>
      </c>
      <c r="Q321" s="74">
        <f>IF(F321="","",IFERROR(VLOOKUP(F321,02_Plan_Comptable!$A$5:$C$84,3,FALSE),""))</f>
        <v/>
      </c>
    </row>
    <row r="322">
      <c r="A322" s="51" t="n"/>
      <c r="B322" s="16" t="n"/>
      <c r="C322" s="16" t="n"/>
      <c r="D322" s="16" t="n"/>
      <c r="E322" s="16" t="n"/>
      <c r="F322" s="16" t="n"/>
      <c r="G322" s="52" t="n"/>
      <c r="H322" s="52" t="n"/>
      <c r="I322" s="53">
        <f>N(G322)+N(H322)</f>
        <v/>
      </c>
      <c r="J322" s="16" t="n"/>
      <c r="K322" s="16" t="n"/>
      <c r="L322" s="16" t="n"/>
      <c r="M322" s="16" t="n"/>
      <c r="N322" s="54">
        <f>IF(A322="","",EOMONTH(A322,-1)+1)</f>
        <v/>
      </c>
      <c r="O322" s="22">
        <f>IF(AND(N(A322)&gt;=N(01_Parametres!$B$11),N(A322)&lt;=N(01_Parametres!$B$12)),1,0)</f>
        <v/>
      </c>
      <c r="P322" s="74">
        <f>IF(E322="","",IFERROR(VLOOKUP(E322,02_Plan_Comptable!$A$5:$C$84,3,FALSE),""))</f>
        <v/>
      </c>
      <c r="Q322" s="74">
        <f>IF(F322="","",IFERROR(VLOOKUP(F322,02_Plan_Comptable!$A$5:$C$84,3,FALSE),""))</f>
        <v/>
      </c>
    </row>
    <row r="323">
      <c r="A323" s="51" t="n"/>
      <c r="B323" s="16" t="n"/>
      <c r="C323" s="16" t="n"/>
      <c r="D323" s="16" t="n"/>
      <c r="E323" s="16" t="n"/>
      <c r="F323" s="16" t="n"/>
      <c r="G323" s="52" t="n"/>
      <c r="H323" s="52" t="n"/>
      <c r="I323" s="53">
        <f>N(G323)+N(H323)</f>
        <v/>
      </c>
      <c r="J323" s="16" t="n"/>
      <c r="K323" s="16" t="n"/>
      <c r="L323" s="16" t="n"/>
      <c r="M323" s="16" t="n"/>
      <c r="N323" s="54">
        <f>IF(A323="","",EOMONTH(A323,-1)+1)</f>
        <v/>
      </c>
      <c r="O323" s="22">
        <f>IF(AND(N(A323)&gt;=N(01_Parametres!$B$11),N(A323)&lt;=N(01_Parametres!$B$12)),1,0)</f>
        <v/>
      </c>
      <c r="P323" s="74">
        <f>IF(E323="","",IFERROR(VLOOKUP(E323,02_Plan_Comptable!$A$5:$C$84,3,FALSE),""))</f>
        <v/>
      </c>
      <c r="Q323" s="74">
        <f>IF(F323="","",IFERROR(VLOOKUP(F323,02_Plan_Comptable!$A$5:$C$84,3,FALSE),""))</f>
        <v/>
      </c>
    </row>
    <row r="324">
      <c r="A324" s="51" t="n"/>
      <c r="B324" s="16" t="n"/>
      <c r="C324" s="16" t="n"/>
      <c r="D324" s="16" t="n"/>
      <c r="E324" s="16" t="n"/>
      <c r="F324" s="16" t="n"/>
      <c r="G324" s="52" t="n"/>
      <c r="H324" s="52" t="n"/>
      <c r="I324" s="53">
        <f>N(G324)+N(H324)</f>
        <v/>
      </c>
      <c r="J324" s="16" t="n"/>
      <c r="K324" s="16" t="n"/>
      <c r="L324" s="16" t="n"/>
      <c r="M324" s="16" t="n"/>
      <c r="N324" s="54">
        <f>IF(A324="","",EOMONTH(A324,-1)+1)</f>
        <v/>
      </c>
      <c r="O324" s="22">
        <f>IF(AND(N(A324)&gt;=N(01_Parametres!$B$11),N(A324)&lt;=N(01_Parametres!$B$12)),1,0)</f>
        <v/>
      </c>
      <c r="P324" s="74">
        <f>IF(E324="","",IFERROR(VLOOKUP(E324,02_Plan_Comptable!$A$5:$C$84,3,FALSE),""))</f>
        <v/>
      </c>
      <c r="Q324" s="74">
        <f>IF(F324="","",IFERROR(VLOOKUP(F324,02_Plan_Comptable!$A$5:$C$84,3,FALSE),""))</f>
        <v/>
      </c>
    </row>
    <row r="325">
      <c r="A325" s="51" t="n"/>
      <c r="B325" s="16" t="n"/>
      <c r="C325" s="16" t="n"/>
      <c r="D325" s="16" t="n"/>
      <c r="E325" s="16" t="n"/>
      <c r="F325" s="16" t="n"/>
      <c r="G325" s="52" t="n"/>
      <c r="H325" s="52" t="n"/>
      <c r="I325" s="53">
        <f>N(G325)+N(H325)</f>
        <v/>
      </c>
      <c r="J325" s="16" t="n"/>
      <c r="K325" s="16" t="n"/>
      <c r="L325" s="16" t="n"/>
      <c r="M325" s="16" t="n"/>
      <c r="N325" s="54">
        <f>IF(A325="","",EOMONTH(A325,-1)+1)</f>
        <v/>
      </c>
      <c r="O325" s="22">
        <f>IF(AND(N(A325)&gt;=N(01_Parametres!$B$11),N(A325)&lt;=N(01_Parametres!$B$12)),1,0)</f>
        <v/>
      </c>
      <c r="P325" s="74">
        <f>IF(E325="","",IFERROR(VLOOKUP(E325,02_Plan_Comptable!$A$5:$C$84,3,FALSE),""))</f>
        <v/>
      </c>
      <c r="Q325" s="74">
        <f>IF(F325="","",IFERROR(VLOOKUP(F325,02_Plan_Comptable!$A$5:$C$84,3,FALSE),""))</f>
        <v/>
      </c>
    </row>
    <row r="326">
      <c r="A326" s="51" t="n"/>
      <c r="B326" s="16" t="n"/>
      <c r="C326" s="16" t="n"/>
      <c r="D326" s="16" t="n"/>
      <c r="E326" s="16" t="n"/>
      <c r="F326" s="16" t="n"/>
      <c r="G326" s="52" t="n"/>
      <c r="H326" s="52" t="n"/>
      <c r="I326" s="53">
        <f>N(G326)+N(H326)</f>
        <v/>
      </c>
      <c r="J326" s="16" t="n"/>
      <c r="K326" s="16" t="n"/>
      <c r="L326" s="16" t="n"/>
      <c r="M326" s="16" t="n"/>
      <c r="N326" s="54">
        <f>IF(A326="","",EOMONTH(A326,-1)+1)</f>
        <v/>
      </c>
      <c r="O326" s="22">
        <f>IF(AND(N(A326)&gt;=N(01_Parametres!$B$11),N(A326)&lt;=N(01_Parametres!$B$12)),1,0)</f>
        <v/>
      </c>
      <c r="P326" s="74">
        <f>IF(E326="","",IFERROR(VLOOKUP(E326,02_Plan_Comptable!$A$5:$C$84,3,FALSE),""))</f>
        <v/>
      </c>
      <c r="Q326" s="74">
        <f>IF(F326="","",IFERROR(VLOOKUP(F326,02_Plan_Comptable!$A$5:$C$84,3,FALSE),""))</f>
        <v/>
      </c>
    </row>
    <row r="327">
      <c r="A327" s="51" t="n"/>
      <c r="B327" s="16" t="n"/>
      <c r="C327" s="16" t="n"/>
      <c r="D327" s="16" t="n"/>
      <c r="E327" s="16" t="n"/>
      <c r="F327" s="16" t="n"/>
      <c r="G327" s="52" t="n"/>
      <c r="H327" s="52" t="n"/>
      <c r="I327" s="53">
        <f>N(G327)+N(H327)</f>
        <v/>
      </c>
      <c r="J327" s="16" t="n"/>
      <c r="K327" s="16" t="n"/>
      <c r="L327" s="16" t="n"/>
      <c r="M327" s="16" t="n"/>
      <c r="N327" s="54">
        <f>IF(A327="","",EOMONTH(A327,-1)+1)</f>
        <v/>
      </c>
      <c r="O327" s="22">
        <f>IF(AND(N(A327)&gt;=N(01_Parametres!$B$11),N(A327)&lt;=N(01_Parametres!$B$12)),1,0)</f>
        <v/>
      </c>
      <c r="P327" s="74">
        <f>IF(E327="","",IFERROR(VLOOKUP(E327,02_Plan_Comptable!$A$5:$C$84,3,FALSE),""))</f>
        <v/>
      </c>
      <c r="Q327" s="74">
        <f>IF(F327="","",IFERROR(VLOOKUP(F327,02_Plan_Comptable!$A$5:$C$84,3,FALSE),""))</f>
        <v/>
      </c>
    </row>
    <row r="328">
      <c r="A328" s="51" t="n"/>
      <c r="B328" s="16" t="n"/>
      <c r="C328" s="16" t="n"/>
      <c r="D328" s="16" t="n"/>
      <c r="E328" s="16" t="n"/>
      <c r="F328" s="16" t="n"/>
      <c r="G328" s="52" t="n"/>
      <c r="H328" s="52" t="n"/>
      <c r="I328" s="53">
        <f>N(G328)+N(H328)</f>
        <v/>
      </c>
      <c r="J328" s="16" t="n"/>
      <c r="K328" s="16" t="n"/>
      <c r="L328" s="16" t="n"/>
      <c r="M328" s="16" t="n"/>
      <c r="N328" s="54">
        <f>IF(A328="","",EOMONTH(A328,-1)+1)</f>
        <v/>
      </c>
      <c r="O328" s="22">
        <f>IF(AND(N(A328)&gt;=N(01_Parametres!$B$11),N(A328)&lt;=N(01_Parametres!$B$12)),1,0)</f>
        <v/>
      </c>
      <c r="P328" s="74">
        <f>IF(E328="","",IFERROR(VLOOKUP(E328,02_Plan_Comptable!$A$5:$C$84,3,FALSE),""))</f>
        <v/>
      </c>
      <c r="Q328" s="74">
        <f>IF(F328="","",IFERROR(VLOOKUP(F328,02_Plan_Comptable!$A$5:$C$84,3,FALSE),""))</f>
        <v/>
      </c>
    </row>
    <row r="329">
      <c r="A329" s="51" t="n"/>
      <c r="B329" s="16" t="n"/>
      <c r="C329" s="16" t="n"/>
      <c r="D329" s="16" t="n"/>
      <c r="E329" s="16" t="n"/>
      <c r="F329" s="16" t="n"/>
      <c r="G329" s="52" t="n"/>
      <c r="H329" s="52" t="n"/>
      <c r="I329" s="53">
        <f>N(G329)+N(H329)</f>
        <v/>
      </c>
      <c r="J329" s="16" t="n"/>
      <c r="K329" s="16" t="n"/>
      <c r="L329" s="16" t="n"/>
      <c r="M329" s="16" t="n"/>
      <c r="N329" s="54">
        <f>IF(A329="","",EOMONTH(A329,-1)+1)</f>
        <v/>
      </c>
      <c r="O329" s="22">
        <f>IF(AND(N(A329)&gt;=N(01_Parametres!$B$11),N(A329)&lt;=N(01_Parametres!$B$12)),1,0)</f>
        <v/>
      </c>
      <c r="P329" s="74">
        <f>IF(E329="","",IFERROR(VLOOKUP(E329,02_Plan_Comptable!$A$5:$C$84,3,FALSE),""))</f>
        <v/>
      </c>
      <c r="Q329" s="74">
        <f>IF(F329="","",IFERROR(VLOOKUP(F329,02_Plan_Comptable!$A$5:$C$84,3,FALSE),""))</f>
        <v/>
      </c>
    </row>
    <row r="330">
      <c r="A330" s="51" t="n"/>
      <c r="B330" s="16" t="n"/>
      <c r="C330" s="16" t="n"/>
      <c r="D330" s="16" t="n"/>
      <c r="E330" s="16" t="n"/>
      <c r="F330" s="16" t="n"/>
      <c r="G330" s="52" t="n"/>
      <c r="H330" s="52" t="n"/>
      <c r="I330" s="53">
        <f>N(G330)+N(H330)</f>
        <v/>
      </c>
      <c r="J330" s="16" t="n"/>
      <c r="K330" s="16" t="n"/>
      <c r="L330" s="16" t="n"/>
      <c r="M330" s="16" t="n"/>
      <c r="N330" s="54">
        <f>IF(A330="","",EOMONTH(A330,-1)+1)</f>
        <v/>
      </c>
      <c r="O330" s="22">
        <f>IF(AND(N(A330)&gt;=N(01_Parametres!$B$11),N(A330)&lt;=N(01_Parametres!$B$12)),1,0)</f>
        <v/>
      </c>
      <c r="P330" s="74">
        <f>IF(E330="","",IFERROR(VLOOKUP(E330,02_Plan_Comptable!$A$5:$C$84,3,FALSE),""))</f>
        <v/>
      </c>
      <c r="Q330" s="74">
        <f>IF(F330="","",IFERROR(VLOOKUP(F330,02_Plan_Comptable!$A$5:$C$84,3,FALSE),""))</f>
        <v/>
      </c>
    </row>
    <row r="331">
      <c r="A331" s="51" t="n"/>
      <c r="B331" s="16" t="n"/>
      <c r="C331" s="16" t="n"/>
      <c r="D331" s="16" t="n"/>
      <c r="E331" s="16" t="n"/>
      <c r="F331" s="16" t="n"/>
      <c r="G331" s="52" t="n"/>
      <c r="H331" s="52" t="n"/>
      <c r="I331" s="53">
        <f>N(G331)+N(H331)</f>
        <v/>
      </c>
      <c r="J331" s="16" t="n"/>
      <c r="K331" s="16" t="n"/>
      <c r="L331" s="16" t="n"/>
      <c r="M331" s="16" t="n"/>
      <c r="N331" s="54">
        <f>IF(A331="","",EOMONTH(A331,-1)+1)</f>
        <v/>
      </c>
      <c r="O331" s="22">
        <f>IF(AND(N(A331)&gt;=N(01_Parametres!$B$11),N(A331)&lt;=N(01_Parametres!$B$12)),1,0)</f>
        <v/>
      </c>
      <c r="P331" s="74">
        <f>IF(E331="","",IFERROR(VLOOKUP(E331,02_Plan_Comptable!$A$5:$C$84,3,FALSE),""))</f>
        <v/>
      </c>
      <c r="Q331" s="74">
        <f>IF(F331="","",IFERROR(VLOOKUP(F331,02_Plan_Comptable!$A$5:$C$84,3,FALSE),""))</f>
        <v/>
      </c>
    </row>
    <row r="332">
      <c r="A332" s="51" t="n"/>
      <c r="B332" s="16" t="n"/>
      <c r="C332" s="16" t="n"/>
      <c r="D332" s="16" t="n"/>
      <c r="E332" s="16" t="n"/>
      <c r="F332" s="16" t="n"/>
      <c r="G332" s="52" t="n"/>
      <c r="H332" s="52" t="n"/>
      <c r="I332" s="53">
        <f>N(G332)+N(H332)</f>
        <v/>
      </c>
      <c r="J332" s="16" t="n"/>
      <c r="K332" s="16" t="n"/>
      <c r="L332" s="16" t="n"/>
      <c r="M332" s="16" t="n"/>
      <c r="N332" s="54">
        <f>IF(A332="","",EOMONTH(A332,-1)+1)</f>
        <v/>
      </c>
      <c r="O332" s="22">
        <f>IF(AND(N(A332)&gt;=N(01_Parametres!$B$11),N(A332)&lt;=N(01_Parametres!$B$12)),1,0)</f>
        <v/>
      </c>
      <c r="P332" s="74">
        <f>IF(E332="","",IFERROR(VLOOKUP(E332,02_Plan_Comptable!$A$5:$C$84,3,FALSE),""))</f>
        <v/>
      </c>
      <c r="Q332" s="74">
        <f>IF(F332="","",IFERROR(VLOOKUP(F332,02_Plan_Comptable!$A$5:$C$84,3,FALSE),""))</f>
        <v/>
      </c>
    </row>
    <row r="333">
      <c r="A333" s="51" t="n"/>
      <c r="B333" s="16" t="n"/>
      <c r="C333" s="16" t="n"/>
      <c r="D333" s="16" t="n"/>
      <c r="E333" s="16" t="n"/>
      <c r="F333" s="16" t="n"/>
      <c r="G333" s="52" t="n"/>
      <c r="H333" s="52" t="n"/>
      <c r="I333" s="53">
        <f>N(G333)+N(H333)</f>
        <v/>
      </c>
      <c r="J333" s="16" t="n"/>
      <c r="K333" s="16" t="n"/>
      <c r="L333" s="16" t="n"/>
      <c r="M333" s="16" t="n"/>
      <c r="N333" s="54">
        <f>IF(A333="","",EOMONTH(A333,-1)+1)</f>
        <v/>
      </c>
      <c r="O333" s="22">
        <f>IF(AND(N(A333)&gt;=N(01_Parametres!$B$11),N(A333)&lt;=N(01_Parametres!$B$12)),1,0)</f>
        <v/>
      </c>
      <c r="P333" s="74">
        <f>IF(E333="","",IFERROR(VLOOKUP(E333,02_Plan_Comptable!$A$5:$C$84,3,FALSE),""))</f>
        <v/>
      </c>
      <c r="Q333" s="74">
        <f>IF(F333="","",IFERROR(VLOOKUP(F333,02_Plan_Comptable!$A$5:$C$84,3,FALSE),""))</f>
        <v/>
      </c>
    </row>
    <row r="334">
      <c r="A334" s="51" t="n"/>
      <c r="B334" s="16" t="n"/>
      <c r="C334" s="16" t="n"/>
      <c r="D334" s="16" t="n"/>
      <c r="E334" s="16" t="n"/>
      <c r="F334" s="16" t="n"/>
      <c r="G334" s="52" t="n"/>
      <c r="H334" s="52" t="n"/>
      <c r="I334" s="53">
        <f>N(G334)+N(H334)</f>
        <v/>
      </c>
      <c r="J334" s="16" t="n"/>
      <c r="K334" s="16" t="n"/>
      <c r="L334" s="16" t="n"/>
      <c r="M334" s="16" t="n"/>
      <c r="N334" s="54">
        <f>IF(A334="","",EOMONTH(A334,-1)+1)</f>
        <v/>
      </c>
      <c r="O334" s="22">
        <f>IF(AND(N(A334)&gt;=N(01_Parametres!$B$11),N(A334)&lt;=N(01_Parametres!$B$12)),1,0)</f>
        <v/>
      </c>
      <c r="P334" s="74">
        <f>IF(E334="","",IFERROR(VLOOKUP(E334,02_Plan_Comptable!$A$5:$C$84,3,FALSE),""))</f>
        <v/>
      </c>
      <c r="Q334" s="74">
        <f>IF(F334="","",IFERROR(VLOOKUP(F334,02_Plan_Comptable!$A$5:$C$84,3,FALSE),""))</f>
        <v/>
      </c>
    </row>
    <row r="335">
      <c r="A335" s="51" t="n"/>
      <c r="B335" s="16" t="n"/>
      <c r="C335" s="16" t="n"/>
      <c r="D335" s="16" t="n"/>
      <c r="E335" s="16" t="n"/>
      <c r="F335" s="16" t="n"/>
      <c r="G335" s="52" t="n"/>
      <c r="H335" s="52" t="n"/>
      <c r="I335" s="53">
        <f>N(G335)+N(H335)</f>
        <v/>
      </c>
      <c r="J335" s="16" t="n"/>
      <c r="K335" s="16" t="n"/>
      <c r="L335" s="16" t="n"/>
      <c r="M335" s="16" t="n"/>
      <c r="N335" s="54">
        <f>IF(A335="","",EOMONTH(A335,-1)+1)</f>
        <v/>
      </c>
      <c r="O335" s="22">
        <f>IF(AND(N(A335)&gt;=N(01_Parametres!$B$11),N(A335)&lt;=N(01_Parametres!$B$12)),1,0)</f>
        <v/>
      </c>
      <c r="P335" s="74">
        <f>IF(E335="","",IFERROR(VLOOKUP(E335,02_Plan_Comptable!$A$5:$C$84,3,FALSE),""))</f>
        <v/>
      </c>
      <c r="Q335" s="74">
        <f>IF(F335="","",IFERROR(VLOOKUP(F335,02_Plan_Comptable!$A$5:$C$84,3,FALSE),""))</f>
        <v/>
      </c>
    </row>
    <row r="336">
      <c r="A336" s="51" t="n"/>
      <c r="B336" s="16" t="n"/>
      <c r="C336" s="16" t="n"/>
      <c r="D336" s="16" t="n"/>
      <c r="E336" s="16" t="n"/>
      <c r="F336" s="16" t="n"/>
      <c r="G336" s="52" t="n"/>
      <c r="H336" s="52" t="n"/>
      <c r="I336" s="53">
        <f>N(G336)+N(H336)</f>
        <v/>
      </c>
      <c r="J336" s="16" t="n"/>
      <c r="K336" s="16" t="n"/>
      <c r="L336" s="16" t="n"/>
      <c r="M336" s="16" t="n"/>
      <c r="N336" s="54">
        <f>IF(A336="","",EOMONTH(A336,-1)+1)</f>
        <v/>
      </c>
      <c r="O336" s="22">
        <f>IF(AND(N(A336)&gt;=N(01_Parametres!$B$11),N(A336)&lt;=N(01_Parametres!$B$12)),1,0)</f>
        <v/>
      </c>
      <c r="P336" s="74">
        <f>IF(E336="","",IFERROR(VLOOKUP(E336,02_Plan_Comptable!$A$5:$C$84,3,FALSE),""))</f>
        <v/>
      </c>
      <c r="Q336" s="74">
        <f>IF(F336="","",IFERROR(VLOOKUP(F336,02_Plan_Comptable!$A$5:$C$84,3,FALSE),""))</f>
        <v/>
      </c>
    </row>
    <row r="337">
      <c r="A337" s="51" t="n"/>
      <c r="B337" s="16" t="n"/>
      <c r="C337" s="16" t="n"/>
      <c r="D337" s="16" t="n"/>
      <c r="E337" s="16" t="n"/>
      <c r="F337" s="16" t="n"/>
      <c r="G337" s="52" t="n"/>
      <c r="H337" s="52" t="n"/>
      <c r="I337" s="53">
        <f>N(G337)+N(H337)</f>
        <v/>
      </c>
      <c r="J337" s="16" t="n"/>
      <c r="K337" s="16" t="n"/>
      <c r="L337" s="16" t="n"/>
      <c r="M337" s="16" t="n"/>
      <c r="N337" s="54">
        <f>IF(A337="","",EOMONTH(A337,-1)+1)</f>
        <v/>
      </c>
      <c r="O337" s="22">
        <f>IF(AND(N(A337)&gt;=N(01_Parametres!$B$11),N(A337)&lt;=N(01_Parametres!$B$12)),1,0)</f>
        <v/>
      </c>
      <c r="P337" s="74">
        <f>IF(E337="","",IFERROR(VLOOKUP(E337,02_Plan_Comptable!$A$5:$C$84,3,FALSE),""))</f>
        <v/>
      </c>
      <c r="Q337" s="74">
        <f>IF(F337="","",IFERROR(VLOOKUP(F337,02_Plan_Comptable!$A$5:$C$84,3,FALSE),""))</f>
        <v/>
      </c>
    </row>
    <row r="338">
      <c r="A338" s="51" t="n"/>
      <c r="B338" s="16" t="n"/>
      <c r="C338" s="16" t="n"/>
      <c r="D338" s="16" t="n"/>
      <c r="E338" s="16" t="n"/>
      <c r="F338" s="16" t="n"/>
      <c r="G338" s="52" t="n"/>
      <c r="H338" s="52" t="n"/>
      <c r="I338" s="53">
        <f>N(G338)+N(H338)</f>
        <v/>
      </c>
      <c r="J338" s="16" t="n"/>
      <c r="K338" s="16" t="n"/>
      <c r="L338" s="16" t="n"/>
      <c r="M338" s="16" t="n"/>
      <c r="N338" s="54">
        <f>IF(A338="","",EOMONTH(A338,-1)+1)</f>
        <v/>
      </c>
      <c r="O338" s="22">
        <f>IF(AND(N(A338)&gt;=N(01_Parametres!$B$11),N(A338)&lt;=N(01_Parametres!$B$12)),1,0)</f>
        <v/>
      </c>
      <c r="P338" s="74">
        <f>IF(E338="","",IFERROR(VLOOKUP(E338,02_Plan_Comptable!$A$5:$C$84,3,FALSE),""))</f>
        <v/>
      </c>
      <c r="Q338" s="74">
        <f>IF(F338="","",IFERROR(VLOOKUP(F338,02_Plan_Comptable!$A$5:$C$84,3,FALSE),""))</f>
        <v/>
      </c>
    </row>
    <row r="339">
      <c r="A339" s="51" t="n"/>
      <c r="B339" s="16" t="n"/>
      <c r="C339" s="16" t="n"/>
      <c r="D339" s="16" t="n"/>
      <c r="E339" s="16" t="n"/>
      <c r="F339" s="16" t="n"/>
      <c r="G339" s="52" t="n"/>
      <c r="H339" s="52" t="n"/>
      <c r="I339" s="53">
        <f>N(G339)+N(H339)</f>
        <v/>
      </c>
      <c r="J339" s="16" t="n"/>
      <c r="K339" s="16" t="n"/>
      <c r="L339" s="16" t="n"/>
      <c r="M339" s="16" t="n"/>
      <c r="N339" s="54">
        <f>IF(A339="","",EOMONTH(A339,-1)+1)</f>
        <v/>
      </c>
      <c r="O339" s="22">
        <f>IF(AND(N(A339)&gt;=N(01_Parametres!$B$11),N(A339)&lt;=N(01_Parametres!$B$12)),1,0)</f>
        <v/>
      </c>
      <c r="P339" s="74">
        <f>IF(E339="","",IFERROR(VLOOKUP(E339,02_Plan_Comptable!$A$5:$C$84,3,FALSE),""))</f>
        <v/>
      </c>
      <c r="Q339" s="74">
        <f>IF(F339="","",IFERROR(VLOOKUP(F339,02_Plan_Comptable!$A$5:$C$84,3,FALSE),""))</f>
        <v/>
      </c>
    </row>
    <row r="340">
      <c r="A340" s="51" t="n"/>
      <c r="B340" s="16" t="n"/>
      <c r="C340" s="16" t="n"/>
      <c r="D340" s="16" t="n"/>
      <c r="E340" s="16" t="n"/>
      <c r="F340" s="16" t="n"/>
      <c r="G340" s="52" t="n"/>
      <c r="H340" s="52" t="n"/>
      <c r="I340" s="53">
        <f>N(G340)+N(H340)</f>
        <v/>
      </c>
      <c r="J340" s="16" t="n"/>
      <c r="K340" s="16" t="n"/>
      <c r="L340" s="16" t="n"/>
      <c r="M340" s="16" t="n"/>
      <c r="N340" s="54">
        <f>IF(A340="","",EOMONTH(A340,-1)+1)</f>
        <v/>
      </c>
      <c r="O340" s="22">
        <f>IF(AND(N(A340)&gt;=N(01_Parametres!$B$11),N(A340)&lt;=N(01_Parametres!$B$12)),1,0)</f>
        <v/>
      </c>
      <c r="P340" s="74">
        <f>IF(E340="","",IFERROR(VLOOKUP(E340,02_Plan_Comptable!$A$5:$C$84,3,FALSE),""))</f>
        <v/>
      </c>
      <c r="Q340" s="74">
        <f>IF(F340="","",IFERROR(VLOOKUP(F340,02_Plan_Comptable!$A$5:$C$84,3,FALSE),""))</f>
        <v/>
      </c>
    </row>
    <row r="341">
      <c r="A341" s="51" t="n"/>
      <c r="B341" s="16" t="n"/>
      <c r="C341" s="16" t="n"/>
      <c r="D341" s="16" t="n"/>
      <c r="E341" s="16" t="n"/>
      <c r="F341" s="16" t="n"/>
      <c r="G341" s="52" t="n"/>
      <c r="H341" s="52" t="n"/>
      <c r="I341" s="53">
        <f>N(G341)+N(H341)</f>
        <v/>
      </c>
      <c r="J341" s="16" t="n"/>
      <c r="K341" s="16" t="n"/>
      <c r="L341" s="16" t="n"/>
      <c r="M341" s="16" t="n"/>
      <c r="N341" s="54">
        <f>IF(A341="","",EOMONTH(A341,-1)+1)</f>
        <v/>
      </c>
      <c r="O341" s="22">
        <f>IF(AND(N(A341)&gt;=N(01_Parametres!$B$11),N(A341)&lt;=N(01_Parametres!$B$12)),1,0)</f>
        <v/>
      </c>
      <c r="P341" s="74">
        <f>IF(E341="","",IFERROR(VLOOKUP(E341,02_Plan_Comptable!$A$5:$C$84,3,FALSE),""))</f>
        <v/>
      </c>
      <c r="Q341" s="74">
        <f>IF(F341="","",IFERROR(VLOOKUP(F341,02_Plan_Comptable!$A$5:$C$84,3,FALSE),""))</f>
        <v/>
      </c>
    </row>
    <row r="342">
      <c r="A342" s="51" t="n"/>
      <c r="B342" s="16" t="n"/>
      <c r="C342" s="16" t="n"/>
      <c r="D342" s="16" t="n"/>
      <c r="E342" s="16" t="n"/>
      <c r="F342" s="16" t="n"/>
      <c r="G342" s="52" t="n"/>
      <c r="H342" s="52" t="n"/>
      <c r="I342" s="53">
        <f>N(G342)+N(H342)</f>
        <v/>
      </c>
      <c r="J342" s="16" t="n"/>
      <c r="K342" s="16" t="n"/>
      <c r="L342" s="16" t="n"/>
      <c r="M342" s="16" t="n"/>
      <c r="N342" s="54">
        <f>IF(A342="","",EOMONTH(A342,-1)+1)</f>
        <v/>
      </c>
      <c r="O342" s="22">
        <f>IF(AND(N(A342)&gt;=N(01_Parametres!$B$11),N(A342)&lt;=N(01_Parametres!$B$12)),1,0)</f>
        <v/>
      </c>
      <c r="P342" s="74">
        <f>IF(E342="","",IFERROR(VLOOKUP(E342,02_Plan_Comptable!$A$5:$C$84,3,FALSE),""))</f>
        <v/>
      </c>
      <c r="Q342" s="74">
        <f>IF(F342="","",IFERROR(VLOOKUP(F342,02_Plan_Comptable!$A$5:$C$84,3,FALSE),""))</f>
        <v/>
      </c>
    </row>
    <row r="343">
      <c r="A343" s="51" t="n"/>
      <c r="B343" s="16" t="n"/>
      <c r="C343" s="16" t="n"/>
      <c r="D343" s="16" t="n"/>
      <c r="E343" s="16" t="n"/>
      <c r="F343" s="16" t="n"/>
      <c r="G343" s="52" t="n"/>
      <c r="H343" s="52" t="n"/>
      <c r="I343" s="53">
        <f>N(G343)+N(H343)</f>
        <v/>
      </c>
      <c r="J343" s="16" t="n"/>
      <c r="K343" s="16" t="n"/>
      <c r="L343" s="16" t="n"/>
      <c r="M343" s="16" t="n"/>
      <c r="N343" s="54">
        <f>IF(A343="","",EOMONTH(A343,-1)+1)</f>
        <v/>
      </c>
      <c r="O343" s="22">
        <f>IF(AND(N(A343)&gt;=N(01_Parametres!$B$11),N(A343)&lt;=N(01_Parametres!$B$12)),1,0)</f>
        <v/>
      </c>
      <c r="P343" s="74">
        <f>IF(E343="","",IFERROR(VLOOKUP(E343,02_Plan_Comptable!$A$5:$C$84,3,FALSE),""))</f>
        <v/>
      </c>
      <c r="Q343" s="74">
        <f>IF(F343="","",IFERROR(VLOOKUP(F343,02_Plan_Comptable!$A$5:$C$84,3,FALSE),""))</f>
        <v/>
      </c>
    </row>
    <row r="344">
      <c r="A344" s="51" t="n"/>
      <c r="B344" s="16" t="n"/>
      <c r="C344" s="16" t="n"/>
      <c r="D344" s="16" t="n"/>
      <c r="E344" s="16" t="n"/>
      <c r="F344" s="16" t="n"/>
      <c r="G344" s="52" t="n"/>
      <c r="H344" s="52" t="n"/>
      <c r="I344" s="53">
        <f>N(G344)+N(H344)</f>
        <v/>
      </c>
      <c r="J344" s="16" t="n"/>
      <c r="K344" s="16" t="n"/>
      <c r="L344" s="16" t="n"/>
      <c r="M344" s="16" t="n"/>
      <c r="N344" s="54">
        <f>IF(A344="","",EOMONTH(A344,-1)+1)</f>
        <v/>
      </c>
      <c r="O344" s="22">
        <f>IF(AND(N(A344)&gt;=N(01_Parametres!$B$11),N(A344)&lt;=N(01_Parametres!$B$12)),1,0)</f>
        <v/>
      </c>
      <c r="P344" s="74">
        <f>IF(E344="","",IFERROR(VLOOKUP(E344,02_Plan_Comptable!$A$5:$C$84,3,FALSE),""))</f>
        <v/>
      </c>
      <c r="Q344" s="74">
        <f>IF(F344="","",IFERROR(VLOOKUP(F344,02_Plan_Comptable!$A$5:$C$84,3,FALSE),""))</f>
        <v/>
      </c>
    </row>
    <row r="345">
      <c r="A345" s="51" t="n"/>
      <c r="B345" s="16" t="n"/>
      <c r="C345" s="16" t="n"/>
      <c r="D345" s="16" t="n"/>
      <c r="E345" s="16" t="n"/>
      <c r="F345" s="16" t="n"/>
      <c r="G345" s="52" t="n"/>
      <c r="H345" s="52" t="n"/>
      <c r="I345" s="53">
        <f>N(G345)+N(H345)</f>
        <v/>
      </c>
      <c r="J345" s="16" t="n"/>
      <c r="K345" s="16" t="n"/>
      <c r="L345" s="16" t="n"/>
      <c r="M345" s="16" t="n"/>
      <c r="N345" s="54">
        <f>IF(A345="","",EOMONTH(A345,-1)+1)</f>
        <v/>
      </c>
      <c r="O345" s="22">
        <f>IF(AND(N(A345)&gt;=N(01_Parametres!$B$11),N(A345)&lt;=N(01_Parametres!$B$12)),1,0)</f>
        <v/>
      </c>
      <c r="P345" s="74">
        <f>IF(E345="","",IFERROR(VLOOKUP(E345,02_Plan_Comptable!$A$5:$C$84,3,FALSE),""))</f>
        <v/>
      </c>
      <c r="Q345" s="74">
        <f>IF(F345="","",IFERROR(VLOOKUP(F345,02_Plan_Comptable!$A$5:$C$84,3,FALSE),""))</f>
        <v/>
      </c>
    </row>
    <row r="346">
      <c r="A346" s="51" t="n"/>
      <c r="B346" s="16" t="n"/>
      <c r="C346" s="16" t="n"/>
      <c r="D346" s="16" t="n"/>
      <c r="E346" s="16" t="n"/>
      <c r="F346" s="16" t="n"/>
      <c r="G346" s="52" t="n"/>
      <c r="H346" s="52" t="n"/>
      <c r="I346" s="53">
        <f>N(G346)+N(H346)</f>
        <v/>
      </c>
      <c r="J346" s="16" t="n"/>
      <c r="K346" s="16" t="n"/>
      <c r="L346" s="16" t="n"/>
      <c r="M346" s="16" t="n"/>
      <c r="N346" s="54">
        <f>IF(A346="","",EOMONTH(A346,-1)+1)</f>
        <v/>
      </c>
      <c r="O346" s="22">
        <f>IF(AND(N(A346)&gt;=N(01_Parametres!$B$11),N(A346)&lt;=N(01_Parametres!$B$12)),1,0)</f>
        <v/>
      </c>
      <c r="P346" s="74">
        <f>IF(E346="","",IFERROR(VLOOKUP(E346,02_Plan_Comptable!$A$5:$C$84,3,FALSE),""))</f>
        <v/>
      </c>
      <c r="Q346" s="74">
        <f>IF(F346="","",IFERROR(VLOOKUP(F346,02_Plan_Comptable!$A$5:$C$84,3,FALSE),""))</f>
        <v/>
      </c>
    </row>
    <row r="347">
      <c r="A347" s="51" t="n"/>
      <c r="B347" s="16" t="n"/>
      <c r="C347" s="16" t="n"/>
      <c r="D347" s="16" t="n"/>
      <c r="E347" s="16" t="n"/>
      <c r="F347" s="16" t="n"/>
      <c r="G347" s="52" t="n"/>
      <c r="H347" s="52" t="n"/>
      <c r="I347" s="53">
        <f>N(G347)+N(H347)</f>
        <v/>
      </c>
      <c r="J347" s="16" t="n"/>
      <c r="K347" s="16" t="n"/>
      <c r="L347" s="16" t="n"/>
      <c r="M347" s="16" t="n"/>
      <c r="N347" s="54">
        <f>IF(A347="","",EOMONTH(A347,-1)+1)</f>
        <v/>
      </c>
      <c r="O347" s="22">
        <f>IF(AND(N(A347)&gt;=N(01_Parametres!$B$11),N(A347)&lt;=N(01_Parametres!$B$12)),1,0)</f>
        <v/>
      </c>
      <c r="P347" s="74">
        <f>IF(E347="","",IFERROR(VLOOKUP(E347,02_Plan_Comptable!$A$5:$C$84,3,FALSE),""))</f>
        <v/>
      </c>
      <c r="Q347" s="74">
        <f>IF(F347="","",IFERROR(VLOOKUP(F347,02_Plan_Comptable!$A$5:$C$84,3,FALSE),""))</f>
        <v/>
      </c>
    </row>
    <row r="348">
      <c r="A348" s="51" t="n"/>
      <c r="B348" s="16" t="n"/>
      <c r="C348" s="16" t="n"/>
      <c r="D348" s="16" t="n"/>
      <c r="E348" s="16" t="n"/>
      <c r="F348" s="16" t="n"/>
      <c r="G348" s="52" t="n"/>
      <c r="H348" s="52" t="n"/>
      <c r="I348" s="53">
        <f>N(G348)+N(H348)</f>
        <v/>
      </c>
      <c r="J348" s="16" t="n"/>
      <c r="K348" s="16" t="n"/>
      <c r="L348" s="16" t="n"/>
      <c r="M348" s="16" t="n"/>
      <c r="N348" s="54">
        <f>IF(A348="","",EOMONTH(A348,-1)+1)</f>
        <v/>
      </c>
      <c r="O348" s="22">
        <f>IF(AND(N(A348)&gt;=N(01_Parametres!$B$11),N(A348)&lt;=N(01_Parametres!$B$12)),1,0)</f>
        <v/>
      </c>
      <c r="P348" s="74">
        <f>IF(E348="","",IFERROR(VLOOKUP(E348,02_Plan_Comptable!$A$5:$C$84,3,FALSE),""))</f>
        <v/>
      </c>
      <c r="Q348" s="74">
        <f>IF(F348="","",IFERROR(VLOOKUP(F348,02_Plan_Comptable!$A$5:$C$84,3,FALSE),""))</f>
        <v/>
      </c>
    </row>
    <row r="349">
      <c r="A349" s="51" t="n"/>
      <c r="B349" s="16" t="n"/>
      <c r="C349" s="16" t="n"/>
      <c r="D349" s="16" t="n"/>
      <c r="E349" s="16" t="n"/>
      <c r="F349" s="16" t="n"/>
      <c r="G349" s="52" t="n"/>
      <c r="H349" s="52" t="n"/>
      <c r="I349" s="53">
        <f>N(G349)+N(H349)</f>
        <v/>
      </c>
      <c r="J349" s="16" t="n"/>
      <c r="K349" s="16" t="n"/>
      <c r="L349" s="16" t="n"/>
      <c r="M349" s="16" t="n"/>
      <c r="N349" s="54">
        <f>IF(A349="","",EOMONTH(A349,-1)+1)</f>
        <v/>
      </c>
      <c r="O349" s="22">
        <f>IF(AND(N(A349)&gt;=N(01_Parametres!$B$11),N(A349)&lt;=N(01_Parametres!$B$12)),1,0)</f>
        <v/>
      </c>
      <c r="P349" s="74">
        <f>IF(E349="","",IFERROR(VLOOKUP(E349,02_Plan_Comptable!$A$5:$C$84,3,FALSE),""))</f>
        <v/>
      </c>
      <c r="Q349" s="74">
        <f>IF(F349="","",IFERROR(VLOOKUP(F349,02_Plan_Comptable!$A$5:$C$84,3,FALSE),""))</f>
        <v/>
      </c>
    </row>
    <row r="350">
      <c r="A350" s="51" t="n"/>
      <c r="B350" s="16" t="n"/>
      <c r="C350" s="16" t="n"/>
      <c r="D350" s="16" t="n"/>
      <c r="E350" s="16" t="n"/>
      <c r="F350" s="16" t="n"/>
      <c r="G350" s="52" t="n"/>
      <c r="H350" s="52" t="n"/>
      <c r="I350" s="53">
        <f>N(G350)+N(H350)</f>
        <v/>
      </c>
      <c r="J350" s="16" t="n"/>
      <c r="K350" s="16" t="n"/>
      <c r="L350" s="16" t="n"/>
      <c r="M350" s="16" t="n"/>
      <c r="N350" s="54">
        <f>IF(A350="","",EOMONTH(A350,-1)+1)</f>
        <v/>
      </c>
      <c r="O350" s="22">
        <f>IF(AND(N(A350)&gt;=N(01_Parametres!$B$11),N(A350)&lt;=N(01_Parametres!$B$12)),1,0)</f>
        <v/>
      </c>
      <c r="P350" s="74">
        <f>IF(E350="","",IFERROR(VLOOKUP(E350,02_Plan_Comptable!$A$5:$C$84,3,FALSE),""))</f>
        <v/>
      </c>
      <c r="Q350" s="74">
        <f>IF(F350="","",IFERROR(VLOOKUP(F350,02_Plan_Comptable!$A$5:$C$84,3,FALSE),""))</f>
        <v/>
      </c>
    </row>
    <row r="351">
      <c r="A351" s="51" t="n"/>
      <c r="B351" s="16" t="n"/>
      <c r="C351" s="16" t="n"/>
      <c r="D351" s="16" t="n"/>
      <c r="E351" s="16" t="n"/>
      <c r="F351" s="16" t="n"/>
      <c r="G351" s="52" t="n"/>
      <c r="H351" s="52" t="n"/>
      <c r="I351" s="53">
        <f>N(G351)+N(H351)</f>
        <v/>
      </c>
      <c r="J351" s="16" t="n"/>
      <c r="K351" s="16" t="n"/>
      <c r="L351" s="16" t="n"/>
      <c r="M351" s="16" t="n"/>
      <c r="N351" s="54">
        <f>IF(A351="","",EOMONTH(A351,-1)+1)</f>
        <v/>
      </c>
      <c r="O351" s="22">
        <f>IF(AND(N(A351)&gt;=N(01_Parametres!$B$11),N(A351)&lt;=N(01_Parametres!$B$12)),1,0)</f>
        <v/>
      </c>
      <c r="P351" s="74">
        <f>IF(E351="","",IFERROR(VLOOKUP(E351,02_Plan_Comptable!$A$5:$C$84,3,FALSE),""))</f>
        <v/>
      </c>
      <c r="Q351" s="74">
        <f>IF(F351="","",IFERROR(VLOOKUP(F351,02_Plan_Comptable!$A$5:$C$84,3,FALSE),""))</f>
        <v/>
      </c>
    </row>
    <row r="352">
      <c r="A352" s="51" t="n"/>
      <c r="B352" s="16" t="n"/>
      <c r="C352" s="16" t="n"/>
      <c r="D352" s="16" t="n"/>
      <c r="E352" s="16" t="n"/>
      <c r="F352" s="16" t="n"/>
      <c r="G352" s="52" t="n"/>
      <c r="H352" s="52" t="n"/>
      <c r="I352" s="53">
        <f>N(G352)+N(H352)</f>
        <v/>
      </c>
      <c r="J352" s="16" t="n"/>
      <c r="K352" s="16" t="n"/>
      <c r="L352" s="16" t="n"/>
      <c r="M352" s="16" t="n"/>
      <c r="N352" s="54">
        <f>IF(A352="","",EOMONTH(A352,-1)+1)</f>
        <v/>
      </c>
      <c r="O352" s="22">
        <f>IF(AND(N(A352)&gt;=N(01_Parametres!$B$11),N(A352)&lt;=N(01_Parametres!$B$12)),1,0)</f>
        <v/>
      </c>
      <c r="P352" s="74">
        <f>IF(E352="","",IFERROR(VLOOKUP(E352,02_Plan_Comptable!$A$5:$C$84,3,FALSE),""))</f>
        <v/>
      </c>
      <c r="Q352" s="74">
        <f>IF(F352="","",IFERROR(VLOOKUP(F352,02_Plan_Comptable!$A$5:$C$84,3,FALSE),""))</f>
        <v/>
      </c>
    </row>
    <row r="353">
      <c r="A353" s="51" t="n"/>
      <c r="B353" s="16" t="n"/>
      <c r="C353" s="16" t="n"/>
      <c r="D353" s="16" t="n"/>
      <c r="E353" s="16" t="n"/>
      <c r="F353" s="16" t="n"/>
      <c r="G353" s="52" t="n"/>
      <c r="H353" s="52" t="n"/>
      <c r="I353" s="53">
        <f>N(G353)+N(H353)</f>
        <v/>
      </c>
      <c r="J353" s="16" t="n"/>
      <c r="K353" s="16" t="n"/>
      <c r="L353" s="16" t="n"/>
      <c r="M353" s="16" t="n"/>
      <c r="N353" s="54">
        <f>IF(A353="","",EOMONTH(A353,-1)+1)</f>
        <v/>
      </c>
      <c r="O353" s="22">
        <f>IF(AND(N(A353)&gt;=N(01_Parametres!$B$11),N(A353)&lt;=N(01_Parametres!$B$12)),1,0)</f>
        <v/>
      </c>
      <c r="P353" s="74">
        <f>IF(E353="","",IFERROR(VLOOKUP(E353,02_Plan_Comptable!$A$5:$C$84,3,FALSE),""))</f>
        <v/>
      </c>
      <c r="Q353" s="74">
        <f>IF(F353="","",IFERROR(VLOOKUP(F353,02_Plan_Comptable!$A$5:$C$84,3,FALSE),""))</f>
        <v/>
      </c>
    </row>
    <row r="354">
      <c r="A354" s="51" t="n"/>
      <c r="B354" s="16" t="n"/>
      <c r="C354" s="16" t="n"/>
      <c r="D354" s="16" t="n"/>
      <c r="E354" s="16" t="n"/>
      <c r="F354" s="16" t="n"/>
      <c r="G354" s="52" t="n"/>
      <c r="H354" s="52" t="n"/>
      <c r="I354" s="53">
        <f>N(G354)+N(H354)</f>
        <v/>
      </c>
      <c r="J354" s="16" t="n"/>
      <c r="K354" s="16" t="n"/>
      <c r="L354" s="16" t="n"/>
      <c r="M354" s="16" t="n"/>
      <c r="N354" s="54">
        <f>IF(A354="","",EOMONTH(A354,-1)+1)</f>
        <v/>
      </c>
      <c r="O354" s="22">
        <f>IF(AND(N(A354)&gt;=N(01_Parametres!$B$11),N(A354)&lt;=N(01_Parametres!$B$12)),1,0)</f>
        <v/>
      </c>
      <c r="P354" s="74">
        <f>IF(E354="","",IFERROR(VLOOKUP(E354,02_Plan_Comptable!$A$5:$C$84,3,FALSE),""))</f>
        <v/>
      </c>
      <c r="Q354" s="74">
        <f>IF(F354="","",IFERROR(VLOOKUP(F354,02_Plan_Comptable!$A$5:$C$84,3,FALSE),""))</f>
        <v/>
      </c>
    </row>
    <row r="355">
      <c r="A355" s="51" t="n"/>
      <c r="B355" s="16" t="n"/>
      <c r="C355" s="16" t="n"/>
      <c r="D355" s="16" t="n"/>
      <c r="E355" s="16" t="n"/>
      <c r="F355" s="16" t="n"/>
      <c r="G355" s="52" t="n"/>
      <c r="H355" s="52" t="n"/>
      <c r="I355" s="53">
        <f>N(G355)+N(H355)</f>
        <v/>
      </c>
      <c r="J355" s="16" t="n"/>
      <c r="K355" s="16" t="n"/>
      <c r="L355" s="16" t="n"/>
      <c r="M355" s="16" t="n"/>
      <c r="N355" s="54">
        <f>IF(A355="","",EOMONTH(A355,-1)+1)</f>
        <v/>
      </c>
      <c r="O355" s="22">
        <f>IF(AND(N(A355)&gt;=N(01_Parametres!$B$11),N(A355)&lt;=N(01_Parametres!$B$12)),1,0)</f>
        <v/>
      </c>
      <c r="P355" s="74">
        <f>IF(E355="","",IFERROR(VLOOKUP(E355,02_Plan_Comptable!$A$5:$C$84,3,FALSE),""))</f>
        <v/>
      </c>
      <c r="Q355" s="74">
        <f>IF(F355="","",IFERROR(VLOOKUP(F355,02_Plan_Comptable!$A$5:$C$84,3,FALSE),""))</f>
        <v/>
      </c>
    </row>
    <row r="356">
      <c r="A356" s="51" t="n"/>
      <c r="B356" s="16" t="n"/>
      <c r="C356" s="16" t="n"/>
      <c r="D356" s="16" t="n"/>
      <c r="E356" s="16" t="n"/>
      <c r="F356" s="16" t="n"/>
      <c r="G356" s="52" t="n"/>
      <c r="H356" s="52" t="n"/>
      <c r="I356" s="53">
        <f>N(G356)+N(H356)</f>
        <v/>
      </c>
      <c r="J356" s="16" t="n"/>
      <c r="K356" s="16" t="n"/>
      <c r="L356" s="16" t="n"/>
      <c r="M356" s="16" t="n"/>
      <c r="N356" s="54">
        <f>IF(A356="","",EOMONTH(A356,-1)+1)</f>
        <v/>
      </c>
      <c r="O356" s="22">
        <f>IF(AND(N(A356)&gt;=N(01_Parametres!$B$11),N(A356)&lt;=N(01_Parametres!$B$12)),1,0)</f>
        <v/>
      </c>
      <c r="P356" s="74">
        <f>IF(E356="","",IFERROR(VLOOKUP(E356,02_Plan_Comptable!$A$5:$C$84,3,FALSE),""))</f>
        <v/>
      </c>
      <c r="Q356" s="74">
        <f>IF(F356="","",IFERROR(VLOOKUP(F356,02_Plan_Comptable!$A$5:$C$84,3,FALSE),""))</f>
        <v/>
      </c>
    </row>
    <row r="357">
      <c r="A357" s="51" t="n"/>
      <c r="B357" s="16" t="n"/>
      <c r="C357" s="16" t="n"/>
      <c r="D357" s="16" t="n"/>
      <c r="E357" s="16" t="n"/>
      <c r="F357" s="16" t="n"/>
      <c r="G357" s="52" t="n"/>
      <c r="H357" s="52" t="n"/>
      <c r="I357" s="53">
        <f>N(G357)+N(H357)</f>
        <v/>
      </c>
      <c r="J357" s="16" t="n"/>
      <c r="K357" s="16" t="n"/>
      <c r="L357" s="16" t="n"/>
      <c r="M357" s="16" t="n"/>
      <c r="N357" s="54">
        <f>IF(A357="","",EOMONTH(A357,-1)+1)</f>
        <v/>
      </c>
      <c r="O357" s="22">
        <f>IF(AND(N(A357)&gt;=N(01_Parametres!$B$11),N(A357)&lt;=N(01_Parametres!$B$12)),1,0)</f>
        <v/>
      </c>
      <c r="P357" s="74">
        <f>IF(E357="","",IFERROR(VLOOKUP(E357,02_Plan_Comptable!$A$5:$C$84,3,FALSE),""))</f>
        <v/>
      </c>
      <c r="Q357" s="74">
        <f>IF(F357="","",IFERROR(VLOOKUP(F357,02_Plan_Comptable!$A$5:$C$84,3,FALSE),""))</f>
        <v/>
      </c>
    </row>
    <row r="358">
      <c r="A358" s="51" t="n"/>
      <c r="B358" s="16" t="n"/>
      <c r="C358" s="16" t="n"/>
      <c r="D358" s="16" t="n"/>
      <c r="E358" s="16" t="n"/>
      <c r="F358" s="16" t="n"/>
      <c r="G358" s="52" t="n"/>
      <c r="H358" s="52" t="n"/>
      <c r="I358" s="53">
        <f>N(G358)+N(H358)</f>
        <v/>
      </c>
      <c r="J358" s="16" t="n"/>
      <c r="K358" s="16" t="n"/>
      <c r="L358" s="16" t="n"/>
      <c r="M358" s="16" t="n"/>
      <c r="N358" s="54">
        <f>IF(A358="","",EOMONTH(A358,-1)+1)</f>
        <v/>
      </c>
      <c r="O358" s="22">
        <f>IF(AND(N(A358)&gt;=N(01_Parametres!$B$11),N(A358)&lt;=N(01_Parametres!$B$12)),1,0)</f>
        <v/>
      </c>
      <c r="P358" s="74">
        <f>IF(E358="","",IFERROR(VLOOKUP(E358,02_Plan_Comptable!$A$5:$C$84,3,FALSE),""))</f>
        <v/>
      </c>
      <c r="Q358" s="74">
        <f>IF(F358="","",IFERROR(VLOOKUP(F358,02_Plan_Comptable!$A$5:$C$84,3,FALSE),""))</f>
        <v/>
      </c>
    </row>
    <row r="359">
      <c r="A359" s="51" t="n"/>
      <c r="B359" s="16" t="n"/>
      <c r="C359" s="16" t="n"/>
      <c r="D359" s="16" t="n"/>
      <c r="E359" s="16" t="n"/>
      <c r="F359" s="16" t="n"/>
      <c r="G359" s="52" t="n"/>
      <c r="H359" s="52" t="n"/>
      <c r="I359" s="53">
        <f>N(G359)+N(H359)</f>
        <v/>
      </c>
      <c r="J359" s="16" t="n"/>
      <c r="K359" s="16" t="n"/>
      <c r="L359" s="16" t="n"/>
      <c r="M359" s="16" t="n"/>
      <c r="N359" s="54">
        <f>IF(A359="","",EOMONTH(A359,-1)+1)</f>
        <v/>
      </c>
      <c r="O359" s="22">
        <f>IF(AND(N(A359)&gt;=N(01_Parametres!$B$11),N(A359)&lt;=N(01_Parametres!$B$12)),1,0)</f>
        <v/>
      </c>
      <c r="P359" s="74">
        <f>IF(E359="","",IFERROR(VLOOKUP(E359,02_Plan_Comptable!$A$5:$C$84,3,FALSE),""))</f>
        <v/>
      </c>
      <c r="Q359" s="74">
        <f>IF(F359="","",IFERROR(VLOOKUP(F359,02_Plan_Comptable!$A$5:$C$84,3,FALSE),""))</f>
        <v/>
      </c>
    </row>
    <row r="360">
      <c r="A360" s="51" t="n"/>
      <c r="B360" s="16" t="n"/>
      <c r="C360" s="16" t="n"/>
      <c r="D360" s="16" t="n"/>
      <c r="E360" s="16" t="n"/>
      <c r="F360" s="16" t="n"/>
      <c r="G360" s="52" t="n"/>
      <c r="H360" s="52" t="n"/>
      <c r="I360" s="53">
        <f>N(G360)+N(H360)</f>
        <v/>
      </c>
      <c r="J360" s="16" t="n"/>
      <c r="K360" s="16" t="n"/>
      <c r="L360" s="16" t="n"/>
      <c r="M360" s="16" t="n"/>
      <c r="N360" s="54">
        <f>IF(A360="","",EOMONTH(A360,-1)+1)</f>
        <v/>
      </c>
      <c r="O360" s="22">
        <f>IF(AND(N(A360)&gt;=N(01_Parametres!$B$11),N(A360)&lt;=N(01_Parametres!$B$12)),1,0)</f>
        <v/>
      </c>
      <c r="P360" s="74">
        <f>IF(E360="","",IFERROR(VLOOKUP(E360,02_Plan_Comptable!$A$5:$C$84,3,FALSE),""))</f>
        <v/>
      </c>
      <c r="Q360" s="74">
        <f>IF(F360="","",IFERROR(VLOOKUP(F360,02_Plan_Comptable!$A$5:$C$84,3,FALSE),""))</f>
        <v/>
      </c>
    </row>
    <row r="361">
      <c r="A361" s="51" t="n"/>
      <c r="B361" s="16" t="n"/>
      <c r="C361" s="16" t="n"/>
      <c r="D361" s="16" t="n"/>
      <c r="E361" s="16" t="n"/>
      <c r="F361" s="16" t="n"/>
      <c r="G361" s="52" t="n"/>
      <c r="H361" s="52" t="n"/>
      <c r="I361" s="53">
        <f>N(G361)+N(H361)</f>
        <v/>
      </c>
      <c r="J361" s="16" t="n"/>
      <c r="K361" s="16" t="n"/>
      <c r="L361" s="16" t="n"/>
      <c r="M361" s="16" t="n"/>
      <c r="N361" s="54">
        <f>IF(A361="","",EOMONTH(A361,-1)+1)</f>
        <v/>
      </c>
      <c r="O361" s="22">
        <f>IF(AND(N(A361)&gt;=N(01_Parametres!$B$11),N(A361)&lt;=N(01_Parametres!$B$12)),1,0)</f>
        <v/>
      </c>
      <c r="P361" s="74">
        <f>IF(E361="","",IFERROR(VLOOKUP(E361,02_Plan_Comptable!$A$5:$C$84,3,FALSE),""))</f>
        <v/>
      </c>
      <c r="Q361" s="74">
        <f>IF(F361="","",IFERROR(VLOOKUP(F361,02_Plan_Comptable!$A$5:$C$84,3,FALSE),""))</f>
        <v/>
      </c>
    </row>
    <row r="362">
      <c r="A362" s="51" t="n"/>
      <c r="B362" s="16" t="n"/>
      <c r="C362" s="16" t="n"/>
      <c r="D362" s="16" t="n"/>
      <c r="E362" s="16" t="n"/>
      <c r="F362" s="16" t="n"/>
      <c r="G362" s="52" t="n"/>
      <c r="H362" s="52" t="n"/>
      <c r="I362" s="53">
        <f>N(G362)+N(H362)</f>
        <v/>
      </c>
      <c r="J362" s="16" t="n"/>
      <c r="K362" s="16" t="n"/>
      <c r="L362" s="16" t="n"/>
      <c r="M362" s="16" t="n"/>
      <c r="N362" s="54">
        <f>IF(A362="","",EOMONTH(A362,-1)+1)</f>
        <v/>
      </c>
      <c r="O362" s="22">
        <f>IF(AND(N(A362)&gt;=N(01_Parametres!$B$11),N(A362)&lt;=N(01_Parametres!$B$12)),1,0)</f>
        <v/>
      </c>
      <c r="P362" s="74">
        <f>IF(E362="","",IFERROR(VLOOKUP(E362,02_Plan_Comptable!$A$5:$C$84,3,FALSE),""))</f>
        <v/>
      </c>
      <c r="Q362" s="74">
        <f>IF(F362="","",IFERROR(VLOOKUP(F362,02_Plan_Comptable!$A$5:$C$84,3,FALSE),""))</f>
        <v/>
      </c>
    </row>
    <row r="363">
      <c r="A363" s="51" t="n"/>
      <c r="B363" s="16" t="n"/>
      <c r="C363" s="16" t="n"/>
      <c r="D363" s="16" t="n"/>
      <c r="E363" s="16" t="n"/>
      <c r="F363" s="16" t="n"/>
      <c r="G363" s="52" t="n"/>
      <c r="H363" s="52" t="n"/>
      <c r="I363" s="53">
        <f>N(G363)+N(H363)</f>
        <v/>
      </c>
      <c r="J363" s="16" t="n"/>
      <c r="K363" s="16" t="n"/>
      <c r="L363" s="16" t="n"/>
      <c r="M363" s="16" t="n"/>
      <c r="N363" s="54">
        <f>IF(A363="","",EOMONTH(A363,-1)+1)</f>
        <v/>
      </c>
      <c r="O363" s="22">
        <f>IF(AND(N(A363)&gt;=N(01_Parametres!$B$11),N(A363)&lt;=N(01_Parametres!$B$12)),1,0)</f>
        <v/>
      </c>
      <c r="P363" s="74">
        <f>IF(E363="","",IFERROR(VLOOKUP(E363,02_Plan_Comptable!$A$5:$C$84,3,FALSE),""))</f>
        <v/>
      </c>
      <c r="Q363" s="74">
        <f>IF(F363="","",IFERROR(VLOOKUP(F363,02_Plan_Comptable!$A$5:$C$84,3,FALSE),""))</f>
        <v/>
      </c>
    </row>
    <row r="364">
      <c r="A364" s="51" t="n"/>
      <c r="B364" s="16" t="n"/>
      <c r="C364" s="16" t="n"/>
      <c r="D364" s="16" t="n"/>
      <c r="E364" s="16" t="n"/>
      <c r="F364" s="16" t="n"/>
      <c r="G364" s="52" t="n"/>
      <c r="H364" s="52" t="n"/>
      <c r="I364" s="53">
        <f>N(G364)+N(H364)</f>
        <v/>
      </c>
      <c r="J364" s="16" t="n"/>
      <c r="K364" s="16" t="n"/>
      <c r="L364" s="16" t="n"/>
      <c r="M364" s="16" t="n"/>
      <c r="N364" s="54">
        <f>IF(A364="","",EOMONTH(A364,-1)+1)</f>
        <v/>
      </c>
      <c r="O364" s="22">
        <f>IF(AND(N(A364)&gt;=N(01_Parametres!$B$11),N(A364)&lt;=N(01_Parametres!$B$12)),1,0)</f>
        <v/>
      </c>
      <c r="P364" s="74">
        <f>IF(E364="","",IFERROR(VLOOKUP(E364,02_Plan_Comptable!$A$5:$C$84,3,FALSE),""))</f>
        <v/>
      </c>
      <c r="Q364" s="74">
        <f>IF(F364="","",IFERROR(VLOOKUP(F364,02_Plan_Comptable!$A$5:$C$84,3,FALSE),""))</f>
        <v/>
      </c>
    </row>
    <row r="365">
      <c r="A365" s="51" t="n"/>
      <c r="B365" s="16" t="n"/>
      <c r="C365" s="16" t="n"/>
      <c r="D365" s="16" t="n"/>
      <c r="E365" s="16" t="n"/>
      <c r="F365" s="16" t="n"/>
      <c r="G365" s="52" t="n"/>
      <c r="H365" s="52" t="n"/>
      <c r="I365" s="53">
        <f>N(G365)+N(H365)</f>
        <v/>
      </c>
      <c r="J365" s="16" t="n"/>
      <c r="K365" s="16" t="n"/>
      <c r="L365" s="16" t="n"/>
      <c r="M365" s="16" t="n"/>
      <c r="N365" s="54">
        <f>IF(A365="","",EOMONTH(A365,-1)+1)</f>
        <v/>
      </c>
      <c r="O365" s="22">
        <f>IF(AND(N(A365)&gt;=N(01_Parametres!$B$11),N(A365)&lt;=N(01_Parametres!$B$12)),1,0)</f>
        <v/>
      </c>
      <c r="P365" s="74">
        <f>IF(E365="","",IFERROR(VLOOKUP(E365,02_Plan_Comptable!$A$5:$C$84,3,FALSE),""))</f>
        <v/>
      </c>
      <c r="Q365" s="74">
        <f>IF(F365="","",IFERROR(VLOOKUP(F365,02_Plan_Comptable!$A$5:$C$84,3,FALSE),""))</f>
        <v/>
      </c>
    </row>
    <row r="366">
      <c r="A366" s="51" t="n"/>
      <c r="B366" s="16" t="n"/>
      <c r="C366" s="16" t="n"/>
      <c r="D366" s="16" t="n"/>
      <c r="E366" s="16" t="n"/>
      <c r="F366" s="16" t="n"/>
      <c r="G366" s="52" t="n"/>
      <c r="H366" s="52" t="n"/>
      <c r="I366" s="53">
        <f>N(G366)+N(H366)</f>
        <v/>
      </c>
      <c r="J366" s="16" t="n"/>
      <c r="K366" s="16" t="n"/>
      <c r="L366" s="16" t="n"/>
      <c r="M366" s="16" t="n"/>
      <c r="N366" s="54">
        <f>IF(A366="","",EOMONTH(A366,-1)+1)</f>
        <v/>
      </c>
      <c r="O366" s="22">
        <f>IF(AND(N(A366)&gt;=N(01_Parametres!$B$11),N(A366)&lt;=N(01_Parametres!$B$12)),1,0)</f>
        <v/>
      </c>
      <c r="P366" s="74">
        <f>IF(E366="","",IFERROR(VLOOKUP(E366,02_Plan_Comptable!$A$5:$C$84,3,FALSE),""))</f>
        <v/>
      </c>
      <c r="Q366" s="74">
        <f>IF(F366="","",IFERROR(VLOOKUP(F366,02_Plan_Comptable!$A$5:$C$84,3,FALSE),""))</f>
        <v/>
      </c>
    </row>
    <row r="367">
      <c r="A367" s="51" t="n"/>
      <c r="B367" s="16" t="n"/>
      <c r="C367" s="16" t="n"/>
      <c r="D367" s="16" t="n"/>
      <c r="E367" s="16" t="n"/>
      <c r="F367" s="16" t="n"/>
      <c r="G367" s="52" t="n"/>
      <c r="H367" s="52" t="n"/>
      <c r="I367" s="53">
        <f>N(G367)+N(H367)</f>
        <v/>
      </c>
      <c r="J367" s="16" t="n"/>
      <c r="K367" s="16" t="n"/>
      <c r="L367" s="16" t="n"/>
      <c r="M367" s="16" t="n"/>
      <c r="N367" s="54">
        <f>IF(A367="","",EOMONTH(A367,-1)+1)</f>
        <v/>
      </c>
      <c r="O367" s="22">
        <f>IF(AND(N(A367)&gt;=N(01_Parametres!$B$11),N(A367)&lt;=N(01_Parametres!$B$12)),1,0)</f>
        <v/>
      </c>
      <c r="P367" s="74">
        <f>IF(E367="","",IFERROR(VLOOKUP(E367,02_Plan_Comptable!$A$5:$C$84,3,FALSE),""))</f>
        <v/>
      </c>
      <c r="Q367" s="74">
        <f>IF(F367="","",IFERROR(VLOOKUP(F367,02_Plan_Comptable!$A$5:$C$84,3,FALSE),""))</f>
        <v/>
      </c>
    </row>
    <row r="368">
      <c r="A368" s="51" t="n"/>
      <c r="B368" s="16" t="n"/>
      <c r="C368" s="16" t="n"/>
      <c r="D368" s="16" t="n"/>
      <c r="E368" s="16" t="n"/>
      <c r="F368" s="16" t="n"/>
      <c r="G368" s="52" t="n"/>
      <c r="H368" s="52" t="n"/>
      <c r="I368" s="53">
        <f>N(G368)+N(H368)</f>
        <v/>
      </c>
      <c r="J368" s="16" t="n"/>
      <c r="K368" s="16" t="n"/>
      <c r="L368" s="16" t="n"/>
      <c r="M368" s="16" t="n"/>
      <c r="N368" s="54">
        <f>IF(A368="","",EOMONTH(A368,-1)+1)</f>
        <v/>
      </c>
      <c r="O368" s="22">
        <f>IF(AND(N(A368)&gt;=N(01_Parametres!$B$11),N(A368)&lt;=N(01_Parametres!$B$12)),1,0)</f>
        <v/>
      </c>
      <c r="P368" s="74">
        <f>IF(E368="","",IFERROR(VLOOKUP(E368,02_Plan_Comptable!$A$5:$C$84,3,FALSE),""))</f>
        <v/>
      </c>
      <c r="Q368" s="74">
        <f>IF(F368="","",IFERROR(VLOOKUP(F368,02_Plan_Comptable!$A$5:$C$84,3,FALSE),""))</f>
        <v/>
      </c>
    </row>
    <row r="369">
      <c r="A369" s="51" t="n"/>
      <c r="B369" s="16" t="n"/>
      <c r="C369" s="16" t="n"/>
      <c r="D369" s="16" t="n"/>
      <c r="E369" s="16" t="n"/>
      <c r="F369" s="16" t="n"/>
      <c r="G369" s="52" t="n"/>
      <c r="H369" s="52" t="n"/>
      <c r="I369" s="53">
        <f>N(G369)+N(H369)</f>
        <v/>
      </c>
      <c r="J369" s="16" t="n"/>
      <c r="K369" s="16" t="n"/>
      <c r="L369" s="16" t="n"/>
      <c r="M369" s="16" t="n"/>
      <c r="N369" s="54">
        <f>IF(A369="","",EOMONTH(A369,-1)+1)</f>
        <v/>
      </c>
      <c r="O369" s="22">
        <f>IF(AND(N(A369)&gt;=N(01_Parametres!$B$11),N(A369)&lt;=N(01_Parametres!$B$12)),1,0)</f>
        <v/>
      </c>
      <c r="P369" s="74">
        <f>IF(E369="","",IFERROR(VLOOKUP(E369,02_Plan_Comptable!$A$5:$C$84,3,FALSE),""))</f>
        <v/>
      </c>
      <c r="Q369" s="74">
        <f>IF(F369="","",IFERROR(VLOOKUP(F369,02_Plan_Comptable!$A$5:$C$84,3,FALSE),""))</f>
        <v/>
      </c>
    </row>
    <row r="370">
      <c r="A370" s="51" t="n"/>
      <c r="B370" s="16" t="n"/>
      <c r="C370" s="16" t="n"/>
      <c r="D370" s="16" t="n"/>
      <c r="E370" s="16" t="n"/>
      <c r="F370" s="16" t="n"/>
      <c r="G370" s="52" t="n"/>
      <c r="H370" s="52" t="n"/>
      <c r="I370" s="53">
        <f>N(G370)+N(H370)</f>
        <v/>
      </c>
      <c r="J370" s="16" t="n"/>
      <c r="K370" s="16" t="n"/>
      <c r="L370" s="16" t="n"/>
      <c r="M370" s="16" t="n"/>
      <c r="N370" s="54">
        <f>IF(A370="","",EOMONTH(A370,-1)+1)</f>
        <v/>
      </c>
      <c r="O370" s="22">
        <f>IF(AND(N(A370)&gt;=N(01_Parametres!$B$11),N(A370)&lt;=N(01_Parametres!$B$12)),1,0)</f>
        <v/>
      </c>
      <c r="P370" s="74">
        <f>IF(E370="","",IFERROR(VLOOKUP(E370,02_Plan_Comptable!$A$5:$C$84,3,FALSE),""))</f>
        <v/>
      </c>
      <c r="Q370" s="74">
        <f>IF(F370="","",IFERROR(VLOOKUP(F370,02_Plan_Comptable!$A$5:$C$84,3,FALSE),""))</f>
        <v/>
      </c>
    </row>
    <row r="371">
      <c r="A371" s="51" t="n"/>
      <c r="B371" s="16" t="n"/>
      <c r="C371" s="16" t="n"/>
      <c r="D371" s="16" t="n"/>
      <c r="E371" s="16" t="n"/>
      <c r="F371" s="16" t="n"/>
      <c r="G371" s="52" t="n"/>
      <c r="H371" s="52" t="n"/>
      <c r="I371" s="53">
        <f>N(G371)+N(H371)</f>
        <v/>
      </c>
      <c r="J371" s="16" t="n"/>
      <c r="K371" s="16" t="n"/>
      <c r="L371" s="16" t="n"/>
      <c r="M371" s="16" t="n"/>
      <c r="N371" s="54">
        <f>IF(A371="","",EOMONTH(A371,-1)+1)</f>
        <v/>
      </c>
      <c r="O371" s="22">
        <f>IF(AND(N(A371)&gt;=N(01_Parametres!$B$11),N(A371)&lt;=N(01_Parametres!$B$12)),1,0)</f>
        <v/>
      </c>
      <c r="P371" s="74">
        <f>IF(E371="","",IFERROR(VLOOKUP(E371,02_Plan_Comptable!$A$5:$C$84,3,FALSE),""))</f>
        <v/>
      </c>
      <c r="Q371" s="74">
        <f>IF(F371="","",IFERROR(VLOOKUP(F371,02_Plan_Comptable!$A$5:$C$84,3,FALSE),""))</f>
        <v/>
      </c>
    </row>
    <row r="372">
      <c r="A372" s="51" t="n"/>
      <c r="B372" s="16" t="n"/>
      <c r="C372" s="16" t="n"/>
      <c r="D372" s="16" t="n"/>
      <c r="E372" s="16" t="n"/>
      <c r="F372" s="16" t="n"/>
      <c r="G372" s="52" t="n"/>
      <c r="H372" s="52" t="n"/>
      <c r="I372" s="53">
        <f>N(G372)+N(H372)</f>
        <v/>
      </c>
      <c r="J372" s="16" t="n"/>
      <c r="K372" s="16" t="n"/>
      <c r="L372" s="16" t="n"/>
      <c r="M372" s="16" t="n"/>
      <c r="N372" s="54">
        <f>IF(A372="","",EOMONTH(A372,-1)+1)</f>
        <v/>
      </c>
      <c r="O372" s="22">
        <f>IF(AND(N(A372)&gt;=N(01_Parametres!$B$11),N(A372)&lt;=N(01_Parametres!$B$12)),1,0)</f>
        <v/>
      </c>
      <c r="P372" s="74">
        <f>IF(E372="","",IFERROR(VLOOKUP(E372,02_Plan_Comptable!$A$5:$C$84,3,FALSE),""))</f>
        <v/>
      </c>
      <c r="Q372" s="74">
        <f>IF(F372="","",IFERROR(VLOOKUP(F372,02_Plan_Comptable!$A$5:$C$84,3,FALSE),""))</f>
        <v/>
      </c>
    </row>
    <row r="373">
      <c r="A373" s="51" t="n"/>
      <c r="B373" s="16" t="n"/>
      <c r="C373" s="16" t="n"/>
      <c r="D373" s="16" t="n"/>
      <c r="E373" s="16" t="n"/>
      <c r="F373" s="16" t="n"/>
      <c r="G373" s="52" t="n"/>
      <c r="H373" s="52" t="n"/>
      <c r="I373" s="53">
        <f>N(G373)+N(H373)</f>
        <v/>
      </c>
      <c r="J373" s="16" t="n"/>
      <c r="K373" s="16" t="n"/>
      <c r="L373" s="16" t="n"/>
      <c r="M373" s="16" t="n"/>
      <c r="N373" s="54">
        <f>IF(A373="","",EOMONTH(A373,-1)+1)</f>
        <v/>
      </c>
      <c r="O373" s="22">
        <f>IF(AND(N(A373)&gt;=N(01_Parametres!$B$11),N(A373)&lt;=N(01_Parametres!$B$12)),1,0)</f>
        <v/>
      </c>
      <c r="P373" s="74">
        <f>IF(E373="","",IFERROR(VLOOKUP(E373,02_Plan_Comptable!$A$5:$C$84,3,FALSE),""))</f>
        <v/>
      </c>
      <c r="Q373" s="74">
        <f>IF(F373="","",IFERROR(VLOOKUP(F373,02_Plan_Comptable!$A$5:$C$84,3,FALSE),""))</f>
        <v/>
      </c>
    </row>
    <row r="374">
      <c r="A374" s="51" t="n"/>
      <c r="B374" s="16" t="n"/>
      <c r="C374" s="16" t="n"/>
      <c r="D374" s="16" t="n"/>
      <c r="E374" s="16" t="n"/>
      <c r="F374" s="16" t="n"/>
      <c r="G374" s="52" t="n"/>
      <c r="H374" s="52" t="n"/>
      <c r="I374" s="53">
        <f>N(G374)+N(H374)</f>
        <v/>
      </c>
      <c r="J374" s="16" t="n"/>
      <c r="K374" s="16" t="n"/>
      <c r="L374" s="16" t="n"/>
      <c r="M374" s="16" t="n"/>
      <c r="N374" s="54">
        <f>IF(A374="","",EOMONTH(A374,-1)+1)</f>
        <v/>
      </c>
      <c r="O374" s="22">
        <f>IF(AND(N(A374)&gt;=N(01_Parametres!$B$11),N(A374)&lt;=N(01_Parametres!$B$12)),1,0)</f>
        <v/>
      </c>
      <c r="P374" s="74">
        <f>IF(E374="","",IFERROR(VLOOKUP(E374,02_Plan_Comptable!$A$5:$C$84,3,FALSE),""))</f>
        <v/>
      </c>
      <c r="Q374" s="74">
        <f>IF(F374="","",IFERROR(VLOOKUP(F374,02_Plan_Comptable!$A$5:$C$84,3,FALSE),""))</f>
        <v/>
      </c>
    </row>
    <row r="375">
      <c r="A375" s="51" t="n"/>
      <c r="B375" s="16" t="n"/>
      <c r="C375" s="16" t="n"/>
      <c r="D375" s="16" t="n"/>
      <c r="E375" s="16" t="n"/>
      <c r="F375" s="16" t="n"/>
      <c r="G375" s="52" t="n"/>
      <c r="H375" s="52" t="n"/>
      <c r="I375" s="53">
        <f>N(G375)+N(H375)</f>
        <v/>
      </c>
      <c r="J375" s="16" t="n"/>
      <c r="K375" s="16" t="n"/>
      <c r="L375" s="16" t="n"/>
      <c r="M375" s="16" t="n"/>
      <c r="N375" s="54">
        <f>IF(A375="","",EOMONTH(A375,-1)+1)</f>
        <v/>
      </c>
      <c r="O375" s="22">
        <f>IF(AND(N(A375)&gt;=N(01_Parametres!$B$11),N(A375)&lt;=N(01_Parametres!$B$12)),1,0)</f>
        <v/>
      </c>
      <c r="P375" s="74">
        <f>IF(E375="","",IFERROR(VLOOKUP(E375,02_Plan_Comptable!$A$5:$C$84,3,FALSE),""))</f>
        <v/>
      </c>
      <c r="Q375" s="74">
        <f>IF(F375="","",IFERROR(VLOOKUP(F375,02_Plan_Comptable!$A$5:$C$84,3,FALSE),""))</f>
        <v/>
      </c>
    </row>
    <row r="376">
      <c r="A376" s="51" t="n"/>
      <c r="B376" s="16" t="n"/>
      <c r="C376" s="16" t="n"/>
      <c r="D376" s="16" t="n"/>
      <c r="E376" s="16" t="n"/>
      <c r="F376" s="16" t="n"/>
      <c r="G376" s="52" t="n"/>
      <c r="H376" s="52" t="n"/>
      <c r="I376" s="53">
        <f>N(G376)+N(H376)</f>
        <v/>
      </c>
      <c r="J376" s="16" t="n"/>
      <c r="K376" s="16" t="n"/>
      <c r="L376" s="16" t="n"/>
      <c r="M376" s="16" t="n"/>
      <c r="N376" s="54">
        <f>IF(A376="","",EOMONTH(A376,-1)+1)</f>
        <v/>
      </c>
      <c r="O376" s="22">
        <f>IF(AND(N(A376)&gt;=N(01_Parametres!$B$11),N(A376)&lt;=N(01_Parametres!$B$12)),1,0)</f>
        <v/>
      </c>
      <c r="P376" s="74">
        <f>IF(E376="","",IFERROR(VLOOKUP(E376,02_Plan_Comptable!$A$5:$C$84,3,FALSE),""))</f>
        <v/>
      </c>
      <c r="Q376" s="74">
        <f>IF(F376="","",IFERROR(VLOOKUP(F376,02_Plan_Comptable!$A$5:$C$84,3,FALSE),""))</f>
        <v/>
      </c>
    </row>
    <row r="377">
      <c r="A377" s="51" t="n"/>
      <c r="B377" s="16" t="n"/>
      <c r="C377" s="16" t="n"/>
      <c r="D377" s="16" t="n"/>
      <c r="E377" s="16" t="n"/>
      <c r="F377" s="16" t="n"/>
      <c r="G377" s="52" t="n"/>
      <c r="H377" s="52" t="n"/>
      <c r="I377" s="53">
        <f>N(G377)+N(H377)</f>
        <v/>
      </c>
      <c r="J377" s="16" t="n"/>
      <c r="K377" s="16" t="n"/>
      <c r="L377" s="16" t="n"/>
      <c r="M377" s="16" t="n"/>
      <c r="N377" s="54">
        <f>IF(A377="","",EOMONTH(A377,-1)+1)</f>
        <v/>
      </c>
      <c r="O377" s="22">
        <f>IF(AND(N(A377)&gt;=N(01_Parametres!$B$11),N(A377)&lt;=N(01_Parametres!$B$12)),1,0)</f>
        <v/>
      </c>
      <c r="P377" s="74">
        <f>IF(E377="","",IFERROR(VLOOKUP(E377,02_Plan_Comptable!$A$5:$C$84,3,FALSE),""))</f>
        <v/>
      </c>
      <c r="Q377" s="74">
        <f>IF(F377="","",IFERROR(VLOOKUP(F377,02_Plan_Comptable!$A$5:$C$84,3,FALSE),""))</f>
        <v/>
      </c>
    </row>
    <row r="378">
      <c r="A378" s="51" t="n"/>
      <c r="B378" s="16" t="n"/>
      <c r="C378" s="16" t="n"/>
      <c r="D378" s="16" t="n"/>
      <c r="E378" s="16" t="n"/>
      <c r="F378" s="16" t="n"/>
      <c r="G378" s="52" t="n"/>
      <c r="H378" s="52" t="n"/>
      <c r="I378" s="53">
        <f>N(G378)+N(H378)</f>
        <v/>
      </c>
      <c r="J378" s="16" t="n"/>
      <c r="K378" s="16" t="n"/>
      <c r="L378" s="16" t="n"/>
      <c r="M378" s="16" t="n"/>
      <c r="N378" s="54">
        <f>IF(A378="","",EOMONTH(A378,-1)+1)</f>
        <v/>
      </c>
      <c r="O378" s="22">
        <f>IF(AND(N(A378)&gt;=N(01_Parametres!$B$11),N(A378)&lt;=N(01_Parametres!$B$12)),1,0)</f>
        <v/>
      </c>
      <c r="P378" s="74">
        <f>IF(E378="","",IFERROR(VLOOKUP(E378,02_Plan_Comptable!$A$5:$C$84,3,FALSE),""))</f>
        <v/>
      </c>
      <c r="Q378" s="74">
        <f>IF(F378="","",IFERROR(VLOOKUP(F378,02_Plan_Comptable!$A$5:$C$84,3,FALSE),""))</f>
        <v/>
      </c>
    </row>
    <row r="379">
      <c r="A379" s="51" t="n"/>
      <c r="B379" s="16" t="n"/>
      <c r="C379" s="16" t="n"/>
      <c r="D379" s="16" t="n"/>
      <c r="E379" s="16" t="n"/>
      <c r="F379" s="16" t="n"/>
      <c r="G379" s="52" t="n"/>
      <c r="H379" s="52" t="n"/>
      <c r="I379" s="53">
        <f>N(G379)+N(H379)</f>
        <v/>
      </c>
      <c r="J379" s="16" t="n"/>
      <c r="K379" s="16" t="n"/>
      <c r="L379" s="16" t="n"/>
      <c r="M379" s="16" t="n"/>
      <c r="N379" s="54">
        <f>IF(A379="","",EOMONTH(A379,-1)+1)</f>
        <v/>
      </c>
      <c r="O379" s="22">
        <f>IF(AND(N(A379)&gt;=N(01_Parametres!$B$11),N(A379)&lt;=N(01_Parametres!$B$12)),1,0)</f>
        <v/>
      </c>
      <c r="P379" s="74">
        <f>IF(E379="","",IFERROR(VLOOKUP(E379,02_Plan_Comptable!$A$5:$C$84,3,FALSE),""))</f>
        <v/>
      </c>
      <c r="Q379" s="74">
        <f>IF(F379="","",IFERROR(VLOOKUP(F379,02_Plan_Comptable!$A$5:$C$84,3,FALSE),""))</f>
        <v/>
      </c>
    </row>
    <row r="380">
      <c r="A380" s="51" t="n"/>
      <c r="B380" s="16" t="n"/>
      <c r="C380" s="16" t="n"/>
      <c r="D380" s="16" t="n"/>
      <c r="E380" s="16" t="n"/>
      <c r="F380" s="16" t="n"/>
      <c r="G380" s="52" t="n"/>
      <c r="H380" s="52" t="n"/>
      <c r="I380" s="53">
        <f>N(G380)+N(H380)</f>
        <v/>
      </c>
      <c r="J380" s="16" t="n"/>
      <c r="K380" s="16" t="n"/>
      <c r="L380" s="16" t="n"/>
      <c r="M380" s="16" t="n"/>
      <c r="N380" s="54">
        <f>IF(A380="","",EOMONTH(A380,-1)+1)</f>
        <v/>
      </c>
      <c r="O380" s="22">
        <f>IF(AND(N(A380)&gt;=N(01_Parametres!$B$11),N(A380)&lt;=N(01_Parametres!$B$12)),1,0)</f>
        <v/>
      </c>
      <c r="P380" s="74">
        <f>IF(E380="","",IFERROR(VLOOKUP(E380,02_Plan_Comptable!$A$5:$C$84,3,FALSE),""))</f>
        <v/>
      </c>
      <c r="Q380" s="74">
        <f>IF(F380="","",IFERROR(VLOOKUP(F380,02_Plan_Comptable!$A$5:$C$84,3,FALSE),""))</f>
        <v/>
      </c>
    </row>
    <row r="381">
      <c r="A381" s="51" t="n"/>
      <c r="B381" s="16" t="n"/>
      <c r="C381" s="16" t="n"/>
      <c r="D381" s="16" t="n"/>
      <c r="E381" s="16" t="n"/>
      <c r="F381" s="16" t="n"/>
      <c r="G381" s="52" t="n"/>
      <c r="H381" s="52" t="n"/>
      <c r="I381" s="53">
        <f>N(G381)+N(H381)</f>
        <v/>
      </c>
      <c r="J381" s="16" t="n"/>
      <c r="K381" s="16" t="n"/>
      <c r="L381" s="16" t="n"/>
      <c r="M381" s="16" t="n"/>
      <c r="N381" s="54">
        <f>IF(A381="","",EOMONTH(A381,-1)+1)</f>
        <v/>
      </c>
      <c r="O381" s="22">
        <f>IF(AND(N(A381)&gt;=N(01_Parametres!$B$11),N(A381)&lt;=N(01_Parametres!$B$12)),1,0)</f>
        <v/>
      </c>
      <c r="P381" s="74">
        <f>IF(E381="","",IFERROR(VLOOKUP(E381,02_Plan_Comptable!$A$5:$C$84,3,FALSE),""))</f>
        <v/>
      </c>
      <c r="Q381" s="74">
        <f>IF(F381="","",IFERROR(VLOOKUP(F381,02_Plan_Comptable!$A$5:$C$84,3,FALSE),""))</f>
        <v/>
      </c>
    </row>
    <row r="382">
      <c r="A382" s="51" t="n"/>
      <c r="B382" s="16" t="n"/>
      <c r="C382" s="16" t="n"/>
      <c r="D382" s="16" t="n"/>
      <c r="E382" s="16" t="n"/>
      <c r="F382" s="16" t="n"/>
      <c r="G382" s="52" t="n"/>
      <c r="H382" s="52" t="n"/>
      <c r="I382" s="53">
        <f>N(G382)+N(H382)</f>
        <v/>
      </c>
      <c r="J382" s="16" t="n"/>
      <c r="K382" s="16" t="n"/>
      <c r="L382" s="16" t="n"/>
      <c r="M382" s="16" t="n"/>
      <c r="N382" s="54">
        <f>IF(A382="","",EOMONTH(A382,-1)+1)</f>
        <v/>
      </c>
      <c r="O382" s="22">
        <f>IF(AND(N(A382)&gt;=N(01_Parametres!$B$11),N(A382)&lt;=N(01_Parametres!$B$12)),1,0)</f>
        <v/>
      </c>
      <c r="P382" s="74">
        <f>IF(E382="","",IFERROR(VLOOKUP(E382,02_Plan_Comptable!$A$5:$C$84,3,FALSE),""))</f>
        <v/>
      </c>
      <c r="Q382" s="74">
        <f>IF(F382="","",IFERROR(VLOOKUP(F382,02_Plan_Comptable!$A$5:$C$84,3,FALSE),""))</f>
        <v/>
      </c>
    </row>
    <row r="383">
      <c r="A383" s="51" t="n"/>
      <c r="B383" s="16" t="n"/>
      <c r="C383" s="16" t="n"/>
      <c r="D383" s="16" t="n"/>
      <c r="E383" s="16" t="n"/>
      <c r="F383" s="16" t="n"/>
      <c r="G383" s="52" t="n"/>
      <c r="H383" s="52" t="n"/>
      <c r="I383" s="53">
        <f>N(G383)+N(H383)</f>
        <v/>
      </c>
      <c r="J383" s="16" t="n"/>
      <c r="K383" s="16" t="n"/>
      <c r="L383" s="16" t="n"/>
      <c r="M383" s="16" t="n"/>
      <c r="N383" s="54">
        <f>IF(A383="","",EOMONTH(A383,-1)+1)</f>
        <v/>
      </c>
      <c r="O383" s="22">
        <f>IF(AND(N(A383)&gt;=N(01_Parametres!$B$11),N(A383)&lt;=N(01_Parametres!$B$12)),1,0)</f>
        <v/>
      </c>
      <c r="P383" s="74">
        <f>IF(E383="","",IFERROR(VLOOKUP(E383,02_Plan_Comptable!$A$5:$C$84,3,FALSE),""))</f>
        <v/>
      </c>
      <c r="Q383" s="74">
        <f>IF(F383="","",IFERROR(VLOOKUP(F383,02_Plan_Comptable!$A$5:$C$84,3,FALSE),""))</f>
        <v/>
      </c>
    </row>
    <row r="384">
      <c r="A384" s="51" t="n"/>
      <c r="B384" s="16" t="n"/>
      <c r="C384" s="16" t="n"/>
      <c r="D384" s="16" t="n"/>
      <c r="E384" s="16" t="n"/>
      <c r="F384" s="16" t="n"/>
      <c r="G384" s="52" t="n"/>
      <c r="H384" s="52" t="n"/>
      <c r="I384" s="53">
        <f>N(G384)+N(H384)</f>
        <v/>
      </c>
      <c r="J384" s="16" t="n"/>
      <c r="K384" s="16" t="n"/>
      <c r="L384" s="16" t="n"/>
      <c r="M384" s="16" t="n"/>
      <c r="N384" s="54">
        <f>IF(A384="","",EOMONTH(A384,-1)+1)</f>
        <v/>
      </c>
      <c r="O384" s="22">
        <f>IF(AND(N(A384)&gt;=N(01_Parametres!$B$11),N(A384)&lt;=N(01_Parametres!$B$12)),1,0)</f>
        <v/>
      </c>
      <c r="P384" s="74">
        <f>IF(E384="","",IFERROR(VLOOKUP(E384,02_Plan_Comptable!$A$5:$C$84,3,FALSE),""))</f>
        <v/>
      </c>
      <c r="Q384" s="74">
        <f>IF(F384="","",IFERROR(VLOOKUP(F384,02_Plan_Comptable!$A$5:$C$84,3,FALSE),""))</f>
        <v/>
      </c>
    </row>
    <row r="385">
      <c r="A385" s="51" t="n"/>
      <c r="B385" s="16" t="n"/>
      <c r="C385" s="16" t="n"/>
      <c r="D385" s="16" t="n"/>
      <c r="E385" s="16" t="n"/>
      <c r="F385" s="16" t="n"/>
      <c r="G385" s="52" t="n"/>
      <c r="H385" s="52" t="n"/>
      <c r="I385" s="53">
        <f>N(G385)+N(H385)</f>
        <v/>
      </c>
      <c r="J385" s="16" t="n"/>
      <c r="K385" s="16" t="n"/>
      <c r="L385" s="16" t="n"/>
      <c r="M385" s="16" t="n"/>
      <c r="N385" s="54">
        <f>IF(A385="","",EOMONTH(A385,-1)+1)</f>
        <v/>
      </c>
      <c r="O385" s="22">
        <f>IF(AND(N(A385)&gt;=N(01_Parametres!$B$11),N(A385)&lt;=N(01_Parametres!$B$12)),1,0)</f>
        <v/>
      </c>
      <c r="P385" s="74">
        <f>IF(E385="","",IFERROR(VLOOKUP(E385,02_Plan_Comptable!$A$5:$C$84,3,FALSE),""))</f>
        <v/>
      </c>
      <c r="Q385" s="74">
        <f>IF(F385="","",IFERROR(VLOOKUP(F385,02_Plan_Comptable!$A$5:$C$84,3,FALSE),""))</f>
        <v/>
      </c>
    </row>
    <row r="386">
      <c r="A386" s="51" t="n"/>
      <c r="B386" s="16" t="n"/>
      <c r="C386" s="16" t="n"/>
      <c r="D386" s="16" t="n"/>
      <c r="E386" s="16" t="n"/>
      <c r="F386" s="16" t="n"/>
      <c r="G386" s="52" t="n"/>
      <c r="H386" s="52" t="n"/>
      <c r="I386" s="53">
        <f>N(G386)+N(H386)</f>
        <v/>
      </c>
      <c r="J386" s="16" t="n"/>
      <c r="K386" s="16" t="n"/>
      <c r="L386" s="16" t="n"/>
      <c r="M386" s="16" t="n"/>
      <c r="N386" s="54">
        <f>IF(A386="","",EOMONTH(A386,-1)+1)</f>
        <v/>
      </c>
      <c r="O386" s="22">
        <f>IF(AND(N(A386)&gt;=N(01_Parametres!$B$11),N(A386)&lt;=N(01_Parametres!$B$12)),1,0)</f>
        <v/>
      </c>
      <c r="P386" s="74">
        <f>IF(E386="","",IFERROR(VLOOKUP(E386,02_Plan_Comptable!$A$5:$C$84,3,FALSE),""))</f>
        <v/>
      </c>
      <c r="Q386" s="74">
        <f>IF(F386="","",IFERROR(VLOOKUP(F386,02_Plan_Comptable!$A$5:$C$84,3,FALSE),""))</f>
        <v/>
      </c>
    </row>
    <row r="387">
      <c r="A387" s="51" t="n"/>
      <c r="B387" s="16" t="n"/>
      <c r="C387" s="16" t="n"/>
      <c r="D387" s="16" t="n"/>
      <c r="E387" s="16" t="n"/>
      <c r="F387" s="16" t="n"/>
      <c r="G387" s="52" t="n"/>
      <c r="H387" s="52" t="n"/>
      <c r="I387" s="53">
        <f>N(G387)+N(H387)</f>
        <v/>
      </c>
      <c r="J387" s="16" t="n"/>
      <c r="K387" s="16" t="n"/>
      <c r="L387" s="16" t="n"/>
      <c r="M387" s="16" t="n"/>
      <c r="N387" s="54">
        <f>IF(A387="","",EOMONTH(A387,-1)+1)</f>
        <v/>
      </c>
      <c r="O387" s="22">
        <f>IF(AND(N(A387)&gt;=N(01_Parametres!$B$11),N(A387)&lt;=N(01_Parametres!$B$12)),1,0)</f>
        <v/>
      </c>
      <c r="P387" s="74">
        <f>IF(E387="","",IFERROR(VLOOKUP(E387,02_Plan_Comptable!$A$5:$C$84,3,FALSE),""))</f>
        <v/>
      </c>
      <c r="Q387" s="74">
        <f>IF(F387="","",IFERROR(VLOOKUP(F387,02_Plan_Comptable!$A$5:$C$84,3,FALSE),""))</f>
        <v/>
      </c>
    </row>
    <row r="388">
      <c r="A388" s="51" t="n"/>
      <c r="B388" s="16" t="n"/>
      <c r="C388" s="16" t="n"/>
      <c r="D388" s="16" t="n"/>
      <c r="E388" s="16" t="n"/>
      <c r="F388" s="16" t="n"/>
      <c r="G388" s="52" t="n"/>
      <c r="H388" s="52" t="n"/>
      <c r="I388" s="53">
        <f>N(G388)+N(H388)</f>
        <v/>
      </c>
      <c r="J388" s="16" t="n"/>
      <c r="K388" s="16" t="n"/>
      <c r="L388" s="16" t="n"/>
      <c r="M388" s="16" t="n"/>
      <c r="N388" s="54">
        <f>IF(A388="","",EOMONTH(A388,-1)+1)</f>
        <v/>
      </c>
      <c r="O388" s="22">
        <f>IF(AND(N(A388)&gt;=N(01_Parametres!$B$11),N(A388)&lt;=N(01_Parametres!$B$12)),1,0)</f>
        <v/>
      </c>
      <c r="P388" s="74">
        <f>IF(E388="","",IFERROR(VLOOKUP(E388,02_Plan_Comptable!$A$5:$C$84,3,FALSE),""))</f>
        <v/>
      </c>
      <c r="Q388" s="74">
        <f>IF(F388="","",IFERROR(VLOOKUP(F388,02_Plan_Comptable!$A$5:$C$84,3,FALSE),""))</f>
        <v/>
      </c>
    </row>
    <row r="389">
      <c r="A389" s="51" t="n"/>
      <c r="B389" s="16" t="n"/>
      <c r="C389" s="16" t="n"/>
      <c r="D389" s="16" t="n"/>
      <c r="E389" s="16" t="n"/>
      <c r="F389" s="16" t="n"/>
      <c r="G389" s="52" t="n"/>
      <c r="H389" s="52" t="n"/>
      <c r="I389" s="53">
        <f>N(G389)+N(H389)</f>
        <v/>
      </c>
      <c r="J389" s="16" t="n"/>
      <c r="K389" s="16" t="n"/>
      <c r="L389" s="16" t="n"/>
      <c r="M389" s="16" t="n"/>
      <c r="N389" s="54">
        <f>IF(A389="","",EOMONTH(A389,-1)+1)</f>
        <v/>
      </c>
      <c r="O389" s="22">
        <f>IF(AND(N(A389)&gt;=N(01_Parametres!$B$11),N(A389)&lt;=N(01_Parametres!$B$12)),1,0)</f>
        <v/>
      </c>
      <c r="P389" s="74">
        <f>IF(E389="","",IFERROR(VLOOKUP(E389,02_Plan_Comptable!$A$5:$C$84,3,FALSE),""))</f>
        <v/>
      </c>
      <c r="Q389" s="74">
        <f>IF(F389="","",IFERROR(VLOOKUP(F389,02_Plan_Comptable!$A$5:$C$84,3,FALSE),""))</f>
        <v/>
      </c>
    </row>
    <row r="390">
      <c r="A390" s="51" t="n"/>
      <c r="B390" s="16" t="n"/>
      <c r="C390" s="16" t="n"/>
      <c r="D390" s="16" t="n"/>
      <c r="E390" s="16" t="n"/>
      <c r="F390" s="16" t="n"/>
      <c r="G390" s="52" t="n"/>
      <c r="H390" s="52" t="n"/>
      <c r="I390" s="53">
        <f>N(G390)+N(H390)</f>
        <v/>
      </c>
      <c r="J390" s="16" t="n"/>
      <c r="K390" s="16" t="n"/>
      <c r="L390" s="16" t="n"/>
      <c r="M390" s="16" t="n"/>
      <c r="N390" s="54">
        <f>IF(A390="","",EOMONTH(A390,-1)+1)</f>
        <v/>
      </c>
      <c r="O390" s="22">
        <f>IF(AND(N(A390)&gt;=N(01_Parametres!$B$11),N(A390)&lt;=N(01_Parametres!$B$12)),1,0)</f>
        <v/>
      </c>
      <c r="P390" s="74">
        <f>IF(E390="","",IFERROR(VLOOKUP(E390,02_Plan_Comptable!$A$5:$C$84,3,FALSE),""))</f>
        <v/>
      </c>
      <c r="Q390" s="74">
        <f>IF(F390="","",IFERROR(VLOOKUP(F390,02_Plan_Comptable!$A$5:$C$84,3,FALSE),""))</f>
        <v/>
      </c>
    </row>
    <row r="391">
      <c r="A391" s="51" t="n"/>
      <c r="B391" s="16" t="n"/>
      <c r="C391" s="16" t="n"/>
      <c r="D391" s="16" t="n"/>
      <c r="E391" s="16" t="n"/>
      <c r="F391" s="16" t="n"/>
      <c r="G391" s="52" t="n"/>
      <c r="H391" s="52" t="n"/>
      <c r="I391" s="53">
        <f>N(G391)+N(H391)</f>
        <v/>
      </c>
      <c r="J391" s="16" t="n"/>
      <c r="K391" s="16" t="n"/>
      <c r="L391" s="16" t="n"/>
      <c r="M391" s="16" t="n"/>
      <c r="N391" s="54">
        <f>IF(A391="","",EOMONTH(A391,-1)+1)</f>
        <v/>
      </c>
      <c r="O391" s="22">
        <f>IF(AND(N(A391)&gt;=N(01_Parametres!$B$11),N(A391)&lt;=N(01_Parametres!$B$12)),1,0)</f>
        <v/>
      </c>
      <c r="P391" s="74">
        <f>IF(E391="","",IFERROR(VLOOKUP(E391,02_Plan_Comptable!$A$5:$C$84,3,FALSE),""))</f>
        <v/>
      </c>
      <c r="Q391" s="74">
        <f>IF(F391="","",IFERROR(VLOOKUP(F391,02_Plan_Comptable!$A$5:$C$84,3,FALSE),""))</f>
        <v/>
      </c>
    </row>
    <row r="392">
      <c r="A392" s="51" t="n"/>
      <c r="B392" s="16" t="n"/>
      <c r="C392" s="16" t="n"/>
      <c r="D392" s="16" t="n"/>
      <c r="E392" s="16" t="n"/>
      <c r="F392" s="16" t="n"/>
      <c r="G392" s="52" t="n"/>
      <c r="H392" s="52" t="n"/>
      <c r="I392" s="53">
        <f>N(G392)+N(H392)</f>
        <v/>
      </c>
      <c r="J392" s="16" t="n"/>
      <c r="K392" s="16" t="n"/>
      <c r="L392" s="16" t="n"/>
      <c r="M392" s="16" t="n"/>
      <c r="N392" s="54">
        <f>IF(A392="","",EOMONTH(A392,-1)+1)</f>
        <v/>
      </c>
      <c r="O392" s="22">
        <f>IF(AND(N(A392)&gt;=N(01_Parametres!$B$11),N(A392)&lt;=N(01_Parametres!$B$12)),1,0)</f>
        <v/>
      </c>
      <c r="P392" s="74">
        <f>IF(E392="","",IFERROR(VLOOKUP(E392,02_Plan_Comptable!$A$5:$C$84,3,FALSE),""))</f>
        <v/>
      </c>
      <c r="Q392" s="74">
        <f>IF(F392="","",IFERROR(VLOOKUP(F392,02_Plan_Comptable!$A$5:$C$84,3,FALSE),""))</f>
        <v/>
      </c>
    </row>
    <row r="393">
      <c r="A393" s="51" t="n"/>
      <c r="B393" s="16" t="n"/>
      <c r="C393" s="16" t="n"/>
      <c r="D393" s="16" t="n"/>
      <c r="E393" s="16" t="n"/>
      <c r="F393" s="16" t="n"/>
      <c r="G393" s="52" t="n"/>
      <c r="H393" s="52" t="n"/>
      <c r="I393" s="53">
        <f>N(G393)+N(H393)</f>
        <v/>
      </c>
      <c r="J393" s="16" t="n"/>
      <c r="K393" s="16" t="n"/>
      <c r="L393" s="16" t="n"/>
      <c r="M393" s="16" t="n"/>
      <c r="N393" s="54">
        <f>IF(A393="","",EOMONTH(A393,-1)+1)</f>
        <v/>
      </c>
      <c r="O393" s="22">
        <f>IF(AND(N(A393)&gt;=N(01_Parametres!$B$11),N(A393)&lt;=N(01_Parametres!$B$12)),1,0)</f>
        <v/>
      </c>
      <c r="P393" s="74">
        <f>IF(E393="","",IFERROR(VLOOKUP(E393,02_Plan_Comptable!$A$5:$C$84,3,FALSE),""))</f>
        <v/>
      </c>
      <c r="Q393" s="74">
        <f>IF(F393="","",IFERROR(VLOOKUP(F393,02_Plan_Comptable!$A$5:$C$84,3,FALSE),""))</f>
        <v/>
      </c>
    </row>
    <row r="394">
      <c r="A394" s="51" t="n"/>
      <c r="B394" s="16" t="n"/>
      <c r="C394" s="16" t="n"/>
      <c r="D394" s="16" t="n"/>
      <c r="E394" s="16" t="n"/>
      <c r="F394" s="16" t="n"/>
      <c r="G394" s="52" t="n"/>
      <c r="H394" s="52" t="n"/>
      <c r="I394" s="53">
        <f>N(G394)+N(H394)</f>
        <v/>
      </c>
      <c r="J394" s="16" t="n"/>
      <c r="K394" s="16" t="n"/>
      <c r="L394" s="16" t="n"/>
      <c r="M394" s="16" t="n"/>
      <c r="N394" s="54">
        <f>IF(A394="","",EOMONTH(A394,-1)+1)</f>
        <v/>
      </c>
      <c r="O394" s="22">
        <f>IF(AND(N(A394)&gt;=N(01_Parametres!$B$11),N(A394)&lt;=N(01_Parametres!$B$12)),1,0)</f>
        <v/>
      </c>
      <c r="P394" s="74">
        <f>IF(E394="","",IFERROR(VLOOKUP(E394,02_Plan_Comptable!$A$5:$C$84,3,FALSE),""))</f>
        <v/>
      </c>
      <c r="Q394" s="74">
        <f>IF(F394="","",IFERROR(VLOOKUP(F394,02_Plan_Comptable!$A$5:$C$84,3,FALSE),""))</f>
        <v/>
      </c>
    </row>
    <row r="395">
      <c r="A395" s="51" t="n"/>
      <c r="B395" s="16" t="n"/>
      <c r="C395" s="16" t="n"/>
      <c r="D395" s="16" t="n"/>
      <c r="E395" s="16" t="n"/>
      <c r="F395" s="16" t="n"/>
      <c r="G395" s="52" t="n"/>
      <c r="H395" s="52" t="n"/>
      <c r="I395" s="53">
        <f>N(G395)+N(H395)</f>
        <v/>
      </c>
      <c r="J395" s="16" t="n"/>
      <c r="K395" s="16" t="n"/>
      <c r="L395" s="16" t="n"/>
      <c r="M395" s="16" t="n"/>
      <c r="N395" s="54">
        <f>IF(A395="","",EOMONTH(A395,-1)+1)</f>
        <v/>
      </c>
      <c r="O395" s="22">
        <f>IF(AND(N(A395)&gt;=N(01_Parametres!$B$11),N(A395)&lt;=N(01_Parametres!$B$12)),1,0)</f>
        <v/>
      </c>
      <c r="P395" s="74">
        <f>IF(E395="","",IFERROR(VLOOKUP(E395,02_Plan_Comptable!$A$5:$C$84,3,FALSE),""))</f>
        <v/>
      </c>
      <c r="Q395" s="74">
        <f>IF(F395="","",IFERROR(VLOOKUP(F395,02_Plan_Comptable!$A$5:$C$84,3,FALSE),""))</f>
        <v/>
      </c>
    </row>
    <row r="396">
      <c r="A396" s="51" t="n"/>
      <c r="B396" s="16" t="n"/>
      <c r="C396" s="16" t="n"/>
      <c r="D396" s="16" t="n"/>
      <c r="E396" s="16" t="n"/>
      <c r="F396" s="16" t="n"/>
      <c r="G396" s="52" t="n"/>
      <c r="H396" s="52" t="n"/>
      <c r="I396" s="53">
        <f>N(G396)+N(H396)</f>
        <v/>
      </c>
      <c r="J396" s="16" t="n"/>
      <c r="K396" s="16" t="n"/>
      <c r="L396" s="16" t="n"/>
      <c r="M396" s="16" t="n"/>
      <c r="N396" s="54">
        <f>IF(A396="","",EOMONTH(A396,-1)+1)</f>
        <v/>
      </c>
      <c r="O396" s="22">
        <f>IF(AND(N(A396)&gt;=N(01_Parametres!$B$11),N(A396)&lt;=N(01_Parametres!$B$12)),1,0)</f>
        <v/>
      </c>
      <c r="P396" s="74">
        <f>IF(E396="","",IFERROR(VLOOKUP(E396,02_Plan_Comptable!$A$5:$C$84,3,FALSE),""))</f>
        <v/>
      </c>
      <c r="Q396" s="74">
        <f>IF(F396="","",IFERROR(VLOOKUP(F396,02_Plan_Comptable!$A$5:$C$84,3,FALSE),""))</f>
        <v/>
      </c>
    </row>
    <row r="397">
      <c r="A397" s="51" t="n"/>
      <c r="B397" s="16" t="n"/>
      <c r="C397" s="16" t="n"/>
      <c r="D397" s="16" t="n"/>
      <c r="E397" s="16" t="n"/>
      <c r="F397" s="16" t="n"/>
      <c r="G397" s="52" t="n"/>
      <c r="H397" s="52" t="n"/>
      <c r="I397" s="53">
        <f>N(G397)+N(H397)</f>
        <v/>
      </c>
      <c r="J397" s="16" t="n"/>
      <c r="K397" s="16" t="n"/>
      <c r="L397" s="16" t="n"/>
      <c r="M397" s="16" t="n"/>
      <c r="N397" s="54">
        <f>IF(A397="","",EOMONTH(A397,-1)+1)</f>
        <v/>
      </c>
      <c r="O397" s="22">
        <f>IF(AND(N(A397)&gt;=N(01_Parametres!$B$11),N(A397)&lt;=N(01_Parametres!$B$12)),1,0)</f>
        <v/>
      </c>
      <c r="P397" s="74">
        <f>IF(E397="","",IFERROR(VLOOKUP(E397,02_Plan_Comptable!$A$5:$C$84,3,FALSE),""))</f>
        <v/>
      </c>
      <c r="Q397" s="74">
        <f>IF(F397="","",IFERROR(VLOOKUP(F397,02_Plan_Comptable!$A$5:$C$84,3,FALSE),""))</f>
        <v/>
      </c>
    </row>
    <row r="398">
      <c r="A398" s="51" t="n"/>
      <c r="B398" s="16" t="n"/>
      <c r="C398" s="16" t="n"/>
      <c r="D398" s="16" t="n"/>
      <c r="E398" s="16" t="n"/>
      <c r="F398" s="16" t="n"/>
      <c r="G398" s="52" t="n"/>
      <c r="H398" s="52" t="n"/>
      <c r="I398" s="53">
        <f>N(G398)+N(H398)</f>
        <v/>
      </c>
      <c r="J398" s="16" t="n"/>
      <c r="K398" s="16" t="n"/>
      <c r="L398" s="16" t="n"/>
      <c r="M398" s="16" t="n"/>
      <c r="N398" s="54">
        <f>IF(A398="","",EOMONTH(A398,-1)+1)</f>
        <v/>
      </c>
      <c r="O398" s="22">
        <f>IF(AND(N(A398)&gt;=N(01_Parametres!$B$11),N(A398)&lt;=N(01_Parametres!$B$12)),1,0)</f>
        <v/>
      </c>
      <c r="P398" s="74">
        <f>IF(E398="","",IFERROR(VLOOKUP(E398,02_Plan_Comptable!$A$5:$C$84,3,FALSE),""))</f>
        <v/>
      </c>
      <c r="Q398" s="74">
        <f>IF(F398="","",IFERROR(VLOOKUP(F398,02_Plan_Comptable!$A$5:$C$84,3,FALSE),""))</f>
        <v/>
      </c>
    </row>
    <row r="399">
      <c r="A399" s="51" t="n"/>
      <c r="B399" s="16" t="n"/>
      <c r="C399" s="16" t="n"/>
      <c r="D399" s="16" t="n"/>
      <c r="E399" s="16" t="n"/>
      <c r="F399" s="16" t="n"/>
      <c r="G399" s="52" t="n"/>
      <c r="H399" s="52" t="n"/>
      <c r="I399" s="53">
        <f>N(G399)+N(H399)</f>
        <v/>
      </c>
      <c r="J399" s="16" t="n"/>
      <c r="K399" s="16" t="n"/>
      <c r="L399" s="16" t="n"/>
      <c r="M399" s="16" t="n"/>
      <c r="N399" s="54">
        <f>IF(A399="","",EOMONTH(A399,-1)+1)</f>
        <v/>
      </c>
      <c r="O399" s="22">
        <f>IF(AND(N(A399)&gt;=N(01_Parametres!$B$11),N(A399)&lt;=N(01_Parametres!$B$12)),1,0)</f>
        <v/>
      </c>
      <c r="P399" s="74">
        <f>IF(E399="","",IFERROR(VLOOKUP(E399,02_Plan_Comptable!$A$5:$C$84,3,FALSE),""))</f>
        <v/>
      </c>
      <c r="Q399" s="74">
        <f>IF(F399="","",IFERROR(VLOOKUP(F399,02_Plan_Comptable!$A$5:$C$84,3,FALSE),""))</f>
        <v/>
      </c>
    </row>
    <row r="400">
      <c r="A400" s="51" t="n"/>
      <c r="B400" s="16" t="n"/>
      <c r="C400" s="16" t="n"/>
      <c r="D400" s="16" t="n"/>
      <c r="E400" s="16" t="n"/>
      <c r="F400" s="16" t="n"/>
      <c r="G400" s="52" t="n"/>
      <c r="H400" s="52" t="n"/>
      <c r="I400" s="53">
        <f>N(G400)+N(H400)</f>
        <v/>
      </c>
      <c r="J400" s="16" t="n"/>
      <c r="K400" s="16" t="n"/>
      <c r="L400" s="16" t="n"/>
      <c r="M400" s="16" t="n"/>
      <c r="N400" s="54">
        <f>IF(A400="","",EOMONTH(A400,-1)+1)</f>
        <v/>
      </c>
      <c r="O400" s="22">
        <f>IF(AND(N(A400)&gt;=N(01_Parametres!$B$11),N(A400)&lt;=N(01_Parametres!$B$12)),1,0)</f>
        <v/>
      </c>
      <c r="P400" s="74">
        <f>IF(E400="","",IFERROR(VLOOKUP(E400,02_Plan_Comptable!$A$5:$C$84,3,FALSE),""))</f>
        <v/>
      </c>
      <c r="Q400" s="74">
        <f>IF(F400="","",IFERROR(VLOOKUP(F400,02_Plan_Comptable!$A$5:$C$84,3,FALSE),""))</f>
        <v/>
      </c>
    </row>
    <row r="401">
      <c r="A401" s="51" t="n"/>
      <c r="B401" s="16" t="n"/>
      <c r="C401" s="16" t="n"/>
      <c r="D401" s="16" t="n"/>
      <c r="E401" s="16" t="n"/>
      <c r="F401" s="16" t="n"/>
      <c r="G401" s="52" t="n"/>
      <c r="H401" s="52" t="n"/>
      <c r="I401" s="53">
        <f>N(G401)+N(H401)</f>
        <v/>
      </c>
      <c r="J401" s="16" t="n"/>
      <c r="K401" s="16" t="n"/>
      <c r="L401" s="16" t="n"/>
      <c r="M401" s="16" t="n"/>
      <c r="N401" s="54">
        <f>IF(A401="","",EOMONTH(A401,-1)+1)</f>
        <v/>
      </c>
      <c r="O401" s="22">
        <f>IF(AND(N(A401)&gt;=N(01_Parametres!$B$11),N(A401)&lt;=N(01_Parametres!$B$12)),1,0)</f>
        <v/>
      </c>
      <c r="P401" s="74">
        <f>IF(E401="","",IFERROR(VLOOKUP(E401,02_Plan_Comptable!$A$5:$C$84,3,FALSE),""))</f>
        <v/>
      </c>
      <c r="Q401" s="74">
        <f>IF(F401="","",IFERROR(VLOOKUP(F401,02_Plan_Comptable!$A$5:$C$84,3,FALSE),""))</f>
        <v/>
      </c>
    </row>
    <row r="402">
      <c r="A402" s="51" t="n"/>
      <c r="B402" s="16" t="n"/>
      <c r="C402" s="16" t="n"/>
      <c r="D402" s="16" t="n"/>
      <c r="E402" s="16" t="n"/>
      <c r="F402" s="16" t="n"/>
      <c r="G402" s="52" t="n"/>
      <c r="H402" s="52" t="n"/>
      <c r="I402" s="53">
        <f>N(G402)+N(H402)</f>
        <v/>
      </c>
      <c r="J402" s="16" t="n"/>
      <c r="K402" s="16" t="n"/>
      <c r="L402" s="16" t="n"/>
      <c r="M402" s="16" t="n"/>
      <c r="N402" s="54">
        <f>IF(A402="","",EOMONTH(A402,-1)+1)</f>
        <v/>
      </c>
      <c r="O402" s="22">
        <f>IF(AND(N(A402)&gt;=N(01_Parametres!$B$11),N(A402)&lt;=N(01_Parametres!$B$12)),1,0)</f>
        <v/>
      </c>
      <c r="P402" s="74">
        <f>IF(E402="","",IFERROR(VLOOKUP(E402,02_Plan_Comptable!$A$5:$C$84,3,FALSE),""))</f>
        <v/>
      </c>
      <c r="Q402" s="74">
        <f>IF(F402="","",IFERROR(VLOOKUP(F402,02_Plan_Comptable!$A$5:$C$84,3,FALSE),""))</f>
        <v/>
      </c>
    </row>
    <row r="403">
      <c r="A403" s="51" t="n"/>
      <c r="B403" s="16" t="n"/>
      <c r="C403" s="16" t="n"/>
      <c r="D403" s="16" t="n"/>
      <c r="E403" s="16" t="n"/>
      <c r="F403" s="16" t="n"/>
      <c r="G403" s="52" t="n"/>
      <c r="H403" s="52" t="n"/>
      <c r="I403" s="53">
        <f>N(G403)+N(H403)</f>
        <v/>
      </c>
      <c r="J403" s="16" t="n"/>
      <c r="K403" s="16" t="n"/>
      <c r="L403" s="16" t="n"/>
      <c r="M403" s="16" t="n"/>
      <c r="N403" s="54">
        <f>IF(A403="","",EOMONTH(A403,-1)+1)</f>
        <v/>
      </c>
      <c r="O403" s="22">
        <f>IF(AND(N(A403)&gt;=N(01_Parametres!$B$11),N(A403)&lt;=N(01_Parametres!$B$12)),1,0)</f>
        <v/>
      </c>
      <c r="P403" s="74">
        <f>IF(E403="","",IFERROR(VLOOKUP(E403,02_Plan_Comptable!$A$5:$C$84,3,FALSE),""))</f>
        <v/>
      </c>
      <c r="Q403" s="74">
        <f>IF(F403="","",IFERROR(VLOOKUP(F403,02_Plan_Comptable!$A$5:$C$84,3,FALSE),""))</f>
        <v/>
      </c>
    </row>
    <row r="404">
      <c r="A404" s="51" t="n"/>
      <c r="B404" s="16" t="n"/>
      <c r="C404" s="16" t="n"/>
      <c r="D404" s="16" t="n"/>
      <c r="E404" s="16" t="n"/>
      <c r="F404" s="16" t="n"/>
      <c r="G404" s="52" t="n"/>
      <c r="H404" s="52" t="n"/>
      <c r="I404" s="53">
        <f>N(G404)+N(H404)</f>
        <v/>
      </c>
      <c r="J404" s="16" t="n"/>
      <c r="K404" s="16" t="n"/>
      <c r="L404" s="16" t="n"/>
      <c r="M404" s="16" t="n"/>
      <c r="N404" s="54">
        <f>IF(A404="","",EOMONTH(A404,-1)+1)</f>
        <v/>
      </c>
      <c r="O404" s="22">
        <f>IF(AND(N(A404)&gt;=N(01_Parametres!$B$11),N(A404)&lt;=N(01_Parametres!$B$12)),1,0)</f>
        <v/>
      </c>
      <c r="P404" s="74">
        <f>IF(E404="","",IFERROR(VLOOKUP(E404,02_Plan_Comptable!$A$5:$C$84,3,FALSE),""))</f>
        <v/>
      </c>
      <c r="Q404" s="74">
        <f>IF(F404="","",IFERROR(VLOOKUP(F404,02_Plan_Comptable!$A$5:$C$84,3,FALSE),""))</f>
        <v/>
      </c>
    </row>
    <row r="405">
      <c r="A405" s="51" t="n"/>
      <c r="B405" s="16" t="n"/>
      <c r="C405" s="16" t="n"/>
      <c r="D405" s="16" t="n"/>
      <c r="E405" s="16" t="n"/>
      <c r="F405" s="16" t="n"/>
      <c r="G405" s="52" t="n"/>
      <c r="H405" s="52" t="n"/>
      <c r="I405" s="53">
        <f>N(G405)+N(H405)</f>
        <v/>
      </c>
      <c r="J405" s="16" t="n"/>
      <c r="K405" s="16" t="n"/>
      <c r="L405" s="16" t="n"/>
      <c r="M405" s="16" t="n"/>
      <c r="N405" s="54">
        <f>IF(A405="","",EOMONTH(A405,-1)+1)</f>
        <v/>
      </c>
      <c r="O405" s="22">
        <f>IF(AND(N(A405)&gt;=N(01_Parametres!$B$11),N(A405)&lt;=N(01_Parametres!$B$12)),1,0)</f>
        <v/>
      </c>
      <c r="P405" s="74">
        <f>IF(E405="","",IFERROR(VLOOKUP(E405,02_Plan_Comptable!$A$5:$C$84,3,FALSE),""))</f>
        <v/>
      </c>
      <c r="Q405" s="74">
        <f>IF(F405="","",IFERROR(VLOOKUP(F405,02_Plan_Comptable!$A$5:$C$84,3,FALSE),""))</f>
        <v/>
      </c>
    </row>
    <row r="406">
      <c r="A406" s="51" t="n"/>
      <c r="B406" s="16" t="n"/>
      <c r="C406" s="16" t="n"/>
      <c r="D406" s="16" t="n"/>
      <c r="E406" s="16" t="n"/>
      <c r="F406" s="16" t="n"/>
      <c r="G406" s="52" t="n"/>
      <c r="H406" s="52" t="n"/>
      <c r="I406" s="53">
        <f>N(G406)+N(H406)</f>
        <v/>
      </c>
      <c r="J406" s="16" t="n"/>
      <c r="K406" s="16" t="n"/>
      <c r="L406" s="16" t="n"/>
      <c r="M406" s="16" t="n"/>
      <c r="N406" s="54">
        <f>IF(A406="","",EOMONTH(A406,-1)+1)</f>
        <v/>
      </c>
      <c r="O406" s="22">
        <f>IF(AND(N(A406)&gt;=N(01_Parametres!$B$11),N(A406)&lt;=N(01_Parametres!$B$12)),1,0)</f>
        <v/>
      </c>
      <c r="P406" s="74">
        <f>IF(E406="","",IFERROR(VLOOKUP(E406,02_Plan_Comptable!$A$5:$C$84,3,FALSE),""))</f>
        <v/>
      </c>
      <c r="Q406" s="74">
        <f>IF(F406="","",IFERROR(VLOOKUP(F406,02_Plan_Comptable!$A$5:$C$84,3,FALSE),""))</f>
        <v/>
      </c>
    </row>
  </sheetData>
  <mergeCells count="2">
    <mergeCell ref="A2:Q2"/>
    <mergeCell ref="A1:Q1"/>
  </mergeCells>
  <conditionalFormatting sqref="E7:F406">
    <cfRule type="cellIs" priority="1" operator="equal" dxfId="0">
      <formula>""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93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38" customWidth="1" min="2" max="2"/>
    <col width="12" customWidth="1" min="3" max="3"/>
    <col width="14" customWidth="1" min="4" max="4"/>
    <col width="14" customWidth="1" min="5" max="5"/>
    <col width="14" customWidth="1" min="6" max="6"/>
    <col width="18" customWidth="1" min="7" max="7"/>
  </cols>
  <sheetData>
    <row r="1" ht="28" customHeight="1">
      <c r="A1" s="1" t="inlineStr">
        <is>
          <t>Synthèse (Grand livre simplifié)</t>
        </is>
      </c>
    </row>
    <row r="2" ht="18" customHeight="1">
      <c r="A2" s="2" t="inlineStr">
        <is>
          <t>Totaux par compte sur la période d'analyse (01_Parametres!B11:B12)</t>
        </is>
      </c>
    </row>
    <row r="4">
      <c r="A4" s="8" t="inlineStr">
        <is>
          <t>Période d'analyse</t>
        </is>
      </c>
      <c r="B4" t="inlineStr">
        <is>
          <t>Début</t>
        </is>
      </c>
      <c r="D4" t="inlineStr">
        <is>
          <t>Fin</t>
        </is>
      </c>
    </row>
    <row r="5">
      <c r="B5" s="55">
        <f>01_Parametres!B11</f>
        <v/>
      </c>
      <c r="D5" s="55">
        <f>01_Parametres!B12</f>
        <v/>
      </c>
    </row>
    <row r="7" ht="22" customHeight="1">
      <c r="A7" s="13" t="inlineStr">
        <is>
          <t>Compte</t>
        </is>
      </c>
      <c r="B7" s="13" t="inlineStr">
        <is>
          <t>Libellé</t>
        </is>
      </c>
      <c r="C7" s="13" t="inlineStr">
        <is>
          <t>Type</t>
        </is>
      </c>
      <c r="D7" s="13" t="inlineStr">
        <is>
          <t>Débit (€)</t>
        </is>
      </c>
      <c r="E7" s="13" t="inlineStr">
        <is>
          <t>Crédit (€)</t>
        </is>
      </c>
      <c r="F7" s="13" t="inlineStr">
        <is>
          <t>Solde (€)</t>
        </is>
      </c>
      <c r="G7" s="13" t="inlineStr">
        <is>
          <t>Notes</t>
        </is>
      </c>
    </row>
    <row r="8">
      <c r="A8" s="15">
        <f>IF(02_Plan_Comptable!A5="","",02_Plan_Comptable!A5)</f>
        <v/>
      </c>
      <c r="B8" s="15">
        <f>IF(A8="","",02_Plan_Comptable!B5)</f>
        <v/>
      </c>
      <c r="C8" s="15">
        <f>IF(A8="","",02_Plan_Comptable!C5)</f>
        <v/>
      </c>
      <c r="D8" s="56">
        <f>IF(A8="","",IFERROR(SUMIFS(03_Journal!$I$7:$I$406,03_Journal!$E$7:$E$406,A8,03_Journal!$O$7:$O$406,1),0))</f>
        <v/>
      </c>
      <c r="E8" s="56">
        <f>IF(A8="","",IFERROR(SUMIFS(03_Journal!$I$7:$I$406,03_Journal!$F$7:$F$406,A8,03_Journal!$O$7:$O$406,1),0))</f>
        <v/>
      </c>
      <c r="F8" s="56">
        <f>IF(A8="","",IF(OR(C8="Actif",C8="Charge"),D8-E8,E8-D8))</f>
        <v/>
      </c>
      <c r="G8" s="15" t="n"/>
    </row>
    <row r="9">
      <c r="A9" s="14">
        <f>IF(02_Plan_Comptable!A6="","",02_Plan_Comptable!A6)</f>
        <v/>
      </c>
      <c r="B9" s="14">
        <f>IF(A9="","",02_Plan_Comptable!B6)</f>
        <v/>
      </c>
      <c r="C9" s="14">
        <f>IF(A9="","",02_Plan_Comptable!C6)</f>
        <v/>
      </c>
      <c r="D9" s="57">
        <f>IF(A9="","",IFERROR(SUMIFS(03_Journal!$I$7:$I$406,03_Journal!$E$7:$E$406,A9,03_Journal!$O$7:$O$406,1),0))</f>
        <v/>
      </c>
      <c r="E9" s="57">
        <f>IF(A9="","",IFERROR(SUMIFS(03_Journal!$I$7:$I$406,03_Journal!$F$7:$F$406,A9,03_Journal!$O$7:$O$406,1),0))</f>
        <v/>
      </c>
      <c r="F9" s="57">
        <f>IF(A9="","",IF(OR(C9="Actif",C9="Charge"),D9-E9,E9-D9))</f>
        <v/>
      </c>
      <c r="G9" s="14" t="n"/>
    </row>
    <row r="10">
      <c r="A10" s="15">
        <f>IF(02_Plan_Comptable!A7="","",02_Plan_Comptable!A7)</f>
        <v/>
      </c>
      <c r="B10" s="15">
        <f>IF(A10="","",02_Plan_Comptable!B7)</f>
        <v/>
      </c>
      <c r="C10" s="15">
        <f>IF(A10="","",02_Plan_Comptable!C7)</f>
        <v/>
      </c>
      <c r="D10" s="56">
        <f>IF(A10="","",IFERROR(SUMIFS(03_Journal!$I$7:$I$406,03_Journal!$E$7:$E$406,A10,03_Journal!$O$7:$O$406,1),0))</f>
        <v/>
      </c>
      <c r="E10" s="56">
        <f>IF(A10="","",IFERROR(SUMIFS(03_Journal!$I$7:$I$406,03_Journal!$F$7:$F$406,A10,03_Journal!$O$7:$O$406,1),0))</f>
        <v/>
      </c>
      <c r="F10" s="56">
        <f>IF(A10="","",IF(OR(C10="Actif",C10="Charge"),D10-E10,E10-D10))</f>
        <v/>
      </c>
      <c r="G10" s="15" t="n"/>
    </row>
    <row r="11">
      <c r="A11" s="14">
        <f>IF(02_Plan_Comptable!A8="","",02_Plan_Comptable!A8)</f>
        <v/>
      </c>
      <c r="B11" s="14">
        <f>IF(A11="","",02_Plan_Comptable!B8)</f>
        <v/>
      </c>
      <c r="C11" s="14">
        <f>IF(A11="","",02_Plan_Comptable!C8)</f>
        <v/>
      </c>
      <c r="D11" s="57">
        <f>IF(A11="","",IFERROR(SUMIFS(03_Journal!$I$7:$I$406,03_Journal!$E$7:$E$406,A11,03_Journal!$O$7:$O$406,1),0))</f>
        <v/>
      </c>
      <c r="E11" s="57">
        <f>IF(A11="","",IFERROR(SUMIFS(03_Journal!$I$7:$I$406,03_Journal!$F$7:$F$406,A11,03_Journal!$O$7:$O$406,1),0))</f>
        <v/>
      </c>
      <c r="F11" s="57">
        <f>IF(A11="","",IF(OR(C11="Actif",C11="Charge"),D11-E11,E11-D11))</f>
        <v/>
      </c>
      <c r="G11" s="14" t="n"/>
    </row>
    <row r="12">
      <c r="A12" s="15">
        <f>IF(02_Plan_Comptable!A9="","",02_Plan_Comptable!A9)</f>
        <v/>
      </c>
      <c r="B12" s="15">
        <f>IF(A12="","",02_Plan_Comptable!B9)</f>
        <v/>
      </c>
      <c r="C12" s="15">
        <f>IF(A12="","",02_Plan_Comptable!C9)</f>
        <v/>
      </c>
      <c r="D12" s="56">
        <f>IF(A12="","",IFERROR(SUMIFS(03_Journal!$I$7:$I$406,03_Journal!$E$7:$E$406,A12,03_Journal!$O$7:$O$406,1),0))</f>
        <v/>
      </c>
      <c r="E12" s="56">
        <f>IF(A12="","",IFERROR(SUMIFS(03_Journal!$I$7:$I$406,03_Journal!$F$7:$F$406,A12,03_Journal!$O$7:$O$406,1),0))</f>
        <v/>
      </c>
      <c r="F12" s="56">
        <f>IF(A12="","",IF(OR(C12="Actif",C12="Charge"),D12-E12,E12-D12))</f>
        <v/>
      </c>
      <c r="G12" s="15" t="n"/>
    </row>
    <row r="13">
      <c r="A13" s="14">
        <f>IF(02_Plan_Comptable!A10="","",02_Plan_Comptable!A10)</f>
        <v/>
      </c>
      <c r="B13" s="14">
        <f>IF(A13="","",02_Plan_Comptable!B10)</f>
        <v/>
      </c>
      <c r="C13" s="14">
        <f>IF(A13="","",02_Plan_Comptable!C10)</f>
        <v/>
      </c>
      <c r="D13" s="57">
        <f>IF(A13="","",IFERROR(SUMIFS(03_Journal!$I$7:$I$406,03_Journal!$E$7:$E$406,A13,03_Journal!$O$7:$O$406,1),0))</f>
        <v/>
      </c>
      <c r="E13" s="57">
        <f>IF(A13="","",IFERROR(SUMIFS(03_Journal!$I$7:$I$406,03_Journal!$F$7:$F$406,A13,03_Journal!$O$7:$O$406,1),0))</f>
        <v/>
      </c>
      <c r="F13" s="57">
        <f>IF(A13="","",IF(OR(C13="Actif",C13="Charge"),D13-E13,E13-D13))</f>
        <v/>
      </c>
      <c r="G13" s="14" t="n"/>
    </row>
    <row r="14">
      <c r="A14" s="15">
        <f>IF(02_Plan_Comptable!A11="","",02_Plan_Comptable!A11)</f>
        <v/>
      </c>
      <c r="B14" s="15">
        <f>IF(A14="","",02_Plan_Comptable!B11)</f>
        <v/>
      </c>
      <c r="C14" s="15">
        <f>IF(A14="","",02_Plan_Comptable!C11)</f>
        <v/>
      </c>
      <c r="D14" s="56">
        <f>IF(A14="","",IFERROR(SUMIFS(03_Journal!$I$7:$I$406,03_Journal!$E$7:$E$406,A14,03_Journal!$O$7:$O$406,1),0))</f>
        <v/>
      </c>
      <c r="E14" s="56">
        <f>IF(A14="","",IFERROR(SUMIFS(03_Journal!$I$7:$I$406,03_Journal!$F$7:$F$406,A14,03_Journal!$O$7:$O$406,1),0))</f>
        <v/>
      </c>
      <c r="F14" s="56">
        <f>IF(A14="","",IF(OR(C14="Actif",C14="Charge"),D14-E14,E14-D14))</f>
        <v/>
      </c>
      <c r="G14" s="15" t="n"/>
    </row>
    <row r="15">
      <c r="A15" s="14">
        <f>IF(02_Plan_Comptable!A12="","",02_Plan_Comptable!A12)</f>
        <v/>
      </c>
      <c r="B15" s="14">
        <f>IF(A15="","",02_Plan_Comptable!B12)</f>
        <v/>
      </c>
      <c r="C15" s="14">
        <f>IF(A15="","",02_Plan_Comptable!C12)</f>
        <v/>
      </c>
      <c r="D15" s="57">
        <f>IF(A15="","",IFERROR(SUMIFS(03_Journal!$I$7:$I$406,03_Journal!$E$7:$E$406,A15,03_Journal!$O$7:$O$406,1),0))</f>
        <v/>
      </c>
      <c r="E15" s="57">
        <f>IF(A15="","",IFERROR(SUMIFS(03_Journal!$I$7:$I$406,03_Journal!$F$7:$F$406,A15,03_Journal!$O$7:$O$406,1),0))</f>
        <v/>
      </c>
      <c r="F15" s="57">
        <f>IF(A15="","",IF(OR(C15="Actif",C15="Charge"),D15-E15,E15-D15))</f>
        <v/>
      </c>
      <c r="G15" s="14" t="n"/>
    </row>
    <row r="16">
      <c r="A16" s="15">
        <f>IF(02_Plan_Comptable!A13="","",02_Plan_Comptable!A13)</f>
        <v/>
      </c>
      <c r="B16" s="15">
        <f>IF(A16="","",02_Plan_Comptable!B13)</f>
        <v/>
      </c>
      <c r="C16" s="15">
        <f>IF(A16="","",02_Plan_Comptable!C13)</f>
        <v/>
      </c>
      <c r="D16" s="56">
        <f>IF(A16="","",IFERROR(SUMIFS(03_Journal!$I$7:$I$406,03_Journal!$E$7:$E$406,A16,03_Journal!$O$7:$O$406,1),0))</f>
        <v/>
      </c>
      <c r="E16" s="56">
        <f>IF(A16="","",IFERROR(SUMIFS(03_Journal!$I$7:$I$406,03_Journal!$F$7:$F$406,A16,03_Journal!$O$7:$O$406,1),0))</f>
        <v/>
      </c>
      <c r="F16" s="56">
        <f>IF(A16="","",IF(OR(C16="Actif",C16="Charge"),D16-E16,E16-D16))</f>
        <v/>
      </c>
      <c r="G16" s="15" t="n"/>
    </row>
    <row r="17">
      <c r="A17" s="14">
        <f>IF(02_Plan_Comptable!A14="","",02_Plan_Comptable!A14)</f>
        <v/>
      </c>
      <c r="B17" s="14">
        <f>IF(A17="","",02_Plan_Comptable!B14)</f>
        <v/>
      </c>
      <c r="C17" s="14">
        <f>IF(A17="","",02_Plan_Comptable!C14)</f>
        <v/>
      </c>
      <c r="D17" s="57">
        <f>IF(A17="","",IFERROR(SUMIFS(03_Journal!$I$7:$I$406,03_Journal!$E$7:$E$406,A17,03_Journal!$O$7:$O$406,1),0))</f>
        <v/>
      </c>
      <c r="E17" s="57">
        <f>IF(A17="","",IFERROR(SUMIFS(03_Journal!$I$7:$I$406,03_Journal!$F$7:$F$406,A17,03_Journal!$O$7:$O$406,1),0))</f>
        <v/>
      </c>
      <c r="F17" s="57">
        <f>IF(A17="","",IF(OR(C17="Actif",C17="Charge"),D17-E17,E17-D17))</f>
        <v/>
      </c>
      <c r="G17" s="14" t="n"/>
    </row>
    <row r="18">
      <c r="A18" s="15">
        <f>IF(02_Plan_Comptable!A15="","",02_Plan_Comptable!A15)</f>
        <v/>
      </c>
      <c r="B18" s="15">
        <f>IF(A18="","",02_Plan_Comptable!B15)</f>
        <v/>
      </c>
      <c r="C18" s="15">
        <f>IF(A18="","",02_Plan_Comptable!C15)</f>
        <v/>
      </c>
      <c r="D18" s="56">
        <f>IF(A18="","",IFERROR(SUMIFS(03_Journal!$I$7:$I$406,03_Journal!$E$7:$E$406,A18,03_Journal!$O$7:$O$406,1),0))</f>
        <v/>
      </c>
      <c r="E18" s="56">
        <f>IF(A18="","",IFERROR(SUMIFS(03_Journal!$I$7:$I$406,03_Journal!$F$7:$F$406,A18,03_Journal!$O$7:$O$406,1),0))</f>
        <v/>
      </c>
      <c r="F18" s="56">
        <f>IF(A18="","",IF(OR(C18="Actif",C18="Charge"),D18-E18,E18-D18))</f>
        <v/>
      </c>
      <c r="G18" s="15" t="n"/>
    </row>
    <row r="19">
      <c r="A19" s="14">
        <f>IF(02_Plan_Comptable!A16="","",02_Plan_Comptable!A16)</f>
        <v/>
      </c>
      <c r="B19" s="14">
        <f>IF(A19="","",02_Plan_Comptable!B16)</f>
        <v/>
      </c>
      <c r="C19" s="14">
        <f>IF(A19="","",02_Plan_Comptable!C16)</f>
        <v/>
      </c>
      <c r="D19" s="57">
        <f>IF(A19="","",IFERROR(SUMIFS(03_Journal!$I$7:$I$406,03_Journal!$E$7:$E$406,A19,03_Journal!$O$7:$O$406,1),0))</f>
        <v/>
      </c>
      <c r="E19" s="57">
        <f>IF(A19="","",IFERROR(SUMIFS(03_Journal!$I$7:$I$406,03_Journal!$F$7:$F$406,A19,03_Journal!$O$7:$O$406,1),0))</f>
        <v/>
      </c>
      <c r="F19" s="57">
        <f>IF(A19="","",IF(OR(C19="Actif",C19="Charge"),D19-E19,E19-D19))</f>
        <v/>
      </c>
      <c r="G19" s="14" t="n"/>
    </row>
    <row r="20">
      <c r="A20" s="15">
        <f>IF(02_Plan_Comptable!A17="","",02_Plan_Comptable!A17)</f>
        <v/>
      </c>
      <c r="B20" s="15">
        <f>IF(A20="","",02_Plan_Comptable!B17)</f>
        <v/>
      </c>
      <c r="C20" s="15">
        <f>IF(A20="","",02_Plan_Comptable!C17)</f>
        <v/>
      </c>
      <c r="D20" s="56">
        <f>IF(A20="","",IFERROR(SUMIFS(03_Journal!$I$7:$I$406,03_Journal!$E$7:$E$406,A20,03_Journal!$O$7:$O$406,1),0))</f>
        <v/>
      </c>
      <c r="E20" s="56">
        <f>IF(A20="","",IFERROR(SUMIFS(03_Journal!$I$7:$I$406,03_Journal!$F$7:$F$406,A20,03_Journal!$O$7:$O$406,1),0))</f>
        <v/>
      </c>
      <c r="F20" s="56">
        <f>IF(A20="","",IF(OR(C20="Actif",C20="Charge"),D20-E20,E20-D20))</f>
        <v/>
      </c>
      <c r="G20" s="15" t="n"/>
    </row>
    <row r="21">
      <c r="A21" s="14">
        <f>IF(02_Plan_Comptable!A18="","",02_Plan_Comptable!A18)</f>
        <v/>
      </c>
      <c r="B21" s="14">
        <f>IF(A21="","",02_Plan_Comptable!B18)</f>
        <v/>
      </c>
      <c r="C21" s="14">
        <f>IF(A21="","",02_Plan_Comptable!C18)</f>
        <v/>
      </c>
      <c r="D21" s="57">
        <f>IF(A21="","",IFERROR(SUMIFS(03_Journal!$I$7:$I$406,03_Journal!$E$7:$E$406,A21,03_Journal!$O$7:$O$406,1),0))</f>
        <v/>
      </c>
      <c r="E21" s="57">
        <f>IF(A21="","",IFERROR(SUMIFS(03_Journal!$I$7:$I$406,03_Journal!$F$7:$F$406,A21,03_Journal!$O$7:$O$406,1),0))</f>
        <v/>
      </c>
      <c r="F21" s="57">
        <f>IF(A21="","",IF(OR(C21="Actif",C21="Charge"),D21-E21,E21-D21))</f>
        <v/>
      </c>
      <c r="G21" s="14" t="n"/>
    </row>
    <row r="22">
      <c r="A22" s="15">
        <f>IF(02_Plan_Comptable!A19="","",02_Plan_Comptable!A19)</f>
        <v/>
      </c>
      <c r="B22" s="15">
        <f>IF(A22="","",02_Plan_Comptable!B19)</f>
        <v/>
      </c>
      <c r="C22" s="15">
        <f>IF(A22="","",02_Plan_Comptable!C19)</f>
        <v/>
      </c>
      <c r="D22" s="56">
        <f>IF(A22="","",IFERROR(SUMIFS(03_Journal!$I$7:$I$406,03_Journal!$E$7:$E$406,A22,03_Journal!$O$7:$O$406,1),0))</f>
        <v/>
      </c>
      <c r="E22" s="56">
        <f>IF(A22="","",IFERROR(SUMIFS(03_Journal!$I$7:$I$406,03_Journal!$F$7:$F$406,A22,03_Journal!$O$7:$O$406,1),0))</f>
        <v/>
      </c>
      <c r="F22" s="56">
        <f>IF(A22="","",IF(OR(C22="Actif",C22="Charge"),D22-E22,E22-D22))</f>
        <v/>
      </c>
      <c r="G22" s="15" t="n"/>
    </row>
    <row r="23">
      <c r="A23" s="14">
        <f>IF(02_Plan_Comptable!A20="","",02_Plan_Comptable!A20)</f>
        <v/>
      </c>
      <c r="B23" s="14">
        <f>IF(A23="","",02_Plan_Comptable!B20)</f>
        <v/>
      </c>
      <c r="C23" s="14">
        <f>IF(A23="","",02_Plan_Comptable!C20)</f>
        <v/>
      </c>
      <c r="D23" s="57">
        <f>IF(A23="","",IFERROR(SUMIFS(03_Journal!$I$7:$I$406,03_Journal!$E$7:$E$406,A23,03_Journal!$O$7:$O$406,1),0))</f>
        <v/>
      </c>
      <c r="E23" s="57">
        <f>IF(A23="","",IFERROR(SUMIFS(03_Journal!$I$7:$I$406,03_Journal!$F$7:$F$406,A23,03_Journal!$O$7:$O$406,1),0))</f>
        <v/>
      </c>
      <c r="F23" s="57">
        <f>IF(A23="","",IF(OR(C23="Actif",C23="Charge"),D23-E23,E23-D23))</f>
        <v/>
      </c>
      <c r="G23" s="14" t="n"/>
    </row>
    <row r="24">
      <c r="A24" s="15">
        <f>IF(02_Plan_Comptable!A21="","",02_Plan_Comptable!A21)</f>
        <v/>
      </c>
      <c r="B24" s="15">
        <f>IF(A24="","",02_Plan_Comptable!B21)</f>
        <v/>
      </c>
      <c r="C24" s="15">
        <f>IF(A24="","",02_Plan_Comptable!C21)</f>
        <v/>
      </c>
      <c r="D24" s="56">
        <f>IF(A24="","",IFERROR(SUMIFS(03_Journal!$I$7:$I$406,03_Journal!$E$7:$E$406,A24,03_Journal!$O$7:$O$406,1),0))</f>
        <v/>
      </c>
      <c r="E24" s="56">
        <f>IF(A24="","",IFERROR(SUMIFS(03_Journal!$I$7:$I$406,03_Journal!$F$7:$F$406,A24,03_Journal!$O$7:$O$406,1),0))</f>
        <v/>
      </c>
      <c r="F24" s="56">
        <f>IF(A24="","",IF(OR(C24="Actif",C24="Charge"),D24-E24,E24-D24))</f>
        <v/>
      </c>
      <c r="G24" s="15" t="n"/>
    </row>
    <row r="25">
      <c r="A25" s="14">
        <f>IF(02_Plan_Comptable!A22="","",02_Plan_Comptable!A22)</f>
        <v/>
      </c>
      <c r="B25" s="14">
        <f>IF(A25="","",02_Plan_Comptable!B22)</f>
        <v/>
      </c>
      <c r="C25" s="14">
        <f>IF(A25="","",02_Plan_Comptable!C22)</f>
        <v/>
      </c>
      <c r="D25" s="57">
        <f>IF(A25="","",IFERROR(SUMIFS(03_Journal!$I$7:$I$406,03_Journal!$E$7:$E$406,A25,03_Journal!$O$7:$O$406,1),0))</f>
        <v/>
      </c>
      <c r="E25" s="57">
        <f>IF(A25="","",IFERROR(SUMIFS(03_Journal!$I$7:$I$406,03_Journal!$F$7:$F$406,A25,03_Journal!$O$7:$O$406,1),0))</f>
        <v/>
      </c>
      <c r="F25" s="57">
        <f>IF(A25="","",IF(OR(C25="Actif",C25="Charge"),D25-E25,E25-D25))</f>
        <v/>
      </c>
      <c r="G25" s="14" t="n"/>
    </row>
    <row r="26">
      <c r="A26" s="15">
        <f>IF(02_Plan_Comptable!A23="","",02_Plan_Comptable!A23)</f>
        <v/>
      </c>
      <c r="B26" s="15">
        <f>IF(A26="","",02_Plan_Comptable!B23)</f>
        <v/>
      </c>
      <c r="C26" s="15">
        <f>IF(A26="","",02_Plan_Comptable!C23)</f>
        <v/>
      </c>
      <c r="D26" s="56">
        <f>IF(A26="","",IFERROR(SUMIFS(03_Journal!$I$7:$I$406,03_Journal!$E$7:$E$406,A26,03_Journal!$O$7:$O$406,1),0))</f>
        <v/>
      </c>
      <c r="E26" s="56">
        <f>IF(A26="","",IFERROR(SUMIFS(03_Journal!$I$7:$I$406,03_Journal!$F$7:$F$406,A26,03_Journal!$O$7:$O$406,1),0))</f>
        <v/>
      </c>
      <c r="F26" s="56">
        <f>IF(A26="","",IF(OR(C26="Actif",C26="Charge"),D26-E26,E26-D26))</f>
        <v/>
      </c>
      <c r="G26" s="15" t="n"/>
    </row>
    <row r="27">
      <c r="A27" s="14">
        <f>IF(02_Plan_Comptable!A24="","",02_Plan_Comptable!A24)</f>
        <v/>
      </c>
      <c r="B27" s="14">
        <f>IF(A27="","",02_Plan_Comptable!B24)</f>
        <v/>
      </c>
      <c r="C27" s="14">
        <f>IF(A27="","",02_Plan_Comptable!C24)</f>
        <v/>
      </c>
      <c r="D27" s="57">
        <f>IF(A27="","",IFERROR(SUMIFS(03_Journal!$I$7:$I$406,03_Journal!$E$7:$E$406,A27,03_Journal!$O$7:$O$406,1),0))</f>
        <v/>
      </c>
      <c r="E27" s="57">
        <f>IF(A27="","",IFERROR(SUMIFS(03_Journal!$I$7:$I$406,03_Journal!$F$7:$F$406,A27,03_Journal!$O$7:$O$406,1),0))</f>
        <v/>
      </c>
      <c r="F27" s="57">
        <f>IF(A27="","",IF(OR(C27="Actif",C27="Charge"),D27-E27,E27-D27))</f>
        <v/>
      </c>
      <c r="G27" s="14" t="n"/>
    </row>
    <row r="28">
      <c r="A28" s="15">
        <f>IF(02_Plan_Comptable!A25="","",02_Plan_Comptable!A25)</f>
        <v/>
      </c>
      <c r="B28" s="15">
        <f>IF(A28="","",02_Plan_Comptable!B25)</f>
        <v/>
      </c>
      <c r="C28" s="15">
        <f>IF(A28="","",02_Plan_Comptable!C25)</f>
        <v/>
      </c>
      <c r="D28" s="56">
        <f>IF(A28="","",IFERROR(SUMIFS(03_Journal!$I$7:$I$406,03_Journal!$E$7:$E$406,A28,03_Journal!$O$7:$O$406,1),0))</f>
        <v/>
      </c>
      <c r="E28" s="56">
        <f>IF(A28="","",IFERROR(SUMIFS(03_Journal!$I$7:$I$406,03_Journal!$F$7:$F$406,A28,03_Journal!$O$7:$O$406,1),0))</f>
        <v/>
      </c>
      <c r="F28" s="56">
        <f>IF(A28="","",IF(OR(C28="Actif",C28="Charge"),D28-E28,E28-D28))</f>
        <v/>
      </c>
      <c r="G28" s="15" t="n"/>
    </row>
    <row r="29">
      <c r="A29" s="14">
        <f>IF(02_Plan_Comptable!A26="","",02_Plan_Comptable!A26)</f>
        <v/>
      </c>
      <c r="B29" s="14">
        <f>IF(A29="","",02_Plan_Comptable!B26)</f>
        <v/>
      </c>
      <c r="C29" s="14">
        <f>IF(A29="","",02_Plan_Comptable!C26)</f>
        <v/>
      </c>
      <c r="D29" s="57">
        <f>IF(A29="","",IFERROR(SUMIFS(03_Journal!$I$7:$I$406,03_Journal!$E$7:$E$406,A29,03_Journal!$O$7:$O$406,1),0))</f>
        <v/>
      </c>
      <c r="E29" s="57">
        <f>IF(A29="","",IFERROR(SUMIFS(03_Journal!$I$7:$I$406,03_Journal!$F$7:$F$406,A29,03_Journal!$O$7:$O$406,1),0))</f>
        <v/>
      </c>
      <c r="F29" s="57">
        <f>IF(A29="","",IF(OR(C29="Actif",C29="Charge"),D29-E29,E29-D29))</f>
        <v/>
      </c>
      <c r="G29" s="14" t="n"/>
    </row>
    <row r="30">
      <c r="A30" s="15">
        <f>IF(02_Plan_Comptable!A27="","",02_Plan_Comptable!A27)</f>
        <v/>
      </c>
      <c r="B30" s="15">
        <f>IF(A30="","",02_Plan_Comptable!B27)</f>
        <v/>
      </c>
      <c r="C30" s="15">
        <f>IF(A30="","",02_Plan_Comptable!C27)</f>
        <v/>
      </c>
      <c r="D30" s="56">
        <f>IF(A30="","",IFERROR(SUMIFS(03_Journal!$I$7:$I$406,03_Journal!$E$7:$E$406,A30,03_Journal!$O$7:$O$406,1),0))</f>
        <v/>
      </c>
      <c r="E30" s="56">
        <f>IF(A30="","",IFERROR(SUMIFS(03_Journal!$I$7:$I$406,03_Journal!$F$7:$F$406,A30,03_Journal!$O$7:$O$406,1),0))</f>
        <v/>
      </c>
      <c r="F30" s="56">
        <f>IF(A30="","",IF(OR(C30="Actif",C30="Charge"),D30-E30,E30-D30))</f>
        <v/>
      </c>
      <c r="G30" s="15" t="n"/>
    </row>
    <row r="31">
      <c r="A31" s="14">
        <f>IF(02_Plan_Comptable!A28="","",02_Plan_Comptable!A28)</f>
        <v/>
      </c>
      <c r="B31" s="14">
        <f>IF(A31="","",02_Plan_Comptable!B28)</f>
        <v/>
      </c>
      <c r="C31" s="14">
        <f>IF(A31="","",02_Plan_Comptable!C28)</f>
        <v/>
      </c>
      <c r="D31" s="57">
        <f>IF(A31="","",IFERROR(SUMIFS(03_Journal!$I$7:$I$406,03_Journal!$E$7:$E$406,A31,03_Journal!$O$7:$O$406,1),0))</f>
        <v/>
      </c>
      <c r="E31" s="57">
        <f>IF(A31="","",IFERROR(SUMIFS(03_Journal!$I$7:$I$406,03_Journal!$F$7:$F$406,A31,03_Journal!$O$7:$O$406,1),0))</f>
        <v/>
      </c>
      <c r="F31" s="57">
        <f>IF(A31="","",IF(OR(C31="Actif",C31="Charge"),D31-E31,E31-D31))</f>
        <v/>
      </c>
      <c r="G31" s="14" t="n"/>
    </row>
    <row r="32">
      <c r="A32" s="15">
        <f>IF(02_Plan_Comptable!A29="","",02_Plan_Comptable!A29)</f>
        <v/>
      </c>
      <c r="B32" s="15">
        <f>IF(A32="","",02_Plan_Comptable!B29)</f>
        <v/>
      </c>
      <c r="C32" s="15">
        <f>IF(A32="","",02_Plan_Comptable!C29)</f>
        <v/>
      </c>
      <c r="D32" s="56">
        <f>IF(A32="","",IFERROR(SUMIFS(03_Journal!$I$7:$I$406,03_Journal!$E$7:$E$406,A32,03_Journal!$O$7:$O$406,1),0))</f>
        <v/>
      </c>
      <c r="E32" s="56">
        <f>IF(A32="","",IFERROR(SUMIFS(03_Journal!$I$7:$I$406,03_Journal!$F$7:$F$406,A32,03_Journal!$O$7:$O$406,1),0))</f>
        <v/>
      </c>
      <c r="F32" s="56">
        <f>IF(A32="","",IF(OR(C32="Actif",C32="Charge"),D32-E32,E32-D32))</f>
        <v/>
      </c>
      <c r="G32" s="15" t="n"/>
    </row>
    <row r="33">
      <c r="A33" s="14">
        <f>IF(02_Plan_Comptable!A30="","",02_Plan_Comptable!A30)</f>
        <v/>
      </c>
      <c r="B33" s="14">
        <f>IF(A33="","",02_Plan_Comptable!B30)</f>
        <v/>
      </c>
      <c r="C33" s="14">
        <f>IF(A33="","",02_Plan_Comptable!C30)</f>
        <v/>
      </c>
      <c r="D33" s="57">
        <f>IF(A33="","",IFERROR(SUMIFS(03_Journal!$I$7:$I$406,03_Journal!$E$7:$E$406,A33,03_Journal!$O$7:$O$406,1),0))</f>
        <v/>
      </c>
      <c r="E33" s="57">
        <f>IF(A33="","",IFERROR(SUMIFS(03_Journal!$I$7:$I$406,03_Journal!$F$7:$F$406,A33,03_Journal!$O$7:$O$406,1),0))</f>
        <v/>
      </c>
      <c r="F33" s="57">
        <f>IF(A33="","",IF(OR(C33="Actif",C33="Charge"),D33-E33,E33-D33))</f>
        <v/>
      </c>
      <c r="G33" s="14" t="n"/>
    </row>
    <row r="34">
      <c r="A34" s="15">
        <f>IF(02_Plan_Comptable!A31="","",02_Plan_Comptable!A31)</f>
        <v/>
      </c>
      <c r="B34" s="15">
        <f>IF(A34="","",02_Plan_Comptable!B31)</f>
        <v/>
      </c>
      <c r="C34" s="15">
        <f>IF(A34="","",02_Plan_Comptable!C31)</f>
        <v/>
      </c>
      <c r="D34" s="56">
        <f>IF(A34="","",IFERROR(SUMIFS(03_Journal!$I$7:$I$406,03_Journal!$E$7:$E$406,A34,03_Journal!$O$7:$O$406,1),0))</f>
        <v/>
      </c>
      <c r="E34" s="56">
        <f>IF(A34="","",IFERROR(SUMIFS(03_Journal!$I$7:$I$406,03_Journal!$F$7:$F$406,A34,03_Journal!$O$7:$O$406,1),0))</f>
        <v/>
      </c>
      <c r="F34" s="56">
        <f>IF(A34="","",IF(OR(C34="Actif",C34="Charge"),D34-E34,E34-D34))</f>
        <v/>
      </c>
      <c r="G34" s="15" t="n"/>
    </row>
    <row r="35">
      <c r="A35" s="14">
        <f>IF(02_Plan_Comptable!A32="","",02_Plan_Comptable!A32)</f>
        <v/>
      </c>
      <c r="B35" s="14">
        <f>IF(A35="","",02_Plan_Comptable!B32)</f>
        <v/>
      </c>
      <c r="C35" s="14">
        <f>IF(A35="","",02_Plan_Comptable!C32)</f>
        <v/>
      </c>
      <c r="D35" s="57">
        <f>IF(A35="","",IFERROR(SUMIFS(03_Journal!$I$7:$I$406,03_Journal!$E$7:$E$406,A35,03_Journal!$O$7:$O$406,1),0))</f>
        <v/>
      </c>
      <c r="E35" s="57">
        <f>IF(A35="","",IFERROR(SUMIFS(03_Journal!$I$7:$I$406,03_Journal!$F$7:$F$406,A35,03_Journal!$O$7:$O$406,1),0))</f>
        <v/>
      </c>
      <c r="F35" s="57">
        <f>IF(A35="","",IF(OR(C35="Actif",C35="Charge"),D35-E35,E35-D35))</f>
        <v/>
      </c>
      <c r="G35" s="14" t="n"/>
    </row>
    <row r="36">
      <c r="A36" s="15">
        <f>IF(02_Plan_Comptable!A33="","",02_Plan_Comptable!A33)</f>
        <v/>
      </c>
      <c r="B36" s="15">
        <f>IF(A36="","",02_Plan_Comptable!B33)</f>
        <v/>
      </c>
      <c r="C36" s="15">
        <f>IF(A36="","",02_Plan_Comptable!C33)</f>
        <v/>
      </c>
      <c r="D36" s="56">
        <f>IF(A36="","",IFERROR(SUMIFS(03_Journal!$I$7:$I$406,03_Journal!$E$7:$E$406,A36,03_Journal!$O$7:$O$406,1),0))</f>
        <v/>
      </c>
      <c r="E36" s="56">
        <f>IF(A36="","",IFERROR(SUMIFS(03_Journal!$I$7:$I$406,03_Journal!$F$7:$F$406,A36,03_Journal!$O$7:$O$406,1),0))</f>
        <v/>
      </c>
      <c r="F36" s="56">
        <f>IF(A36="","",IF(OR(C36="Actif",C36="Charge"),D36-E36,E36-D36))</f>
        <v/>
      </c>
      <c r="G36" s="15" t="n"/>
    </row>
    <row r="37">
      <c r="A37" s="14">
        <f>IF(02_Plan_Comptable!A34="","",02_Plan_Comptable!A34)</f>
        <v/>
      </c>
      <c r="B37" s="14">
        <f>IF(A37="","",02_Plan_Comptable!B34)</f>
        <v/>
      </c>
      <c r="C37" s="14">
        <f>IF(A37="","",02_Plan_Comptable!C34)</f>
        <v/>
      </c>
      <c r="D37" s="57">
        <f>IF(A37="","",IFERROR(SUMIFS(03_Journal!$I$7:$I$406,03_Journal!$E$7:$E$406,A37,03_Journal!$O$7:$O$406,1),0))</f>
        <v/>
      </c>
      <c r="E37" s="57">
        <f>IF(A37="","",IFERROR(SUMIFS(03_Journal!$I$7:$I$406,03_Journal!$F$7:$F$406,A37,03_Journal!$O$7:$O$406,1),0))</f>
        <v/>
      </c>
      <c r="F37" s="57">
        <f>IF(A37="","",IF(OR(C37="Actif",C37="Charge"),D37-E37,E37-D37))</f>
        <v/>
      </c>
      <c r="G37" s="14" t="n"/>
    </row>
    <row r="38">
      <c r="A38" s="15">
        <f>IF(02_Plan_Comptable!A35="","",02_Plan_Comptable!A35)</f>
        <v/>
      </c>
      <c r="B38" s="15">
        <f>IF(A38="","",02_Plan_Comptable!B35)</f>
        <v/>
      </c>
      <c r="C38" s="15">
        <f>IF(A38="","",02_Plan_Comptable!C35)</f>
        <v/>
      </c>
      <c r="D38" s="56">
        <f>IF(A38="","",IFERROR(SUMIFS(03_Journal!$I$7:$I$406,03_Journal!$E$7:$E$406,A38,03_Journal!$O$7:$O$406,1),0))</f>
        <v/>
      </c>
      <c r="E38" s="56">
        <f>IF(A38="","",IFERROR(SUMIFS(03_Journal!$I$7:$I$406,03_Journal!$F$7:$F$406,A38,03_Journal!$O$7:$O$406,1),0))</f>
        <v/>
      </c>
      <c r="F38" s="56">
        <f>IF(A38="","",IF(OR(C38="Actif",C38="Charge"),D38-E38,E38-D38))</f>
        <v/>
      </c>
      <c r="G38" s="15" t="n"/>
    </row>
    <row r="39">
      <c r="A39" s="14">
        <f>IF(02_Plan_Comptable!A36="","",02_Plan_Comptable!A36)</f>
        <v/>
      </c>
      <c r="B39" s="14">
        <f>IF(A39="","",02_Plan_Comptable!B36)</f>
        <v/>
      </c>
      <c r="C39" s="14">
        <f>IF(A39="","",02_Plan_Comptable!C36)</f>
        <v/>
      </c>
      <c r="D39" s="57">
        <f>IF(A39="","",IFERROR(SUMIFS(03_Journal!$I$7:$I$406,03_Journal!$E$7:$E$406,A39,03_Journal!$O$7:$O$406,1),0))</f>
        <v/>
      </c>
      <c r="E39" s="57">
        <f>IF(A39="","",IFERROR(SUMIFS(03_Journal!$I$7:$I$406,03_Journal!$F$7:$F$406,A39,03_Journal!$O$7:$O$406,1),0))</f>
        <v/>
      </c>
      <c r="F39" s="57">
        <f>IF(A39="","",IF(OR(C39="Actif",C39="Charge"),D39-E39,E39-D39))</f>
        <v/>
      </c>
      <c r="G39" s="14" t="n"/>
    </row>
    <row r="40">
      <c r="A40" s="15">
        <f>IF(02_Plan_Comptable!A37="","",02_Plan_Comptable!A37)</f>
        <v/>
      </c>
      <c r="B40" s="15">
        <f>IF(A40="","",02_Plan_Comptable!B37)</f>
        <v/>
      </c>
      <c r="C40" s="15">
        <f>IF(A40="","",02_Plan_Comptable!C37)</f>
        <v/>
      </c>
      <c r="D40" s="56">
        <f>IF(A40="","",IFERROR(SUMIFS(03_Journal!$I$7:$I$406,03_Journal!$E$7:$E$406,A40,03_Journal!$O$7:$O$406,1),0))</f>
        <v/>
      </c>
      <c r="E40" s="56">
        <f>IF(A40="","",IFERROR(SUMIFS(03_Journal!$I$7:$I$406,03_Journal!$F$7:$F$406,A40,03_Journal!$O$7:$O$406,1),0))</f>
        <v/>
      </c>
      <c r="F40" s="56">
        <f>IF(A40="","",IF(OR(C40="Actif",C40="Charge"),D40-E40,E40-D40))</f>
        <v/>
      </c>
      <c r="G40" s="15" t="n"/>
    </row>
    <row r="41">
      <c r="A41" s="14">
        <f>IF(02_Plan_Comptable!A38="","",02_Plan_Comptable!A38)</f>
        <v/>
      </c>
      <c r="B41" s="14">
        <f>IF(A41="","",02_Plan_Comptable!B38)</f>
        <v/>
      </c>
      <c r="C41" s="14">
        <f>IF(A41="","",02_Plan_Comptable!C38)</f>
        <v/>
      </c>
      <c r="D41" s="57">
        <f>IF(A41="","",IFERROR(SUMIFS(03_Journal!$I$7:$I$406,03_Journal!$E$7:$E$406,A41,03_Journal!$O$7:$O$406,1),0))</f>
        <v/>
      </c>
      <c r="E41" s="57">
        <f>IF(A41="","",IFERROR(SUMIFS(03_Journal!$I$7:$I$406,03_Journal!$F$7:$F$406,A41,03_Journal!$O$7:$O$406,1),0))</f>
        <v/>
      </c>
      <c r="F41" s="57">
        <f>IF(A41="","",IF(OR(C41="Actif",C41="Charge"),D41-E41,E41-D41))</f>
        <v/>
      </c>
      <c r="G41" s="14" t="n"/>
    </row>
    <row r="42">
      <c r="A42" s="15">
        <f>IF(02_Plan_Comptable!A39="","",02_Plan_Comptable!A39)</f>
        <v/>
      </c>
      <c r="B42" s="15">
        <f>IF(A42="","",02_Plan_Comptable!B39)</f>
        <v/>
      </c>
      <c r="C42" s="15">
        <f>IF(A42="","",02_Plan_Comptable!C39)</f>
        <v/>
      </c>
      <c r="D42" s="56">
        <f>IF(A42="","",IFERROR(SUMIFS(03_Journal!$I$7:$I$406,03_Journal!$E$7:$E$406,A42,03_Journal!$O$7:$O$406,1),0))</f>
        <v/>
      </c>
      <c r="E42" s="56">
        <f>IF(A42="","",IFERROR(SUMIFS(03_Journal!$I$7:$I$406,03_Journal!$F$7:$F$406,A42,03_Journal!$O$7:$O$406,1),0))</f>
        <v/>
      </c>
      <c r="F42" s="56">
        <f>IF(A42="","",IF(OR(C42="Actif",C42="Charge"),D42-E42,E42-D42))</f>
        <v/>
      </c>
      <c r="G42" s="15" t="n"/>
    </row>
    <row r="43">
      <c r="A43" s="14">
        <f>IF(02_Plan_Comptable!A40="","",02_Plan_Comptable!A40)</f>
        <v/>
      </c>
      <c r="B43" s="14">
        <f>IF(A43="","",02_Plan_Comptable!B40)</f>
        <v/>
      </c>
      <c r="C43" s="14">
        <f>IF(A43="","",02_Plan_Comptable!C40)</f>
        <v/>
      </c>
      <c r="D43" s="57">
        <f>IF(A43="","",IFERROR(SUMIFS(03_Journal!$I$7:$I$406,03_Journal!$E$7:$E$406,A43,03_Journal!$O$7:$O$406,1),0))</f>
        <v/>
      </c>
      <c r="E43" s="57">
        <f>IF(A43="","",IFERROR(SUMIFS(03_Journal!$I$7:$I$406,03_Journal!$F$7:$F$406,A43,03_Journal!$O$7:$O$406,1),0))</f>
        <v/>
      </c>
      <c r="F43" s="57">
        <f>IF(A43="","",IF(OR(C43="Actif",C43="Charge"),D43-E43,E43-D43))</f>
        <v/>
      </c>
      <c r="G43" s="14" t="n"/>
    </row>
    <row r="44">
      <c r="A44" s="15">
        <f>IF(02_Plan_Comptable!A41="","",02_Plan_Comptable!A41)</f>
        <v/>
      </c>
      <c r="B44" s="15">
        <f>IF(A44="","",02_Plan_Comptable!B41)</f>
        <v/>
      </c>
      <c r="C44" s="15">
        <f>IF(A44="","",02_Plan_Comptable!C41)</f>
        <v/>
      </c>
      <c r="D44" s="56">
        <f>IF(A44="","",IFERROR(SUMIFS(03_Journal!$I$7:$I$406,03_Journal!$E$7:$E$406,A44,03_Journal!$O$7:$O$406,1),0))</f>
        <v/>
      </c>
      <c r="E44" s="56">
        <f>IF(A44="","",IFERROR(SUMIFS(03_Journal!$I$7:$I$406,03_Journal!$F$7:$F$406,A44,03_Journal!$O$7:$O$406,1),0))</f>
        <v/>
      </c>
      <c r="F44" s="56">
        <f>IF(A44="","",IF(OR(C44="Actif",C44="Charge"),D44-E44,E44-D44))</f>
        <v/>
      </c>
      <c r="G44" s="15" t="n"/>
    </row>
    <row r="45">
      <c r="A45" s="14">
        <f>IF(02_Plan_Comptable!A42="","",02_Plan_Comptable!A42)</f>
        <v/>
      </c>
      <c r="B45" s="14">
        <f>IF(A45="","",02_Plan_Comptable!B42)</f>
        <v/>
      </c>
      <c r="C45" s="14">
        <f>IF(A45="","",02_Plan_Comptable!C42)</f>
        <v/>
      </c>
      <c r="D45" s="57">
        <f>IF(A45="","",IFERROR(SUMIFS(03_Journal!$I$7:$I$406,03_Journal!$E$7:$E$406,A45,03_Journal!$O$7:$O$406,1),0))</f>
        <v/>
      </c>
      <c r="E45" s="57">
        <f>IF(A45="","",IFERROR(SUMIFS(03_Journal!$I$7:$I$406,03_Journal!$F$7:$F$406,A45,03_Journal!$O$7:$O$406,1),0))</f>
        <v/>
      </c>
      <c r="F45" s="57">
        <f>IF(A45="","",IF(OR(C45="Actif",C45="Charge"),D45-E45,E45-D45))</f>
        <v/>
      </c>
      <c r="G45" s="14" t="n"/>
    </row>
    <row r="46">
      <c r="A46" s="15">
        <f>IF(02_Plan_Comptable!A43="","",02_Plan_Comptable!A43)</f>
        <v/>
      </c>
      <c r="B46" s="15">
        <f>IF(A46="","",02_Plan_Comptable!B43)</f>
        <v/>
      </c>
      <c r="C46" s="15">
        <f>IF(A46="","",02_Plan_Comptable!C43)</f>
        <v/>
      </c>
      <c r="D46" s="56">
        <f>IF(A46="","",IFERROR(SUMIFS(03_Journal!$I$7:$I$406,03_Journal!$E$7:$E$406,A46,03_Journal!$O$7:$O$406,1),0))</f>
        <v/>
      </c>
      <c r="E46" s="56">
        <f>IF(A46="","",IFERROR(SUMIFS(03_Journal!$I$7:$I$406,03_Journal!$F$7:$F$406,A46,03_Journal!$O$7:$O$406,1),0))</f>
        <v/>
      </c>
      <c r="F46" s="56">
        <f>IF(A46="","",IF(OR(C46="Actif",C46="Charge"),D46-E46,E46-D46))</f>
        <v/>
      </c>
      <c r="G46" s="15" t="n"/>
    </row>
    <row r="47">
      <c r="A47" s="14">
        <f>IF(02_Plan_Comptable!A44="","",02_Plan_Comptable!A44)</f>
        <v/>
      </c>
      <c r="B47" s="14">
        <f>IF(A47="","",02_Plan_Comptable!B44)</f>
        <v/>
      </c>
      <c r="C47" s="14">
        <f>IF(A47="","",02_Plan_Comptable!C44)</f>
        <v/>
      </c>
      <c r="D47" s="57">
        <f>IF(A47="","",IFERROR(SUMIFS(03_Journal!$I$7:$I$406,03_Journal!$E$7:$E$406,A47,03_Journal!$O$7:$O$406,1),0))</f>
        <v/>
      </c>
      <c r="E47" s="57">
        <f>IF(A47="","",IFERROR(SUMIFS(03_Journal!$I$7:$I$406,03_Journal!$F$7:$F$406,A47,03_Journal!$O$7:$O$406,1),0))</f>
        <v/>
      </c>
      <c r="F47" s="57">
        <f>IF(A47="","",IF(OR(C47="Actif",C47="Charge"),D47-E47,E47-D47))</f>
        <v/>
      </c>
      <c r="G47" s="14" t="n"/>
    </row>
    <row r="48">
      <c r="A48" s="15">
        <f>IF(02_Plan_Comptable!A45="","",02_Plan_Comptable!A45)</f>
        <v/>
      </c>
      <c r="B48" s="15">
        <f>IF(A48="","",02_Plan_Comptable!B45)</f>
        <v/>
      </c>
      <c r="C48" s="15">
        <f>IF(A48="","",02_Plan_Comptable!C45)</f>
        <v/>
      </c>
      <c r="D48" s="56">
        <f>IF(A48="","",IFERROR(SUMIFS(03_Journal!$I$7:$I$406,03_Journal!$E$7:$E$406,A48,03_Journal!$O$7:$O$406,1),0))</f>
        <v/>
      </c>
      <c r="E48" s="56">
        <f>IF(A48="","",IFERROR(SUMIFS(03_Journal!$I$7:$I$406,03_Journal!$F$7:$F$406,A48,03_Journal!$O$7:$O$406,1),0))</f>
        <v/>
      </c>
      <c r="F48" s="56">
        <f>IF(A48="","",IF(OR(C48="Actif",C48="Charge"),D48-E48,E48-D48))</f>
        <v/>
      </c>
      <c r="G48" s="15" t="n"/>
    </row>
    <row r="49">
      <c r="A49" s="14">
        <f>IF(02_Plan_Comptable!A46="","",02_Plan_Comptable!A46)</f>
        <v/>
      </c>
      <c r="B49" s="14">
        <f>IF(A49="","",02_Plan_Comptable!B46)</f>
        <v/>
      </c>
      <c r="C49" s="14">
        <f>IF(A49="","",02_Plan_Comptable!C46)</f>
        <v/>
      </c>
      <c r="D49" s="57">
        <f>IF(A49="","",IFERROR(SUMIFS(03_Journal!$I$7:$I$406,03_Journal!$E$7:$E$406,A49,03_Journal!$O$7:$O$406,1),0))</f>
        <v/>
      </c>
      <c r="E49" s="57">
        <f>IF(A49="","",IFERROR(SUMIFS(03_Journal!$I$7:$I$406,03_Journal!$F$7:$F$406,A49,03_Journal!$O$7:$O$406,1),0))</f>
        <v/>
      </c>
      <c r="F49" s="57">
        <f>IF(A49="","",IF(OR(C49="Actif",C49="Charge"),D49-E49,E49-D49))</f>
        <v/>
      </c>
      <c r="G49" s="14" t="n"/>
    </row>
    <row r="50">
      <c r="A50" s="15">
        <f>IF(02_Plan_Comptable!A47="","",02_Plan_Comptable!A47)</f>
        <v/>
      </c>
      <c r="B50" s="15">
        <f>IF(A50="","",02_Plan_Comptable!B47)</f>
        <v/>
      </c>
      <c r="C50" s="15">
        <f>IF(A50="","",02_Plan_Comptable!C47)</f>
        <v/>
      </c>
      <c r="D50" s="56">
        <f>IF(A50="","",IFERROR(SUMIFS(03_Journal!$I$7:$I$406,03_Journal!$E$7:$E$406,A50,03_Journal!$O$7:$O$406,1),0))</f>
        <v/>
      </c>
      <c r="E50" s="56">
        <f>IF(A50="","",IFERROR(SUMIFS(03_Journal!$I$7:$I$406,03_Journal!$F$7:$F$406,A50,03_Journal!$O$7:$O$406,1),0))</f>
        <v/>
      </c>
      <c r="F50" s="56">
        <f>IF(A50="","",IF(OR(C50="Actif",C50="Charge"),D50-E50,E50-D50))</f>
        <v/>
      </c>
      <c r="G50" s="15" t="n"/>
    </row>
    <row r="51">
      <c r="A51" s="14">
        <f>IF(02_Plan_Comptable!A48="","",02_Plan_Comptable!A48)</f>
        <v/>
      </c>
      <c r="B51" s="14">
        <f>IF(A51="","",02_Plan_Comptable!B48)</f>
        <v/>
      </c>
      <c r="C51" s="14">
        <f>IF(A51="","",02_Plan_Comptable!C48)</f>
        <v/>
      </c>
      <c r="D51" s="57">
        <f>IF(A51="","",IFERROR(SUMIFS(03_Journal!$I$7:$I$406,03_Journal!$E$7:$E$406,A51,03_Journal!$O$7:$O$406,1),0))</f>
        <v/>
      </c>
      <c r="E51" s="57">
        <f>IF(A51="","",IFERROR(SUMIFS(03_Journal!$I$7:$I$406,03_Journal!$F$7:$F$406,A51,03_Journal!$O$7:$O$406,1),0))</f>
        <v/>
      </c>
      <c r="F51" s="57">
        <f>IF(A51="","",IF(OR(C51="Actif",C51="Charge"),D51-E51,E51-D51))</f>
        <v/>
      </c>
      <c r="G51" s="14" t="n"/>
    </row>
    <row r="52">
      <c r="A52" s="15">
        <f>IF(02_Plan_Comptable!A49="","",02_Plan_Comptable!A49)</f>
        <v/>
      </c>
      <c r="B52" s="15">
        <f>IF(A52="","",02_Plan_Comptable!B49)</f>
        <v/>
      </c>
      <c r="C52" s="15">
        <f>IF(A52="","",02_Plan_Comptable!C49)</f>
        <v/>
      </c>
      <c r="D52" s="56">
        <f>IF(A52="","",IFERROR(SUMIFS(03_Journal!$I$7:$I$406,03_Journal!$E$7:$E$406,A52,03_Journal!$O$7:$O$406,1),0))</f>
        <v/>
      </c>
      <c r="E52" s="56">
        <f>IF(A52="","",IFERROR(SUMIFS(03_Journal!$I$7:$I$406,03_Journal!$F$7:$F$406,A52,03_Journal!$O$7:$O$406,1),0))</f>
        <v/>
      </c>
      <c r="F52" s="56">
        <f>IF(A52="","",IF(OR(C52="Actif",C52="Charge"),D52-E52,E52-D52))</f>
        <v/>
      </c>
      <c r="G52" s="15" t="n"/>
    </row>
    <row r="53">
      <c r="A53" s="14">
        <f>IF(02_Plan_Comptable!A50="","",02_Plan_Comptable!A50)</f>
        <v/>
      </c>
      <c r="B53" s="14">
        <f>IF(A53="","",02_Plan_Comptable!B50)</f>
        <v/>
      </c>
      <c r="C53" s="14">
        <f>IF(A53="","",02_Plan_Comptable!C50)</f>
        <v/>
      </c>
      <c r="D53" s="57">
        <f>IF(A53="","",IFERROR(SUMIFS(03_Journal!$I$7:$I$406,03_Journal!$E$7:$E$406,A53,03_Journal!$O$7:$O$406,1),0))</f>
        <v/>
      </c>
      <c r="E53" s="57">
        <f>IF(A53="","",IFERROR(SUMIFS(03_Journal!$I$7:$I$406,03_Journal!$F$7:$F$406,A53,03_Journal!$O$7:$O$406,1),0))</f>
        <v/>
      </c>
      <c r="F53" s="57">
        <f>IF(A53="","",IF(OR(C53="Actif",C53="Charge"),D53-E53,E53-D53))</f>
        <v/>
      </c>
      <c r="G53" s="14" t="n"/>
    </row>
    <row r="54">
      <c r="A54" s="15">
        <f>IF(02_Plan_Comptable!A51="","",02_Plan_Comptable!A51)</f>
        <v/>
      </c>
      <c r="B54" s="15">
        <f>IF(A54="","",02_Plan_Comptable!B51)</f>
        <v/>
      </c>
      <c r="C54" s="15">
        <f>IF(A54="","",02_Plan_Comptable!C51)</f>
        <v/>
      </c>
      <c r="D54" s="56">
        <f>IF(A54="","",IFERROR(SUMIFS(03_Journal!$I$7:$I$406,03_Journal!$E$7:$E$406,A54,03_Journal!$O$7:$O$406,1),0))</f>
        <v/>
      </c>
      <c r="E54" s="56">
        <f>IF(A54="","",IFERROR(SUMIFS(03_Journal!$I$7:$I$406,03_Journal!$F$7:$F$406,A54,03_Journal!$O$7:$O$406,1),0))</f>
        <v/>
      </c>
      <c r="F54" s="56">
        <f>IF(A54="","",IF(OR(C54="Actif",C54="Charge"),D54-E54,E54-D54))</f>
        <v/>
      </c>
      <c r="G54" s="15" t="n"/>
    </row>
    <row r="55">
      <c r="A55" s="14">
        <f>IF(02_Plan_Comptable!A52="","",02_Plan_Comptable!A52)</f>
        <v/>
      </c>
      <c r="B55" s="14">
        <f>IF(A55="","",02_Plan_Comptable!B52)</f>
        <v/>
      </c>
      <c r="C55" s="14">
        <f>IF(A55="","",02_Plan_Comptable!C52)</f>
        <v/>
      </c>
      <c r="D55" s="57">
        <f>IF(A55="","",IFERROR(SUMIFS(03_Journal!$I$7:$I$406,03_Journal!$E$7:$E$406,A55,03_Journal!$O$7:$O$406,1),0))</f>
        <v/>
      </c>
      <c r="E55" s="57">
        <f>IF(A55="","",IFERROR(SUMIFS(03_Journal!$I$7:$I$406,03_Journal!$F$7:$F$406,A55,03_Journal!$O$7:$O$406,1),0))</f>
        <v/>
      </c>
      <c r="F55" s="57">
        <f>IF(A55="","",IF(OR(C55="Actif",C55="Charge"),D55-E55,E55-D55))</f>
        <v/>
      </c>
      <c r="G55" s="14" t="n"/>
    </row>
    <row r="56">
      <c r="A56" s="15">
        <f>IF(02_Plan_Comptable!A53="","",02_Plan_Comptable!A53)</f>
        <v/>
      </c>
      <c r="B56" s="15">
        <f>IF(A56="","",02_Plan_Comptable!B53)</f>
        <v/>
      </c>
      <c r="C56" s="15">
        <f>IF(A56="","",02_Plan_Comptable!C53)</f>
        <v/>
      </c>
      <c r="D56" s="56">
        <f>IF(A56="","",IFERROR(SUMIFS(03_Journal!$I$7:$I$406,03_Journal!$E$7:$E$406,A56,03_Journal!$O$7:$O$406,1),0))</f>
        <v/>
      </c>
      <c r="E56" s="56">
        <f>IF(A56="","",IFERROR(SUMIFS(03_Journal!$I$7:$I$406,03_Journal!$F$7:$F$406,A56,03_Journal!$O$7:$O$406,1),0))</f>
        <v/>
      </c>
      <c r="F56" s="56">
        <f>IF(A56="","",IF(OR(C56="Actif",C56="Charge"),D56-E56,E56-D56))</f>
        <v/>
      </c>
      <c r="G56" s="15" t="n"/>
    </row>
    <row r="57">
      <c r="A57" s="14">
        <f>IF(02_Plan_Comptable!A54="","",02_Plan_Comptable!A54)</f>
        <v/>
      </c>
      <c r="B57" s="14">
        <f>IF(A57="","",02_Plan_Comptable!B54)</f>
        <v/>
      </c>
      <c r="C57" s="14">
        <f>IF(A57="","",02_Plan_Comptable!C54)</f>
        <v/>
      </c>
      <c r="D57" s="57">
        <f>IF(A57="","",IFERROR(SUMIFS(03_Journal!$I$7:$I$406,03_Journal!$E$7:$E$406,A57,03_Journal!$O$7:$O$406,1),0))</f>
        <v/>
      </c>
      <c r="E57" s="57">
        <f>IF(A57="","",IFERROR(SUMIFS(03_Journal!$I$7:$I$406,03_Journal!$F$7:$F$406,A57,03_Journal!$O$7:$O$406,1),0))</f>
        <v/>
      </c>
      <c r="F57" s="57">
        <f>IF(A57="","",IF(OR(C57="Actif",C57="Charge"),D57-E57,E57-D57))</f>
        <v/>
      </c>
      <c r="G57" s="14" t="n"/>
    </row>
    <row r="58">
      <c r="A58" s="15">
        <f>IF(02_Plan_Comptable!A55="","",02_Plan_Comptable!A55)</f>
        <v/>
      </c>
      <c r="B58" s="15">
        <f>IF(A58="","",02_Plan_Comptable!B55)</f>
        <v/>
      </c>
      <c r="C58" s="15">
        <f>IF(A58="","",02_Plan_Comptable!C55)</f>
        <v/>
      </c>
      <c r="D58" s="56">
        <f>IF(A58="","",IFERROR(SUMIFS(03_Journal!$I$7:$I$406,03_Journal!$E$7:$E$406,A58,03_Journal!$O$7:$O$406,1),0))</f>
        <v/>
      </c>
      <c r="E58" s="56">
        <f>IF(A58="","",IFERROR(SUMIFS(03_Journal!$I$7:$I$406,03_Journal!$F$7:$F$406,A58,03_Journal!$O$7:$O$406,1),0))</f>
        <v/>
      </c>
      <c r="F58" s="56">
        <f>IF(A58="","",IF(OR(C58="Actif",C58="Charge"),D58-E58,E58-D58))</f>
        <v/>
      </c>
      <c r="G58" s="15" t="n"/>
    </row>
    <row r="59">
      <c r="A59" s="14">
        <f>IF(02_Plan_Comptable!A56="","",02_Plan_Comptable!A56)</f>
        <v/>
      </c>
      <c r="B59" s="14">
        <f>IF(A59="","",02_Plan_Comptable!B56)</f>
        <v/>
      </c>
      <c r="C59" s="14">
        <f>IF(A59="","",02_Plan_Comptable!C56)</f>
        <v/>
      </c>
      <c r="D59" s="57">
        <f>IF(A59="","",IFERROR(SUMIFS(03_Journal!$I$7:$I$406,03_Journal!$E$7:$E$406,A59,03_Journal!$O$7:$O$406,1),0))</f>
        <v/>
      </c>
      <c r="E59" s="57">
        <f>IF(A59="","",IFERROR(SUMIFS(03_Journal!$I$7:$I$406,03_Journal!$F$7:$F$406,A59,03_Journal!$O$7:$O$406,1),0))</f>
        <v/>
      </c>
      <c r="F59" s="57">
        <f>IF(A59="","",IF(OR(C59="Actif",C59="Charge"),D59-E59,E59-D59))</f>
        <v/>
      </c>
      <c r="G59" s="14" t="n"/>
    </row>
    <row r="60">
      <c r="A60" s="15">
        <f>IF(02_Plan_Comptable!A57="","",02_Plan_Comptable!A57)</f>
        <v/>
      </c>
      <c r="B60" s="15">
        <f>IF(A60="","",02_Plan_Comptable!B57)</f>
        <v/>
      </c>
      <c r="C60" s="15">
        <f>IF(A60="","",02_Plan_Comptable!C57)</f>
        <v/>
      </c>
      <c r="D60" s="56">
        <f>IF(A60="","",IFERROR(SUMIFS(03_Journal!$I$7:$I$406,03_Journal!$E$7:$E$406,A60,03_Journal!$O$7:$O$406,1),0))</f>
        <v/>
      </c>
      <c r="E60" s="56">
        <f>IF(A60="","",IFERROR(SUMIFS(03_Journal!$I$7:$I$406,03_Journal!$F$7:$F$406,A60,03_Journal!$O$7:$O$406,1),0))</f>
        <v/>
      </c>
      <c r="F60" s="56">
        <f>IF(A60="","",IF(OR(C60="Actif",C60="Charge"),D60-E60,E60-D60))</f>
        <v/>
      </c>
      <c r="G60" s="15" t="n"/>
    </row>
    <row r="61">
      <c r="A61" s="14">
        <f>IF(02_Plan_Comptable!A58="","",02_Plan_Comptable!A58)</f>
        <v/>
      </c>
      <c r="B61" s="14">
        <f>IF(A61="","",02_Plan_Comptable!B58)</f>
        <v/>
      </c>
      <c r="C61" s="14">
        <f>IF(A61="","",02_Plan_Comptable!C58)</f>
        <v/>
      </c>
      <c r="D61" s="57">
        <f>IF(A61="","",IFERROR(SUMIFS(03_Journal!$I$7:$I$406,03_Journal!$E$7:$E$406,A61,03_Journal!$O$7:$O$406,1),0))</f>
        <v/>
      </c>
      <c r="E61" s="57">
        <f>IF(A61="","",IFERROR(SUMIFS(03_Journal!$I$7:$I$406,03_Journal!$F$7:$F$406,A61,03_Journal!$O$7:$O$406,1),0))</f>
        <v/>
      </c>
      <c r="F61" s="57">
        <f>IF(A61="","",IF(OR(C61="Actif",C61="Charge"),D61-E61,E61-D61))</f>
        <v/>
      </c>
      <c r="G61" s="14" t="n"/>
    </row>
    <row r="62">
      <c r="A62" s="15">
        <f>IF(02_Plan_Comptable!A59="","",02_Plan_Comptable!A59)</f>
        <v/>
      </c>
      <c r="B62" s="15">
        <f>IF(A62="","",02_Plan_Comptable!B59)</f>
        <v/>
      </c>
      <c r="C62" s="15">
        <f>IF(A62="","",02_Plan_Comptable!C59)</f>
        <v/>
      </c>
      <c r="D62" s="56">
        <f>IF(A62="","",IFERROR(SUMIFS(03_Journal!$I$7:$I$406,03_Journal!$E$7:$E$406,A62,03_Journal!$O$7:$O$406,1),0))</f>
        <v/>
      </c>
      <c r="E62" s="56">
        <f>IF(A62="","",IFERROR(SUMIFS(03_Journal!$I$7:$I$406,03_Journal!$F$7:$F$406,A62,03_Journal!$O$7:$O$406,1),0))</f>
        <v/>
      </c>
      <c r="F62" s="56">
        <f>IF(A62="","",IF(OR(C62="Actif",C62="Charge"),D62-E62,E62-D62))</f>
        <v/>
      </c>
      <c r="G62" s="15" t="n"/>
    </row>
    <row r="63">
      <c r="A63" s="14">
        <f>IF(02_Plan_Comptable!A60="","",02_Plan_Comptable!A60)</f>
        <v/>
      </c>
      <c r="B63" s="14">
        <f>IF(A63="","",02_Plan_Comptable!B60)</f>
        <v/>
      </c>
      <c r="C63" s="14">
        <f>IF(A63="","",02_Plan_Comptable!C60)</f>
        <v/>
      </c>
      <c r="D63" s="57">
        <f>IF(A63="","",IFERROR(SUMIFS(03_Journal!$I$7:$I$406,03_Journal!$E$7:$E$406,A63,03_Journal!$O$7:$O$406,1),0))</f>
        <v/>
      </c>
      <c r="E63" s="57">
        <f>IF(A63="","",IFERROR(SUMIFS(03_Journal!$I$7:$I$406,03_Journal!$F$7:$F$406,A63,03_Journal!$O$7:$O$406,1),0))</f>
        <v/>
      </c>
      <c r="F63" s="57">
        <f>IF(A63="","",IF(OR(C63="Actif",C63="Charge"),D63-E63,E63-D63))</f>
        <v/>
      </c>
      <c r="G63" s="14" t="n"/>
    </row>
    <row r="64">
      <c r="A64" s="15">
        <f>IF(02_Plan_Comptable!A61="","",02_Plan_Comptable!A61)</f>
        <v/>
      </c>
      <c r="B64" s="15">
        <f>IF(A64="","",02_Plan_Comptable!B61)</f>
        <v/>
      </c>
      <c r="C64" s="15">
        <f>IF(A64="","",02_Plan_Comptable!C61)</f>
        <v/>
      </c>
      <c r="D64" s="56">
        <f>IF(A64="","",IFERROR(SUMIFS(03_Journal!$I$7:$I$406,03_Journal!$E$7:$E$406,A64,03_Journal!$O$7:$O$406,1),0))</f>
        <v/>
      </c>
      <c r="E64" s="56">
        <f>IF(A64="","",IFERROR(SUMIFS(03_Journal!$I$7:$I$406,03_Journal!$F$7:$F$406,A64,03_Journal!$O$7:$O$406,1),0))</f>
        <v/>
      </c>
      <c r="F64" s="56">
        <f>IF(A64="","",IF(OR(C64="Actif",C64="Charge"),D64-E64,E64-D64))</f>
        <v/>
      </c>
      <c r="G64" s="15" t="n"/>
    </row>
    <row r="65">
      <c r="A65" s="14">
        <f>IF(02_Plan_Comptable!A62="","",02_Plan_Comptable!A62)</f>
        <v/>
      </c>
      <c r="B65" s="14">
        <f>IF(A65="","",02_Plan_Comptable!B62)</f>
        <v/>
      </c>
      <c r="C65" s="14">
        <f>IF(A65="","",02_Plan_Comptable!C62)</f>
        <v/>
      </c>
      <c r="D65" s="57">
        <f>IF(A65="","",IFERROR(SUMIFS(03_Journal!$I$7:$I$406,03_Journal!$E$7:$E$406,A65,03_Journal!$O$7:$O$406,1),0))</f>
        <v/>
      </c>
      <c r="E65" s="57">
        <f>IF(A65="","",IFERROR(SUMIFS(03_Journal!$I$7:$I$406,03_Journal!$F$7:$F$406,A65,03_Journal!$O$7:$O$406,1),0))</f>
        <v/>
      </c>
      <c r="F65" s="57">
        <f>IF(A65="","",IF(OR(C65="Actif",C65="Charge"),D65-E65,E65-D65))</f>
        <v/>
      </c>
      <c r="G65" s="14" t="n"/>
    </row>
    <row r="66">
      <c r="A66" s="15">
        <f>IF(02_Plan_Comptable!A63="","",02_Plan_Comptable!A63)</f>
        <v/>
      </c>
      <c r="B66" s="15">
        <f>IF(A66="","",02_Plan_Comptable!B63)</f>
        <v/>
      </c>
      <c r="C66" s="15">
        <f>IF(A66="","",02_Plan_Comptable!C63)</f>
        <v/>
      </c>
      <c r="D66" s="56">
        <f>IF(A66="","",IFERROR(SUMIFS(03_Journal!$I$7:$I$406,03_Journal!$E$7:$E$406,A66,03_Journal!$O$7:$O$406,1),0))</f>
        <v/>
      </c>
      <c r="E66" s="56">
        <f>IF(A66="","",IFERROR(SUMIFS(03_Journal!$I$7:$I$406,03_Journal!$F$7:$F$406,A66,03_Journal!$O$7:$O$406,1),0))</f>
        <v/>
      </c>
      <c r="F66" s="56">
        <f>IF(A66="","",IF(OR(C66="Actif",C66="Charge"),D66-E66,E66-D66))</f>
        <v/>
      </c>
      <c r="G66" s="15" t="n"/>
    </row>
    <row r="67">
      <c r="A67" s="14">
        <f>IF(02_Plan_Comptable!A64="","",02_Plan_Comptable!A64)</f>
        <v/>
      </c>
      <c r="B67" s="14">
        <f>IF(A67="","",02_Plan_Comptable!B64)</f>
        <v/>
      </c>
      <c r="C67" s="14">
        <f>IF(A67="","",02_Plan_Comptable!C64)</f>
        <v/>
      </c>
      <c r="D67" s="57">
        <f>IF(A67="","",IFERROR(SUMIFS(03_Journal!$I$7:$I$406,03_Journal!$E$7:$E$406,A67,03_Journal!$O$7:$O$406,1),0))</f>
        <v/>
      </c>
      <c r="E67" s="57">
        <f>IF(A67="","",IFERROR(SUMIFS(03_Journal!$I$7:$I$406,03_Journal!$F$7:$F$406,A67,03_Journal!$O$7:$O$406,1),0))</f>
        <v/>
      </c>
      <c r="F67" s="57">
        <f>IF(A67="","",IF(OR(C67="Actif",C67="Charge"),D67-E67,E67-D67))</f>
        <v/>
      </c>
      <c r="G67" s="14" t="n"/>
    </row>
    <row r="68">
      <c r="A68" s="15">
        <f>IF(02_Plan_Comptable!A65="","",02_Plan_Comptable!A65)</f>
        <v/>
      </c>
      <c r="B68" s="15">
        <f>IF(A68="","",02_Plan_Comptable!B65)</f>
        <v/>
      </c>
      <c r="C68" s="15">
        <f>IF(A68="","",02_Plan_Comptable!C65)</f>
        <v/>
      </c>
      <c r="D68" s="56">
        <f>IF(A68="","",IFERROR(SUMIFS(03_Journal!$I$7:$I$406,03_Journal!$E$7:$E$406,A68,03_Journal!$O$7:$O$406,1),0))</f>
        <v/>
      </c>
      <c r="E68" s="56">
        <f>IF(A68="","",IFERROR(SUMIFS(03_Journal!$I$7:$I$406,03_Journal!$F$7:$F$406,A68,03_Journal!$O$7:$O$406,1),0))</f>
        <v/>
      </c>
      <c r="F68" s="56">
        <f>IF(A68="","",IF(OR(C68="Actif",C68="Charge"),D68-E68,E68-D68))</f>
        <v/>
      </c>
      <c r="G68" s="15" t="n"/>
    </row>
    <row r="69">
      <c r="A69" s="14">
        <f>IF(02_Plan_Comptable!A66="","",02_Plan_Comptable!A66)</f>
        <v/>
      </c>
      <c r="B69" s="14">
        <f>IF(A69="","",02_Plan_Comptable!B66)</f>
        <v/>
      </c>
      <c r="C69" s="14">
        <f>IF(A69="","",02_Plan_Comptable!C66)</f>
        <v/>
      </c>
      <c r="D69" s="57">
        <f>IF(A69="","",IFERROR(SUMIFS(03_Journal!$I$7:$I$406,03_Journal!$E$7:$E$406,A69,03_Journal!$O$7:$O$406,1),0))</f>
        <v/>
      </c>
      <c r="E69" s="57">
        <f>IF(A69="","",IFERROR(SUMIFS(03_Journal!$I$7:$I$406,03_Journal!$F$7:$F$406,A69,03_Journal!$O$7:$O$406,1),0))</f>
        <v/>
      </c>
      <c r="F69" s="57">
        <f>IF(A69="","",IF(OR(C69="Actif",C69="Charge"),D69-E69,E69-D69))</f>
        <v/>
      </c>
      <c r="G69" s="14" t="n"/>
    </row>
    <row r="70">
      <c r="A70" s="15">
        <f>IF(02_Plan_Comptable!A67="","",02_Plan_Comptable!A67)</f>
        <v/>
      </c>
      <c r="B70" s="15">
        <f>IF(A70="","",02_Plan_Comptable!B67)</f>
        <v/>
      </c>
      <c r="C70" s="15">
        <f>IF(A70="","",02_Plan_Comptable!C67)</f>
        <v/>
      </c>
      <c r="D70" s="56">
        <f>IF(A70="","",IFERROR(SUMIFS(03_Journal!$I$7:$I$406,03_Journal!$E$7:$E$406,A70,03_Journal!$O$7:$O$406,1),0))</f>
        <v/>
      </c>
      <c r="E70" s="56">
        <f>IF(A70="","",IFERROR(SUMIFS(03_Journal!$I$7:$I$406,03_Journal!$F$7:$F$406,A70,03_Journal!$O$7:$O$406,1),0))</f>
        <v/>
      </c>
      <c r="F70" s="56">
        <f>IF(A70="","",IF(OR(C70="Actif",C70="Charge"),D70-E70,E70-D70))</f>
        <v/>
      </c>
      <c r="G70" s="15" t="n"/>
    </row>
    <row r="71">
      <c r="A71" s="14">
        <f>IF(02_Plan_Comptable!A68="","",02_Plan_Comptable!A68)</f>
        <v/>
      </c>
      <c r="B71" s="14">
        <f>IF(A71="","",02_Plan_Comptable!B68)</f>
        <v/>
      </c>
      <c r="C71" s="14">
        <f>IF(A71="","",02_Plan_Comptable!C68)</f>
        <v/>
      </c>
      <c r="D71" s="57">
        <f>IF(A71="","",IFERROR(SUMIFS(03_Journal!$I$7:$I$406,03_Journal!$E$7:$E$406,A71,03_Journal!$O$7:$O$406,1),0))</f>
        <v/>
      </c>
      <c r="E71" s="57">
        <f>IF(A71="","",IFERROR(SUMIFS(03_Journal!$I$7:$I$406,03_Journal!$F$7:$F$406,A71,03_Journal!$O$7:$O$406,1),0))</f>
        <v/>
      </c>
      <c r="F71" s="57">
        <f>IF(A71="","",IF(OR(C71="Actif",C71="Charge"),D71-E71,E71-D71))</f>
        <v/>
      </c>
      <c r="G71" s="14" t="n"/>
    </row>
    <row r="72">
      <c r="A72" s="15">
        <f>IF(02_Plan_Comptable!A69="","",02_Plan_Comptable!A69)</f>
        <v/>
      </c>
      <c r="B72" s="15">
        <f>IF(A72="","",02_Plan_Comptable!B69)</f>
        <v/>
      </c>
      <c r="C72" s="15">
        <f>IF(A72="","",02_Plan_Comptable!C69)</f>
        <v/>
      </c>
      <c r="D72" s="56">
        <f>IF(A72="","",IFERROR(SUMIFS(03_Journal!$I$7:$I$406,03_Journal!$E$7:$E$406,A72,03_Journal!$O$7:$O$406,1),0))</f>
        <v/>
      </c>
      <c r="E72" s="56">
        <f>IF(A72="","",IFERROR(SUMIFS(03_Journal!$I$7:$I$406,03_Journal!$F$7:$F$406,A72,03_Journal!$O$7:$O$406,1),0))</f>
        <v/>
      </c>
      <c r="F72" s="56">
        <f>IF(A72="","",IF(OR(C72="Actif",C72="Charge"),D72-E72,E72-D72))</f>
        <v/>
      </c>
      <c r="G72" s="15" t="n"/>
    </row>
    <row r="73">
      <c r="A73" s="14">
        <f>IF(02_Plan_Comptable!A70="","",02_Plan_Comptable!A70)</f>
        <v/>
      </c>
      <c r="B73" s="14">
        <f>IF(A73="","",02_Plan_Comptable!B70)</f>
        <v/>
      </c>
      <c r="C73" s="14">
        <f>IF(A73="","",02_Plan_Comptable!C70)</f>
        <v/>
      </c>
      <c r="D73" s="57">
        <f>IF(A73="","",IFERROR(SUMIFS(03_Journal!$I$7:$I$406,03_Journal!$E$7:$E$406,A73,03_Journal!$O$7:$O$406,1),0))</f>
        <v/>
      </c>
      <c r="E73" s="57">
        <f>IF(A73="","",IFERROR(SUMIFS(03_Journal!$I$7:$I$406,03_Journal!$F$7:$F$406,A73,03_Journal!$O$7:$O$406,1),0))</f>
        <v/>
      </c>
      <c r="F73" s="57">
        <f>IF(A73="","",IF(OR(C73="Actif",C73="Charge"),D73-E73,E73-D73))</f>
        <v/>
      </c>
      <c r="G73" s="14" t="n"/>
    </row>
    <row r="74">
      <c r="A74" s="15">
        <f>IF(02_Plan_Comptable!A71="","",02_Plan_Comptable!A71)</f>
        <v/>
      </c>
      <c r="B74" s="15">
        <f>IF(A74="","",02_Plan_Comptable!B71)</f>
        <v/>
      </c>
      <c r="C74" s="15">
        <f>IF(A74="","",02_Plan_Comptable!C71)</f>
        <v/>
      </c>
      <c r="D74" s="56">
        <f>IF(A74="","",IFERROR(SUMIFS(03_Journal!$I$7:$I$406,03_Journal!$E$7:$E$406,A74,03_Journal!$O$7:$O$406,1),0))</f>
        <v/>
      </c>
      <c r="E74" s="56">
        <f>IF(A74="","",IFERROR(SUMIFS(03_Journal!$I$7:$I$406,03_Journal!$F$7:$F$406,A74,03_Journal!$O$7:$O$406,1),0))</f>
        <v/>
      </c>
      <c r="F74" s="56">
        <f>IF(A74="","",IF(OR(C74="Actif",C74="Charge"),D74-E74,E74-D74))</f>
        <v/>
      </c>
      <c r="G74" s="15" t="n"/>
    </row>
    <row r="75">
      <c r="A75" s="14">
        <f>IF(02_Plan_Comptable!A72="","",02_Plan_Comptable!A72)</f>
        <v/>
      </c>
      <c r="B75" s="14">
        <f>IF(A75="","",02_Plan_Comptable!B72)</f>
        <v/>
      </c>
      <c r="C75" s="14">
        <f>IF(A75="","",02_Plan_Comptable!C72)</f>
        <v/>
      </c>
      <c r="D75" s="57">
        <f>IF(A75="","",IFERROR(SUMIFS(03_Journal!$I$7:$I$406,03_Journal!$E$7:$E$406,A75,03_Journal!$O$7:$O$406,1),0))</f>
        <v/>
      </c>
      <c r="E75" s="57">
        <f>IF(A75="","",IFERROR(SUMIFS(03_Journal!$I$7:$I$406,03_Journal!$F$7:$F$406,A75,03_Journal!$O$7:$O$406,1),0))</f>
        <v/>
      </c>
      <c r="F75" s="57">
        <f>IF(A75="","",IF(OR(C75="Actif",C75="Charge"),D75-E75,E75-D75))</f>
        <v/>
      </c>
      <c r="G75" s="14" t="n"/>
    </row>
    <row r="76">
      <c r="A76" s="15">
        <f>IF(02_Plan_Comptable!A73="","",02_Plan_Comptable!A73)</f>
        <v/>
      </c>
      <c r="B76" s="15">
        <f>IF(A76="","",02_Plan_Comptable!B73)</f>
        <v/>
      </c>
      <c r="C76" s="15">
        <f>IF(A76="","",02_Plan_Comptable!C73)</f>
        <v/>
      </c>
      <c r="D76" s="56">
        <f>IF(A76="","",IFERROR(SUMIFS(03_Journal!$I$7:$I$406,03_Journal!$E$7:$E$406,A76,03_Journal!$O$7:$O$406,1),0))</f>
        <v/>
      </c>
      <c r="E76" s="56">
        <f>IF(A76="","",IFERROR(SUMIFS(03_Journal!$I$7:$I$406,03_Journal!$F$7:$F$406,A76,03_Journal!$O$7:$O$406,1),0))</f>
        <v/>
      </c>
      <c r="F76" s="56">
        <f>IF(A76="","",IF(OR(C76="Actif",C76="Charge"),D76-E76,E76-D76))</f>
        <v/>
      </c>
      <c r="G76" s="15" t="n"/>
    </row>
    <row r="77">
      <c r="A77" s="14">
        <f>IF(02_Plan_Comptable!A74="","",02_Plan_Comptable!A74)</f>
        <v/>
      </c>
      <c r="B77" s="14">
        <f>IF(A77="","",02_Plan_Comptable!B74)</f>
        <v/>
      </c>
      <c r="C77" s="14">
        <f>IF(A77="","",02_Plan_Comptable!C74)</f>
        <v/>
      </c>
      <c r="D77" s="57">
        <f>IF(A77="","",IFERROR(SUMIFS(03_Journal!$I$7:$I$406,03_Journal!$E$7:$E$406,A77,03_Journal!$O$7:$O$406,1),0))</f>
        <v/>
      </c>
      <c r="E77" s="57">
        <f>IF(A77="","",IFERROR(SUMIFS(03_Journal!$I$7:$I$406,03_Journal!$F$7:$F$406,A77,03_Journal!$O$7:$O$406,1),0))</f>
        <v/>
      </c>
      <c r="F77" s="57">
        <f>IF(A77="","",IF(OR(C77="Actif",C77="Charge"),D77-E77,E77-D77))</f>
        <v/>
      </c>
      <c r="G77" s="14" t="n"/>
    </row>
    <row r="78">
      <c r="A78" s="15">
        <f>IF(02_Plan_Comptable!A75="","",02_Plan_Comptable!A75)</f>
        <v/>
      </c>
      <c r="B78" s="15">
        <f>IF(A78="","",02_Plan_Comptable!B75)</f>
        <v/>
      </c>
      <c r="C78" s="15">
        <f>IF(A78="","",02_Plan_Comptable!C75)</f>
        <v/>
      </c>
      <c r="D78" s="56">
        <f>IF(A78="","",IFERROR(SUMIFS(03_Journal!$I$7:$I$406,03_Journal!$E$7:$E$406,A78,03_Journal!$O$7:$O$406,1),0))</f>
        <v/>
      </c>
      <c r="E78" s="56">
        <f>IF(A78="","",IFERROR(SUMIFS(03_Journal!$I$7:$I$406,03_Journal!$F$7:$F$406,A78,03_Journal!$O$7:$O$406,1),0))</f>
        <v/>
      </c>
      <c r="F78" s="56">
        <f>IF(A78="","",IF(OR(C78="Actif",C78="Charge"),D78-E78,E78-D78))</f>
        <v/>
      </c>
      <c r="G78" s="15" t="n"/>
    </row>
    <row r="79">
      <c r="A79" s="14">
        <f>IF(02_Plan_Comptable!A76="","",02_Plan_Comptable!A76)</f>
        <v/>
      </c>
      <c r="B79" s="14">
        <f>IF(A79="","",02_Plan_Comptable!B76)</f>
        <v/>
      </c>
      <c r="C79" s="14">
        <f>IF(A79="","",02_Plan_Comptable!C76)</f>
        <v/>
      </c>
      <c r="D79" s="57">
        <f>IF(A79="","",IFERROR(SUMIFS(03_Journal!$I$7:$I$406,03_Journal!$E$7:$E$406,A79,03_Journal!$O$7:$O$406,1),0))</f>
        <v/>
      </c>
      <c r="E79" s="57">
        <f>IF(A79="","",IFERROR(SUMIFS(03_Journal!$I$7:$I$406,03_Journal!$F$7:$F$406,A79,03_Journal!$O$7:$O$406,1),0))</f>
        <v/>
      </c>
      <c r="F79" s="57">
        <f>IF(A79="","",IF(OR(C79="Actif",C79="Charge"),D79-E79,E79-D79))</f>
        <v/>
      </c>
      <c r="G79" s="14" t="n"/>
    </row>
    <row r="80">
      <c r="A80" s="15">
        <f>IF(02_Plan_Comptable!A77="","",02_Plan_Comptable!A77)</f>
        <v/>
      </c>
      <c r="B80" s="15">
        <f>IF(A80="","",02_Plan_Comptable!B77)</f>
        <v/>
      </c>
      <c r="C80" s="15">
        <f>IF(A80="","",02_Plan_Comptable!C77)</f>
        <v/>
      </c>
      <c r="D80" s="56">
        <f>IF(A80="","",IFERROR(SUMIFS(03_Journal!$I$7:$I$406,03_Journal!$E$7:$E$406,A80,03_Journal!$O$7:$O$406,1),0))</f>
        <v/>
      </c>
      <c r="E80" s="56">
        <f>IF(A80="","",IFERROR(SUMIFS(03_Journal!$I$7:$I$406,03_Journal!$F$7:$F$406,A80,03_Journal!$O$7:$O$406,1),0))</f>
        <v/>
      </c>
      <c r="F80" s="56">
        <f>IF(A80="","",IF(OR(C80="Actif",C80="Charge"),D80-E80,E80-D80))</f>
        <v/>
      </c>
      <c r="G80" s="15" t="n"/>
    </row>
    <row r="81">
      <c r="A81" s="14">
        <f>IF(02_Plan_Comptable!A78="","",02_Plan_Comptable!A78)</f>
        <v/>
      </c>
      <c r="B81" s="14">
        <f>IF(A81="","",02_Plan_Comptable!B78)</f>
        <v/>
      </c>
      <c r="C81" s="14">
        <f>IF(A81="","",02_Plan_Comptable!C78)</f>
        <v/>
      </c>
      <c r="D81" s="57">
        <f>IF(A81="","",IFERROR(SUMIFS(03_Journal!$I$7:$I$406,03_Journal!$E$7:$E$406,A81,03_Journal!$O$7:$O$406,1),0))</f>
        <v/>
      </c>
      <c r="E81" s="57">
        <f>IF(A81="","",IFERROR(SUMIFS(03_Journal!$I$7:$I$406,03_Journal!$F$7:$F$406,A81,03_Journal!$O$7:$O$406,1),0))</f>
        <v/>
      </c>
      <c r="F81" s="57">
        <f>IF(A81="","",IF(OR(C81="Actif",C81="Charge"),D81-E81,E81-D81))</f>
        <v/>
      </c>
      <c r="G81" s="14" t="n"/>
    </row>
    <row r="82">
      <c r="A82" s="15">
        <f>IF(02_Plan_Comptable!A79="","",02_Plan_Comptable!A79)</f>
        <v/>
      </c>
      <c r="B82" s="15">
        <f>IF(A82="","",02_Plan_Comptable!B79)</f>
        <v/>
      </c>
      <c r="C82" s="15">
        <f>IF(A82="","",02_Plan_Comptable!C79)</f>
        <v/>
      </c>
      <c r="D82" s="56">
        <f>IF(A82="","",IFERROR(SUMIFS(03_Journal!$I$7:$I$406,03_Journal!$E$7:$E$406,A82,03_Journal!$O$7:$O$406,1),0))</f>
        <v/>
      </c>
      <c r="E82" s="56">
        <f>IF(A82="","",IFERROR(SUMIFS(03_Journal!$I$7:$I$406,03_Journal!$F$7:$F$406,A82,03_Journal!$O$7:$O$406,1),0))</f>
        <v/>
      </c>
      <c r="F82" s="56">
        <f>IF(A82="","",IF(OR(C82="Actif",C82="Charge"),D82-E82,E82-D82))</f>
        <v/>
      </c>
      <c r="G82" s="15" t="n"/>
    </row>
    <row r="83">
      <c r="A83" s="14">
        <f>IF(02_Plan_Comptable!A80="","",02_Plan_Comptable!A80)</f>
        <v/>
      </c>
      <c r="B83" s="14">
        <f>IF(A83="","",02_Plan_Comptable!B80)</f>
        <v/>
      </c>
      <c r="C83" s="14">
        <f>IF(A83="","",02_Plan_Comptable!C80)</f>
        <v/>
      </c>
      <c r="D83" s="57">
        <f>IF(A83="","",IFERROR(SUMIFS(03_Journal!$I$7:$I$406,03_Journal!$E$7:$E$406,A83,03_Journal!$O$7:$O$406,1),0))</f>
        <v/>
      </c>
      <c r="E83" s="57">
        <f>IF(A83="","",IFERROR(SUMIFS(03_Journal!$I$7:$I$406,03_Journal!$F$7:$F$406,A83,03_Journal!$O$7:$O$406,1),0))</f>
        <v/>
      </c>
      <c r="F83" s="57">
        <f>IF(A83="","",IF(OR(C83="Actif",C83="Charge"),D83-E83,E83-D83))</f>
        <v/>
      </c>
      <c r="G83" s="14" t="n"/>
    </row>
    <row r="84">
      <c r="A84" s="15">
        <f>IF(02_Plan_Comptable!A81="","",02_Plan_Comptable!A81)</f>
        <v/>
      </c>
      <c r="B84" s="15">
        <f>IF(A84="","",02_Plan_Comptable!B81)</f>
        <v/>
      </c>
      <c r="C84" s="15">
        <f>IF(A84="","",02_Plan_Comptable!C81)</f>
        <v/>
      </c>
      <c r="D84" s="56">
        <f>IF(A84="","",IFERROR(SUMIFS(03_Journal!$I$7:$I$406,03_Journal!$E$7:$E$406,A84,03_Journal!$O$7:$O$406,1),0))</f>
        <v/>
      </c>
      <c r="E84" s="56">
        <f>IF(A84="","",IFERROR(SUMIFS(03_Journal!$I$7:$I$406,03_Journal!$F$7:$F$406,A84,03_Journal!$O$7:$O$406,1),0))</f>
        <v/>
      </c>
      <c r="F84" s="56">
        <f>IF(A84="","",IF(OR(C84="Actif",C84="Charge"),D84-E84,E84-D84))</f>
        <v/>
      </c>
      <c r="G84" s="15" t="n"/>
    </row>
    <row r="85">
      <c r="A85" s="14">
        <f>IF(02_Plan_Comptable!A82="","",02_Plan_Comptable!A82)</f>
        <v/>
      </c>
      <c r="B85" s="14">
        <f>IF(A85="","",02_Plan_Comptable!B82)</f>
        <v/>
      </c>
      <c r="C85" s="14">
        <f>IF(A85="","",02_Plan_Comptable!C82)</f>
        <v/>
      </c>
      <c r="D85" s="57">
        <f>IF(A85="","",IFERROR(SUMIFS(03_Journal!$I$7:$I$406,03_Journal!$E$7:$E$406,A85,03_Journal!$O$7:$O$406,1),0))</f>
        <v/>
      </c>
      <c r="E85" s="57">
        <f>IF(A85="","",IFERROR(SUMIFS(03_Journal!$I$7:$I$406,03_Journal!$F$7:$F$406,A85,03_Journal!$O$7:$O$406,1),0))</f>
        <v/>
      </c>
      <c r="F85" s="57">
        <f>IF(A85="","",IF(OR(C85="Actif",C85="Charge"),D85-E85,E85-D85))</f>
        <v/>
      </c>
      <c r="G85" s="14" t="n"/>
    </row>
    <row r="86">
      <c r="A86" s="15">
        <f>IF(02_Plan_Comptable!A83="","",02_Plan_Comptable!A83)</f>
        <v/>
      </c>
      <c r="B86" s="15">
        <f>IF(A86="","",02_Plan_Comptable!B83)</f>
        <v/>
      </c>
      <c r="C86" s="15">
        <f>IF(A86="","",02_Plan_Comptable!C83)</f>
        <v/>
      </c>
      <c r="D86" s="56">
        <f>IF(A86="","",IFERROR(SUMIFS(03_Journal!$I$7:$I$406,03_Journal!$E$7:$E$406,A86,03_Journal!$O$7:$O$406,1),0))</f>
        <v/>
      </c>
      <c r="E86" s="56">
        <f>IF(A86="","",IFERROR(SUMIFS(03_Journal!$I$7:$I$406,03_Journal!$F$7:$F$406,A86,03_Journal!$O$7:$O$406,1),0))</f>
        <v/>
      </c>
      <c r="F86" s="56">
        <f>IF(A86="","",IF(OR(C86="Actif",C86="Charge"),D86-E86,E86-D86))</f>
        <v/>
      </c>
      <c r="G86" s="15" t="n"/>
    </row>
    <row r="87">
      <c r="A87" s="14">
        <f>IF(02_Plan_Comptable!A84="","",02_Plan_Comptable!A84)</f>
        <v/>
      </c>
      <c r="B87" s="14">
        <f>IF(A87="","",02_Plan_Comptable!B84)</f>
        <v/>
      </c>
      <c r="C87" s="14">
        <f>IF(A87="","",02_Plan_Comptable!C84)</f>
        <v/>
      </c>
      <c r="D87" s="57">
        <f>IF(A87="","",IFERROR(SUMIFS(03_Journal!$I$7:$I$406,03_Journal!$E$7:$E$406,A87,03_Journal!$O$7:$O$406,1),0))</f>
        <v/>
      </c>
      <c r="E87" s="57">
        <f>IF(A87="","",IFERROR(SUMIFS(03_Journal!$I$7:$I$406,03_Journal!$F$7:$F$406,A87,03_Journal!$O$7:$O$406,1),0))</f>
        <v/>
      </c>
      <c r="F87" s="57">
        <f>IF(A87="","",IF(OR(C87="Actif",C87="Charge"),D87-E87,E87-D87))</f>
        <v/>
      </c>
      <c r="G87" s="14" t="n"/>
    </row>
    <row r="88">
      <c r="D88">
        <f>IF(A88="","",IFERROR(SUMIFS(03_Journal!$I$7:$I$406,03_Journal!$E$7:$E$406,A88,03_Journal!$O$7:$O$406,1),0))</f>
        <v/>
      </c>
      <c r="E88">
        <f>IF(A88="","",IFERROR(SUMIFS(03_Journal!$I$7:$I$406,03_Journal!$F$7:$F$406,A88,03_Journal!$O$7:$O$406,1),0))</f>
        <v/>
      </c>
      <c r="F88">
        <f>IF(A88="","",IF(OR(C88="Actif",C88="Charge"),D88-E88,E88-D88))</f>
        <v/>
      </c>
    </row>
    <row r="89">
      <c r="A89" s="26" t="inlineStr">
        <is>
          <t>Totaux</t>
        </is>
      </c>
      <c r="B89" s="58" t="n"/>
      <c r="C89" s="59" t="n"/>
      <c r="D89" s="60">
        <f>SUM(D8:D87)</f>
        <v/>
      </c>
      <c r="E89" s="60">
        <f>SUM(E8:E87)</f>
        <v/>
      </c>
      <c r="F89" s="27" t="n"/>
      <c r="G89" s="27" t="n"/>
    </row>
    <row r="91">
      <c r="A91" s="29" t="inlineStr">
        <is>
          <t>Produits (classe 7) – crédit</t>
        </is>
      </c>
      <c r="B91" s="58" t="n"/>
      <c r="C91" s="59" t="n"/>
      <c r="D91" s="30" t="n"/>
      <c r="E91" s="30" t="n"/>
      <c r="F91" s="61">
        <f>IFERROR(SUMIFS(E8:E87,C8:C87,"Produit"),0)</f>
        <v/>
      </c>
    </row>
    <row r="92">
      <c r="A92" s="29" t="inlineStr">
        <is>
          <t>Charges (classe 6) – débit</t>
        </is>
      </c>
      <c r="B92" s="58" t="n"/>
      <c r="C92" s="59" t="n"/>
      <c r="D92" s="30" t="n"/>
      <c r="E92" s="30" t="n"/>
      <c r="F92" s="61">
        <f>IFERROR(SUMIFS(D8:D87,C8:C87,"Charge"),0)</f>
        <v/>
      </c>
    </row>
    <row r="93">
      <c r="A93" s="29" t="inlineStr">
        <is>
          <t>Résultat (Produits - Charges)</t>
        </is>
      </c>
      <c r="B93" s="58" t="n"/>
      <c r="C93" s="59" t="n"/>
      <c r="D93" s="30" t="n"/>
      <c r="E93" s="30" t="n"/>
      <c r="F93" s="62">
        <f>F91-F92</f>
        <v/>
      </c>
    </row>
  </sheetData>
  <mergeCells count="6">
    <mergeCell ref="A1:G1"/>
    <mergeCell ref="A93:C93"/>
    <mergeCell ref="A89:C89"/>
    <mergeCell ref="A2:G2"/>
    <mergeCell ref="A92:C92"/>
    <mergeCell ref="A91:C9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29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20" customWidth="1" min="2" max="2"/>
    <col width="18" customWidth="1" min="3" max="3"/>
    <col width="18" customWidth="1" min="4" max="4"/>
    <col width="18" customWidth="1" min="5" max="5"/>
    <col width="18" customWidth="1" min="6" max="6"/>
    <col width="2" customWidth="1" min="7" max="7"/>
    <col width="22" customWidth="1" min="8" max="8"/>
    <col width="18" customWidth="1" min="9" max="9"/>
    <col width="18" customWidth="1" min="10" max="10"/>
    <col width="18" customWidth="1" min="11" max="11"/>
  </cols>
  <sheetData>
    <row r="1" ht="28" customHeight="1">
      <c r="A1" s="1" t="inlineStr">
        <is>
          <t>Tableau de bord (one page)</t>
        </is>
      </c>
    </row>
    <row r="2" ht="18" customHeight="1">
      <c r="A2" s="2" t="inlineStr">
        <is>
          <t>Synthèse visuelle — cellules bleues = dates période d'analyse (via Paramètres)</t>
        </is>
      </c>
    </row>
    <row r="4">
      <c r="B4" s="8" t="inlineStr">
        <is>
          <t>Période d'analyse</t>
        </is>
      </c>
      <c r="H4" s="33" t="inlineStr">
        <is>
          <t>Cashflow mensuel (compte 512)</t>
        </is>
      </c>
    </row>
    <row r="5">
      <c r="B5" s="34" t="inlineStr">
        <is>
          <t>Début</t>
        </is>
      </c>
      <c r="C5" s="55">
        <f>01_Parametres!B11</f>
        <v/>
      </c>
      <c r="D5" s="34" t="inlineStr">
        <is>
          <t>Fin</t>
        </is>
      </c>
      <c r="E5" s="55">
        <f>01_Parametres!B12</f>
        <v/>
      </c>
    </row>
    <row r="6" ht="20" customHeight="1">
      <c r="H6" s="35" t="inlineStr">
        <is>
          <t>Mois</t>
        </is>
      </c>
      <c r="I6" s="35" t="inlineStr">
        <is>
          <t>Entrées (€)</t>
        </is>
      </c>
      <c r="J6" s="35" t="inlineStr">
        <is>
          <t>Sorties (€)</t>
        </is>
      </c>
      <c r="K6" s="35" t="inlineStr">
        <is>
          <t>Net (€)</t>
        </is>
      </c>
    </row>
    <row r="7">
      <c r="H7" s="63">
        <f>EOMONTH(01_Parametres!$B$11,0-1)+1</f>
        <v/>
      </c>
      <c r="I7" s="64">
        <f>IFERROR(SUMIFS(03_Journal!$I$7:$I$406,03_Journal!$E$7:$E$406,"512",03_Journal!$N$7:$N$406,H7,03_Journal!$O$7:$O$406,1),0)</f>
        <v/>
      </c>
      <c r="J7" s="64">
        <f>IFERROR(SUMIFS(03_Journal!$I$7:$I$406,03_Journal!$F$7:$F$406,"512",03_Journal!$N$7:$N$406,H7,03_Journal!$O$7:$O$406,1),0)</f>
        <v/>
      </c>
      <c r="K7" s="64">
        <f>I7-J7</f>
        <v/>
      </c>
    </row>
    <row r="8">
      <c r="B8" s="8" t="inlineStr">
        <is>
          <t>Indicateurs</t>
        </is>
      </c>
      <c r="H8" s="65">
        <f>EOMONTH(01_Parametres!$B$11,1-1)+1</f>
        <v/>
      </c>
      <c r="I8" s="66">
        <f>IFERROR(SUMIFS(03_Journal!$I$7:$I$406,03_Journal!$E$7:$E$406,"512",03_Journal!$N$7:$N$406,H8,03_Journal!$O$7:$O$406,1),0)</f>
        <v/>
      </c>
      <c r="J8" s="66">
        <f>IFERROR(SUMIFS(03_Journal!$I$7:$I$406,03_Journal!$F$7:$F$406,"512",03_Journal!$N$7:$N$406,H8,03_Journal!$O$7:$O$406,1),0)</f>
        <v/>
      </c>
      <c r="K8" s="66">
        <f>I8-J8</f>
        <v/>
      </c>
    </row>
    <row r="9">
      <c r="B9" s="40" t="inlineStr">
        <is>
          <t>Loyers (706) – Crédit</t>
        </is>
      </c>
      <c r="C9" s="59" t="n"/>
      <c r="D9" s="41" t="inlineStr">
        <is>
          <t>Charges (classe 6) – Débit</t>
        </is>
      </c>
      <c r="E9" s="59" t="n"/>
      <c r="F9" s="42" t="inlineStr">
        <is>
          <t>Résultat (Produits - Charges)</t>
        </is>
      </c>
      <c r="G9" s="59" t="n"/>
      <c r="H9" s="63">
        <f>EOMONTH(01_Parametres!$B$11,2-1)+1</f>
        <v/>
      </c>
      <c r="I9" s="64">
        <f>IFERROR(SUMIFS(03_Journal!$I$7:$I$406,03_Journal!$E$7:$E$406,"512",03_Journal!$N$7:$N$406,H9,03_Journal!$O$7:$O$406,1),0)</f>
        <v/>
      </c>
      <c r="J9" s="64">
        <f>IFERROR(SUMIFS(03_Journal!$I$7:$I$406,03_Journal!$F$7:$F$406,"512",03_Journal!$N$7:$N$406,H9,03_Journal!$O$7:$O$406,1),0)</f>
        <v/>
      </c>
      <c r="K9" s="64">
        <f>I9-J9</f>
        <v/>
      </c>
    </row>
    <row r="10">
      <c r="B10" s="67">
        <f>IFERROR(SUMIFS(03_Journal!$I$7:$I$406,03_Journal!$F$7:$F$406,"706",03_Journal!$O$7:$O$406,1),0)</f>
        <v/>
      </c>
      <c r="C10" s="68" t="n"/>
      <c r="D10" s="69">
        <f>IFERROR(SUMIFS(03_Journal!$I$7:$I$406,03_Journal!$P$7:$P$406,"Charge",03_Journal!$O$7:$O$406,1),0)</f>
        <v/>
      </c>
      <c r="E10" s="68" t="n"/>
      <c r="F10" s="70">
        <f>IFERROR(SUMIFS(03_Journal!$I$7:$I$406,03_Journal!$Q$7:$Q$406,"Produit",03_Journal!$O$7:$O$406,1),0)-IFERROR(SUMIFS(03_Journal!$I$7:$I$406,03_Journal!$P$7:$P$406,"Charge",03_Journal!$O$7:$O$406,1),0)</f>
        <v/>
      </c>
      <c r="G10" s="68" t="n"/>
      <c r="H10" s="65">
        <f>EOMONTH(01_Parametres!$B$11,3-1)+1</f>
        <v/>
      </c>
      <c r="I10" s="66">
        <f>IFERROR(SUMIFS(03_Journal!$I$7:$I$406,03_Journal!$E$7:$E$406,"512",03_Journal!$N$7:$N$406,H10,03_Journal!$O$7:$O$406,1),0)</f>
        <v/>
      </c>
      <c r="J10" s="66">
        <f>IFERROR(SUMIFS(03_Journal!$I$7:$I$406,03_Journal!$F$7:$F$406,"512",03_Journal!$N$7:$N$406,H10,03_Journal!$O$7:$O$406,1),0)</f>
        <v/>
      </c>
      <c r="K10" s="66">
        <f>I10-J10</f>
        <v/>
      </c>
    </row>
    <row r="11">
      <c r="B11" s="71" t="n"/>
      <c r="C11" s="72" t="n"/>
      <c r="D11" s="71" t="n"/>
      <c r="E11" s="72" t="n"/>
      <c r="F11" s="71" t="n"/>
      <c r="G11" s="72" t="n"/>
      <c r="H11" s="63">
        <f>EOMONTH(01_Parametres!$B$11,4-1)+1</f>
        <v/>
      </c>
      <c r="I11" s="64">
        <f>IFERROR(SUMIFS(03_Journal!$I$7:$I$406,03_Journal!$E$7:$E$406,"512",03_Journal!$N$7:$N$406,H11,03_Journal!$O$7:$O$406,1),0)</f>
        <v/>
      </c>
      <c r="J11" s="64">
        <f>IFERROR(SUMIFS(03_Journal!$I$7:$I$406,03_Journal!$F$7:$F$406,"512",03_Journal!$N$7:$N$406,H11,03_Journal!$O$7:$O$406,1),0)</f>
        <v/>
      </c>
      <c r="K11" s="64">
        <f>I11-J11</f>
        <v/>
      </c>
    </row>
    <row r="12">
      <c r="H12" s="65">
        <f>EOMONTH(01_Parametres!$B$11,5-1)+1</f>
        <v/>
      </c>
      <c r="I12" s="66">
        <f>IFERROR(SUMIFS(03_Journal!$I$7:$I$406,03_Journal!$E$7:$E$406,"512",03_Journal!$N$7:$N$406,H12,03_Journal!$O$7:$O$406,1),0)</f>
        <v/>
      </c>
      <c r="J12" s="66">
        <f>IFERROR(SUMIFS(03_Journal!$I$7:$I$406,03_Journal!$F$7:$F$406,"512",03_Journal!$N$7:$N$406,H12,03_Journal!$O$7:$O$406,1),0)</f>
        <v/>
      </c>
      <c r="K12" s="66">
        <f>I12-J12</f>
        <v/>
      </c>
    </row>
    <row r="13">
      <c r="B13" s="46" t="inlineStr">
        <is>
          <t>Solde Banque (512)</t>
        </is>
      </c>
      <c r="C13" s="59" t="n"/>
      <c r="D13" s="46" t="inlineStr">
        <is>
          <t>Intérêts (661) – Débit</t>
        </is>
      </c>
      <c r="E13" s="59" t="n"/>
      <c r="F13" s="46" t="inlineStr">
        <is>
          <t>Taxe foncière (63512) – Débit</t>
        </is>
      </c>
      <c r="G13" s="59" t="n"/>
      <c r="H13" s="63">
        <f>EOMONTH(01_Parametres!$B$11,6-1)+1</f>
        <v/>
      </c>
      <c r="I13" s="64">
        <f>IFERROR(SUMIFS(03_Journal!$I$7:$I$406,03_Journal!$E$7:$E$406,"512",03_Journal!$N$7:$N$406,H13,03_Journal!$O$7:$O$406,1),0)</f>
        <v/>
      </c>
      <c r="J13" s="64">
        <f>IFERROR(SUMIFS(03_Journal!$I$7:$I$406,03_Journal!$F$7:$F$406,"512",03_Journal!$N$7:$N$406,H13,03_Journal!$O$7:$O$406,1),0)</f>
        <v/>
      </c>
      <c r="K13" s="64">
        <f>I13-J13</f>
        <v/>
      </c>
    </row>
    <row r="14">
      <c r="B14" s="73">
        <f>IFERROR(INDEX(04_Synthese!$F$8:$F$87,MATCH("512",04_Synthese!$A$8:$A$87,0)),0)</f>
        <v/>
      </c>
      <c r="C14" s="68" t="n"/>
      <c r="D14" s="73">
        <f>IFERROR(INDEX(04_Synthese!$D$8:$D$87,MATCH("661",04_Synthese!$A$8:$A$87,0)),0)</f>
        <v/>
      </c>
      <c r="E14" s="68" t="n"/>
      <c r="F14" s="73">
        <f>IFERROR(INDEX(04_Synthese!$D$8:$D$87,MATCH("63512",04_Synthese!$A$8:$A$87,0)),0)</f>
        <v/>
      </c>
      <c r="G14" s="68" t="n"/>
      <c r="H14" s="65">
        <f>EOMONTH(01_Parametres!$B$11,7-1)+1</f>
        <v/>
      </c>
      <c r="I14" s="66">
        <f>IFERROR(SUMIFS(03_Journal!$I$7:$I$406,03_Journal!$E$7:$E$406,"512",03_Journal!$N$7:$N$406,H14,03_Journal!$O$7:$O$406,1),0)</f>
        <v/>
      </c>
      <c r="J14" s="66">
        <f>IFERROR(SUMIFS(03_Journal!$I$7:$I$406,03_Journal!$F$7:$F$406,"512",03_Journal!$N$7:$N$406,H14,03_Journal!$O$7:$O$406,1),0)</f>
        <v/>
      </c>
      <c r="K14" s="66">
        <f>I14-J14</f>
        <v/>
      </c>
    </row>
    <row r="15">
      <c r="B15" s="71" t="n"/>
      <c r="C15" s="72" t="n"/>
      <c r="D15" s="71" t="n"/>
      <c r="E15" s="72" t="n"/>
      <c r="F15" s="71" t="n"/>
      <c r="G15" s="72" t="n"/>
      <c r="H15" s="63">
        <f>EOMONTH(01_Parametres!$B$11,8-1)+1</f>
        <v/>
      </c>
      <c r="I15" s="64">
        <f>IFERROR(SUMIFS(03_Journal!$I$7:$I$406,03_Journal!$E$7:$E$406,"512",03_Journal!$N$7:$N$406,H15,03_Journal!$O$7:$O$406,1),0)</f>
        <v/>
      </c>
      <c r="J15" s="64">
        <f>IFERROR(SUMIFS(03_Journal!$I$7:$I$406,03_Journal!$F$7:$F$406,"512",03_Journal!$N$7:$N$406,H15,03_Journal!$O$7:$O$406,1),0)</f>
        <v/>
      </c>
      <c r="K15" s="64">
        <f>I15-J15</f>
        <v/>
      </c>
    </row>
    <row r="16">
      <c r="B16" s="40" t="inlineStr">
        <is>
          <t>Résultat (Loyers - Charges)</t>
        </is>
      </c>
      <c r="C16" s="75">
        <f>B10-D10</f>
        <v/>
      </c>
      <c r="D16" s="40" t="inlineStr">
        <is>
          <t>Service dette (164+661)</t>
        </is>
      </c>
      <c r="E16" s="75">
        <f>IFERROR(SUMIFS(03_Journal!$I$7:$I$406,03_Journal!$E$7:$E$406,"164",03_Journal!$O$7:$O$406,1),0)+IFERROR(SUMIFS(03_Journal!$I$7:$I$406,03_Journal!$E$7:$E$406,"661",03_Journal!$O$7:$O$406,1),0)</f>
        <v/>
      </c>
      <c r="H16" s="65">
        <f>EOMONTH(01_Parametres!$B$11,9-1)+1</f>
        <v/>
      </c>
      <c r="I16" s="66">
        <f>IFERROR(SUMIFS(03_Journal!$I$7:$I$406,03_Journal!$E$7:$E$406,"512",03_Journal!$N$7:$N$406,H16,03_Journal!$O$7:$O$406,1),0)</f>
        <v/>
      </c>
      <c r="J16" s="66">
        <f>IFERROR(SUMIFS(03_Journal!$I$7:$I$406,03_Journal!$F$7:$F$406,"512",03_Journal!$N$7:$N$406,H16,03_Journal!$O$7:$O$406,1),0)</f>
        <v/>
      </c>
      <c r="K16" s="66">
        <f>I16-J16</f>
        <v/>
      </c>
    </row>
    <row r="17">
      <c r="B17" s="40" t="inlineStr">
        <is>
          <t>Cashflow net (Entrées - Sorties)</t>
        </is>
      </c>
      <c r="C17" s="75">
        <f>SUM($K$7:$K$18)</f>
        <v/>
      </c>
      <c r="D17" s="40" t="inlineStr">
        <is>
          <t>Impayés (estim.)</t>
        </is>
      </c>
      <c r="E17" s="75">
        <f>06_Suivi_Loyers!$D$38</f>
        <v/>
      </c>
      <c r="H17" s="63">
        <f>EOMONTH(01_Parametres!$B$11,10-1)+1</f>
        <v/>
      </c>
      <c r="I17" s="64">
        <f>IFERROR(SUMIFS(03_Journal!$I$7:$I$406,03_Journal!$E$7:$E$406,"512",03_Journal!$N$7:$N$406,H17,03_Journal!$O$7:$O$406,1),0)</f>
        <v/>
      </c>
      <c r="J17" s="64">
        <f>IFERROR(SUMIFS(03_Journal!$I$7:$I$406,03_Journal!$F$7:$F$406,"512",03_Journal!$N$7:$N$406,H17,03_Journal!$O$7:$O$406,1),0)</f>
        <v/>
      </c>
      <c r="K17" s="64">
        <f>I17-J17</f>
        <v/>
      </c>
    </row>
    <row r="18">
      <c r="H18" s="65">
        <f>EOMONTH(01_Parametres!$B$11,11-1)+1</f>
        <v/>
      </c>
      <c r="I18" s="66">
        <f>IFERROR(SUMIFS(03_Journal!$I$7:$I$406,03_Journal!$E$7:$E$406,"512",03_Journal!$N$7:$N$406,H18,03_Journal!$O$7:$O$406,1),0)</f>
        <v/>
      </c>
      <c r="J18" s="66">
        <f>IFERROR(SUMIFS(03_Journal!$I$7:$I$406,03_Journal!$F$7:$F$406,"512",03_Journal!$N$7:$N$406,H18,03_Journal!$O$7:$O$406,1),0)</f>
        <v/>
      </c>
      <c r="K18" s="66">
        <f>I18-J18</f>
        <v/>
      </c>
    </row>
    <row r="20">
      <c r="H20" s="35" t="inlineStr">
        <is>
          <t>Catégorie (charges)</t>
        </is>
      </c>
      <c r="I20" s="35" t="inlineStr">
        <is>
          <t>Montant (€)</t>
        </is>
      </c>
      <c r="J20" s="35" t="inlineStr">
        <is>
          <t>Part %</t>
        </is>
      </c>
    </row>
    <row r="21">
      <c r="H21" s="63" t="inlineStr">
        <is>
          <t>Copropriété</t>
        </is>
      </c>
      <c r="I21" s="76">
        <f>IFERROR(SUMIFS(03_Journal!$I$7:$I$406,03_Journal!$L$7:$L$406,$H21,03_Journal!$P$7:$P$406,"Charge",03_Journal!$O$7:$O$406,1),0)</f>
        <v/>
      </c>
      <c r="J21" s="77">
        <f>IF(SUM($I$21:$I$28)=0,0,$I21/SUM($I$21:$I$28))</f>
        <v/>
      </c>
    </row>
    <row r="22">
      <c r="H22" s="63" t="inlineStr">
        <is>
          <t>Gestion locative</t>
        </is>
      </c>
      <c r="I22" s="76">
        <f>IFERROR(SUMIFS(03_Journal!$I$7:$I$406,03_Journal!$L$7:$L$406,$H22,03_Journal!$P$7:$P$406,"Charge",03_Journal!$O$7:$O$406,1),0)</f>
        <v/>
      </c>
      <c r="J22" s="77">
        <f>IF(SUM($I$21:$I$28)=0,0,$I22/SUM($I$21:$I$28))</f>
        <v/>
      </c>
    </row>
    <row r="23">
      <c r="H23" s="63" t="inlineStr">
        <is>
          <t>Frais bancaires</t>
        </is>
      </c>
      <c r="I23" s="76">
        <f>IFERROR(SUMIFS(03_Journal!$I$7:$I$406,03_Journal!$L$7:$L$406,$H23,03_Journal!$P$7:$P$406,"Charge",03_Journal!$O$7:$O$406,1),0)</f>
        <v/>
      </c>
      <c r="J23" s="77">
        <f>IF(SUM($I$21:$I$28)=0,0,$I23/SUM($I$21:$I$28))</f>
        <v/>
      </c>
    </row>
    <row r="24">
      <c r="H24" s="63" t="inlineStr">
        <is>
          <t>Emprunt - intérêts</t>
        </is>
      </c>
      <c r="I24" s="76">
        <f>IFERROR(SUMIFS(03_Journal!$I$7:$I$406,03_Journal!$L$7:$L$406,$H24,03_Journal!$P$7:$P$406,"Charge",03_Journal!$O$7:$O$406,1),0)</f>
        <v/>
      </c>
      <c r="J24" s="77">
        <f>IF(SUM($I$21:$I$28)=0,0,$I24/SUM($I$21:$I$28))</f>
        <v/>
      </c>
    </row>
    <row r="25">
      <c r="H25" s="63" t="inlineStr">
        <is>
          <t>Assurance</t>
        </is>
      </c>
      <c r="I25" s="76">
        <f>IFERROR(SUMIFS(03_Journal!$I$7:$I$406,03_Journal!$L$7:$L$406,$H25,03_Journal!$P$7:$P$406,"Charge",03_Journal!$O$7:$O$406,1),0)</f>
        <v/>
      </c>
      <c r="J25" s="77">
        <f>IF(SUM($I$21:$I$28)=0,0,$I25/SUM($I$21:$I$28))</f>
        <v/>
      </c>
    </row>
    <row r="26">
      <c r="H26" s="63" t="inlineStr">
        <is>
          <t>Travaux</t>
        </is>
      </c>
      <c r="I26" s="76">
        <f>IFERROR(SUMIFS(03_Journal!$I$7:$I$406,03_Journal!$L$7:$L$406,$H26,03_Journal!$P$7:$P$406,"Charge",03_Journal!$O$7:$O$406,1),0)</f>
        <v/>
      </c>
      <c r="J26" s="77">
        <f>IF(SUM($I$21:$I$28)=0,0,$I26/SUM($I$21:$I$28))</f>
        <v/>
      </c>
    </row>
    <row r="27">
      <c r="H27" s="63" t="inlineStr">
        <is>
          <t>Taxe foncière</t>
        </is>
      </c>
      <c r="I27" s="76">
        <f>IFERROR(SUMIFS(03_Journal!$I$7:$I$406,03_Journal!$L$7:$L$406,$H27,03_Journal!$P$7:$P$406,"Charge",03_Journal!$O$7:$O$406,1),0)</f>
        <v/>
      </c>
      <c r="J27" s="77">
        <f>IF(SUM($I$21:$I$28)=0,0,$I27/SUM($I$21:$I$28))</f>
        <v/>
      </c>
    </row>
    <row r="28">
      <c r="H28" s="63" t="inlineStr">
        <is>
          <t>Honoraires</t>
        </is>
      </c>
      <c r="I28" s="76">
        <f>IFERROR(SUMIFS(03_Journal!$I$7:$I$406,03_Journal!$L$7:$L$406,$H28,03_Journal!$P$7:$P$406,"Charge",03_Journal!$O$7:$O$406,1),0)</f>
        <v/>
      </c>
      <c r="J28" s="77">
        <f>IF(SUM($I$21:$I$28)=0,0,$I28/SUM($I$21:$I$28))</f>
        <v/>
      </c>
    </row>
    <row r="29">
      <c r="H29" s="35" t="inlineStr">
        <is>
          <t>Total charges (cat.)</t>
        </is>
      </c>
      <c r="I29" s="78">
        <f>SUM(I21:I28)</f>
        <v/>
      </c>
      <c r="J29" s="79">
        <f>1</f>
        <v/>
      </c>
    </row>
  </sheetData>
  <mergeCells count="15">
    <mergeCell ref="B13:C13"/>
    <mergeCell ref="H4:K4"/>
    <mergeCell ref="A1:J1"/>
    <mergeCell ref="D13:E13"/>
    <mergeCell ref="F10:G11"/>
    <mergeCell ref="A2:J2"/>
    <mergeCell ref="B10:C11"/>
    <mergeCell ref="D14:E15"/>
    <mergeCell ref="B14:C15"/>
    <mergeCell ref="D10:E11"/>
    <mergeCell ref="B9:C9"/>
    <mergeCell ref="F13:G13"/>
    <mergeCell ref="D9:E9"/>
    <mergeCell ref="F9:G9"/>
    <mergeCell ref="F14:G15"/>
  </mergeCells>
  <conditionalFormatting sqref="C16">
    <cfRule type="cellIs" priority="1" operator="lessThan" dxfId="1">
      <formula>0</formula>
    </cfRule>
  </conditionalFormatting>
  <conditionalFormatting sqref="E16">
    <cfRule type="cellIs" priority="2" operator="lessThan" dxfId="1">
      <formula>0</formula>
    </cfRule>
  </conditionalFormatting>
  <conditionalFormatting sqref="C17">
    <cfRule type="cellIs" priority="3" operator="lessThan" dxfId="1">
      <formula>0</formula>
    </cfRule>
  </conditionalFormatting>
  <conditionalFormatting sqref="E17">
    <cfRule type="cellIs" priority="4" operator="lessThan" dxfId="1">
      <formula>0</formula>
    </cfRule>
  </conditionalFormatting>
  <pageMargins left="0.7" right="0.7" top="0.75" bottom="0.75" header="0.3" footer="0.3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38"/>
  <sheetViews>
    <sheetView showGridLines="0" workbookViewId="0">
      <pane ySplit="12" topLeftCell="A13" activePane="bottomLeft" state="frozen"/>
      <selection pane="bottomLeft" activeCell="A1" sqref="A1"/>
    </sheetView>
  </sheetViews>
  <sheetFormatPr baseColWidth="8" defaultRowHeight="15"/>
  <cols>
    <col width="14" customWidth="1" min="1" max="1"/>
    <col width="22" customWidth="1" min="2" max="2"/>
    <col width="26" customWidth="1" min="3" max="3"/>
    <col width="16" customWidth="1" min="4" max="4"/>
    <col width="16" customWidth="1" min="5" max="5"/>
    <col width="14" customWidth="1" min="6" max="6"/>
    <col width="18" customWidth="1" min="7" max="7"/>
    <col width="30" customWidth="1" min="8" max="8"/>
  </cols>
  <sheetData>
    <row r="1">
      <c r="A1" s="1" t="inlineStr">
        <is>
          <t>Suivi des loyers &amp; impayés (exemple)</t>
        </is>
      </c>
    </row>
    <row r="2">
      <c r="A2" s="2" t="inlineStr">
        <is>
          <t>Basé sur les encaissements (03_Journal: compte 706) — adaptez le référentiel et les loyers attendus.</t>
        </is>
      </c>
    </row>
    <row r="4">
      <c r="A4" s="8" t="inlineStr">
        <is>
          <t>Période d'analyse</t>
        </is>
      </c>
      <c r="B4" t="inlineStr">
        <is>
          <t>Début</t>
        </is>
      </c>
      <c r="C4" s="55">
        <f>01_Parametres!B11</f>
        <v/>
      </c>
      <c r="D4" t="inlineStr">
        <is>
          <t>Fin</t>
        </is>
      </c>
      <c r="E4" s="55">
        <f>01_Parametres!B12</f>
        <v/>
      </c>
    </row>
    <row r="6">
      <c r="A6" s="8" t="inlineStr">
        <is>
          <t>Référentiel loyers (à adapter)</t>
        </is>
      </c>
    </row>
    <row r="7">
      <c r="A7" s="35" t="inlineStr">
        <is>
          <t>Locataire</t>
        </is>
      </c>
      <c r="B7" s="35" t="inlineStr">
        <is>
          <t>Lot</t>
        </is>
      </c>
      <c r="C7" s="35" t="inlineStr">
        <is>
          <t>Loyer mensuel (€)</t>
        </is>
      </c>
      <c r="D7" s="35" t="inlineStr">
        <is>
          <t>Jour échéance</t>
        </is>
      </c>
    </row>
    <row r="8">
      <c r="A8" s="63" t="inlineStr">
        <is>
          <t>M. Karim El Amrani</t>
        </is>
      </c>
      <c r="B8" s="63" t="inlineStr">
        <is>
          <t>Appartement A – Casablanca</t>
        </is>
      </c>
      <c r="C8" s="80" t="n">
        <v>1100</v>
      </c>
      <c r="D8" s="86" t="n">
        <v>5</v>
      </c>
    </row>
    <row r="9">
      <c r="A9" s="63" t="inlineStr">
        <is>
          <t>Mme Sofia Benali</t>
        </is>
      </c>
      <c r="B9" s="63" t="inlineStr">
        <is>
          <t>Studio B – Rabat</t>
        </is>
      </c>
      <c r="C9" s="80" t="n">
        <v>750</v>
      </c>
      <c r="D9" s="86" t="n">
        <v>5</v>
      </c>
    </row>
    <row r="11">
      <c r="A11" s="8" t="inlineStr">
        <is>
          <t>Suivi des encaissements (automatique)</t>
        </is>
      </c>
    </row>
    <row r="12">
      <c r="A12" s="35" t="inlineStr">
        <is>
          <t>Mois</t>
        </is>
      </c>
      <c r="B12" s="35" t="inlineStr">
        <is>
          <t>Locataire</t>
        </is>
      </c>
      <c r="C12" s="35" t="inlineStr">
        <is>
          <t>Lot</t>
        </is>
      </c>
      <c r="D12" s="35" t="inlineStr">
        <is>
          <t>Attendu (€)</t>
        </is>
      </c>
      <c r="E12" s="35" t="inlineStr">
        <is>
          <t>Encaissé (€)</t>
        </is>
      </c>
      <c r="F12" s="35" t="inlineStr">
        <is>
          <t>Écart (€)</t>
        </is>
      </c>
      <c r="G12" s="35" t="inlineStr">
        <is>
          <t>Arriéré cumulé (€)</t>
        </is>
      </c>
      <c r="H12" s="35" t="inlineStr">
        <is>
          <t>Commentaire</t>
        </is>
      </c>
    </row>
    <row r="13">
      <c r="A13" s="63" t="n">
        <v>46023</v>
      </c>
      <c r="B13" s="63" t="inlineStr">
        <is>
          <t>M. Karim El Amrani</t>
        </is>
      </c>
      <c r="C13" s="63">
        <f>IFERROR(VLOOKUP(B13,$A$8:$D$9,2,FALSE),"")</f>
        <v/>
      </c>
      <c r="D13" s="81">
        <f>IFERROR(VLOOKUP(B13,$A$8:$D$9,3,FALSE),0)</f>
        <v/>
      </c>
      <c r="E13" s="81">
        <f>IFERROR(SUMIFS(03_Journal!$I$7:$I$406,03_Journal!$F$7:$F$406,"706",03_Journal!$N$7:$N$406,$A13,03_Journal!$J$7:$J$406,$B13,03_Journal!$O$7:$O$406,1),0)</f>
        <v/>
      </c>
      <c r="F13" s="81">
        <f>$E13-$D13</f>
        <v/>
      </c>
      <c r="G13" s="81">
        <f>MAX(0,$D13-$E13)</f>
        <v/>
      </c>
      <c r="H13" s="63" t="inlineStr"/>
    </row>
    <row r="14">
      <c r="A14" s="63" t="n">
        <v>46023</v>
      </c>
      <c r="B14" s="63" t="inlineStr">
        <is>
          <t>Mme Sofia Benali</t>
        </is>
      </c>
      <c r="C14" s="63">
        <f>IFERROR(VLOOKUP(B14,$A$8:$D$9,2,FALSE),"")</f>
        <v/>
      </c>
      <c r="D14" s="81">
        <f>IFERROR(VLOOKUP(B14,$A$8:$D$9,3,FALSE),0)</f>
        <v/>
      </c>
      <c r="E14" s="81">
        <f>IFERROR(SUMIFS(03_Journal!$I$7:$I$406,03_Journal!$F$7:$F$406,"706",03_Journal!$N$7:$N$406,$A14,03_Journal!$J$7:$J$406,$B14,03_Journal!$O$7:$O$406,1),0)</f>
        <v/>
      </c>
      <c r="F14" s="81">
        <f>$E14-$D14</f>
        <v/>
      </c>
      <c r="G14" s="81">
        <f>$G13+MAX(0,$D14-$E14)</f>
        <v/>
      </c>
      <c r="H14" s="63" t="inlineStr"/>
    </row>
    <row r="15">
      <c r="A15" s="63" t="n">
        <v>46054</v>
      </c>
      <c r="B15" s="63" t="inlineStr">
        <is>
          <t>M. Karim El Amrani</t>
        </is>
      </c>
      <c r="C15" s="63">
        <f>IFERROR(VLOOKUP(B15,$A$8:$D$9,2,FALSE),"")</f>
        <v/>
      </c>
      <c r="D15" s="81">
        <f>IFERROR(VLOOKUP(B15,$A$8:$D$9,3,FALSE),0)</f>
        <v/>
      </c>
      <c r="E15" s="81">
        <f>IFERROR(SUMIFS(03_Journal!$I$7:$I$406,03_Journal!$F$7:$F$406,"706",03_Journal!$N$7:$N$406,$A15,03_Journal!$J$7:$J$406,$B15,03_Journal!$O$7:$O$406,1),0)</f>
        <v/>
      </c>
      <c r="F15" s="81">
        <f>$E15-$D15</f>
        <v/>
      </c>
      <c r="G15" s="81">
        <f>$G14+MAX(0,$D15-$E15)</f>
        <v/>
      </c>
      <c r="H15" s="63" t="inlineStr"/>
    </row>
    <row r="16">
      <c r="A16" s="63" t="n">
        <v>46054</v>
      </c>
      <c r="B16" s="63" t="inlineStr">
        <is>
          <t>Mme Sofia Benali</t>
        </is>
      </c>
      <c r="C16" s="63">
        <f>IFERROR(VLOOKUP(B16,$A$8:$D$9,2,FALSE),"")</f>
        <v/>
      </c>
      <c r="D16" s="81">
        <f>IFERROR(VLOOKUP(B16,$A$8:$D$9,3,FALSE),0)</f>
        <v/>
      </c>
      <c r="E16" s="81">
        <f>IFERROR(SUMIFS(03_Journal!$I$7:$I$406,03_Journal!$F$7:$F$406,"706",03_Journal!$N$7:$N$406,$A16,03_Journal!$J$7:$J$406,$B16,03_Journal!$O$7:$O$406,1),0)</f>
        <v/>
      </c>
      <c r="F16" s="81">
        <f>$E16-$D16</f>
        <v/>
      </c>
      <c r="G16" s="81">
        <f>$G15+MAX(0,$D16-$E16)</f>
        <v/>
      </c>
      <c r="H16" s="63" t="inlineStr"/>
    </row>
    <row r="17">
      <c r="A17" s="63" t="n">
        <v>46082</v>
      </c>
      <c r="B17" s="63" t="inlineStr">
        <is>
          <t>M. Karim El Amrani</t>
        </is>
      </c>
      <c r="C17" s="63">
        <f>IFERROR(VLOOKUP(B17,$A$8:$D$9,2,FALSE),"")</f>
        <v/>
      </c>
      <c r="D17" s="81">
        <f>IFERROR(VLOOKUP(B17,$A$8:$D$9,3,FALSE),0)</f>
        <v/>
      </c>
      <c r="E17" s="81">
        <f>IFERROR(SUMIFS(03_Journal!$I$7:$I$406,03_Journal!$F$7:$F$406,"706",03_Journal!$N$7:$N$406,$A17,03_Journal!$J$7:$J$406,$B17,03_Journal!$O$7:$O$406,1),0)</f>
        <v/>
      </c>
      <c r="F17" s="81">
        <f>$E17-$D17</f>
        <v/>
      </c>
      <c r="G17" s="81">
        <f>$G16+MAX(0,$D17-$E17)</f>
        <v/>
      </c>
      <c r="H17" s="63" t="inlineStr"/>
    </row>
    <row r="18">
      <c r="A18" s="63" t="n">
        <v>46082</v>
      </c>
      <c r="B18" s="63" t="inlineStr">
        <is>
          <t>Mme Sofia Benali</t>
        </is>
      </c>
      <c r="C18" s="63">
        <f>IFERROR(VLOOKUP(B18,$A$8:$D$9,2,FALSE),"")</f>
        <v/>
      </c>
      <c r="D18" s="81">
        <f>IFERROR(VLOOKUP(B18,$A$8:$D$9,3,FALSE),0)</f>
        <v/>
      </c>
      <c r="E18" s="81">
        <f>IFERROR(SUMIFS(03_Journal!$I$7:$I$406,03_Journal!$F$7:$F$406,"706",03_Journal!$N$7:$N$406,$A18,03_Journal!$J$7:$J$406,$B18,03_Journal!$O$7:$O$406,1),0)</f>
        <v/>
      </c>
      <c r="F18" s="81">
        <f>$E18-$D18</f>
        <v/>
      </c>
      <c r="G18" s="81">
        <f>$G17+MAX(0,$D18-$E18)</f>
        <v/>
      </c>
      <c r="H18" s="63" t="inlineStr"/>
    </row>
    <row r="19">
      <c r="A19" s="63" t="n">
        <v>46113</v>
      </c>
      <c r="B19" s="63" t="inlineStr">
        <is>
          <t>M. Karim El Amrani</t>
        </is>
      </c>
      <c r="C19" s="63">
        <f>IFERROR(VLOOKUP(B19,$A$8:$D$9,2,FALSE),"")</f>
        <v/>
      </c>
      <c r="D19" s="81">
        <f>IFERROR(VLOOKUP(B19,$A$8:$D$9,3,FALSE),0)</f>
        <v/>
      </c>
      <c r="E19" s="81">
        <f>IFERROR(SUMIFS(03_Journal!$I$7:$I$406,03_Journal!$F$7:$F$406,"706",03_Journal!$N$7:$N$406,$A19,03_Journal!$J$7:$J$406,$B19,03_Journal!$O$7:$O$406,1),0)</f>
        <v/>
      </c>
      <c r="F19" s="81">
        <f>$E19-$D19</f>
        <v/>
      </c>
      <c r="G19" s="81">
        <f>$G18+MAX(0,$D19-$E19)</f>
        <v/>
      </c>
      <c r="H19" s="63" t="inlineStr"/>
    </row>
    <row r="20">
      <c r="A20" s="63" t="n">
        <v>46113</v>
      </c>
      <c r="B20" s="63" t="inlineStr">
        <is>
          <t>Mme Sofia Benali</t>
        </is>
      </c>
      <c r="C20" s="63">
        <f>IFERROR(VLOOKUP(B20,$A$8:$D$9,2,FALSE),"")</f>
        <v/>
      </c>
      <c r="D20" s="81">
        <f>IFERROR(VLOOKUP(B20,$A$8:$D$9,3,FALSE),0)</f>
        <v/>
      </c>
      <c r="E20" s="81">
        <f>IFERROR(SUMIFS(03_Journal!$I$7:$I$406,03_Journal!$F$7:$F$406,"706",03_Journal!$N$7:$N$406,$A20,03_Journal!$J$7:$J$406,$B20,03_Journal!$O$7:$O$406,1),0)</f>
        <v/>
      </c>
      <c r="F20" s="81">
        <f>$E20-$D20</f>
        <v/>
      </c>
      <c r="G20" s="81">
        <f>$G19+MAX(0,$D20-$E20)</f>
        <v/>
      </c>
      <c r="H20" s="63" t="inlineStr"/>
    </row>
    <row r="21">
      <c r="A21" s="63" t="n">
        <v>46143</v>
      </c>
      <c r="B21" s="63" t="inlineStr">
        <is>
          <t>M. Karim El Amrani</t>
        </is>
      </c>
      <c r="C21" s="63">
        <f>IFERROR(VLOOKUP(B21,$A$8:$D$9,2,FALSE),"")</f>
        <v/>
      </c>
      <c r="D21" s="81">
        <f>IFERROR(VLOOKUP(B21,$A$8:$D$9,3,FALSE),0)</f>
        <v/>
      </c>
      <c r="E21" s="81">
        <f>IFERROR(SUMIFS(03_Journal!$I$7:$I$406,03_Journal!$F$7:$F$406,"706",03_Journal!$N$7:$N$406,$A21,03_Journal!$J$7:$J$406,$B21,03_Journal!$O$7:$O$406,1),0)</f>
        <v/>
      </c>
      <c r="F21" s="81">
        <f>$E21-$D21</f>
        <v/>
      </c>
      <c r="G21" s="81">
        <f>$G20+MAX(0,$D21-$E21)</f>
        <v/>
      </c>
      <c r="H21" s="63" t="inlineStr"/>
    </row>
    <row r="22">
      <c r="A22" s="63" t="n">
        <v>46143</v>
      </c>
      <c r="B22" s="63" t="inlineStr">
        <is>
          <t>Mme Sofia Benali</t>
        </is>
      </c>
      <c r="C22" s="63">
        <f>IFERROR(VLOOKUP(B22,$A$8:$D$9,2,FALSE),"")</f>
        <v/>
      </c>
      <c r="D22" s="81">
        <f>IFERROR(VLOOKUP(B22,$A$8:$D$9,3,FALSE),0)</f>
        <v/>
      </c>
      <c r="E22" s="81">
        <f>IFERROR(SUMIFS(03_Journal!$I$7:$I$406,03_Journal!$F$7:$F$406,"706",03_Journal!$N$7:$N$406,$A22,03_Journal!$J$7:$J$406,$B22,03_Journal!$O$7:$O$406,1),0)</f>
        <v/>
      </c>
      <c r="F22" s="81">
        <f>$E22-$D22</f>
        <v/>
      </c>
      <c r="G22" s="81">
        <f>$G21+MAX(0,$D22-$E22)</f>
        <v/>
      </c>
      <c r="H22" s="63" t="inlineStr"/>
    </row>
    <row r="23">
      <c r="A23" s="63" t="n">
        <v>46174</v>
      </c>
      <c r="B23" s="63" t="inlineStr">
        <is>
          <t>M. Karim El Amrani</t>
        </is>
      </c>
      <c r="C23" s="63">
        <f>IFERROR(VLOOKUP(B23,$A$8:$D$9,2,FALSE),"")</f>
        <v/>
      </c>
      <c r="D23" s="81">
        <f>IFERROR(VLOOKUP(B23,$A$8:$D$9,3,FALSE),0)</f>
        <v/>
      </c>
      <c r="E23" s="81">
        <f>IFERROR(SUMIFS(03_Journal!$I$7:$I$406,03_Journal!$F$7:$F$406,"706",03_Journal!$N$7:$N$406,$A23,03_Journal!$J$7:$J$406,$B23,03_Journal!$O$7:$O$406,1),0)</f>
        <v/>
      </c>
      <c r="F23" s="81">
        <f>$E23-$D23</f>
        <v/>
      </c>
      <c r="G23" s="81">
        <f>$G22+MAX(0,$D23-$E23)</f>
        <v/>
      </c>
      <c r="H23" s="63" t="inlineStr"/>
    </row>
    <row r="24">
      <c r="A24" s="63" t="n">
        <v>46174</v>
      </c>
      <c r="B24" s="63" t="inlineStr">
        <is>
          <t>Mme Sofia Benali</t>
        </is>
      </c>
      <c r="C24" s="63">
        <f>IFERROR(VLOOKUP(B24,$A$8:$D$9,2,FALSE),"")</f>
        <v/>
      </c>
      <c r="D24" s="81">
        <f>IFERROR(VLOOKUP(B24,$A$8:$D$9,3,FALSE),0)</f>
        <v/>
      </c>
      <c r="E24" s="81">
        <f>IFERROR(SUMIFS(03_Journal!$I$7:$I$406,03_Journal!$F$7:$F$406,"706",03_Journal!$N$7:$N$406,$A24,03_Journal!$J$7:$J$406,$B24,03_Journal!$O$7:$O$406,1),0)</f>
        <v/>
      </c>
      <c r="F24" s="81">
        <f>$E24-$D24</f>
        <v/>
      </c>
      <c r="G24" s="81">
        <f>$G23+MAX(0,$D24-$E24)</f>
        <v/>
      </c>
      <c r="H24" s="63" t="inlineStr"/>
    </row>
    <row r="25">
      <c r="A25" s="63" t="n">
        <v>46204</v>
      </c>
      <c r="B25" s="63" t="inlineStr">
        <is>
          <t>M. Karim El Amrani</t>
        </is>
      </c>
      <c r="C25" s="63">
        <f>IFERROR(VLOOKUP(B25,$A$8:$D$9,2,FALSE),"")</f>
        <v/>
      </c>
      <c r="D25" s="81">
        <f>IFERROR(VLOOKUP(B25,$A$8:$D$9,3,FALSE),0)</f>
        <v/>
      </c>
      <c r="E25" s="81">
        <f>IFERROR(SUMIFS(03_Journal!$I$7:$I$406,03_Journal!$F$7:$F$406,"706",03_Journal!$N$7:$N$406,$A25,03_Journal!$J$7:$J$406,$B25,03_Journal!$O$7:$O$406,1),0)</f>
        <v/>
      </c>
      <c r="F25" s="81">
        <f>$E25-$D25</f>
        <v/>
      </c>
      <c r="G25" s="81">
        <f>$G24+MAX(0,$D25-$E25)</f>
        <v/>
      </c>
      <c r="H25" s="63" t="inlineStr"/>
    </row>
    <row r="26">
      <c r="A26" s="63" t="n">
        <v>46204</v>
      </c>
      <c r="B26" s="63" t="inlineStr">
        <is>
          <t>Mme Sofia Benali</t>
        </is>
      </c>
      <c r="C26" s="63">
        <f>IFERROR(VLOOKUP(B26,$A$8:$D$9,2,FALSE),"")</f>
        <v/>
      </c>
      <c r="D26" s="81">
        <f>IFERROR(VLOOKUP(B26,$A$8:$D$9,3,FALSE),0)</f>
        <v/>
      </c>
      <c r="E26" s="81">
        <f>IFERROR(SUMIFS(03_Journal!$I$7:$I$406,03_Journal!$F$7:$F$406,"706",03_Journal!$N$7:$N$406,$A26,03_Journal!$J$7:$J$406,$B26,03_Journal!$O$7:$O$406,1),0)</f>
        <v/>
      </c>
      <c r="F26" s="81">
        <f>$E26-$D26</f>
        <v/>
      </c>
      <c r="G26" s="81">
        <f>$G25+MAX(0,$D26-$E26)</f>
        <v/>
      </c>
      <c r="H26" s="63" t="inlineStr"/>
    </row>
    <row r="27">
      <c r="A27" s="63" t="n">
        <v>46235</v>
      </c>
      <c r="B27" s="63" t="inlineStr">
        <is>
          <t>M. Karim El Amrani</t>
        </is>
      </c>
      <c r="C27" s="63">
        <f>IFERROR(VLOOKUP(B27,$A$8:$D$9,2,FALSE),"")</f>
        <v/>
      </c>
      <c r="D27" s="81">
        <f>IFERROR(VLOOKUP(B27,$A$8:$D$9,3,FALSE),0)</f>
        <v/>
      </c>
      <c r="E27" s="81">
        <f>IFERROR(SUMIFS(03_Journal!$I$7:$I$406,03_Journal!$F$7:$F$406,"706",03_Journal!$N$7:$N$406,$A27,03_Journal!$J$7:$J$406,$B27,03_Journal!$O$7:$O$406,1),0)</f>
        <v/>
      </c>
      <c r="F27" s="81">
        <f>$E27-$D27</f>
        <v/>
      </c>
      <c r="G27" s="81">
        <f>$G26+MAX(0,$D27-$E27)</f>
        <v/>
      </c>
      <c r="H27" s="63" t="inlineStr"/>
    </row>
    <row r="28">
      <c r="A28" s="63" t="n">
        <v>46235</v>
      </c>
      <c r="B28" s="63" t="inlineStr">
        <is>
          <t>Mme Sofia Benali</t>
        </is>
      </c>
      <c r="C28" s="63">
        <f>IFERROR(VLOOKUP(B28,$A$8:$D$9,2,FALSE),"")</f>
        <v/>
      </c>
      <c r="D28" s="81">
        <f>IFERROR(VLOOKUP(B28,$A$8:$D$9,3,FALSE),0)</f>
        <v/>
      </c>
      <c r="E28" s="81">
        <f>IFERROR(SUMIFS(03_Journal!$I$7:$I$406,03_Journal!$F$7:$F$406,"706",03_Journal!$N$7:$N$406,$A28,03_Journal!$J$7:$J$406,$B28,03_Journal!$O$7:$O$406,1),0)</f>
        <v/>
      </c>
      <c r="F28" s="81">
        <f>$E28-$D28</f>
        <v/>
      </c>
      <c r="G28" s="81">
        <f>$G27+MAX(0,$D28-$E28)</f>
        <v/>
      </c>
      <c r="H28" s="63" t="inlineStr"/>
    </row>
    <row r="29">
      <c r="A29" s="63" t="n">
        <v>46266</v>
      </c>
      <c r="B29" s="63" t="inlineStr">
        <is>
          <t>M. Karim El Amrani</t>
        </is>
      </c>
      <c r="C29" s="63">
        <f>IFERROR(VLOOKUP(B29,$A$8:$D$9,2,FALSE),"")</f>
        <v/>
      </c>
      <c r="D29" s="81">
        <f>IFERROR(VLOOKUP(B29,$A$8:$D$9,3,FALSE),0)</f>
        <v/>
      </c>
      <c r="E29" s="81">
        <f>IFERROR(SUMIFS(03_Journal!$I$7:$I$406,03_Journal!$F$7:$F$406,"706",03_Journal!$N$7:$N$406,$A29,03_Journal!$J$7:$J$406,$B29,03_Journal!$O$7:$O$406,1),0)</f>
        <v/>
      </c>
      <c r="F29" s="81">
        <f>$E29-$D29</f>
        <v/>
      </c>
      <c r="G29" s="81">
        <f>$G28+MAX(0,$D29-$E29)</f>
        <v/>
      </c>
      <c r="H29" s="63" t="inlineStr"/>
    </row>
    <row r="30">
      <c r="A30" s="63" t="n">
        <v>46266</v>
      </c>
      <c r="B30" s="63" t="inlineStr">
        <is>
          <t>Mme Sofia Benali</t>
        </is>
      </c>
      <c r="C30" s="63">
        <f>IFERROR(VLOOKUP(B30,$A$8:$D$9,2,FALSE),"")</f>
        <v/>
      </c>
      <c r="D30" s="81">
        <f>IFERROR(VLOOKUP(B30,$A$8:$D$9,3,FALSE),0)</f>
        <v/>
      </c>
      <c r="E30" s="81">
        <f>IFERROR(SUMIFS(03_Journal!$I$7:$I$406,03_Journal!$F$7:$F$406,"706",03_Journal!$N$7:$N$406,$A30,03_Journal!$J$7:$J$406,$B30,03_Journal!$O$7:$O$406,1),0)</f>
        <v/>
      </c>
      <c r="F30" s="81">
        <f>$E30-$D30</f>
        <v/>
      </c>
      <c r="G30" s="81">
        <f>$G29+MAX(0,$D30-$E30)</f>
        <v/>
      </c>
      <c r="H30" s="63" t="inlineStr"/>
    </row>
    <row r="31">
      <c r="A31" s="63" t="n">
        <v>46296</v>
      </c>
      <c r="B31" s="63" t="inlineStr">
        <is>
          <t>M. Karim El Amrani</t>
        </is>
      </c>
      <c r="C31" s="63">
        <f>IFERROR(VLOOKUP(B31,$A$8:$D$9,2,FALSE),"")</f>
        <v/>
      </c>
      <c r="D31" s="81">
        <f>IFERROR(VLOOKUP(B31,$A$8:$D$9,3,FALSE),0)</f>
        <v/>
      </c>
      <c r="E31" s="81">
        <f>IFERROR(SUMIFS(03_Journal!$I$7:$I$406,03_Journal!$F$7:$F$406,"706",03_Journal!$N$7:$N$406,$A31,03_Journal!$J$7:$J$406,$B31,03_Journal!$O$7:$O$406,1),0)</f>
        <v/>
      </c>
      <c r="F31" s="81">
        <f>$E31-$D31</f>
        <v/>
      </c>
      <c r="G31" s="81">
        <f>$G30+MAX(0,$D31-$E31)</f>
        <v/>
      </c>
      <c r="H31" s="63" t="inlineStr"/>
    </row>
    <row r="32">
      <c r="A32" s="63" t="n">
        <v>46296</v>
      </c>
      <c r="B32" s="63" t="inlineStr">
        <is>
          <t>Mme Sofia Benali</t>
        </is>
      </c>
      <c r="C32" s="63">
        <f>IFERROR(VLOOKUP(B32,$A$8:$D$9,2,FALSE),"")</f>
        <v/>
      </c>
      <c r="D32" s="81">
        <f>IFERROR(VLOOKUP(B32,$A$8:$D$9,3,FALSE),0)</f>
        <v/>
      </c>
      <c r="E32" s="81">
        <f>IFERROR(SUMIFS(03_Journal!$I$7:$I$406,03_Journal!$F$7:$F$406,"706",03_Journal!$N$7:$N$406,$A32,03_Journal!$J$7:$J$406,$B32,03_Journal!$O$7:$O$406,1),0)</f>
        <v/>
      </c>
      <c r="F32" s="81">
        <f>$E32-$D32</f>
        <v/>
      </c>
      <c r="G32" s="81">
        <f>$G31+MAX(0,$D32-$E32)</f>
        <v/>
      </c>
      <c r="H32" s="63" t="inlineStr"/>
    </row>
    <row r="33">
      <c r="A33" s="63" t="n">
        <v>46327</v>
      </c>
      <c r="B33" s="63" t="inlineStr">
        <is>
          <t>M. Karim El Amrani</t>
        </is>
      </c>
      <c r="C33" s="63">
        <f>IFERROR(VLOOKUP(B33,$A$8:$D$9,2,FALSE),"")</f>
        <v/>
      </c>
      <c r="D33" s="81">
        <f>IFERROR(VLOOKUP(B33,$A$8:$D$9,3,FALSE),0)</f>
        <v/>
      </c>
      <c r="E33" s="81">
        <f>IFERROR(SUMIFS(03_Journal!$I$7:$I$406,03_Journal!$F$7:$F$406,"706",03_Journal!$N$7:$N$406,$A33,03_Journal!$J$7:$J$406,$B33,03_Journal!$O$7:$O$406,1),0)</f>
        <v/>
      </c>
      <c r="F33" s="81">
        <f>$E33-$D33</f>
        <v/>
      </c>
      <c r="G33" s="81">
        <f>$G32+MAX(0,$D33-$E33)</f>
        <v/>
      </c>
      <c r="H33" s="63" t="inlineStr"/>
    </row>
    <row r="34">
      <c r="A34" s="63" t="n">
        <v>46327</v>
      </c>
      <c r="B34" s="63" t="inlineStr">
        <is>
          <t>Mme Sofia Benali</t>
        </is>
      </c>
      <c r="C34" s="63">
        <f>IFERROR(VLOOKUP(B34,$A$8:$D$9,2,FALSE),"")</f>
        <v/>
      </c>
      <c r="D34" s="81">
        <f>IFERROR(VLOOKUP(B34,$A$8:$D$9,3,FALSE),0)</f>
        <v/>
      </c>
      <c r="E34" s="81">
        <f>IFERROR(SUMIFS(03_Journal!$I$7:$I$406,03_Journal!$F$7:$F$406,"706",03_Journal!$N$7:$N$406,$A34,03_Journal!$J$7:$J$406,$B34,03_Journal!$O$7:$O$406,1),0)</f>
        <v/>
      </c>
      <c r="F34" s="81">
        <f>$E34-$D34</f>
        <v/>
      </c>
      <c r="G34" s="81">
        <f>$G33+MAX(0,$D34-$E34)</f>
        <v/>
      </c>
      <c r="H34" s="63" t="inlineStr"/>
    </row>
    <row r="35">
      <c r="A35" s="63" t="n">
        <v>46357</v>
      </c>
      <c r="B35" s="63" t="inlineStr">
        <is>
          <t>M. Karim El Amrani</t>
        </is>
      </c>
      <c r="C35" s="63">
        <f>IFERROR(VLOOKUP(B35,$A$8:$D$9,2,FALSE),"")</f>
        <v/>
      </c>
      <c r="D35" s="81">
        <f>IFERROR(VLOOKUP(B35,$A$8:$D$9,3,FALSE),0)</f>
        <v/>
      </c>
      <c r="E35" s="81">
        <f>IFERROR(SUMIFS(03_Journal!$I$7:$I$406,03_Journal!$F$7:$F$406,"706",03_Journal!$N$7:$N$406,$A35,03_Journal!$J$7:$J$406,$B35,03_Journal!$O$7:$O$406,1),0)</f>
        <v/>
      </c>
      <c r="F35" s="81">
        <f>$E35-$D35</f>
        <v/>
      </c>
      <c r="G35" s="81">
        <f>$G34+MAX(0,$D35-$E35)</f>
        <v/>
      </c>
      <c r="H35" s="63" t="inlineStr"/>
    </row>
    <row r="36">
      <c r="A36" s="63" t="n">
        <v>46357</v>
      </c>
      <c r="B36" s="63" t="inlineStr">
        <is>
          <t>Mme Sofia Benali</t>
        </is>
      </c>
      <c r="C36" s="63">
        <f>IFERROR(VLOOKUP(B36,$A$8:$D$9,2,FALSE),"")</f>
        <v/>
      </c>
      <c r="D36" s="81">
        <f>IFERROR(VLOOKUP(B36,$A$8:$D$9,3,FALSE),0)</f>
        <v/>
      </c>
      <c r="E36" s="81">
        <f>IFERROR(SUMIFS(03_Journal!$I$7:$I$406,03_Journal!$F$7:$F$406,"706",03_Journal!$N$7:$N$406,$A36,03_Journal!$J$7:$J$406,$B36,03_Journal!$O$7:$O$406,1),0)</f>
        <v/>
      </c>
      <c r="F36" s="81">
        <f>$E36-$D36</f>
        <v/>
      </c>
      <c r="G36" s="81">
        <f>$G35+MAX(0,$D36-$E36)</f>
        <v/>
      </c>
      <c r="H36" s="63" t="inlineStr"/>
    </row>
    <row r="38">
      <c r="A38" s="35" t="inlineStr">
        <is>
          <t>Total impayés (sur la période)</t>
        </is>
      </c>
      <c r="B38" s="58" t="n"/>
      <c r="C38" s="59" t="n"/>
      <c r="D38" s="78">
        <f>SUMIF(F13:F36,"&lt;0",-F13:F36)</f>
        <v/>
      </c>
    </row>
  </sheetData>
  <mergeCells count="5">
    <mergeCell ref="A6:D6"/>
    <mergeCell ref="A2:H2"/>
    <mergeCell ref="A11:H11"/>
    <mergeCell ref="A1:H1"/>
    <mergeCell ref="A38:C38"/>
  </mergeCells>
  <conditionalFormatting sqref="E13:E36">
    <cfRule type="cellIs" priority="1" operator="lessThan" dxfId="2">
      <formula>$D13</formula>
    </cfRule>
  </conditionalFormatting>
  <conditionalFormatting sqref="F13:F36">
    <cfRule type="cellIs" priority="2" operator="lessThan" dxfId="2">
      <formula>0</formula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24"/>
  <sheetViews>
    <sheetView showGridLines="0" workbookViewId="0">
      <pane ySplit="12" topLeftCell="A13" activePane="bottomLeft" state="frozen"/>
      <selection pane="bottomLeft" activeCell="A1" sqref="A1"/>
    </sheetView>
  </sheetViews>
  <sheetFormatPr baseColWidth="8" defaultRowHeight="15"/>
  <cols>
    <col width="6" customWidth="1" min="1" max="1"/>
    <col width="14" customWidth="1" min="2" max="2"/>
    <col width="16" customWidth="1" min="3" max="3"/>
    <col width="14" customWidth="1" min="4" max="4"/>
    <col width="14" customWidth="1" min="5" max="5"/>
    <col width="14" customWidth="1" min="6" max="6"/>
    <col width="16" customWidth="1" min="7" max="7"/>
    <col width="22" customWidth="1" min="8" max="8"/>
  </cols>
  <sheetData>
    <row r="1">
      <c r="A1" s="1" t="inlineStr">
        <is>
          <t>Emprunt – échéancier (exemple)</t>
        </is>
      </c>
    </row>
    <row r="2">
      <c r="A2" s="2" t="inlineStr">
        <is>
          <t>Onglet optionnel : calcule une estimation capital / intérêts par mois (utile pour saisir 164 et 661).</t>
        </is>
      </c>
    </row>
    <row r="4">
      <c r="A4" s="8" t="inlineStr">
        <is>
          <t>Paramètres</t>
        </is>
      </c>
    </row>
    <row r="5">
      <c r="A5" s="3" t="inlineStr">
        <is>
          <t>Montant emprunt (€)</t>
        </is>
      </c>
      <c r="B5" s="82" t="n">
        <v>179278.13</v>
      </c>
    </row>
    <row r="6">
      <c r="A6" s="3" t="inlineStr">
        <is>
          <t>Taux annuel</t>
        </is>
      </c>
      <c r="B6" s="83" t="n">
        <v>0.025</v>
      </c>
    </row>
    <row r="7">
      <c r="A7" s="3" t="inlineStr">
        <is>
          <t>Durée (mois)</t>
        </is>
      </c>
      <c r="B7" s="4" t="n">
        <v>240</v>
      </c>
    </row>
    <row r="8">
      <c r="A8" s="3" t="inlineStr">
        <is>
          <t>Date début</t>
        </is>
      </c>
      <c r="B8" s="87" t="n">
        <v>46023</v>
      </c>
    </row>
    <row r="9">
      <c r="A9" s="3" t="inlineStr">
        <is>
          <t>Mensualité (estim.)</t>
        </is>
      </c>
      <c r="B9" s="88">
        <f>-PMT($B$6/12,$B$7,$B$5)</f>
        <v/>
      </c>
    </row>
    <row r="11">
      <c r="A11" s="8" t="inlineStr">
        <is>
          <t>Échéancier (12 premiers mois)</t>
        </is>
      </c>
    </row>
    <row r="12">
      <c r="A12" s="35" t="inlineStr">
        <is>
          <t>N°</t>
        </is>
      </c>
      <c r="B12" s="35" t="inlineStr">
        <is>
          <t>Mois</t>
        </is>
      </c>
      <c r="C12" s="35" t="inlineStr">
        <is>
          <t>Solde début</t>
        </is>
      </c>
      <c r="D12" s="35" t="inlineStr">
        <is>
          <t>Intérêts</t>
        </is>
      </c>
      <c r="E12" s="35" t="inlineStr">
        <is>
          <t>Capital</t>
        </is>
      </c>
      <c r="F12" s="35" t="inlineStr">
        <is>
          <t>Paiement</t>
        </is>
      </c>
      <c r="G12" s="35" t="inlineStr">
        <is>
          <t>Solde fin</t>
        </is>
      </c>
      <c r="H12" s="35" t="inlineStr">
        <is>
          <t>Note</t>
        </is>
      </c>
    </row>
    <row r="13">
      <c r="A13" s="63" t="n">
        <v>1</v>
      </c>
      <c r="B13" s="63">
        <f>EDATE($B$8,0)</f>
        <v/>
      </c>
      <c r="C13" s="89">
        <f>$B$5</f>
        <v/>
      </c>
      <c r="D13" s="89">
        <f>C13*($B$6/12)</f>
        <v/>
      </c>
      <c r="E13" s="89">
        <f>F13-D13</f>
        <v/>
      </c>
      <c r="F13" s="89">
        <f>$B$9</f>
        <v/>
      </c>
      <c r="G13" s="89">
        <f>MAX(0,C13-E13)</f>
        <v/>
      </c>
      <c r="H13" s="63" t="inlineStr"/>
    </row>
    <row r="14">
      <c r="A14" s="63" t="n">
        <v>2</v>
      </c>
      <c r="B14" s="63">
        <f>EDATE($B$8,1)</f>
        <v/>
      </c>
      <c r="C14" s="89">
        <f>G13</f>
        <v/>
      </c>
      <c r="D14" s="89">
        <f>C14*($B$6/12)</f>
        <v/>
      </c>
      <c r="E14" s="89">
        <f>F14-D14</f>
        <v/>
      </c>
      <c r="F14" s="89">
        <f>$B$9</f>
        <v/>
      </c>
      <c r="G14" s="89">
        <f>MAX(0,C14-E14)</f>
        <v/>
      </c>
      <c r="H14" s="63" t="inlineStr"/>
    </row>
    <row r="15">
      <c r="A15" s="63" t="n">
        <v>3</v>
      </c>
      <c r="B15" s="63">
        <f>EDATE($B$8,2)</f>
        <v/>
      </c>
      <c r="C15" s="89">
        <f>G14</f>
        <v/>
      </c>
      <c r="D15" s="89">
        <f>C15*($B$6/12)</f>
        <v/>
      </c>
      <c r="E15" s="89">
        <f>F15-D15</f>
        <v/>
      </c>
      <c r="F15" s="89">
        <f>$B$9</f>
        <v/>
      </c>
      <c r="G15" s="89">
        <f>MAX(0,C15-E15)</f>
        <v/>
      </c>
      <c r="H15" s="63" t="inlineStr"/>
    </row>
    <row r="16">
      <c r="A16" s="63" t="n">
        <v>4</v>
      </c>
      <c r="B16" s="63">
        <f>EDATE($B$8,3)</f>
        <v/>
      </c>
      <c r="C16" s="89">
        <f>G15</f>
        <v/>
      </c>
      <c r="D16" s="89">
        <f>C16*($B$6/12)</f>
        <v/>
      </c>
      <c r="E16" s="89">
        <f>F16-D16</f>
        <v/>
      </c>
      <c r="F16" s="89">
        <f>$B$9</f>
        <v/>
      </c>
      <c r="G16" s="89">
        <f>MAX(0,C16-E16)</f>
        <v/>
      </c>
      <c r="H16" s="63" t="inlineStr"/>
    </row>
    <row r="17">
      <c r="A17" s="63" t="n">
        <v>5</v>
      </c>
      <c r="B17" s="63">
        <f>EDATE($B$8,4)</f>
        <v/>
      </c>
      <c r="C17" s="89">
        <f>G16</f>
        <v/>
      </c>
      <c r="D17" s="89">
        <f>C17*($B$6/12)</f>
        <v/>
      </c>
      <c r="E17" s="89">
        <f>F17-D17</f>
        <v/>
      </c>
      <c r="F17" s="89">
        <f>$B$9</f>
        <v/>
      </c>
      <c r="G17" s="89">
        <f>MAX(0,C17-E17)</f>
        <v/>
      </c>
      <c r="H17" s="63" t="inlineStr"/>
    </row>
    <row r="18">
      <c r="A18" s="63" t="n">
        <v>6</v>
      </c>
      <c r="B18" s="63">
        <f>EDATE($B$8,5)</f>
        <v/>
      </c>
      <c r="C18" s="89">
        <f>G17</f>
        <v/>
      </c>
      <c r="D18" s="89">
        <f>C18*($B$6/12)</f>
        <v/>
      </c>
      <c r="E18" s="89">
        <f>F18-D18</f>
        <v/>
      </c>
      <c r="F18" s="89">
        <f>$B$9</f>
        <v/>
      </c>
      <c r="G18" s="89">
        <f>MAX(0,C18-E18)</f>
        <v/>
      </c>
      <c r="H18" s="63" t="inlineStr"/>
    </row>
    <row r="19">
      <c r="A19" s="63" t="n">
        <v>7</v>
      </c>
      <c r="B19" s="63">
        <f>EDATE($B$8,6)</f>
        <v/>
      </c>
      <c r="C19" s="89">
        <f>G18</f>
        <v/>
      </c>
      <c r="D19" s="89">
        <f>C19*($B$6/12)</f>
        <v/>
      </c>
      <c r="E19" s="89">
        <f>F19-D19</f>
        <v/>
      </c>
      <c r="F19" s="89">
        <f>$B$9</f>
        <v/>
      </c>
      <c r="G19" s="89">
        <f>MAX(0,C19-E19)</f>
        <v/>
      </c>
      <c r="H19" s="63" t="inlineStr"/>
    </row>
    <row r="20">
      <c r="A20" s="63" t="n">
        <v>8</v>
      </c>
      <c r="B20" s="63">
        <f>EDATE($B$8,7)</f>
        <v/>
      </c>
      <c r="C20" s="89">
        <f>G19</f>
        <v/>
      </c>
      <c r="D20" s="89">
        <f>C20*($B$6/12)</f>
        <v/>
      </c>
      <c r="E20" s="89">
        <f>F20-D20</f>
        <v/>
      </c>
      <c r="F20" s="89">
        <f>$B$9</f>
        <v/>
      </c>
      <c r="G20" s="89">
        <f>MAX(0,C20-E20)</f>
        <v/>
      </c>
      <c r="H20" s="63" t="inlineStr"/>
    </row>
    <row r="21">
      <c r="A21" s="63" t="n">
        <v>9</v>
      </c>
      <c r="B21" s="63">
        <f>EDATE($B$8,8)</f>
        <v/>
      </c>
      <c r="C21" s="89">
        <f>G20</f>
        <v/>
      </c>
      <c r="D21" s="89">
        <f>C21*($B$6/12)</f>
        <v/>
      </c>
      <c r="E21" s="89">
        <f>F21-D21</f>
        <v/>
      </c>
      <c r="F21" s="89">
        <f>$B$9</f>
        <v/>
      </c>
      <c r="G21" s="89">
        <f>MAX(0,C21-E21)</f>
        <v/>
      </c>
      <c r="H21" s="63" t="inlineStr"/>
    </row>
    <row r="22">
      <c r="A22" s="63" t="n">
        <v>10</v>
      </c>
      <c r="B22" s="63">
        <f>EDATE($B$8,9)</f>
        <v/>
      </c>
      <c r="C22" s="89">
        <f>G21</f>
        <v/>
      </c>
      <c r="D22" s="89">
        <f>C22*($B$6/12)</f>
        <v/>
      </c>
      <c r="E22" s="89">
        <f>F22-D22</f>
        <v/>
      </c>
      <c r="F22" s="89">
        <f>$B$9</f>
        <v/>
      </c>
      <c r="G22" s="89">
        <f>MAX(0,C22-E22)</f>
        <v/>
      </c>
      <c r="H22" s="63" t="inlineStr"/>
    </row>
    <row r="23">
      <c r="A23" s="63" t="n">
        <v>11</v>
      </c>
      <c r="B23" s="63">
        <f>EDATE($B$8,10)</f>
        <v/>
      </c>
      <c r="C23" s="89">
        <f>G22</f>
        <v/>
      </c>
      <c r="D23" s="89">
        <f>C23*($B$6/12)</f>
        <v/>
      </c>
      <c r="E23" s="89">
        <f>F23-D23</f>
        <v/>
      </c>
      <c r="F23" s="89">
        <f>$B$9</f>
        <v/>
      </c>
      <c r="G23" s="89">
        <f>MAX(0,C23-E23)</f>
        <v/>
      </c>
      <c r="H23" s="63" t="inlineStr"/>
    </row>
    <row r="24">
      <c r="A24" s="63" t="n">
        <v>12</v>
      </c>
      <c r="B24" s="63">
        <f>EDATE($B$8,11)</f>
        <v/>
      </c>
      <c r="C24" s="89">
        <f>G23</f>
        <v/>
      </c>
      <c r="D24" s="89">
        <f>C24*($B$6/12)</f>
        <v/>
      </c>
      <c r="E24" s="89">
        <f>F24-D24</f>
        <v/>
      </c>
      <c r="F24" s="89">
        <f>$B$9</f>
        <v/>
      </c>
      <c r="G24" s="89">
        <f>MAX(0,C24-E24)</f>
        <v/>
      </c>
      <c r="H24" s="63" t="inlineStr"/>
    </row>
  </sheetData>
  <mergeCells count="4">
    <mergeCell ref="A11:H11"/>
    <mergeCell ref="A4:D4"/>
    <mergeCell ref="A2:H2"/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2026-01-03T03:35:43Z</dcterms:created>
  <dcterms:modified xmlns:dcterms="http://purl.org/dc/terms/" xmlns:xsi="http://www.w3.org/2001/XMLSchema-instance" xsi:type="dcterms:W3CDTF">2026-01-03T03:42:25Z</dcterms:modified>
</cp:coreProperties>
</file>