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Ordres_Prod" sheetId="1" r:id="rId1"/>
    <sheet name="Arrets_Equip" sheetId="2" r:id="rId2"/>
    <sheet name="Qualite_Defauts" sheetId="3" r:id="rId3"/>
    <sheet name="Charge_Capacite" sheetId="4" r:id="rId4"/>
    <sheet name="Esprit_Atelier" sheetId="5" r:id="rId5"/>
    <sheet name="Dashboard_Usine" sheetId="6" r:id="rId6"/>
    <sheet name="Synthese_A4" sheetId="7" r:id="rId7"/>
    <sheet name="Dashboard_Condense" sheetId="8" r:id="rId8"/>
  </sheets>
  <definedNames>
    <definedName name="_xlnm.Print_Area" localSheetId="6">Synthese_A4!$A$1:$F$39</definedName>
  </definedNames>
  <calcPr calcId="124519" fullCalcOnLoad="1"/>
</workbook>
</file>

<file path=xl/sharedStrings.xml><?xml version="1.0" encoding="utf-8"?>
<sst xmlns="http://schemas.openxmlformats.org/spreadsheetml/2006/main" count="333" uniqueCount="172">
  <si>
    <t>Ordres de production – Réalisé atelier</t>
  </si>
  <si>
    <t>Journal des ordres de fabrication : quantités prévues / produites, rebuts, temps de marche et d'arrêt, service client (OTIF).</t>
  </si>
  <si>
    <t>Suivi des ordres par ligne</t>
  </si>
  <si>
    <t>Date</t>
  </si>
  <si>
    <t>Équipe</t>
  </si>
  <si>
    <t>Ligne</t>
  </si>
  <si>
    <t>Ordre</t>
  </si>
  <si>
    <t>Référence_Produit</t>
  </si>
  <si>
    <t>Famille_Produit</t>
  </si>
  <si>
    <t>Qté_Prévue</t>
  </si>
  <si>
    <t>Qté_Produite</t>
  </si>
  <si>
    <t>Rebuts</t>
  </si>
  <si>
    <t>Temps_Fonctionnement_min</t>
  </si>
  <si>
    <t>Temps_Arret_min</t>
  </si>
  <si>
    <t>OTIF</t>
  </si>
  <si>
    <t>Commentaire</t>
  </si>
  <si>
    <t>Equipe A</t>
  </si>
  <si>
    <t>Ligne 1</t>
  </si>
  <si>
    <t>OF240901</t>
  </si>
  <si>
    <t>P-AX100</t>
  </si>
  <si>
    <t>Famille A</t>
  </si>
  <si>
    <t>Changement série fluide, légère dérive qualité.</t>
  </si>
  <si>
    <t>Equipe B</t>
  </si>
  <si>
    <t>OF240902</t>
  </si>
  <si>
    <t>P-AX200</t>
  </si>
  <si>
    <t>Petit manque matière sur la première heure.</t>
  </si>
  <si>
    <t>Ligne 2</t>
  </si>
  <si>
    <t>OF240903</t>
  </si>
  <si>
    <t>P-BX300</t>
  </si>
  <si>
    <t>Famille B</t>
  </si>
  <si>
    <t>Arrêt machine non prévu (panne convoyeur).</t>
  </si>
  <si>
    <t>Equipe C</t>
  </si>
  <si>
    <t>Ligne 3</t>
  </si>
  <si>
    <t>OF240904</t>
  </si>
  <si>
    <t>P-CX150</t>
  </si>
  <si>
    <t>Famille C</t>
  </si>
  <si>
    <t>Campagne de lancement produit, démarrage maîtrisé.</t>
  </si>
  <si>
    <t>OF240905</t>
  </si>
  <si>
    <t>Multiple micro-arrêts sur alimentation matière.</t>
  </si>
  <si>
    <t>OF240906</t>
  </si>
  <si>
    <t>Bonne tenue des cadences après réglage initial.</t>
  </si>
  <si>
    <t>OF240907</t>
  </si>
  <si>
    <t>P-CX200</t>
  </si>
  <si>
    <t>Rythme stable, quelques rebuts de démarrage.</t>
  </si>
  <si>
    <t>OF240908</t>
  </si>
  <si>
    <t>P-BX310</t>
  </si>
  <si>
    <t>Arrêt qualité suite à non-conformité client.</t>
  </si>
  <si>
    <t>Arrêts équipements – Pannes, réglages, organisation</t>
  </si>
  <si>
    <t>Journal des arrêts par ligne et par équipement, avec typologie et cause racine.</t>
  </si>
  <si>
    <t>Suivi des arrêts</t>
  </si>
  <si>
    <t>Equipement</t>
  </si>
  <si>
    <t>Type_Arret</t>
  </si>
  <si>
    <t>Durée_min</t>
  </si>
  <si>
    <t>Cause_Racine</t>
  </si>
  <si>
    <t>Convoyeur sortie</t>
  </si>
  <si>
    <t>Panne</t>
  </si>
  <si>
    <t>Usure galets</t>
  </si>
  <si>
    <t>Arrêt complet de ligne, intervention maintenance mécanique.</t>
  </si>
  <si>
    <t>Doseuse</t>
  </si>
  <si>
    <t>Réglage</t>
  </si>
  <si>
    <t>Changement format</t>
  </si>
  <si>
    <t>Ajustement de cadence et de dosage pour nouvelle référence.</t>
  </si>
  <si>
    <t>Ensacheuse</t>
  </si>
  <si>
    <t>Qualité</t>
  </si>
  <si>
    <t>Non-conformité aspect</t>
  </si>
  <si>
    <t>Arrêt pour contrôle renforcé et tri des lots suspects.</t>
  </si>
  <si>
    <t>Robot palettiseur</t>
  </si>
  <si>
    <t>Organisation</t>
  </si>
  <si>
    <t>Manque palettes</t>
  </si>
  <si>
    <t>Attente réapprovisionnement palettes et film étirable.</t>
  </si>
  <si>
    <t>Alimentation matière</t>
  </si>
  <si>
    <t>Manque matière</t>
  </si>
  <si>
    <t>Rupture flux amont</t>
  </si>
  <si>
    <t>Coordination à renforcer avec logistique interne.</t>
  </si>
  <si>
    <t>Etiqueteuse</t>
  </si>
  <si>
    <t>Changement langue étiquette</t>
  </si>
  <si>
    <t>Adaptation série export avec nouvelle étiquette.</t>
  </si>
  <si>
    <t>Qualité – Défauts et rebuts</t>
  </si>
  <si>
    <t>Suivi des défauts par famille (dimensionnel, aspect, fonctionnel, conditionnement, matière).</t>
  </si>
  <si>
    <t>Journal des défauts</t>
  </si>
  <si>
    <t>Famille_Defaut</t>
  </si>
  <si>
    <t>Nb_Defauts</t>
  </si>
  <si>
    <t>Reprises</t>
  </si>
  <si>
    <t>Aspect</t>
  </si>
  <si>
    <t>Dimensionnel</t>
  </si>
  <si>
    <t>Fonctionnel</t>
  </si>
  <si>
    <t>Conditionnement</t>
  </si>
  <si>
    <t>Matière</t>
  </si>
  <si>
    <t>Charge / capacité – Vision atelier</t>
  </si>
  <si>
    <t>Comparaison charge prévue / réelle par ligne, pour détecter les goulots et zones de sous-charge.</t>
  </si>
  <si>
    <t>Suivi hebdomadaire charge / capacité</t>
  </si>
  <si>
    <t>Semaine</t>
  </si>
  <si>
    <t>Heures_Capacite_Dispo</t>
  </si>
  <si>
    <t>Heures_Charge_Prevue</t>
  </si>
  <si>
    <t>Heures_Charge_Reelle</t>
  </si>
  <si>
    <t>Utilisation_Capacite</t>
  </si>
  <si>
    <t>Commentaire_Goulot</t>
  </si>
  <si>
    <t>S36</t>
  </si>
  <si>
    <t>Ligne proche saturation, goulot possible sur certaines équipes.</t>
  </si>
  <si>
    <t>Marge de manœuvre raisonnable, possible soutien de la ligne 1.</t>
  </si>
  <si>
    <t>Sous-charge relative, opportunité de tests ou de pré-séries.</t>
  </si>
  <si>
    <t>S37</t>
  </si>
  <si>
    <t>Capacité légèrement dépassée, arbitrages à prévoir.</t>
  </si>
  <si>
    <t>Régime stable, bonne adéquation charge / capacité.</t>
  </si>
  <si>
    <t>Sous-utilisation persistante, revoir planification.</t>
  </si>
  <si>
    <t>Voix de l'atelier – Humeur, charge et idées d'amélioration</t>
  </si>
  <si>
    <t>Recueil des ressentis des équipes de production et des idées issues du terrain.</t>
  </si>
  <si>
    <t>Humeur et idées par équipe</t>
  </si>
  <si>
    <t>Humeur_Equipe_1_5</t>
  </si>
  <si>
    <t>Charge_Ressentie_1_5</t>
  </si>
  <si>
    <t>Fierte_Qualite_1_5</t>
  </si>
  <si>
    <t>Idee_Amelioration</t>
  </si>
  <si>
    <t>Statut_Idee</t>
  </si>
  <si>
    <t>Référent</t>
  </si>
  <si>
    <t>Marquer visuellement les réglages standards sur la doseuse.</t>
  </si>
  <si>
    <t>En cours</t>
  </si>
  <si>
    <t>Référent amélioration continue</t>
  </si>
  <si>
    <t>Ajouter un chariot dédié pour les outillages de changement de série.</t>
  </si>
  <si>
    <t>À traiter</t>
  </si>
  <si>
    <t>Chef d'équipe B</t>
  </si>
  <si>
    <t>Revoir la rotation des postes sur les tâches les plus pénibles.</t>
  </si>
  <si>
    <t>Responsable production</t>
  </si>
  <si>
    <t>Standardiser la check-list démarrage pour limiter les rebuts de mise au point.</t>
  </si>
  <si>
    <t>Implémentée</t>
  </si>
  <si>
    <t>Technicien méthodes</t>
  </si>
  <si>
    <t>Créer un visuel simple sur les indicateurs de sécurité par ligne.</t>
  </si>
  <si>
    <t>Animateur HSE</t>
  </si>
  <si>
    <t>Partager les bonnes pratiques de réglage sur un mur d'idées atelier.</t>
  </si>
  <si>
    <t>Référent 5S</t>
  </si>
  <si>
    <t>Nombre</t>
  </si>
  <si>
    <t>Tableau de bord usine de production – Vue globale</t>
  </si>
  <si>
    <t>TRS/OEE, service client, rebuts, arrêts majeurs, charge/capacité par ligne et voix de l'atelier.</t>
  </si>
  <si>
    <t>Période d'analyse</t>
  </si>
  <si>
    <t>Année</t>
  </si>
  <si>
    <t>TRS / OEE et performance</t>
  </si>
  <si>
    <t>Disponibilité globale</t>
  </si>
  <si>
    <t>Performance globale</t>
  </si>
  <si>
    <t>Qualité globale</t>
  </si>
  <si>
    <t>TRS / OEE global</t>
  </si>
  <si>
    <t>Service client et qualité externe</t>
  </si>
  <si>
    <t>Taux de service OTIF</t>
  </si>
  <si>
    <t>Rebuts globaux / production</t>
  </si>
  <si>
    <t>Utilisation moyenne capacité</t>
  </si>
  <si>
    <t>Arrêts et pertes</t>
  </si>
  <si>
    <t>Temps d'arrêt total (min)</t>
  </si>
  <si>
    <t>Temps de fonctionnement total (min)</t>
  </si>
  <si>
    <t>Voix de l'atelier et esprit de la production</t>
  </si>
  <si>
    <t>Humeur moyenne des équipes (1 à 5)</t>
  </si>
  <si>
    <t>Nombre d'idées d'amélioration déclarées</t>
  </si>
  <si>
    <t>% d'idées implémentées</t>
  </si>
  <si>
    <t>TRS / OEE</t>
  </si>
  <si>
    <t>Rebuts / prod.</t>
  </si>
  <si>
    <t>Utilisation capacité</t>
  </si>
  <si>
    <t>Disponibilité</t>
  </si>
  <si>
    <t>Données jauges</t>
  </si>
  <si>
    <t>Valeur</t>
  </si>
  <si>
    <t>Reste</t>
  </si>
  <si>
    <t>Masque</t>
  </si>
  <si>
    <t>TRS simplifié</t>
  </si>
  <si>
    <t>Durée_totale_min</t>
  </si>
  <si>
    <t>Synthèse – Tableau de bord usine de production</t>
  </si>
  <si>
    <t>Vue condensée des performances de l'atelier : TRS/OEE, service client, rebuts, charge/capacité, structure des arrêts et voix de l'atelier.</t>
  </si>
  <si>
    <t>Année de référence :</t>
  </si>
  <si>
    <t>Indicateurs clés de production</t>
  </si>
  <si>
    <t>Nombre d'idées d'amélioration</t>
  </si>
  <si>
    <t>Performance liée au respect des cadences et des quantités prévues.</t>
  </si>
  <si>
    <t>Volumes d'arrêts et de fonctionnement à relier aux analyses par type d'arrêt et par ligne.</t>
  </si>
  <si>
    <t>Les indicateurs 'voix de l'atelier' complètent utilement la lecture des performances techniques.</t>
  </si>
  <si>
    <t>Mode de lecture :
- La colonne centrale présente les indicateurs de base du tableau de bord atelier, complétés par la voix des équipes.
- La colonne de droite propose une première interprétation, à approfondir avec les responsables de production et les représentants du terrain.
- Cette page peut être intégrée à un rapport mensuel de production, à une revue de performance usine, ou à un comité de pilotage industriel orienté progrès continu.</t>
  </si>
  <si>
    <t>Dashboard usine – Vue condensée</t>
  </si>
  <si>
    <t>Vue synthétique sur une page : indicateurs clés, TRS, arrêts par type, TRS par ligne et dynamique d'amélioration continue.</t>
  </si>
  <si>
    <t>Indicateur</t>
  </si>
</sst>
</file>

<file path=xl/styles.xml><?xml version="1.0" encoding="utf-8"?>
<styleSheet xmlns="http://schemas.openxmlformats.org/spreadsheetml/2006/main">
  <numFmts count="4">
    <numFmt numFmtId="164" formatCode="dd/mm/yyyy"/>
    <numFmt numFmtId="165" formatCode="0.00"/>
    <numFmt numFmtId="166" formatCode="0.0%"/>
    <numFmt numFmtId="167" formatCode="0.0"/>
  </numFmts>
  <fonts count="8">
    <font>
      <sz val="11"/>
      <color theme="1"/>
      <name val="Calibri"/>
      <family val="2"/>
      <scheme val="minor"/>
    </font>
    <font>
      <b/>
      <sz val="18"/>
      <color rgb="FF1F4E79"/>
      <name val="Calibri"/>
      <family val="2"/>
      <scheme val="minor"/>
    </font>
    <font>
      <i/>
      <sz val="10"/>
      <color rgb="FF555555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9DC3E6"/>
        <bgColor indexed="64"/>
      </patternFill>
    </fill>
    <fill>
      <patternFill patternType="solid">
        <fgColor rgb="FFF8CBAD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164" fontId="4" fillId="0" borderId="1" xfId="0" applyNumberFormat="1" applyFont="1" applyBorder="1"/>
    <xf numFmtId="0" fontId="4" fillId="0" borderId="1" xfId="0" applyFont="1" applyBorder="1"/>
    <xf numFmtId="1" fontId="4" fillId="0" borderId="1" xfId="0" applyNumberFormat="1" applyFont="1" applyBorder="1"/>
    <xf numFmtId="165" fontId="4" fillId="0" borderId="1" xfId="0" applyNumberFormat="1" applyFont="1" applyBorder="1"/>
    <xf numFmtId="166" fontId="4" fillId="0" borderId="1" xfId="0" applyNumberFormat="1" applyFont="1" applyBorder="1"/>
    <xf numFmtId="0" fontId="5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left" vertical="center"/>
    </xf>
    <xf numFmtId="166" fontId="6" fillId="0" borderId="0" xfId="0" applyNumberFormat="1" applyFont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167" fontId="6" fillId="0" borderId="0" xfId="0" applyNumberFormat="1" applyFont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/>
    </xf>
    <xf numFmtId="0" fontId="7" fillId="7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Jauge TRS / OEE</a:t>
            </a:r>
          </a:p>
        </c:rich>
      </c:tx>
      <c:layout/>
    </c:title>
    <c:plotArea>
      <c:layout/>
      <c:doughnutChart>
        <c:varyColors val="1"/>
        <c:ser>
          <c:idx val="0"/>
          <c:order val="0"/>
          <c:tx>
            <c:v>TRS / OEE</c:v>
          </c:tx>
          <c:cat>
            <c:numRef>
              <c:f>Dashboard_Usine!$J$6:$L$6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1</c:v>
                </c:pt>
              </c:numCache>
            </c:numRef>
          </c:cat>
          <c:val>
            <c:numRef>
              <c:f>Dashboard_Usine!$J$6:$L$6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1</c:v>
                </c:pt>
              </c:numCache>
            </c:numRef>
          </c:val>
        </c:ser>
        <c:firstSliceAng val="270"/>
        <c:holeSize val="60"/>
      </c:doughnutChart>
    </c:plotArea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Jauge OTIF</a:t>
            </a:r>
          </a:p>
        </c:rich>
      </c:tx>
      <c:layout/>
    </c:title>
    <c:plotArea>
      <c:layout/>
      <c:doughnutChart>
        <c:varyColors val="1"/>
        <c:ser>
          <c:idx val="0"/>
          <c:order val="0"/>
          <c:tx>
            <c:v>OTIF</c:v>
          </c:tx>
          <c:cat>
            <c:numRef>
              <c:f>Dashboard_Usine!$J$7:$L$7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1</c:v>
                </c:pt>
              </c:numCache>
            </c:numRef>
          </c:cat>
          <c:val>
            <c:numRef>
              <c:f>Dashboard_Usine!$J$7:$L$7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1</c:v>
                </c:pt>
              </c:numCache>
            </c:numRef>
          </c:val>
        </c:ser>
        <c:firstSliceAng val="270"/>
        <c:holeSize val="60"/>
      </c:doughnutChart>
    </c:plotArea>
    <c:plotVisOnly val="1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Jauge rebuts</a:t>
            </a:r>
          </a:p>
        </c:rich>
      </c:tx>
      <c:layout/>
    </c:title>
    <c:plotArea>
      <c:layout/>
      <c:doughnutChart>
        <c:varyColors val="1"/>
        <c:ser>
          <c:idx val="0"/>
          <c:order val="0"/>
          <c:tx>
            <c:v>Rebuts</c:v>
          </c:tx>
          <c:cat>
            <c:numRef>
              <c:f>Dashboard_Usine!$J$8:$L$8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1</c:v>
                </c:pt>
              </c:numCache>
            </c:numRef>
          </c:cat>
          <c:val>
            <c:numRef>
              <c:f>Dashboard_Usine!$J$8:$L$8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1</c:v>
                </c:pt>
              </c:numCache>
            </c:numRef>
          </c:val>
        </c:ser>
        <c:firstSliceAng val="270"/>
        <c:holeSize val="60"/>
      </c:doughnutChart>
    </c:plotArea>
    <c:plotVisOnly val="1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TRS simplifié par ligne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TRS simplifié par ligne</c:v>
          </c:tx>
          <c:cat>
            <c:strRef>
              <c:f>Dashboard_Usine!$A$33:$A$35</c:f>
              <c:strCache>
                <c:ptCount val="3"/>
                <c:pt idx="1">
                  <c:v>Ligne 1</c:v>
                </c:pt>
                <c:pt idx="2">
                  <c:v>Ligne 2</c:v>
                </c:pt>
              </c:strCache>
            </c:strRef>
          </c:cat>
          <c:val>
            <c:numRef>
              <c:f>Dashboard_Usine!$B$33:$B$35</c:f>
              <c:numCache>
                <c:formatCode>General</c:formatCode>
                <c:ptCount val="3"/>
                <c:pt idx="1">
                  <c:v>0</c:v>
                </c:pt>
                <c:pt idx="2">
                  <c:v>0</c:v>
                </c:pt>
              </c:numCache>
            </c:numRef>
          </c:val>
        </c:ser>
        <c:axId val="50040001"/>
        <c:axId val="50040002"/>
      </c:barChart>
      <c:catAx>
        <c:axId val="50040001"/>
        <c:scaling>
          <c:orientation val="minMax"/>
        </c:scaling>
        <c:axPos val="b"/>
        <c:tickLblPos val="nextTo"/>
        <c:crossAx val="50040002"/>
        <c:crosses val="autoZero"/>
        <c:auto val="1"/>
        <c:lblAlgn val="ctr"/>
        <c:lblOffset val="100"/>
      </c:catAx>
      <c:valAx>
        <c:axId val="50040002"/>
        <c:scaling>
          <c:orientation val="minMax"/>
        </c:scaling>
        <c:axPos val="l"/>
        <c:majorGridlines/>
        <c:numFmt formatCode="General" sourceLinked="1"/>
        <c:tickLblPos val="nextTo"/>
        <c:crossAx val="5004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Temps d'arrêt par type d'arrêt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Temps d'arrêt par type</c:v>
          </c:tx>
          <c:cat>
            <c:strRef>
              <c:f>Dashboard_Usine!$E$33:$E$37</c:f>
              <c:strCache>
                <c:ptCount val="5"/>
                <c:pt idx="1">
                  <c:v>Panne</c:v>
                </c:pt>
                <c:pt idx="2">
                  <c:v>Réglage</c:v>
                </c:pt>
                <c:pt idx="3">
                  <c:v>Qualité</c:v>
                </c:pt>
                <c:pt idx="4">
                  <c:v>Organisation</c:v>
                </c:pt>
              </c:strCache>
            </c:strRef>
          </c:cat>
          <c:val>
            <c:numRef>
              <c:f>Dashboard_Usine!$F$33:$F$37</c:f>
              <c:numCache>
                <c:formatCode>General</c:formatCode>
                <c:ptCount val="5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</c:ser>
        <c:axId val="50050001"/>
        <c:axId val="50050002"/>
      </c:barChart>
      <c:catAx>
        <c:axId val="50050001"/>
        <c:scaling>
          <c:orientation val="minMax"/>
        </c:scaling>
        <c:axPos val="b"/>
        <c:tickLblPos val="nextTo"/>
        <c:crossAx val="50050002"/>
        <c:crosses val="autoZero"/>
        <c:auto val="1"/>
        <c:lblAlgn val="ctr"/>
        <c:lblOffset val="100"/>
      </c:catAx>
      <c:valAx>
        <c:axId val="50050002"/>
        <c:scaling>
          <c:orientation val="minMax"/>
        </c:scaling>
        <c:axPos val="l"/>
        <c:majorGridlines/>
        <c:numFmt formatCode="General" sourceLinked="1"/>
        <c:tickLblPos val="nextTo"/>
        <c:crossAx val="5005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Utilisation capacité – toutes lignes</a:t>
            </a:r>
          </a:p>
        </c:rich>
      </c:tx>
      <c:layout/>
    </c:title>
    <c:plotArea>
      <c:layout/>
      <c:lineChart>
        <c:grouping val="standard"/>
        <c:ser>
          <c:idx val="0"/>
          <c:order val="0"/>
          <c:tx>
            <c:v>Utilisation capacité (toutes lignes)</c:v>
          </c:tx>
          <c:marker>
            <c:symbol val="none"/>
          </c:marker>
          <c:cat>
            <c:strRef>
              <c:f>Charge_Capacite!$A$6:$A$11</c:f>
              <c:strCache>
                <c:ptCount val="6"/>
                <c:pt idx="0">
                  <c:v>S36</c:v>
                </c:pt>
                <c:pt idx="1">
                  <c:v>S36</c:v>
                </c:pt>
                <c:pt idx="2">
                  <c:v>S36</c:v>
                </c:pt>
                <c:pt idx="3">
                  <c:v>S37</c:v>
                </c:pt>
                <c:pt idx="4">
                  <c:v>S37</c:v>
                </c:pt>
                <c:pt idx="5">
                  <c:v>S37</c:v>
                </c:pt>
              </c:strCache>
            </c:strRef>
          </c:cat>
          <c:val>
            <c:numRef>
              <c:f>Charge_Capacite!$F$6:$F$11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</c:ser>
        <c:marker val="1"/>
        <c:axId val="50060001"/>
        <c:axId val="50060002"/>
      </c:lineChart>
      <c:catAx>
        <c:axId val="50060001"/>
        <c:scaling>
          <c:orientation val="minMax"/>
        </c:scaling>
        <c:axPos val="b"/>
        <c:tickLblPos val="nextTo"/>
        <c:crossAx val="50060002"/>
        <c:crosses val="autoZero"/>
        <c:auto val="1"/>
        <c:lblAlgn val="ctr"/>
        <c:lblOffset val="100"/>
      </c:catAx>
      <c:valAx>
        <c:axId val="50060002"/>
        <c:scaling>
          <c:orientation val="minMax"/>
        </c:scaling>
        <c:axPos val="l"/>
        <c:majorGridlines/>
        <c:numFmt formatCode="General" sourceLinked="1"/>
        <c:tickLblPos val="nextTo"/>
        <c:crossAx val="5006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Idées d'amélioration – répartition des statuts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Idées d'amélioration par statut</c:v>
          </c:tx>
          <c:cat>
            <c:strRef>
              <c:f>Esprit_Atelier!$A$14:$A$16</c:f>
              <c:strCache>
                <c:ptCount val="3"/>
                <c:pt idx="0">
                  <c:v>Statut_Idee</c:v>
                </c:pt>
                <c:pt idx="1">
                  <c:v>À traiter</c:v>
                </c:pt>
                <c:pt idx="2">
                  <c:v>En cours</c:v>
                </c:pt>
              </c:strCache>
            </c:strRef>
          </c:cat>
          <c:val>
            <c:numRef>
              <c:f>Esprit_Atelier!$B$14:$B$16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</c:ser>
        <c:axId val="50070001"/>
        <c:axId val="50070002"/>
      </c:barChart>
      <c:catAx>
        <c:axId val="50070001"/>
        <c:scaling>
          <c:orientation val="minMax"/>
        </c:scaling>
        <c:axPos val="b"/>
        <c:tickLblPos val="nextTo"/>
        <c:crossAx val="50070002"/>
        <c:crosses val="autoZero"/>
        <c:auto val="1"/>
        <c:lblAlgn val="ctr"/>
        <c:lblOffset val="100"/>
      </c:catAx>
      <c:valAx>
        <c:axId val="50070002"/>
        <c:scaling>
          <c:orientation val="minMax"/>
        </c:scaling>
        <c:axPos val="l"/>
        <c:majorGridlines/>
        <c:numFmt formatCode="General" sourceLinked="1"/>
        <c:tickLblPos val="nextTo"/>
        <c:crossAx val="5007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TRS / OEE global</a:t>
            </a:r>
          </a:p>
        </c:rich>
      </c:tx>
      <c:layout/>
    </c:title>
    <c:plotArea>
      <c:layout/>
      <c:doughnutChart>
        <c:varyColors val="1"/>
        <c:ser>
          <c:idx val="0"/>
          <c:order val="0"/>
          <c:tx>
            <c:v>TRS / OEE</c:v>
          </c:tx>
          <c:cat>
            <c:numRef>
              <c:f>Dashboard_Usine!$J$6:$L$6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1</c:v>
                </c:pt>
              </c:numCache>
            </c:numRef>
          </c:cat>
          <c:val>
            <c:numRef>
              <c:f>Dashboard_Usine!$J$6:$L$6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1</c:v>
                </c:pt>
              </c:numCache>
            </c:numRef>
          </c:val>
        </c:ser>
        <c:firstSliceAng val="270"/>
        <c:holeSize val="60"/>
      </c:doughnutChart>
    </c:plotArea>
    <c:plotVisOnly val="1"/>
  </c:chart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TRS par ligne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TRS simplifié par ligne</c:v>
          </c:tx>
          <c:cat>
            <c:strRef>
              <c:f>Dashboard_Usine!$A$33:$A$35</c:f>
              <c:strCache>
                <c:ptCount val="3"/>
                <c:pt idx="1">
                  <c:v>Ligne 1</c:v>
                </c:pt>
                <c:pt idx="2">
                  <c:v>Ligne 2</c:v>
                </c:pt>
              </c:strCache>
            </c:strRef>
          </c:cat>
          <c:val>
            <c:numRef>
              <c:f>Dashboard_Usine!$B$33:$B$35</c:f>
              <c:numCache>
                <c:formatCode>General</c:formatCode>
                <c:ptCount val="3"/>
                <c:pt idx="1">
                  <c:v>0</c:v>
                </c:pt>
                <c:pt idx="2">
                  <c:v>0</c:v>
                </c:pt>
              </c:numCache>
            </c:numRef>
          </c:val>
        </c:ser>
        <c:axId val="50090001"/>
        <c:axId val="50090002"/>
      </c:barChart>
      <c:catAx>
        <c:axId val="50090001"/>
        <c:scaling>
          <c:orientation val="minMax"/>
        </c:scaling>
        <c:axPos val="b"/>
        <c:tickLblPos val="nextTo"/>
        <c:crossAx val="50090002"/>
        <c:crosses val="autoZero"/>
        <c:auto val="1"/>
        <c:lblAlgn val="ctr"/>
        <c:lblOffset val="100"/>
      </c:catAx>
      <c:valAx>
        <c:axId val="50090002"/>
        <c:scaling>
          <c:orientation val="minMax"/>
        </c:scaling>
        <c:axPos val="l"/>
        <c:majorGridlines/>
        <c:numFmt formatCode="General" sourceLinked="1"/>
        <c:tickLblPos val="nextTo"/>
        <c:crossAx val="5009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Arrêts par type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Temps d'arrêt par type</c:v>
          </c:tx>
          <c:cat>
            <c:strRef>
              <c:f>Dashboard_Usine!$E$33:$E$37</c:f>
              <c:strCache>
                <c:ptCount val="5"/>
                <c:pt idx="1">
                  <c:v>Panne</c:v>
                </c:pt>
                <c:pt idx="2">
                  <c:v>Réglage</c:v>
                </c:pt>
                <c:pt idx="3">
                  <c:v>Qualité</c:v>
                </c:pt>
                <c:pt idx="4">
                  <c:v>Organisation</c:v>
                </c:pt>
              </c:strCache>
            </c:strRef>
          </c:cat>
          <c:val>
            <c:numRef>
              <c:f>Dashboard_Usine!$F$33:$F$37</c:f>
              <c:numCache>
                <c:formatCode>General</c:formatCode>
                <c:ptCount val="5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</c:ser>
        <c:axId val="50100001"/>
        <c:axId val="50100002"/>
      </c:barChart>
      <c:catAx>
        <c:axId val="50100001"/>
        <c:scaling>
          <c:orientation val="minMax"/>
        </c:scaling>
        <c:axPos val="b"/>
        <c:tickLblPos val="nextTo"/>
        <c:crossAx val="50100002"/>
        <c:crosses val="autoZero"/>
        <c:auto val="1"/>
        <c:lblAlgn val="ctr"/>
        <c:lblOffset val="100"/>
      </c:catAx>
      <c:valAx>
        <c:axId val="50100002"/>
        <c:scaling>
          <c:orientation val="minMax"/>
        </c:scaling>
        <c:axPos val="l"/>
        <c:majorGridlines/>
        <c:numFmt formatCode="General" sourceLinked="1"/>
        <c:tickLblPos val="nextTo"/>
        <c:crossAx val="5010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Idées d'amélioration – statuts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Idées d'amélioration par statut</c:v>
          </c:tx>
          <c:cat>
            <c:strRef>
              <c:f>Esprit_Atelier!$A$14:$A$16</c:f>
              <c:strCache>
                <c:ptCount val="3"/>
                <c:pt idx="0">
                  <c:v>Statut_Idee</c:v>
                </c:pt>
                <c:pt idx="1">
                  <c:v>À traiter</c:v>
                </c:pt>
                <c:pt idx="2">
                  <c:v>En cours</c:v>
                </c:pt>
              </c:strCache>
            </c:strRef>
          </c:cat>
          <c:val>
            <c:numRef>
              <c:f>Esprit_Atelier!$B$14:$B$16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</c:ser>
        <c:axId val="50110001"/>
        <c:axId val="50110002"/>
      </c:barChart>
      <c:catAx>
        <c:axId val="50110001"/>
        <c:scaling>
          <c:orientation val="minMax"/>
        </c:scaling>
        <c:axPos val="b"/>
        <c:tickLblPos val="nextTo"/>
        <c:crossAx val="50110002"/>
        <c:crosses val="autoZero"/>
        <c:auto val="1"/>
        <c:lblAlgn val="ctr"/>
        <c:lblOffset val="100"/>
      </c:catAx>
      <c:valAx>
        <c:axId val="50110002"/>
        <c:scaling>
          <c:orientation val="minMax"/>
        </c:scaling>
        <c:axPos val="l"/>
        <c:majorGridlines/>
        <c:numFmt formatCode="General" sourceLinked="1"/>
        <c:tickLblPos val="nextTo"/>
        <c:crossAx val="5011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Relationship Id="rId4" Type="http://schemas.openxmlformats.org/officeDocument/2006/relationships/chart" Target="../charts/chart4.xml"/><Relationship Id="rId5" Type="http://schemas.openxmlformats.org/officeDocument/2006/relationships/chart" Target="../charts/chart5.xml"/><Relationship Id="rId6" Type="http://schemas.openxmlformats.org/officeDocument/2006/relationships/chart" Target="../charts/chart6.xml"/><Relationship Id="rId7" Type="http://schemas.openxmlformats.org/officeDocument/2006/relationships/chart" Target="../charts/chart7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8.xml"/><Relationship Id="rId2" Type="http://schemas.openxmlformats.org/officeDocument/2006/relationships/chart" Target="../charts/chart9.xml"/><Relationship Id="rId3" Type="http://schemas.openxmlformats.org/officeDocument/2006/relationships/chart" Target="../charts/chart10.xml"/><Relationship Id="rId4" Type="http://schemas.openxmlformats.org/officeDocument/2006/relationships/chart" Target="../charts/chart1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21</xdr:row>
      <xdr:rowOff>0</xdr:rowOff>
    </xdr:from>
    <xdr:to>
      <xdr:col>2</xdr:col>
      <xdr:colOff>1276350</xdr:colOff>
      <xdr:row>35</xdr:row>
      <xdr:rowOff>76200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0</xdr:colOff>
      <xdr:row>21</xdr:row>
      <xdr:rowOff>0</xdr:rowOff>
    </xdr:from>
    <xdr:to>
      <xdr:col>6</xdr:col>
      <xdr:colOff>1276350</xdr:colOff>
      <xdr:row>35</xdr:row>
      <xdr:rowOff>76200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0</xdr:colOff>
      <xdr:row>21</xdr:row>
      <xdr:rowOff>0</xdr:rowOff>
    </xdr:from>
    <xdr:to>
      <xdr:col>10</xdr:col>
      <xdr:colOff>1276350</xdr:colOff>
      <xdr:row>35</xdr:row>
      <xdr:rowOff>76200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35</xdr:row>
      <xdr:rowOff>0</xdr:rowOff>
    </xdr:from>
    <xdr:to>
      <xdr:col>2</xdr:col>
      <xdr:colOff>1276350</xdr:colOff>
      <xdr:row>49</xdr:row>
      <xdr:rowOff>76200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</xdr:col>
      <xdr:colOff>0</xdr:colOff>
      <xdr:row>35</xdr:row>
      <xdr:rowOff>0</xdr:rowOff>
    </xdr:from>
    <xdr:to>
      <xdr:col>6</xdr:col>
      <xdr:colOff>1276350</xdr:colOff>
      <xdr:row>49</xdr:row>
      <xdr:rowOff>76200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8</xdr:col>
      <xdr:colOff>0</xdr:colOff>
      <xdr:row>35</xdr:row>
      <xdr:rowOff>0</xdr:rowOff>
    </xdr:from>
    <xdr:to>
      <xdr:col>10</xdr:col>
      <xdr:colOff>1276350</xdr:colOff>
      <xdr:row>49</xdr:row>
      <xdr:rowOff>76200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10</xdr:col>
      <xdr:colOff>0</xdr:colOff>
      <xdr:row>21</xdr:row>
      <xdr:rowOff>0</xdr:rowOff>
    </xdr:from>
    <xdr:to>
      <xdr:col>12</xdr:col>
      <xdr:colOff>819150</xdr:colOff>
      <xdr:row>33</xdr:row>
      <xdr:rowOff>180975</xdr:rowOff>
    </xdr:to>
    <xdr:graphicFrame macro="">
      <xdr:nvGraphicFramePr>
        <xdr:cNvPr id="8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3</xdr:row>
      <xdr:rowOff>0</xdr:rowOff>
    </xdr:from>
    <xdr:to>
      <xdr:col>7</xdr:col>
      <xdr:colOff>771525</xdr:colOff>
      <xdr:row>15</xdr:row>
      <xdr:rowOff>180975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0</xdr:colOff>
      <xdr:row>17</xdr:row>
      <xdr:rowOff>0</xdr:rowOff>
    </xdr:from>
    <xdr:to>
      <xdr:col>7</xdr:col>
      <xdr:colOff>771525</xdr:colOff>
      <xdr:row>29</xdr:row>
      <xdr:rowOff>180975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17</xdr:row>
      <xdr:rowOff>0</xdr:rowOff>
    </xdr:from>
    <xdr:to>
      <xdr:col>2</xdr:col>
      <xdr:colOff>1219200</xdr:colOff>
      <xdr:row>29</xdr:row>
      <xdr:rowOff>180975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0</xdr:colOff>
      <xdr:row>17</xdr:row>
      <xdr:rowOff>0</xdr:rowOff>
    </xdr:from>
    <xdr:to>
      <xdr:col>12</xdr:col>
      <xdr:colOff>209550</xdr:colOff>
      <xdr:row>29</xdr:row>
      <xdr:rowOff>180975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tbl_OrdresProd" displayName="tbl_OrdresProd" ref="A5:M13" totalsRowShown="0">
  <autoFilter ref="A5:M13"/>
  <tableColumns count="13">
    <tableColumn id="1" name="Date"/>
    <tableColumn id="2" name="Équipe"/>
    <tableColumn id="3" name="Ligne"/>
    <tableColumn id="4" name="Ordre"/>
    <tableColumn id="5" name="Référence_Produit"/>
    <tableColumn id="6" name="Famille_Produit"/>
    <tableColumn id="7" name="Qté_Prévue"/>
    <tableColumn id="8" name="Qté_Produite"/>
    <tableColumn id="9" name="Rebuts"/>
    <tableColumn id="10" name="Temps_Fonctionnement_min"/>
    <tableColumn id="11" name="Temps_Arret_min"/>
    <tableColumn id="12" name="OTIF"/>
    <tableColumn id="13" name="Commentaire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id="2" name="tbl_Arrets" displayName="tbl_Arrets" ref="A5:G11" totalsRowShown="0">
  <autoFilter ref="A5:G11"/>
  <tableColumns count="7">
    <tableColumn id="1" name="Date"/>
    <tableColumn id="2" name="Ligne"/>
    <tableColumn id="3" name="Equipement"/>
    <tableColumn id="4" name="Type_Arret"/>
    <tableColumn id="5" name="Durée_min"/>
    <tableColumn id="6" name="Cause_Racine"/>
    <tableColumn id="7" name="Commentaire"/>
  </tableColumns>
  <tableStyleInfo name="TableStyleMedium3" showFirstColumn="0" showLastColumn="0" showRowStripes="1" showColumnStripes="0"/>
</table>
</file>

<file path=xl/tables/table3.xml><?xml version="1.0" encoding="utf-8"?>
<table xmlns="http://schemas.openxmlformats.org/spreadsheetml/2006/main" id="3" name="tbl_Qualite" displayName="tbl_Qualite" ref="A5:G11" totalsRowShown="0">
  <autoFilter ref="A5:G11"/>
  <tableColumns count="7">
    <tableColumn id="1" name="Date"/>
    <tableColumn id="2" name="Ligne"/>
    <tableColumn id="3" name="Référence_Produit"/>
    <tableColumn id="4" name="Famille_Defaut"/>
    <tableColumn id="5" name="Nb_Defauts"/>
    <tableColumn id="6" name="Rebuts"/>
    <tableColumn id="7" name="Reprises"/>
  </tableColumns>
  <tableStyleInfo name="TableStyleMedium4" showFirstColumn="0" showLastColumn="0" showRowStripes="1" showColumnStripes="0"/>
</table>
</file>

<file path=xl/tables/table4.xml><?xml version="1.0" encoding="utf-8"?>
<table xmlns="http://schemas.openxmlformats.org/spreadsheetml/2006/main" id="4" name="tbl_ChargeCapacite" displayName="tbl_ChargeCapacite" ref="A5:G11" totalsRowShown="0">
  <autoFilter ref="A5:G11"/>
  <tableColumns count="7">
    <tableColumn id="1" name="Semaine"/>
    <tableColumn id="2" name="Ligne"/>
    <tableColumn id="3" name="Heures_Capacite_Dispo"/>
    <tableColumn id="4" name="Heures_Charge_Prevue"/>
    <tableColumn id="5" name="Heures_Charge_Reelle"/>
    <tableColumn id="6" name="Utilisation_Capacite"/>
    <tableColumn id="7" name="Commentaire_Goulot"/>
  </tableColumns>
  <tableStyleInfo name="TableStyleMedium5" showFirstColumn="0" showLastColumn="0" showRowStripes="1" showColumnStripes="0"/>
</table>
</file>

<file path=xl/tables/table5.xml><?xml version="1.0" encoding="utf-8"?>
<table xmlns="http://schemas.openxmlformats.org/spreadsheetml/2006/main" id="5" name="tbl_EspritAtelier" displayName="tbl_EspritAtelier" ref="A5:I11" totalsRowShown="0">
  <autoFilter ref="A5:I11"/>
  <tableColumns count="9">
    <tableColumn id="1" name="Date"/>
    <tableColumn id="2" name="Équipe"/>
    <tableColumn id="3" name="Ligne"/>
    <tableColumn id="4" name="Humeur_Equipe_1_5"/>
    <tableColumn id="5" name="Charge_Ressentie_1_5"/>
    <tableColumn id="6" name="Fierte_Qualite_1_5"/>
    <tableColumn id="7" name="Idee_Amelioration"/>
    <tableColumn id="8" name="Statut_Idee"/>
    <tableColumn id="9" name="Référent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8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3"/>
  <sheetViews>
    <sheetView tabSelected="1" workbookViewId="0">
      <pane ySplit="5" topLeftCell="A6" activePane="bottomLeft" state="frozen"/>
      <selection pane="bottomLeft"/>
    </sheetView>
  </sheetViews>
  <sheetFormatPr defaultRowHeight="15"/>
  <cols>
    <col min="1" max="1" width="11.7109375" customWidth="1"/>
    <col min="2" max="2" width="9.7109375" customWidth="1"/>
    <col min="3" max="3" width="10.7109375" customWidth="1"/>
    <col min="4" max="4" width="12.7109375" customWidth="1"/>
    <col min="5" max="11" width="16.7109375" customWidth="1"/>
    <col min="12" max="12" width="8.7109375" customWidth="1"/>
    <col min="13" max="13" width="26.7109375" customWidth="1"/>
  </cols>
  <sheetData>
    <row r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4" spans="1:13">
      <c r="A4" s="3" t="s">
        <v>2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</row>
    <row r="5" spans="1:13">
      <c r="A5" t="s">
        <v>3</v>
      </c>
      <c r="B5" t="s">
        <v>4</v>
      </c>
      <c r="C5" t="s">
        <v>5</v>
      </c>
      <c r="D5" t="s">
        <v>6</v>
      </c>
      <c r="E5" t="s">
        <v>7</v>
      </c>
      <c r="F5" t="s">
        <v>8</v>
      </c>
      <c r="G5" t="s">
        <v>9</v>
      </c>
      <c r="H5" t="s">
        <v>10</v>
      </c>
      <c r="I5" t="s">
        <v>11</v>
      </c>
      <c r="J5" t="s">
        <v>12</v>
      </c>
      <c r="K5" t="s">
        <v>13</v>
      </c>
      <c r="L5" t="s">
        <v>14</v>
      </c>
      <c r="M5" t="s">
        <v>15</v>
      </c>
    </row>
    <row r="6" spans="1:13">
      <c r="A6" s="4">
        <v>45537</v>
      </c>
      <c r="B6" s="5" t="s">
        <v>16</v>
      </c>
      <c r="C6" s="5" t="s">
        <v>17</v>
      </c>
      <c r="D6" s="5" t="s">
        <v>18</v>
      </c>
      <c r="E6" s="5" t="s">
        <v>19</v>
      </c>
      <c r="F6" s="5" t="s">
        <v>20</v>
      </c>
      <c r="G6" s="6">
        <v>10000</v>
      </c>
      <c r="H6" s="6">
        <v>9800</v>
      </c>
      <c r="I6" s="6">
        <v>120</v>
      </c>
      <c r="J6" s="7">
        <v>430</v>
      </c>
      <c r="K6" s="7">
        <v>30</v>
      </c>
      <c r="L6" s="7">
        <v>1</v>
      </c>
      <c r="M6" s="5" t="s">
        <v>21</v>
      </c>
    </row>
    <row r="7" spans="1:13">
      <c r="A7" s="4">
        <v>45537</v>
      </c>
      <c r="B7" s="5" t="s">
        <v>22</v>
      </c>
      <c r="C7" s="5" t="s">
        <v>17</v>
      </c>
      <c r="D7" s="5" t="s">
        <v>23</v>
      </c>
      <c r="E7" s="5" t="s">
        <v>24</v>
      </c>
      <c r="F7" s="5" t="s">
        <v>20</v>
      </c>
      <c r="G7" s="6">
        <v>8000</v>
      </c>
      <c r="H7" s="6">
        <v>7600</v>
      </c>
      <c r="I7" s="6">
        <v>80</v>
      </c>
      <c r="J7" s="7">
        <v>360</v>
      </c>
      <c r="K7" s="7">
        <v>40</v>
      </c>
      <c r="L7" s="7">
        <v>1</v>
      </c>
      <c r="M7" s="5" t="s">
        <v>25</v>
      </c>
    </row>
    <row r="8" spans="1:13">
      <c r="A8" s="4">
        <v>45538</v>
      </c>
      <c r="B8" s="5" t="s">
        <v>16</v>
      </c>
      <c r="C8" s="5" t="s">
        <v>26</v>
      </c>
      <c r="D8" s="5" t="s">
        <v>27</v>
      </c>
      <c r="E8" s="5" t="s">
        <v>28</v>
      </c>
      <c r="F8" s="5" t="s">
        <v>29</v>
      </c>
      <c r="G8" s="6">
        <v>12000</v>
      </c>
      <c r="H8" s="6">
        <v>11200</v>
      </c>
      <c r="I8" s="6">
        <v>250</v>
      </c>
      <c r="J8" s="7">
        <v>480</v>
      </c>
      <c r="K8" s="7">
        <v>60</v>
      </c>
      <c r="L8" s="7">
        <v>0</v>
      </c>
      <c r="M8" s="5" t="s">
        <v>30</v>
      </c>
    </row>
    <row r="9" spans="1:13">
      <c r="A9" s="4">
        <v>45538</v>
      </c>
      <c r="B9" s="5" t="s">
        <v>31</v>
      </c>
      <c r="C9" s="5" t="s">
        <v>32</v>
      </c>
      <c r="D9" s="5" t="s">
        <v>33</v>
      </c>
      <c r="E9" s="5" t="s">
        <v>34</v>
      </c>
      <c r="F9" s="5" t="s">
        <v>35</v>
      </c>
      <c r="G9" s="6">
        <v>6000</v>
      </c>
      <c r="H9" s="6">
        <v>5900</v>
      </c>
      <c r="I9" s="6">
        <v>40</v>
      </c>
      <c r="J9" s="7">
        <v>300</v>
      </c>
      <c r="K9" s="7">
        <v>20</v>
      </c>
      <c r="L9" s="7">
        <v>1</v>
      </c>
      <c r="M9" s="5" t="s">
        <v>36</v>
      </c>
    </row>
    <row r="10" spans="1:13">
      <c r="A10" s="4">
        <v>45539</v>
      </c>
      <c r="B10" s="5" t="s">
        <v>22</v>
      </c>
      <c r="C10" s="5" t="s">
        <v>26</v>
      </c>
      <c r="D10" s="5" t="s">
        <v>37</v>
      </c>
      <c r="E10" s="5" t="s">
        <v>28</v>
      </c>
      <c r="F10" s="5" t="s">
        <v>29</v>
      </c>
      <c r="G10" s="6">
        <v>10000</v>
      </c>
      <c r="H10" s="6">
        <v>9700</v>
      </c>
      <c r="I10" s="6">
        <v>180</v>
      </c>
      <c r="J10" s="7">
        <v>420</v>
      </c>
      <c r="K10" s="7">
        <v>50</v>
      </c>
      <c r="L10" s="7">
        <v>0</v>
      </c>
      <c r="M10" s="5" t="s">
        <v>38</v>
      </c>
    </row>
    <row r="11" spans="1:13">
      <c r="A11" s="4">
        <v>45539</v>
      </c>
      <c r="B11" s="5" t="s">
        <v>16</v>
      </c>
      <c r="C11" s="5" t="s">
        <v>17</v>
      </c>
      <c r="D11" s="5" t="s">
        <v>39</v>
      </c>
      <c r="E11" s="5" t="s">
        <v>19</v>
      </c>
      <c r="F11" s="5" t="s">
        <v>20</v>
      </c>
      <c r="G11" s="6">
        <v>9000</v>
      </c>
      <c r="H11" s="6">
        <v>8800</v>
      </c>
      <c r="I11" s="6">
        <v>60</v>
      </c>
      <c r="J11" s="7">
        <v>390</v>
      </c>
      <c r="K11" s="7">
        <v>25</v>
      </c>
      <c r="L11" s="7">
        <v>1</v>
      </c>
      <c r="M11" s="5" t="s">
        <v>40</v>
      </c>
    </row>
    <row r="12" spans="1:13">
      <c r="A12" s="4">
        <v>45540</v>
      </c>
      <c r="B12" s="5" t="s">
        <v>31</v>
      </c>
      <c r="C12" s="5" t="s">
        <v>32</v>
      </c>
      <c r="D12" s="5" t="s">
        <v>41</v>
      </c>
      <c r="E12" s="5" t="s">
        <v>42</v>
      </c>
      <c r="F12" s="5" t="s">
        <v>35</v>
      </c>
      <c r="G12" s="6">
        <v>7000</v>
      </c>
      <c r="H12" s="6">
        <v>6800</v>
      </c>
      <c r="I12" s="6">
        <v>70</v>
      </c>
      <c r="J12" s="7">
        <v>320</v>
      </c>
      <c r="K12" s="7">
        <v>35</v>
      </c>
      <c r="L12" s="7">
        <v>1</v>
      </c>
      <c r="M12" s="5" t="s">
        <v>43</v>
      </c>
    </row>
    <row r="13" spans="1:13">
      <c r="A13" s="4">
        <v>45540</v>
      </c>
      <c r="B13" s="5" t="s">
        <v>22</v>
      </c>
      <c r="C13" s="5" t="s">
        <v>26</v>
      </c>
      <c r="D13" s="5" t="s">
        <v>44</v>
      </c>
      <c r="E13" s="5" t="s">
        <v>45</v>
      </c>
      <c r="F13" s="5" t="s">
        <v>29</v>
      </c>
      <c r="G13" s="6">
        <v>11000</v>
      </c>
      <c r="H13" s="6">
        <v>10400</v>
      </c>
      <c r="I13" s="6">
        <v>210</v>
      </c>
      <c r="J13" s="7">
        <v>460</v>
      </c>
      <c r="K13" s="7">
        <v>55</v>
      </c>
      <c r="L13" s="7">
        <v>0</v>
      </c>
      <c r="M13" s="5" t="s">
        <v>46</v>
      </c>
    </row>
  </sheetData>
  <mergeCells count="3">
    <mergeCell ref="A1:M1"/>
    <mergeCell ref="A2:M2"/>
    <mergeCell ref="A4:M4"/>
  </mergeCells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:G11"/>
  <sheetViews>
    <sheetView workbookViewId="0">
      <pane ySplit="5" topLeftCell="A6" activePane="bottomLeft" state="frozen"/>
      <selection pane="bottomLeft"/>
    </sheetView>
  </sheetViews>
  <sheetFormatPr defaultRowHeight="15"/>
  <cols>
    <col min="1" max="1" width="11.7109375" customWidth="1"/>
    <col min="2" max="4" width="14.7109375" customWidth="1"/>
    <col min="5" max="5" width="16.7109375" customWidth="1"/>
    <col min="6" max="6" width="20.7109375" customWidth="1"/>
    <col min="7" max="7" width="30.7109375" customWidth="1"/>
  </cols>
  <sheetData>
    <row r="1" spans="1:7">
      <c r="A1" s="1" t="s">
        <v>47</v>
      </c>
      <c r="B1" s="1"/>
      <c r="C1" s="1"/>
      <c r="D1" s="1"/>
      <c r="E1" s="1"/>
      <c r="F1" s="1"/>
      <c r="G1" s="1"/>
    </row>
    <row r="2" spans="1:7">
      <c r="A2" s="2" t="s">
        <v>48</v>
      </c>
      <c r="B2" s="2"/>
      <c r="C2" s="2"/>
      <c r="D2" s="2"/>
      <c r="E2" s="2"/>
      <c r="F2" s="2"/>
      <c r="G2" s="2"/>
    </row>
    <row r="4" spans="1:7">
      <c r="A4" s="3" t="s">
        <v>49</v>
      </c>
      <c r="B4" s="3"/>
      <c r="C4" s="3"/>
      <c r="D4" s="3"/>
      <c r="E4" s="3"/>
      <c r="F4" s="3"/>
      <c r="G4" s="3"/>
    </row>
    <row r="5" spans="1:7">
      <c r="A5" t="s">
        <v>3</v>
      </c>
      <c r="B5" t="s">
        <v>5</v>
      </c>
      <c r="C5" t="s">
        <v>50</v>
      </c>
      <c r="D5" t="s">
        <v>51</v>
      </c>
      <c r="E5" t="s">
        <v>52</v>
      </c>
      <c r="F5" t="s">
        <v>53</v>
      </c>
      <c r="G5" t="s">
        <v>15</v>
      </c>
    </row>
    <row r="6" spans="1:7">
      <c r="A6" s="4">
        <v>45538</v>
      </c>
      <c r="B6" s="5" t="s">
        <v>26</v>
      </c>
      <c r="C6" s="5" t="s">
        <v>54</v>
      </c>
      <c r="D6" s="5" t="s">
        <v>55</v>
      </c>
      <c r="E6" s="7">
        <v>40</v>
      </c>
      <c r="F6" s="5" t="s">
        <v>56</v>
      </c>
      <c r="G6" s="5" t="s">
        <v>57</v>
      </c>
    </row>
    <row r="7" spans="1:7">
      <c r="A7" s="4">
        <v>45538</v>
      </c>
      <c r="B7" s="5" t="s">
        <v>26</v>
      </c>
      <c r="C7" s="5" t="s">
        <v>58</v>
      </c>
      <c r="D7" s="5" t="s">
        <v>59</v>
      </c>
      <c r="E7" s="7">
        <v>20</v>
      </c>
      <c r="F7" s="5" t="s">
        <v>60</v>
      </c>
      <c r="G7" s="5" t="s">
        <v>61</v>
      </c>
    </row>
    <row r="8" spans="1:7">
      <c r="A8" s="4">
        <v>45539</v>
      </c>
      <c r="B8" s="5" t="s">
        <v>17</v>
      </c>
      <c r="C8" s="5" t="s">
        <v>62</v>
      </c>
      <c r="D8" s="5" t="s">
        <v>63</v>
      </c>
      <c r="E8" s="7">
        <v>25</v>
      </c>
      <c r="F8" s="5" t="s">
        <v>64</v>
      </c>
      <c r="G8" s="5" t="s">
        <v>65</v>
      </c>
    </row>
    <row r="9" spans="1:7">
      <c r="A9" s="4">
        <v>45539</v>
      </c>
      <c r="B9" s="5" t="s">
        <v>32</v>
      </c>
      <c r="C9" s="5" t="s">
        <v>66</v>
      </c>
      <c r="D9" s="5" t="s">
        <v>67</v>
      </c>
      <c r="E9" s="7">
        <v>15</v>
      </c>
      <c r="F9" s="5" t="s">
        <v>68</v>
      </c>
      <c r="G9" s="5" t="s">
        <v>69</v>
      </c>
    </row>
    <row r="10" spans="1:7">
      <c r="A10" s="4">
        <v>45540</v>
      </c>
      <c r="B10" s="5" t="s">
        <v>26</v>
      </c>
      <c r="C10" s="5" t="s">
        <v>70</v>
      </c>
      <c r="D10" s="5" t="s">
        <v>71</v>
      </c>
      <c r="E10" s="7">
        <v>30</v>
      </c>
      <c r="F10" s="5" t="s">
        <v>72</v>
      </c>
      <c r="G10" s="5" t="s">
        <v>73</v>
      </c>
    </row>
    <row r="11" spans="1:7">
      <c r="A11" s="4">
        <v>45540</v>
      </c>
      <c r="B11" s="5" t="s">
        <v>17</v>
      </c>
      <c r="C11" s="5" t="s">
        <v>74</v>
      </c>
      <c r="D11" s="5" t="s">
        <v>59</v>
      </c>
      <c r="E11" s="7">
        <v>10</v>
      </c>
      <c r="F11" s="5" t="s">
        <v>75</v>
      </c>
      <c r="G11" s="5" t="s">
        <v>76</v>
      </c>
    </row>
  </sheetData>
  <mergeCells count="3">
    <mergeCell ref="A1:G1"/>
    <mergeCell ref="A2:G2"/>
    <mergeCell ref="A4:G4"/>
  </mergeCell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>
  <dimension ref="A1:G11"/>
  <sheetViews>
    <sheetView workbookViewId="0">
      <pane ySplit="5" topLeftCell="A6" activePane="bottomLeft" state="frozen"/>
      <selection pane="bottomLeft"/>
    </sheetView>
  </sheetViews>
  <sheetFormatPr defaultRowHeight="15"/>
  <cols>
    <col min="1" max="1" width="11.7109375" customWidth="1"/>
    <col min="2" max="3" width="14.7109375" customWidth="1"/>
    <col min="4" max="4" width="18.7109375" customWidth="1"/>
    <col min="5" max="7" width="14.7109375" customWidth="1"/>
  </cols>
  <sheetData>
    <row r="1" spans="1:7">
      <c r="A1" s="1" t="s">
        <v>77</v>
      </c>
      <c r="B1" s="1"/>
      <c r="C1" s="1"/>
      <c r="D1" s="1"/>
      <c r="E1" s="1"/>
      <c r="F1" s="1"/>
      <c r="G1" s="1"/>
    </row>
    <row r="2" spans="1:7">
      <c r="A2" s="2" t="s">
        <v>78</v>
      </c>
      <c r="B2" s="2"/>
      <c r="C2" s="2"/>
      <c r="D2" s="2"/>
      <c r="E2" s="2"/>
      <c r="F2" s="2"/>
      <c r="G2" s="2"/>
    </row>
    <row r="4" spans="1:7">
      <c r="A4" s="3" t="s">
        <v>79</v>
      </c>
      <c r="B4" s="3"/>
      <c r="C4" s="3"/>
      <c r="D4" s="3"/>
      <c r="E4" s="3"/>
      <c r="F4" s="3"/>
      <c r="G4" s="3"/>
    </row>
    <row r="5" spans="1:7">
      <c r="A5" t="s">
        <v>3</v>
      </c>
      <c r="B5" t="s">
        <v>5</v>
      </c>
      <c r="C5" t="s">
        <v>7</v>
      </c>
      <c r="D5" t="s">
        <v>80</v>
      </c>
      <c r="E5" t="s">
        <v>81</v>
      </c>
      <c r="F5" t="s">
        <v>11</v>
      </c>
      <c r="G5" t="s">
        <v>82</v>
      </c>
    </row>
    <row r="6" spans="1:7">
      <c r="A6" s="4">
        <v>45537</v>
      </c>
      <c r="B6" s="5" t="s">
        <v>17</v>
      </c>
      <c r="C6" s="5" t="s">
        <v>19</v>
      </c>
      <c r="D6" s="5" t="s">
        <v>83</v>
      </c>
      <c r="E6" s="6">
        <v>35</v>
      </c>
      <c r="F6" s="6">
        <v>80</v>
      </c>
      <c r="G6" s="6">
        <v>20</v>
      </c>
    </row>
    <row r="7" spans="1:7">
      <c r="A7" s="4">
        <v>45537</v>
      </c>
      <c r="B7" s="5" t="s">
        <v>17</v>
      </c>
      <c r="C7" s="5" t="s">
        <v>24</v>
      </c>
      <c r="D7" s="5" t="s">
        <v>84</v>
      </c>
      <c r="E7" s="6">
        <v>20</v>
      </c>
      <c r="F7" s="6">
        <v>40</v>
      </c>
      <c r="G7" s="6">
        <v>15</v>
      </c>
    </row>
    <row r="8" spans="1:7">
      <c r="A8" s="4">
        <v>45538</v>
      </c>
      <c r="B8" s="5" t="s">
        <v>26</v>
      </c>
      <c r="C8" s="5" t="s">
        <v>28</v>
      </c>
      <c r="D8" s="5" t="s">
        <v>85</v>
      </c>
      <c r="E8" s="6">
        <v>50</v>
      </c>
      <c r="F8" s="6">
        <v>120</v>
      </c>
      <c r="G8" s="6">
        <v>10</v>
      </c>
    </row>
    <row r="9" spans="1:7">
      <c r="A9" s="4">
        <v>45538</v>
      </c>
      <c r="B9" s="5" t="s">
        <v>32</v>
      </c>
      <c r="C9" s="5" t="s">
        <v>34</v>
      </c>
      <c r="D9" s="5" t="s">
        <v>86</v>
      </c>
      <c r="E9" s="6">
        <v>18</v>
      </c>
      <c r="F9" s="6">
        <v>30</v>
      </c>
      <c r="G9" s="6">
        <v>12</v>
      </c>
    </row>
    <row r="10" spans="1:7">
      <c r="A10" s="4">
        <v>45539</v>
      </c>
      <c r="B10" s="5" t="s">
        <v>26</v>
      </c>
      <c r="C10" s="5" t="s">
        <v>28</v>
      </c>
      <c r="D10" s="5" t="s">
        <v>87</v>
      </c>
      <c r="E10" s="6">
        <v>40</v>
      </c>
      <c r="F10" s="6">
        <v>90</v>
      </c>
      <c r="G10" s="6">
        <v>5</v>
      </c>
    </row>
    <row r="11" spans="1:7">
      <c r="A11" s="4">
        <v>45540</v>
      </c>
      <c r="B11" s="5" t="s">
        <v>32</v>
      </c>
      <c r="C11" s="5" t="s">
        <v>42</v>
      </c>
      <c r="D11" s="5" t="s">
        <v>83</v>
      </c>
      <c r="E11" s="6">
        <v>22</v>
      </c>
      <c r="F11" s="6">
        <v>50</v>
      </c>
      <c r="G11" s="6">
        <v>8</v>
      </c>
    </row>
  </sheetData>
  <mergeCells count="3">
    <mergeCell ref="A1:G1"/>
    <mergeCell ref="A2:G2"/>
    <mergeCell ref="A4:G4"/>
  </mergeCells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>
  <dimension ref="A1:G11"/>
  <sheetViews>
    <sheetView workbookViewId="0">
      <pane ySplit="5" topLeftCell="A6" activePane="bottomLeft" state="frozen"/>
      <selection pane="bottomLeft"/>
    </sheetView>
  </sheetViews>
  <sheetFormatPr defaultRowHeight="15"/>
  <cols>
    <col min="1" max="2" width="10.7109375" customWidth="1"/>
    <col min="3" max="6" width="18.7109375" customWidth="1"/>
    <col min="7" max="7" width="30.7109375" customWidth="1"/>
  </cols>
  <sheetData>
    <row r="1" spans="1:7">
      <c r="A1" s="1" t="s">
        <v>88</v>
      </c>
      <c r="B1" s="1"/>
      <c r="C1" s="1"/>
      <c r="D1" s="1"/>
      <c r="E1" s="1"/>
      <c r="F1" s="1"/>
      <c r="G1" s="1"/>
    </row>
    <row r="2" spans="1:7">
      <c r="A2" s="2" t="s">
        <v>89</v>
      </c>
      <c r="B2" s="2"/>
      <c r="C2" s="2"/>
      <c r="D2" s="2"/>
      <c r="E2" s="2"/>
      <c r="F2" s="2"/>
      <c r="G2" s="2"/>
    </row>
    <row r="4" spans="1:7">
      <c r="A4" s="3" t="s">
        <v>90</v>
      </c>
      <c r="B4" s="3"/>
      <c r="C4" s="3"/>
      <c r="D4" s="3"/>
      <c r="E4" s="3"/>
      <c r="F4" s="3"/>
      <c r="G4" s="3"/>
    </row>
    <row r="5" spans="1:7">
      <c r="A5" t="s">
        <v>91</v>
      </c>
      <c r="B5" t="s">
        <v>5</v>
      </c>
      <c r="C5" t="s">
        <v>92</v>
      </c>
      <c r="D5" t="s">
        <v>93</v>
      </c>
      <c r="E5" t="s">
        <v>94</v>
      </c>
      <c r="F5" t="s">
        <v>95</v>
      </c>
      <c r="G5" t="s">
        <v>96</v>
      </c>
    </row>
    <row r="6" spans="1:7">
      <c r="A6" s="5" t="s">
        <v>97</v>
      </c>
      <c r="B6" s="5" t="s">
        <v>17</v>
      </c>
      <c r="C6" s="7">
        <v>120</v>
      </c>
      <c r="D6" s="7">
        <v>115</v>
      </c>
      <c r="E6" s="7">
        <v>118</v>
      </c>
      <c r="F6" s="8">
        <f>IF(C6=0,"",E6/C6)</f>
        <v>0</v>
      </c>
      <c r="G6" s="5" t="s">
        <v>98</v>
      </c>
    </row>
    <row r="7" spans="1:7">
      <c r="A7" s="5" t="s">
        <v>97</v>
      </c>
      <c r="B7" s="5" t="s">
        <v>26</v>
      </c>
      <c r="C7" s="7">
        <v>120</v>
      </c>
      <c r="D7" s="7">
        <v>105</v>
      </c>
      <c r="E7" s="7">
        <v>98</v>
      </c>
      <c r="F7" s="8">
        <f>IF(C7=0,"",E7/C7)</f>
        <v>0</v>
      </c>
      <c r="G7" s="5" t="s">
        <v>99</v>
      </c>
    </row>
    <row r="8" spans="1:7">
      <c r="A8" s="5" t="s">
        <v>97</v>
      </c>
      <c r="B8" s="5" t="s">
        <v>32</v>
      </c>
      <c r="C8" s="7">
        <v>120</v>
      </c>
      <c r="D8" s="7">
        <v>90</v>
      </c>
      <c r="E8" s="7">
        <v>92</v>
      </c>
      <c r="F8" s="8">
        <f>IF(C8=0,"",E8/C8)</f>
        <v>0</v>
      </c>
      <c r="G8" s="5" t="s">
        <v>100</v>
      </c>
    </row>
    <row r="9" spans="1:7">
      <c r="A9" s="5" t="s">
        <v>101</v>
      </c>
      <c r="B9" s="5" t="s">
        <v>17</v>
      </c>
      <c r="C9" s="7">
        <v>120</v>
      </c>
      <c r="D9" s="7">
        <v>122</v>
      </c>
      <c r="E9" s="7">
        <v>121</v>
      </c>
      <c r="F9" s="8">
        <f>IF(C9=0,"",E9/C9)</f>
        <v>0</v>
      </c>
      <c r="G9" s="5" t="s">
        <v>102</v>
      </c>
    </row>
    <row r="10" spans="1:7">
      <c r="A10" s="5" t="s">
        <v>101</v>
      </c>
      <c r="B10" s="5" t="s">
        <v>26</v>
      </c>
      <c r="C10" s="7">
        <v>120</v>
      </c>
      <c r="D10" s="7">
        <v>110</v>
      </c>
      <c r="E10" s="7">
        <v>108</v>
      </c>
      <c r="F10" s="8">
        <f>IF(C10=0,"",E10/C10)</f>
        <v>0</v>
      </c>
      <c r="G10" s="5" t="s">
        <v>103</v>
      </c>
    </row>
    <row r="11" spans="1:7">
      <c r="A11" s="5" t="s">
        <v>101</v>
      </c>
      <c r="B11" s="5" t="s">
        <v>32</v>
      </c>
      <c r="C11" s="7">
        <v>120</v>
      </c>
      <c r="D11" s="7">
        <v>88</v>
      </c>
      <c r="E11" s="7">
        <v>85</v>
      </c>
      <c r="F11" s="8">
        <f>IF(C11=0,"",E11/C11)</f>
        <v>0</v>
      </c>
      <c r="G11" s="5" t="s">
        <v>104</v>
      </c>
    </row>
  </sheetData>
  <mergeCells count="3">
    <mergeCell ref="A1:G1"/>
    <mergeCell ref="A2:G2"/>
    <mergeCell ref="A4:G4"/>
  </mergeCells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>
  <dimension ref="A1:I17"/>
  <sheetViews>
    <sheetView workbookViewId="0">
      <pane ySplit="5" topLeftCell="A6" activePane="bottomLeft" state="frozen"/>
      <selection pane="bottomLeft"/>
    </sheetView>
  </sheetViews>
  <sheetFormatPr defaultRowHeight="15"/>
  <cols>
    <col min="1" max="1" width="11.7109375" customWidth="1"/>
    <col min="2" max="3" width="14.7109375" customWidth="1"/>
    <col min="4" max="6" width="18.7109375" customWidth="1"/>
    <col min="7" max="7" width="30.7109375" customWidth="1"/>
    <col min="8" max="9" width="18.7109375" customWidth="1"/>
  </cols>
  <sheetData>
    <row r="1" spans="1:9">
      <c r="A1" s="1" t="s">
        <v>105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106</v>
      </c>
      <c r="B2" s="2"/>
      <c r="C2" s="2"/>
      <c r="D2" s="2"/>
      <c r="E2" s="2"/>
      <c r="F2" s="2"/>
      <c r="G2" s="2"/>
      <c r="H2" s="2"/>
      <c r="I2" s="2"/>
    </row>
    <row r="4" spans="1:9">
      <c r="A4" s="3" t="s">
        <v>107</v>
      </c>
      <c r="B4" s="3"/>
      <c r="C4" s="3"/>
      <c r="D4" s="3"/>
      <c r="E4" s="3"/>
      <c r="F4" s="3"/>
      <c r="G4" s="3"/>
      <c r="H4" s="3"/>
      <c r="I4" s="3"/>
    </row>
    <row r="5" spans="1:9">
      <c r="A5" t="s">
        <v>3</v>
      </c>
      <c r="B5" t="s">
        <v>4</v>
      </c>
      <c r="C5" t="s">
        <v>5</v>
      </c>
      <c r="D5" t="s">
        <v>108</v>
      </c>
      <c r="E5" t="s">
        <v>109</v>
      </c>
      <c r="F5" t="s">
        <v>110</v>
      </c>
      <c r="G5" t="s">
        <v>111</v>
      </c>
      <c r="H5" t="s">
        <v>112</v>
      </c>
      <c r="I5" t="s">
        <v>113</v>
      </c>
    </row>
    <row r="6" spans="1:9">
      <c r="A6" s="4">
        <v>45537</v>
      </c>
      <c r="B6" s="5" t="s">
        <v>16</v>
      </c>
      <c r="C6" s="5" t="s">
        <v>17</v>
      </c>
      <c r="D6" s="7">
        <v>4</v>
      </c>
      <c r="E6" s="7">
        <v>3</v>
      </c>
      <c r="F6" s="7">
        <v>4</v>
      </c>
      <c r="G6" s="5" t="s">
        <v>114</v>
      </c>
      <c r="H6" s="5" t="s">
        <v>115</v>
      </c>
      <c r="I6" s="5" t="s">
        <v>116</v>
      </c>
    </row>
    <row r="7" spans="1:9">
      <c r="A7" s="4">
        <v>45537</v>
      </c>
      <c r="B7" s="5" t="s">
        <v>22</v>
      </c>
      <c r="C7" s="5" t="s">
        <v>17</v>
      </c>
      <c r="D7" s="7">
        <v>3</v>
      </c>
      <c r="E7" s="7">
        <v>4</v>
      </c>
      <c r="F7" s="7">
        <v>3</v>
      </c>
      <c r="G7" s="5" t="s">
        <v>117</v>
      </c>
      <c r="H7" s="5" t="s">
        <v>118</v>
      </c>
      <c r="I7" s="5" t="s">
        <v>119</v>
      </c>
    </row>
    <row r="8" spans="1:9">
      <c r="A8" s="4">
        <v>45538</v>
      </c>
      <c r="B8" s="5" t="s">
        <v>16</v>
      </c>
      <c r="C8" s="5" t="s">
        <v>26</v>
      </c>
      <c r="D8" s="7">
        <v>2</v>
      </c>
      <c r="E8" s="7">
        <v>5</v>
      </c>
      <c r="F8" s="7">
        <v>3</v>
      </c>
      <c r="G8" s="5" t="s">
        <v>120</v>
      </c>
      <c r="H8" s="5" t="s">
        <v>118</v>
      </c>
      <c r="I8" s="5" t="s">
        <v>121</v>
      </c>
    </row>
    <row r="9" spans="1:9">
      <c r="A9" s="4">
        <v>45538</v>
      </c>
      <c r="B9" s="5" t="s">
        <v>31</v>
      </c>
      <c r="C9" s="5" t="s">
        <v>32</v>
      </c>
      <c r="D9" s="7">
        <v>4</v>
      </c>
      <c r="E9" s="7">
        <v>3</v>
      </c>
      <c r="F9" s="7">
        <v>5</v>
      </c>
      <c r="G9" s="5" t="s">
        <v>122</v>
      </c>
      <c r="H9" s="5" t="s">
        <v>123</v>
      </c>
      <c r="I9" s="5" t="s">
        <v>124</v>
      </c>
    </row>
    <row r="10" spans="1:9">
      <c r="A10" s="4">
        <v>45539</v>
      </c>
      <c r="B10" s="5" t="s">
        <v>22</v>
      </c>
      <c r="C10" s="5" t="s">
        <v>26</v>
      </c>
      <c r="D10" s="7">
        <v>3</v>
      </c>
      <c r="E10" s="7">
        <v>4</v>
      </c>
      <c r="F10" s="7">
        <v>3</v>
      </c>
      <c r="G10" s="5" t="s">
        <v>125</v>
      </c>
      <c r="H10" s="5" t="s">
        <v>115</v>
      </c>
      <c r="I10" s="5" t="s">
        <v>126</v>
      </c>
    </row>
    <row r="11" spans="1:9">
      <c r="A11" s="4">
        <v>45540</v>
      </c>
      <c r="B11" s="5" t="s">
        <v>31</v>
      </c>
      <c r="C11" s="5" t="s">
        <v>32</v>
      </c>
      <c r="D11" s="7">
        <v>5</v>
      </c>
      <c r="E11" s="7">
        <v>3</v>
      </c>
      <c r="F11" s="7">
        <v>5</v>
      </c>
      <c r="G11" s="5" t="s">
        <v>127</v>
      </c>
      <c r="H11" s="5" t="s">
        <v>123</v>
      </c>
      <c r="I11" s="5" t="s">
        <v>128</v>
      </c>
    </row>
    <row r="14" spans="1:9">
      <c r="A14" s="9" t="s">
        <v>112</v>
      </c>
      <c r="B14" s="9" t="s">
        <v>129</v>
      </c>
    </row>
    <row r="15" spans="1:9">
      <c r="A15" s="5" t="s">
        <v>118</v>
      </c>
      <c r="B15" s="6">
        <f>COUNTIF(Esprit_Atelier!$H$6:$H$11,"À traiter")</f>
        <v>0</v>
      </c>
    </row>
    <row r="16" spans="1:9">
      <c r="A16" s="5" t="s">
        <v>115</v>
      </c>
      <c r="B16" s="6">
        <f>COUNTIF(Esprit_Atelier!$H$6:$H$11,"En cours")</f>
        <v>0</v>
      </c>
    </row>
    <row r="17" spans="1:2">
      <c r="A17" s="5" t="s">
        <v>123</v>
      </c>
      <c r="B17" s="6">
        <f>COUNTIF(Esprit_Atelier!$H$6:$H$11,"Implémentée")</f>
        <v>0</v>
      </c>
    </row>
  </sheetData>
  <mergeCells count="3">
    <mergeCell ref="A1:I1"/>
    <mergeCell ref="A2:I2"/>
    <mergeCell ref="A4:I4"/>
  </mergeCells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>
  <dimension ref="A1:M38"/>
  <sheetViews>
    <sheetView workbookViewId="0"/>
  </sheetViews>
  <sheetFormatPr defaultRowHeight="15"/>
  <cols>
    <col min="1" max="13" width="24.7109375" customWidth="1"/>
  </cols>
  <sheetData>
    <row r="1" spans="1:13" ht="30" customHeight="1">
      <c r="A1" s="1" t="s">
        <v>130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>
      <c r="A2" s="2" t="s">
        <v>131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4" spans="1:13">
      <c r="A4" s="3" t="s">
        <v>132</v>
      </c>
      <c r="B4" s="3"/>
      <c r="C4" s="9" t="s">
        <v>133</v>
      </c>
      <c r="D4" s="6">
        <v>2025</v>
      </c>
    </row>
    <row r="5" spans="1:13">
      <c r="I5" s="3" t="s">
        <v>154</v>
      </c>
      <c r="J5" s="9" t="s">
        <v>155</v>
      </c>
      <c r="K5" s="9" t="s">
        <v>156</v>
      </c>
      <c r="L5" s="9" t="s">
        <v>157</v>
      </c>
    </row>
    <row r="6" spans="1:13">
      <c r="A6" s="3" t="s">
        <v>134</v>
      </c>
      <c r="B6" s="3"/>
      <c r="E6" s="3" t="s">
        <v>139</v>
      </c>
      <c r="F6" s="3"/>
      <c r="I6" s="9" t="s">
        <v>150</v>
      </c>
      <c r="J6" s="8">
        <f>C10</f>
        <v>0</v>
      </c>
      <c r="K6" s="8">
        <f>1-J6</f>
        <v>0</v>
      </c>
      <c r="L6" s="8">
        <v>1</v>
      </c>
    </row>
    <row r="7" spans="1:13">
      <c r="A7" s="10" t="s">
        <v>135</v>
      </c>
      <c r="C7" s="11">
        <f>IF((SUM(Ordres_Prod!$J$6:$J$13)+SUM(Ordres_Prod!$K$6:$K$13))=0,0,1-SUM(Ordres_Prod!$K$6:$K$13)/(SUM(Ordres_Prod!$J$6:$J$13)+SUM(Ordres_Prod!$K$6:$K$13)))</f>
        <v>0</v>
      </c>
      <c r="E7" s="10" t="s">
        <v>140</v>
      </c>
      <c r="G7" s="11">
        <f>IF(COUNTA(Ordres_Prod!$L$6:$L$13)=0,0,SUM(Ordres_Prod!$L$6:$L$13)/COUNTA(Ordres_Prod!$L$6:$L$13))</f>
        <v>0</v>
      </c>
      <c r="I7" s="9" t="s">
        <v>14</v>
      </c>
      <c r="J7" s="8">
        <f>G7</f>
        <v>0</v>
      </c>
      <c r="K7" s="8">
        <f>1-J7</f>
        <v>0</v>
      </c>
      <c r="L7" s="8">
        <v>1</v>
      </c>
    </row>
    <row r="8" spans="1:13">
      <c r="A8" s="10" t="s">
        <v>136</v>
      </c>
      <c r="C8" s="11">
        <f>IF(SUM(Ordres_Prod!$G$6:$G$13)=0,0,MIN(1,SUM(Ordres_Prod!$H$6:$H$13)/SUM(Ordres_Prod!$G$6:$G$13)))</f>
        <v>0</v>
      </c>
      <c r="E8" s="10" t="s">
        <v>141</v>
      </c>
      <c r="G8" s="11">
        <f>IF(SUM(Ordres_Prod!$H$6:$H$13)=0,0,SUM(Ordres_Prod!$I$6:$I$13)/SUM(Ordres_Prod!$H$6:$H$13))</f>
        <v>0</v>
      </c>
      <c r="I8" s="9" t="s">
        <v>11</v>
      </c>
      <c r="J8" s="8">
        <f>G8</f>
        <v>0</v>
      </c>
      <c r="K8" s="8">
        <f>1-J8</f>
        <v>0</v>
      </c>
      <c r="L8" s="8">
        <v>1</v>
      </c>
    </row>
    <row r="9" spans="1:13">
      <c r="A9" s="10" t="s">
        <v>137</v>
      </c>
      <c r="C9" s="11">
        <f>IF(SUM(Ordres_Prod!$H$6:$H$13)=0,0,(SUM(Ordres_Prod!$H$6:$H$13)-SUM(Ordres_Prod!$I$6:$I$13))/SUM(Ordres_Prod!$H$6:$H$13))</f>
        <v>0</v>
      </c>
      <c r="E9" s="10" t="s">
        <v>142</v>
      </c>
      <c r="G9" s="11">
        <f>IF(SUM(Charge_Capacite!$C$6:$C$11)=0,0,SUM(Charge_Capacite!$E$6:$E$11)/SUM(Charge_Capacite!$C$6:$C$11))</f>
        <v>0</v>
      </c>
    </row>
    <row r="10" spans="1:13">
      <c r="A10" s="10" t="s">
        <v>138</v>
      </c>
      <c r="C10" s="11">
        <f>C7*C8*C9</f>
        <v>0</v>
      </c>
    </row>
    <row r="12" spans="1:13">
      <c r="A12" s="3" t="s">
        <v>143</v>
      </c>
      <c r="B12" s="3"/>
      <c r="E12" s="3" t="s">
        <v>146</v>
      </c>
      <c r="F12" s="3"/>
      <c r="G12" s="3"/>
      <c r="H12" s="3"/>
    </row>
    <row r="13" spans="1:13">
      <c r="A13" s="10" t="s">
        <v>144</v>
      </c>
      <c r="C13" s="12">
        <f>SUM(Ordres_Prod!$K$6:$K$13)</f>
        <v>0</v>
      </c>
      <c r="E13" s="10" t="s">
        <v>147</v>
      </c>
      <c r="H13" s="13">
        <f>IF(COUNTA(Esprit_Atelier!$D$6:$D$11)=0,0,AVERAGE(Esprit_Atelier!$D$6:$D$11))</f>
        <v>0</v>
      </c>
    </row>
    <row r="14" spans="1:13">
      <c r="A14" s="10" t="s">
        <v>145</v>
      </c>
      <c r="C14" s="12">
        <f>SUM(Ordres_Prod!$J$6:$J$13)</f>
        <v>0</v>
      </c>
      <c r="E14" s="10" t="s">
        <v>148</v>
      </c>
      <c r="H14" s="12">
        <f>COUNTA(Esprit_Atelier!$G$6:$G$11)</f>
        <v>0</v>
      </c>
    </row>
    <row r="15" spans="1:13">
      <c r="E15" s="10" t="s">
        <v>149</v>
      </c>
      <c r="H15" s="11">
        <f>IF(COUNTA(Esprit_Atelier!$H$6:$H$11)=0,0,COUNTIF(Esprit_Atelier!$H$6:$H$11,"Implémentée")/COUNTA(Esprit_Atelier!$H$6:$H$11))</f>
        <v>0</v>
      </c>
    </row>
    <row r="18" spans="1:10">
      <c r="A18" s="14" t="s">
        <v>150</v>
      </c>
      <c r="B18" s="14"/>
      <c r="C18" s="15" t="s">
        <v>14</v>
      </c>
      <c r="D18" s="15"/>
      <c r="E18" s="16" t="s">
        <v>151</v>
      </c>
      <c r="F18" s="16"/>
      <c r="G18" s="15" t="s">
        <v>152</v>
      </c>
      <c r="H18" s="15"/>
      <c r="I18" s="14" t="s">
        <v>153</v>
      </c>
      <c r="J18" s="14"/>
    </row>
    <row r="19" spans="1:10">
      <c r="A19" s="11">
        <f>C10</f>
        <v>0</v>
      </c>
      <c r="B19" s="14"/>
      <c r="C19" s="11">
        <f>G7</f>
        <v>0</v>
      </c>
      <c r="D19" s="15"/>
      <c r="E19" s="11">
        <f>G8</f>
        <v>0</v>
      </c>
      <c r="F19" s="16"/>
      <c r="G19" s="11">
        <f>G9</f>
        <v>0</v>
      </c>
      <c r="H19" s="15"/>
      <c r="I19" s="11">
        <f>C7</f>
        <v>0</v>
      </c>
      <c r="J19" s="14"/>
    </row>
    <row r="32" spans="1:10">
      <c r="A32" s="9" t="s">
        <v>5</v>
      </c>
      <c r="B32" s="9" t="s">
        <v>158</v>
      </c>
      <c r="E32" s="9" t="s">
        <v>51</v>
      </c>
      <c r="F32" s="9" t="s">
        <v>159</v>
      </c>
    </row>
    <row r="34" spans="1:6">
      <c r="A34" s="5" t="s">
        <v>17</v>
      </c>
      <c r="B34" s="8">
        <f>IF(SUMIFS(Ordres_Prod!$G$6:$G$13,Ordres_Prod!$C$6:$C$13,A33)=0,0,(SUMIFS(Ordres_Prod!$H$6:$H$13,Ordres_Prod!$C$6:$C$13,A33)-SUMIFS(Ordres_Prod!$I$6:$I$13,Ordres_Prod!$C$6:$C$13,A33))/SUMIFS(Ordres_Prod!$G$6:$G$13,Ordres_Prod!$C$6:$C$13,A33))</f>
        <v>0</v>
      </c>
      <c r="E34" s="5" t="s">
        <v>55</v>
      </c>
      <c r="F34" s="7">
        <f>SUMIFS(Arrets_Equip!$E$6:$E$11,Arrets_Equip!$D$6:$D$11,E33)</f>
        <v>0</v>
      </c>
    </row>
    <row r="35" spans="1:6">
      <c r="A35" s="5" t="s">
        <v>26</v>
      </c>
      <c r="B35" s="8">
        <f>IF(SUMIFS(Ordres_Prod!$G$6:$G$13,Ordres_Prod!$C$6:$C$13,A34)=0,0,(SUMIFS(Ordres_Prod!$H$6:$H$13,Ordres_Prod!$C$6:$C$13,A34)-SUMIFS(Ordres_Prod!$I$6:$I$13,Ordres_Prod!$C$6:$C$13,A34))/SUMIFS(Ordres_Prod!$G$6:$G$13,Ordres_Prod!$C$6:$C$13,A34))</f>
        <v>0</v>
      </c>
      <c r="E35" s="5" t="s">
        <v>59</v>
      </c>
      <c r="F35" s="7">
        <f>SUMIFS(Arrets_Equip!$E$6:$E$11,Arrets_Equip!$D$6:$D$11,E34)</f>
        <v>0</v>
      </c>
    </row>
    <row r="36" spans="1:6">
      <c r="A36" s="5" t="s">
        <v>32</v>
      </c>
      <c r="B36" s="8">
        <f>IF(SUMIFS(Ordres_Prod!$G$6:$G$13,Ordres_Prod!$C$6:$C$13,A35)=0,0,(SUMIFS(Ordres_Prod!$H$6:$H$13,Ordres_Prod!$C$6:$C$13,A35)-SUMIFS(Ordres_Prod!$I$6:$I$13,Ordres_Prod!$C$6:$C$13,A35))/SUMIFS(Ordres_Prod!$G$6:$G$13,Ordres_Prod!$C$6:$C$13,A35))</f>
        <v>0</v>
      </c>
      <c r="E36" s="5" t="s">
        <v>63</v>
      </c>
      <c r="F36" s="7">
        <f>SUMIFS(Arrets_Equip!$E$6:$E$11,Arrets_Equip!$D$6:$D$11,E35)</f>
        <v>0</v>
      </c>
    </row>
    <row r="37" spans="1:6">
      <c r="E37" s="5" t="s">
        <v>67</v>
      </c>
      <c r="F37" s="7">
        <f>SUMIFS(Arrets_Equip!$E$6:$E$11,Arrets_Equip!$D$6:$D$11,E36)</f>
        <v>0</v>
      </c>
    </row>
    <row r="38" spans="1:6">
      <c r="E38" s="5" t="s">
        <v>71</v>
      </c>
      <c r="F38" s="7">
        <f>SUMIFS(Arrets_Equip!$E$6:$E$11,Arrets_Equip!$D$6:$D$11,E37)</f>
        <v>0</v>
      </c>
    </row>
  </sheetData>
  <mergeCells count="17">
    <mergeCell ref="A1:M1"/>
    <mergeCell ref="A2:M2"/>
    <mergeCell ref="A4:B4"/>
    <mergeCell ref="A6:B6"/>
    <mergeCell ref="E6:F6"/>
    <mergeCell ref="A12:B12"/>
    <mergeCell ref="E12:H12"/>
    <mergeCell ref="A18:B18"/>
    <mergeCell ref="A19:B19"/>
    <mergeCell ref="C18:D18"/>
    <mergeCell ref="C19:D19"/>
    <mergeCell ref="E18:F18"/>
    <mergeCell ref="E19:F19"/>
    <mergeCell ref="G18:H18"/>
    <mergeCell ref="G19:H19"/>
    <mergeCell ref="I18:J18"/>
    <mergeCell ref="I19:J19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24"/>
  <sheetViews>
    <sheetView workbookViewId="0"/>
  </sheetViews>
  <sheetFormatPr defaultRowHeight="15"/>
  <cols>
    <col min="1" max="6" width="24.7109375" customWidth="1"/>
  </cols>
  <sheetData>
    <row r="1" spans="1:6" ht="30" customHeight="1">
      <c r="A1" s="1" t="s">
        <v>160</v>
      </c>
      <c r="B1" s="1"/>
      <c r="C1" s="1"/>
      <c r="D1" s="1"/>
      <c r="E1" s="1"/>
      <c r="F1" s="1"/>
    </row>
    <row r="2" spans="1:6">
      <c r="A2" s="2" t="s">
        <v>161</v>
      </c>
      <c r="B2" s="2"/>
      <c r="C2" s="2"/>
      <c r="D2" s="2"/>
      <c r="E2" s="2"/>
      <c r="F2" s="2"/>
    </row>
    <row r="4" spans="1:6">
      <c r="A4" s="10" t="s">
        <v>162</v>
      </c>
      <c r="B4" s="6">
        <f>Dashboard_Usine!D4</f>
        <v>0</v>
      </c>
      <c r="C4" s="5"/>
      <c r="D4" s="5"/>
      <c r="E4" s="5"/>
      <c r="F4" s="5"/>
    </row>
    <row r="6" spans="1:6">
      <c r="A6" s="3" t="s">
        <v>163</v>
      </c>
      <c r="B6" s="3"/>
      <c r="C6" s="3"/>
      <c r="D6" s="3"/>
      <c r="E6" s="3"/>
      <c r="F6" s="3"/>
    </row>
    <row r="7" spans="1:6">
      <c r="E7" s="5">
        <f>IF(Dashboard_Usine!C10&lt;0.6,"TRS global en deçà des standards : analyser les contributeurs principaux aux pertes.","TRS global satisfaisant au regard des objectifs atelier.")</f>
        <v>0</v>
      </c>
    </row>
    <row r="8" spans="1:6">
      <c r="A8" s="10" t="s">
        <v>138</v>
      </c>
      <c r="C8" s="11">
        <f>Dashboard_Usine!C10</f>
        <v>0</v>
      </c>
      <c r="E8" s="5">
        <f>IF(Dashboard_Usine!C7&lt;0.85,"Disponibilité fragile : poids important des arrêts non planifiés.","Disponibilité globalement maîtrisée.")</f>
        <v>0</v>
      </c>
    </row>
    <row r="9" spans="1:6">
      <c r="A9" s="10" t="s">
        <v>135</v>
      </c>
      <c r="C9" s="11">
        <f>Dashboard_Usine!C7</f>
        <v>0</v>
      </c>
      <c r="E9" s="5" t="s">
        <v>165</v>
      </c>
    </row>
    <row r="10" spans="1:6">
      <c r="A10" s="10" t="s">
        <v>136</v>
      </c>
      <c r="C10" s="11">
        <f>Dashboard_Usine!C8</f>
        <v>0</v>
      </c>
      <c r="E10" s="5">
        <f>IF(Dashboard_Usine!C9&lt;0.97,"Niveau de qualité à consolider : rebuts ou reprises significatifs.","Qualité maîtrisée, rebuts limités.")</f>
        <v>0</v>
      </c>
    </row>
    <row r="11" spans="1:6">
      <c r="A11" s="10" t="s">
        <v>137</v>
      </c>
      <c r="C11" s="11">
        <f>Dashboard_Usine!C9</f>
        <v>0</v>
      </c>
      <c r="E11" s="5">
        <f>IF(Dashboard_Usine!G7&lt;0.95,"Taux de service OTIF insuffisant : fiabilité de la promesse client à renforcer.","Service client globalement au rendez-vous.")</f>
        <v>0</v>
      </c>
    </row>
    <row r="12" spans="1:6">
      <c r="A12" s="10" t="s">
        <v>140</v>
      </c>
      <c r="C12" s="11">
        <f>Dashboard_Usine!G7</f>
        <v>0</v>
      </c>
      <c r="E12" s="5">
        <f>IF(Dashboard_Usine!G8&gt;0.03,"Rebuts non négligeables : intérêt d'un plan de progrès qualité.","Niveau de rebuts compatible avec les objectifs de performance.")</f>
        <v>0</v>
      </c>
    </row>
    <row r="13" spans="1:6">
      <c r="A13" s="10" t="s">
        <v>141</v>
      </c>
      <c r="C13" s="11">
        <f>Dashboard_Usine!G8</f>
        <v>0</v>
      </c>
      <c r="E13" s="5">
        <f>IF(Dashboard_Usine!G9&gt;0.9,"Capacité proche saturation : sécuriser les goulots.","Marge de capacité disponible pour absorber des pics ou tester de nouveaux produits.")</f>
        <v>0</v>
      </c>
    </row>
    <row r="14" spans="1:6">
      <c r="A14" s="10" t="s">
        <v>142</v>
      </c>
      <c r="C14" s="11">
        <f>Dashboard_Usine!G9</f>
        <v>0</v>
      </c>
      <c r="E14" s="5" t="s">
        <v>166</v>
      </c>
    </row>
    <row r="15" spans="1:6">
      <c r="A15" s="10" t="s">
        <v>144</v>
      </c>
      <c r="C15" s="12">
        <f>Dashboard_Usine!C13</f>
        <v>0</v>
      </c>
      <c r="E15" s="5">
        <f>IF(Dashboard_Usine!H13&lt;3,"Humeur moyenne à surveiller : creuser les irritants quotidiens ressentis par les équipes.","Humeur globale satisfaisante, poursuivre le dialogue terrain.")</f>
        <v>0</v>
      </c>
    </row>
    <row r="16" spans="1:6">
      <c r="A16" s="10" t="s">
        <v>145</v>
      </c>
      <c r="C16" s="12">
        <f>Dashboard_Usine!C14</f>
        <v>0</v>
      </c>
      <c r="E16" s="5">
        <f>IF(Dashboard_Usine!H15&lt;0.4,"Beaucoup d'idées encore au stade d'intention : accélérer le passage à l'action.","Une part significative des idées est mise en œuvre : entretenir cette dynamique.")</f>
        <v>0</v>
      </c>
    </row>
    <row r="17" spans="1:6">
      <c r="A17" s="10" t="s">
        <v>147</v>
      </c>
      <c r="C17" s="13">
        <f>Dashboard_Usine!H13</f>
        <v>0</v>
      </c>
      <c r="E17" s="5" t="s">
        <v>167</v>
      </c>
    </row>
    <row r="18" spans="1:6">
      <c r="A18" s="10" t="s">
        <v>164</v>
      </c>
      <c r="C18" s="12">
        <f>Dashboard_Usine!H14</f>
        <v>0</v>
      </c>
    </row>
    <row r="19" spans="1:6">
      <c r="A19" s="10" t="s">
        <v>149</v>
      </c>
      <c r="C19" s="11">
        <f>Dashboard_Usine!H15</f>
        <v>0</v>
      </c>
    </row>
    <row r="20" spans="1:6">
      <c r="A20" s="2" t="s">
        <v>168</v>
      </c>
      <c r="B20" s="2"/>
      <c r="C20" s="2"/>
      <c r="D20" s="2"/>
      <c r="E20" s="2"/>
      <c r="F20" s="2"/>
    </row>
    <row r="21" spans="1:6">
      <c r="A21" s="2"/>
      <c r="B21" s="2"/>
      <c r="C21" s="2"/>
      <c r="D21" s="2"/>
      <c r="E21" s="2"/>
      <c r="F21" s="2"/>
    </row>
    <row r="22" spans="1:6">
      <c r="A22" s="2"/>
      <c r="B22" s="2"/>
      <c r="C22" s="2"/>
      <c r="D22" s="2"/>
      <c r="E22" s="2"/>
      <c r="F22" s="2"/>
    </row>
    <row r="23" spans="1:6">
      <c r="A23" s="2"/>
      <c r="B23" s="2"/>
      <c r="C23" s="2"/>
      <c r="D23" s="2"/>
      <c r="E23" s="2"/>
      <c r="F23" s="2"/>
    </row>
    <row r="24" spans="1:6">
      <c r="A24" s="2"/>
      <c r="B24" s="2"/>
      <c r="C24" s="2"/>
      <c r="D24" s="2"/>
      <c r="E24" s="2"/>
      <c r="F24" s="2"/>
    </row>
  </sheetData>
  <mergeCells count="5">
    <mergeCell ref="A1:F1"/>
    <mergeCell ref="A2:F2"/>
    <mergeCell ref="C4:F4"/>
    <mergeCell ref="A6:F6"/>
    <mergeCell ref="A20:F24"/>
  </mergeCells>
  <pageMargins left="0.5" right="0.5" top="0.7" bottom="0.7" header="0.3" footer="0.3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J17"/>
  <sheetViews>
    <sheetView workbookViewId="0"/>
  </sheetViews>
  <sheetFormatPr defaultRowHeight="15"/>
  <cols>
    <col min="1" max="1" width="30.7109375" customWidth="1"/>
    <col min="2" max="2" width="12.7109375" customWidth="1"/>
    <col min="3" max="3" width="60.7109375" customWidth="1"/>
    <col min="4" max="10" width="16.7109375" customWidth="1"/>
  </cols>
  <sheetData>
    <row r="1" spans="1:10" ht="28" customHeight="1">
      <c r="A1" s="1" t="s">
        <v>169</v>
      </c>
      <c r="B1" s="1"/>
      <c r="C1" s="1"/>
      <c r="D1" s="1"/>
      <c r="E1" s="1"/>
      <c r="F1" s="1"/>
      <c r="G1" s="1"/>
      <c r="H1" s="1"/>
      <c r="I1" s="1"/>
      <c r="J1" s="1"/>
    </row>
    <row r="2" spans="1:10">
      <c r="A2" s="2" t="s">
        <v>170</v>
      </c>
      <c r="B2" s="2"/>
      <c r="C2" s="2"/>
      <c r="D2" s="2"/>
      <c r="E2" s="2"/>
      <c r="F2" s="2"/>
      <c r="G2" s="2"/>
      <c r="H2" s="2"/>
      <c r="I2" s="2"/>
      <c r="J2" s="2"/>
    </row>
    <row r="4" spans="1:10">
      <c r="A4" s="3" t="s">
        <v>163</v>
      </c>
      <c r="B4" s="3"/>
      <c r="C4" s="3"/>
    </row>
    <row r="5" spans="1:10">
      <c r="A5" s="9" t="s">
        <v>171</v>
      </c>
      <c r="B5" s="9" t="s">
        <v>155</v>
      </c>
      <c r="C5" s="9" t="s">
        <v>15</v>
      </c>
    </row>
    <row r="7" spans="1:10">
      <c r="A7" s="10" t="s">
        <v>138</v>
      </c>
      <c r="B7" s="11">
        <f>Dashboard_Usine!C10</f>
        <v>0</v>
      </c>
      <c r="C7" s="5">
        <f>Synthese_A4!E7</f>
        <v>0</v>
      </c>
    </row>
    <row r="8" spans="1:10">
      <c r="A8" s="10" t="s">
        <v>135</v>
      </c>
      <c r="B8" s="11">
        <f>Dashboard_Usine!C7</f>
        <v>0</v>
      </c>
      <c r="C8" s="5">
        <f>Synthese_A4!E8</f>
        <v>0</v>
      </c>
    </row>
    <row r="9" spans="1:10">
      <c r="A9" s="10" t="s">
        <v>136</v>
      </c>
      <c r="B9" s="11">
        <f>Dashboard_Usine!C8</f>
        <v>0</v>
      </c>
      <c r="C9" s="5">
        <f>Synthese_A4!E9</f>
        <v>0</v>
      </c>
    </row>
    <row r="10" spans="1:10">
      <c r="A10" s="10" t="s">
        <v>137</v>
      </c>
      <c r="B10" s="11">
        <f>Dashboard_Usine!C9</f>
        <v>0</v>
      </c>
      <c r="C10" s="5">
        <f>Synthese_A4!E10</f>
        <v>0</v>
      </c>
    </row>
    <row r="11" spans="1:10">
      <c r="A11" s="10" t="s">
        <v>140</v>
      </c>
      <c r="B11" s="11">
        <f>Dashboard_Usine!G7</f>
        <v>0</v>
      </c>
      <c r="C11" s="5">
        <f>Synthese_A4!E11</f>
        <v>0</v>
      </c>
    </row>
    <row r="12" spans="1:10">
      <c r="A12" s="10" t="s">
        <v>141</v>
      </c>
      <c r="B12" s="11">
        <f>Dashboard_Usine!G8</f>
        <v>0</v>
      </c>
      <c r="C12" s="5">
        <f>Synthese_A4!E12</f>
        <v>0</v>
      </c>
    </row>
    <row r="13" spans="1:10">
      <c r="A13" s="10" t="s">
        <v>142</v>
      </c>
      <c r="B13" s="11">
        <f>Dashboard_Usine!G9</f>
        <v>0</v>
      </c>
      <c r="C13" s="5">
        <f>Synthese_A4!E13</f>
        <v>0</v>
      </c>
    </row>
    <row r="14" spans="1:10">
      <c r="A14" s="10" t="s">
        <v>147</v>
      </c>
      <c r="B14" s="13">
        <f>Dashboard_Usine!H13</f>
        <v>0</v>
      </c>
      <c r="C14" s="5">
        <f>Synthese_A4!E15</f>
        <v>0</v>
      </c>
    </row>
    <row r="15" spans="1:10">
      <c r="A15" s="10" t="s">
        <v>149</v>
      </c>
      <c r="B15" s="11">
        <f>Dashboard_Usine!H15</f>
        <v>0</v>
      </c>
      <c r="C15" s="5">
        <f>Synthese_A4!E16</f>
        <v>0</v>
      </c>
    </row>
    <row r="16" spans="1:10">
      <c r="A16" s="14" t="s">
        <v>150</v>
      </c>
      <c r="B16" s="14"/>
      <c r="C16" s="15" t="s">
        <v>14</v>
      </c>
      <c r="D16" s="15"/>
      <c r="E16" s="16" t="s">
        <v>151</v>
      </c>
      <c r="F16" s="16"/>
      <c r="G16" s="15" t="s">
        <v>152</v>
      </c>
      <c r="H16" s="15"/>
    </row>
    <row r="17" spans="1:8">
      <c r="A17" s="11">
        <f>Dashboard_Usine!C10</f>
        <v>0</v>
      </c>
      <c r="B17" s="14"/>
      <c r="C17" s="11">
        <f>Dashboard_Usine!G7</f>
        <v>0</v>
      </c>
      <c r="D17" s="15"/>
      <c r="E17" s="11">
        <f>Dashboard_Usine!G8</f>
        <v>0</v>
      </c>
      <c r="F17" s="16"/>
      <c r="G17" s="11">
        <f>Dashboard_Usine!G9</f>
        <v>0</v>
      </c>
      <c r="H17" s="15"/>
    </row>
  </sheetData>
  <mergeCells count="11">
    <mergeCell ref="A1:J1"/>
    <mergeCell ref="A2:J2"/>
    <mergeCell ref="A4:C4"/>
    <mergeCell ref="A16:B16"/>
    <mergeCell ref="A17:B17"/>
    <mergeCell ref="C16:D16"/>
    <mergeCell ref="C17:D17"/>
    <mergeCell ref="E16:F16"/>
    <mergeCell ref="E17:F17"/>
    <mergeCell ref="G16:H16"/>
    <mergeCell ref="G17:H17"/>
  </mergeCells>
  <conditionalFormatting sqref="B7:B15">
    <cfRule type="colorScale" priority="1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</vt:i4>
      </vt:variant>
    </vt:vector>
  </HeadingPairs>
  <TitlesOfParts>
    <vt:vector size="9" baseType="lpstr">
      <vt:lpstr>Ordres_Prod</vt:lpstr>
      <vt:lpstr>Arrets_Equip</vt:lpstr>
      <vt:lpstr>Qualite_Defauts</vt:lpstr>
      <vt:lpstr>Charge_Capacite</vt:lpstr>
      <vt:lpstr>Esprit_Atelier</vt:lpstr>
      <vt:lpstr>Dashboard_Usine</vt:lpstr>
      <vt:lpstr>Synthese_A4</vt:lpstr>
      <vt:lpstr>Dashboard_Condense</vt:lpstr>
      <vt:lpstr>Synthese_A4!Print_Area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2025-11-25T16:05:24Z</dcterms:created>
  <dcterms:modified xsi:type="dcterms:W3CDTF">2025-11-25T16:05:24Z</dcterms:modified>
</cp:coreProperties>
</file>