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Effectifs_Mouvements" sheetId="1" r:id="rId1"/>
    <sheet name="Absences" sheetId="2" r:id="rId2"/>
    <sheet name="Formation" sheetId="3" r:id="rId3"/>
    <sheet name="Performance" sheetId="4" r:id="rId4"/>
    <sheet name="Remuneration" sheetId="5" r:id="rId5"/>
    <sheet name="Barometre_Social" sheetId="6" r:id="rId6"/>
    <sheet name="Dashboard_RH" sheetId="7" r:id="rId7"/>
    <sheet name="Synthese_A4" sheetId="8" r:id="rId8"/>
  </sheets>
  <definedNames>
    <definedName name="_xlnm.Print_Area" localSheetId="7">Synthese_A4!$A$1:$F$36</definedName>
  </definedNames>
  <calcPr calcId="124519" fullCalcOnLoad="1"/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<sst xmlns="http://schemas.openxmlformats.org/spreadsheetml/2006/main" count="381" uniqueCount="187">
  <si>
    <t>Effectifs et mouvements du personnel</t>
  </si>
  <si>
    <t>Vue détaillée des collaborateurs, des entrées, des sorties et de la structure des effectifs (FTE).</t>
  </si>
  <si>
    <t>Référentiel des effectifs</t>
  </si>
  <si>
    <t>Matricule</t>
  </si>
  <si>
    <t>Nom</t>
  </si>
  <si>
    <t>Prénom</t>
  </si>
  <si>
    <t>Sexe</t>
  </si>
  <si>
    <t>Age</t>
  </si>
  <si>
    <t>Catégorie</t>
  </si>
  <si>
    <t>Département</t>
  </si>
  <si>
    <t>Site</t>
  </si>
  <si>
    <t>Type_Contrat</t>
  </si>
  <si>
    <t>Date_Entrée</t>
  </si>
  <si>
    <t>Date_Sortie</t>
  </si>
  <si>
    <t>Motif_Sortie</t>
  </si>
  <si>
    <t>Statut_Actif</t>
  </si>
  <si>
    <t>FTE</t>
  </si>
  <si>
    <t>E001</t>
  </si>
  <si>
    <t>Martin</t>
  </si>
  <si>
    <t>Claire</t>
  </si>
  <si>
    <t>F</t>
  </si>
  <si>
    <t>Cadre</t>
  </si>
  <si>
    <t>RH</t>
  </si>
  <si>
    <t>Site A</t>
  </si>
  <si>
    <t>CDI</t>
  </si>
  <si>
    <t>Actif</t>
  </si>
  <si>
    <t>E002</t>
  </si>
  <si>
    <t>Dupont</t>
  </si>
  <si>
    <t>Youssef</t>
  </si>
  <si>
    <t>M</t>
  </si>
  <si>
    <t>Logistique</t>
  </si>
  <si>
    <t>E003</t>
  </si>
  <si>
    <t>Nguyen</t>
  </si>
  <si>
    <t>Lina</t>
  </si>
  <si>
    <t>Employé</t>
  </si>
  <si>
    <t>Service client</t>
  </si>
  <si>
    <t>Site B</t>
  </si>
  <si>
    <t>E004</t>
  </si>
  <si>
    <t>Moreau</t>
  </si>
  <si>
    <t>Karim</t>
  </si>
  <si>
    <t>Ouvrier</t>
  </si>
  <si>
    <t>Production</t>
  </si>
  <si>
    <t>CDD</t>
  </si>
  <si>
    <t>E005</t>
  </si>
  <si>
    <t>Petit</t>
  </si>
  <si>
    <t>Sarah</t>
  </si>
  <si>
    <t>Agent de maîtrise</t>
  </si>
  <si>
    <t>E006</t>
  </si>
  <si>
    <t>Silva</t>
  </si>
  <si>
    <t>Joao</t>
  </si>
  <si>
    <t>Finance</t>
  </si>
  <si>
    <t>Départ volontaire</t>
  </si>
  <si>
    <t>Inactif</t>
  </si>
  <si>
    <t>E007</t>
  </si>
  <si>
    <t>Bernard</t>
  </si>
  <si>
    <t>Emma</t>
  </si>
  <si>
    <t>Fin de CDD</t>
  </si>
  <si>
    <t>E008</t>
  </si>
  <si>
    <t>Diallo</t>
  </si>
  <si>
    <t>Amadou</t>
  </si>
  <si>
    <t>Site C</t>
  </si>
  <si>
    <t>Intérim</t>
  </si>
  <si>
    <t>Absences et présence</t>
  </si>
  <si>
    <t>Suivi des jours d'absence par type, par collaborateur et par période.</t>
  </si>
  <si>
    <t>Journal des absences</t>
  </si>
  <si>
    <t>Année</t>
  </si>
  <si>
    <t>Mois</t>
  </si>
  <si>
    <t>Type_Absence</t>
  </si>
  <si>
    <t>Jours_Absence</t>
  </si>
  <si>
    <t>Jours_Travailables</t>
  </si>
  <si>
    <t>Congés payés</t>
  </si>
  <si>
    <t>Maladie</t>
  </si>
  <si>
    <t>Accident de travail</t>
  </si>
  <si>
    <t>Sans solde</t>
  </si>
  <si>
    <t>Formations et développement des compétences</t>
  </si>
  <si>
    <t>Suivi des formations obligatoires et de développement par collaborateur.</t>
  </si>
  <si>
    <t>Journal des formations</t>
  </si>
  <si>
    <t>Type_Formation</t>
  </si>
  <si>
    <t>Intitulé_Formation</t>
  </si>
  <si>
    <t>Date_Formation</t>
  </si>
  <si>
    <t>Heures_Formation</t>
  </si>
  <si>
    <t>Statut_Formation</t>
  </si>
  <si>
    <t>Obligatoire</t>
  </si>
  <si>
    <t>Prévention des risques psychosociaux</t>
  </si>
  <si>
    <t>Réalisée</t>
  </si>
  <si>
    <t>Sécurité caristes</t>
  </si>
  <si>
    <t>Développement</t>
  </si>
  <si>
    <t>Gestion de la relation client</t>
  </si>
  <si>
    <t>Habilitation machine</t>
  </si>
  <si>
    <t>Planifiée</t>
  </si>
  <si>
    <t>Animation d'équipe</t>
  </si>
  <si>
    <t>Entretiens annuels et performance</t>
  </si>
  <si>
    <t>Synthèse des évaluations annuelles, des objectifs atteints et des plans de développement.</t>
  </si>
  <si>
    <t>Entretiens annuels</t>
  </si>
  <si>
    <t>Manager</t>
  </si>
  <si>
    <t>Score_Entretien</t>
  </si>
  <si>
    <t>Objectifs_Atteints_pct</t>
  </si>
  <si>
    <t>Potentiel</t>
  </si>
  <si>
    <t>Plan_Développement</t>
  </si>
  <si>
    <t>Mobilité_Souhaitée</t>
  </si>
  <si>
    <t>DRH</t>
  </si>
  <si>
    <t>Élevé</t>
  </si>
  <si>
    <t>Oui</t>
  </si>
  <si>
    <t>Resp. Logistique</t>
  </si>
  <si>
    <t>Moyen</t>
  </si>
  <si>
    <t>Non</t>
  </si>
  <si>
    <t>Resp. Service client</t>
  </si>
  <si>
    <t>Chef d'atelier</t>
  </si>
  <si>
    <t>Rémunération et masse salariale</t>
  </si>
  <si>
    <t>Vision consolidée des salaires, primes et masse salariale, avec un focus par département.</t>
  </si>
  <si>
    <t>Tableau rémunération par collaborateur</t>
  </si>
  <si>
    <t>Salaire_Base_Annuel</t>
  </si>
  <si>
    <t>Primes_Annuelles</t>
  </si>
  <si>
    <t>Variable_Annuel</t>
  </si>
  <si>
    <t>Masse_Salariale_Annuelle</t>
  </si>
  <si>
    <t>Anciennete_ans</t>
  </si>
  <si>
    <t>Ratio_vs_Moyenne_Departement</t>
  </si>
  <si>
    <t>Baromètre social – Engagement et climat</t>
  </si>
  <si>
    <t>Lecture par segment (site, catégorie, population) des scores d'engagement, de management et de qualité de vie au travail.</t>
  </si>
  <si>
    <t>Vue par segment RH</t>
  </si>
  <si>
    <t>Segment</t>
  </si>
  <si>
    <t>Score_Engagement</t>
  </si>
  <si>
    <t>Score_Management</t>
  </si>
  <si>
    <t>Score_QVT</t>
  </si>
  <si>
    <t>Taux_Absenteisme</t>
  </si>
  <si>
    <t>Turnover_volontaire</t>
  </si>
  <si>
    <t>Commentaire</t>
  </si>
  <si>
    <t>Site A – Fonctions support</t>
  </si>
  <si>
    <t>Bonne adhésion globale, attente forte sur la charge de travail.</t>
  </si>
  <si>
    <t>Site B – Production</t>
  </si>
  <si>
    <t>Engagement correct mais climat sous tension en période de pic.</t>
  </si>
  <si>
    <t>Site C – Production</t>
  </si>
  <si>
    <t>Très bon niveau de cohésion, turnover faible.</t>
  </si>
  <si>
    <t>Tableau de bord RH global – Vue détaillée</t>
  </si>
  <si>
    <t>Pilotage des effectifs, des mouvements, des absences, de la formation, de la performance, de la rémunération et du climat social.</t>
  </si>
  <si>
    <t>Période d'analyse RH</t>
  </si>
  <si>
    <t>Effectifs et structure</t>
  </si>
  <si>
    <t>Effectif total (FTE actifs)</t>
  </si>
  <si>
    <t>% CDI</t>
  </si>
  <si>
    <t>Ancienneté moyenne (ans)</t>
  </si>
  <si>
    <t>Mouvements et turnover</t>
  </si>
  <si>
    <t>Entrées sur l'année</t>
  </si>
  <si>
    <t>Sorties sur l'année</t>
  </si>
  <si>
    <t>Turnover global</t>
  </si>
  <si>
    <t>Turnover volontaire</t>
  </si>
  <si>
    <t>Absences</t>
  </si>
  <si>
    <t>Taux d'absentéisme global</t>
  </si>
  <si>
    <t>Jours d'absence moyen / collaborateur</t>
  </si>
  <si>
    <t>Formation et développement</t>
  </si>
  <si>
    <t>Total heures de formation</t>
  </si>
  <si>
    <t>Heures moyennes / collaborateur</t>
  </si>
  <si>
    <t>% collaborateurs formés</t>
  </si>
  <si>
    <t>% entretiens réalisés</t>
  </si>
  <si>
    <t>Score moyen d'entretien</t>
  </si>
  <si>
    <t>% collaborateurs avec plan de développement</t>
  </si>
  <si>
    <t>Rémunération</t>
  </si>
  <si>
    <t>Masse salariale annuelle</t>
  </si>
  <si>
    <t>Salaire moyen annuel</t>
  </si>
  <si>
    <t>Climat social – Baromètre</t>
  </si>
  <si>
    <t>Score engagement moyen</t>
  </si>
  <si>
    <t>Score QVT moyen</t>
  </si>
  <si>
    <t>Turnover volontaire moyen (segments)</t>
  </si>
  <si>
    <t>Effectif FTE</t>
  </si>
  <si>
    <t>Taux d'absentéisme</t>
  </si>
  <si>
    <t>Score engagement</t>
  </si>
  <si>
    <t>Heures de formation / collab.</t>
  </si>
  <si>
    <t>Données jauges</t>
  </si>
  <si>
    <t>Turnover</t>
  </si>
  <si>
    <t>Absenteisme</t>
  </si>
  <si>
    <t>Engagement</t>
  </si>
  <si>
    <t>Valeur</t>
  </si>
  <si>
    <t>Reste</t>
  </si>
  <si>
    <t>Masque</t>
  </si>
  <si>
    <t>Indicateur</t>
  </si>
  <si>
    <t>Absentéisme</t>
  </si>
  <si>
    <t>Heures formation / collab</t>
  </si>
  <si>
    <t>Type de contrat</t>
  </si>
  <si>
    <t>FTE actifs</t>
  </si>
  <si>
    <t>Synthèse – Tableau de bord RH global</t>
  </si>
  <si>
    <t>Vue condensée de la structure des effectifs, des mouvements, des absences, de la formation, des entretiens, de la rémunération et du climat social.</t>
  </si>
  <si>
    <t>Année de référence :</t>
  </si>
  <si>
    <t>Indicateurs clés RH</t>
  </si>
  <si>
    <t>Heures de formation / collaborateur</t>
  </si>
  <si>
    <t>Nombre de FTE actuellement en poste.</t>
  </si>
  <si>
    <t>Volume moyen de formation par collaborateur sur l'année.</t>
  </si>
  <si>
    <t>Salaire moyen par FTE, tous postes confondus.</t>
  </si>
  <si>
    <t>Mode de lecture :
- La colonne centrale présente les indicateurs RH prioritaires calculés à partir des différentes feuilles du modèle.
- La colonne de droite propose une première interprétation, à ajuster selon le contexte de l'entreprise.
- Cette page peut être directement intégrée à un rapport social, à un bilan annuel RH ou à un comité de direction.</t>
  </si>
</sst>
</file>

<file path=xl/styles.xml><?xml version="1.0" encoding="utf-8"?>
<styleSheet xmlns="http://schemas.openxmlformats.org/spreadsheetml/2006/main">
  <numFmts count="4">
    <numFmt numFmtId="164" formatCode="dd/mm/yyyy"/>
    <numFmt numFmtId="165" formatCode="0.00"/>
    <numFmt numFmtId="166" formatCode="0.0%"/>
    <numFmt numFmtId="167" formatCode="0.0"/>
  </numFmts>
  <fonts count="8">
    <font>
      <sz val="11"/>
      <color theme="1"/>
      <name val="Calibri"/>
      <family val="2"/>
      <scheme val="minor"/>
    </font>
    <font>
      <b/>
      <sz val="18"/>
      <color rgb="FF1F4E79"/>
      <name val="Calibri"/>
      <family val="2"/>
      <scheme val="minor"/>
    </font>
    <font>
      <i/>
      <sz val="10"/>
      <color rgb="FF555555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9DC3E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C6E0B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/>
    <xf numFmtId="1" fontId="4" fillId="0" borderId="1" xfId="0" applyNumberFormat="1" applyFont="1" applyBorder="1"/>
    <xf numFmtId="164" fontId="4" fillId="0" borderId="1" xfId="0" applyNumberFormat="1" applyFont="1" applyBorder="1"/>
    <xf numFmtId="165" fontId="4" fillId="0" borderId="1" xfId="0" applyNumberFormat="1" applyFont="1" applyBorder="1"/>
    <xf numFmtId="166" fontId="4" fillId="0" borderId="1" xfId="0" applyNumberFormat="1" applyFont="1" applyBorder="1"/>
    <xf numFmtId="0" fontId="5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/>
    </xf>
    <xf numFmtId="1" fontId="6" fillId="0" borderId="0" xfId="0" applyNumberFormat="1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167" fontId="6" fillId="0" borderId="0" xfId="0" applyNumberFormat="1" applyFont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Relationship Id="rId12" Type="http://schemas.openxmlformats.org/officeDocument/2006/relationships/sheetMetadata" Target="metadata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Jauge Turnover</a:t>
            </a:r>
          </a:p>
        </c:rich>
      </c:tx>
      <c:layout/>
    </c:title>
    <c:plotArea>
      <c:layout/>
      <c:doughnutChart>
        <c:varyColors val="1"/>
        <c:ser>
          <c:idx val="0"/>
          <c:order val="0"/>
          <c:tx>
            <c:v>Turnover</c:v>
          </c:tx>
          <c:dPt>
            <c:idx val="0"/>
            <c:spPr>
              <a:solidFill>
                <a:srgbClr val="C00000"/>
              </a:solidFill>
            </c:spPr>
          </c:dPt>
          <c:dPt>
            <c:idx val="1"/>
            <c:spPr>
              <a:solidFill>
                <a:srgbClr val="D9D9D9"/>
              </a:solidFill>
            </c:spPr>
          </c:dPt>
          <c:dPt>
            <c:idx val="2"/>
            <c:spPr>
              <a:noFill/>
            </c:spPr>
          </c:dPt>
          <c:cat>
            <c:numRef>
              <c:f>Dashboard_RH!$J$5:$L$5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1</c:v>
                </c:pt>
              </c:numCache>
            </c:numRef>
          </c:cat>
          <c:val>
            <c:numRef>
              <c:f>Dashboard_RH!$J$5:$L$5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1</c:v>
                </c:pt>
              </c:numCache>
            </c:numRef>
          </c:val>
        </c:ser>
        <c:firstSliceAng val="270"/>
        <c:holeSize val="60"/>
      </c:doughnutChart>
    </c:plotArea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Jauge Absentéisme</a:t>
            </a:r>
          </a:p>
        </c:rich>
      </c:tx>
      <c:layout/>
    </c:title>
    <c:plotArea>
      <c:layout/>
      <c:doughnutChart>
        <c:varyColors val="1"/>
        <c:ser>
          <c:idx val="0"/>
          <c:order val="0"/>
          <c:tx>
            <c:v>Absentéisme</c:v>
          </c:tx>
          <c:dPt>
            <c:idx val="0"/>
            <c:spPr>
              <a:solidFill>
                <a:srgbClr val="ED7D31"/>
              </a:solidFill>
            </c:spPr>
          </c:dPt>
          <c:dPt>
            <c:idx val="1"/>
            <c:spPr>
              <a:solidFill>
                <a:srgbClr val="D9D9D9"/>
              </a:solidFill>
            </c:spPr>
          </c:dPt>
          <c:dPt>
            <c:idx val="2"/>
            <c:spPr>
              <a:noFill/>
            </c:spPr>
          </c:dPt>
          <c:cat>
            <c:numRef>
              <c:f>Dashboard_RH!$J$6:$L$6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1</c:v>
                </c:pt>
              </c:numCache>
            </c:numRef>
          </c:cat>
          <c:val>
            <c:numRef>
              <c:f>Dashboard_RH!$J$6:$L$6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1</c:v>
                </c:pt>
              </c:numCache>
            </c:numRef>
          </c:val>
        </c:ser>
        <c:firstSliceAng val="270"/>
        <c:holeSize val="60"/>
      </c:doughnutChart>
    </c:plotArea>
    <c:plotVisOnly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Jauge Engagement</a:t>
            </a:r>
          </a:p>
        </c:rich>
      </c:tx>
      <c:layout/>
    </c:title>
    <c:plotArea>
      <c:layout/>
      <c:doughnutChart>
        <c:varyColors val="1"/>
        <c:ser>
          <c:idx val="0"/>
          <c:order val="0"/>
          <c:tx>
            <c:v>Engagement</c:v>
          </c:tx>
          <c:dPt>
            <c:idx val="0"/>
            <c:spPr>
              <a:solidFill>
                <a:srgbClr val="00B050"/>
              </a:solidFill>
            </c:spPr>
          </c:dPt>
          <c:dPt>
            <c:idx val="1"/>
            <c:spPr>
              <a:solidFill>
                <a:srgbClr val="D9D9D9"/>
              </a:solidFill>
            </c:spPr>
          </c:dPt>
          <c:dPt>
            <c:idx val="2"/>
            <c:spPr>
              <a:noFill/>
            </c:spPr>
          </c:dPt>
          <c:cat>
            <c:numRef>
              <c:f>Dashboard_RH!$J$7:$L$7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1</c:v>
                </c:pt>
              </c:numCache>
            </c:numRef>
          </c:cat>
          <c:val>
            <c:numRef>
              <c:f>Dashboard_RH!$J$7:$L$7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1</c:v>
                </c:pt>
              </c:numCache>
            </c:numRef>
          </c:val>
        </c:ser>
        <c:firstSliceAng val="270"/>
        <c:holeSize val="60"/>
      </c:doughnutChart>
    </c:plotArea>
    <c:plotVisOnly val="1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10"/>
  <c:chart>
    <c:title>
      <c:tx>
        <c:rich>
          <a:bodyPr/>
          <a:lstStyle/>
          <a:p>
            <a:pPr>
              <a:defRPr/>
            </a:pPr>
            <a:r>
              <a:rPr lang="en-US"/>
              <a:t>Vue alternative – KPIs sociaux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KPI sociaux</c:v>
          </c:tx>
          <c:cat>
            <c:strRef>
              <c:f>Dashboard_RH!$A$39:$A$42</c:f>
              <c:strCache>
                <c:ptCount val="4"/>
                <c:pt idx="0">
                  <c:v>Turnover global</c:v>
                </c:pt>
                <c:pt idx="1">
                  <c:v>Absentéisme</c:v>
                </c:pt>
                <c:pt idx="2">
                  <c:v>Score engagement</c:v>
                </c:pt>
                <c:pt idx="3">
                  <c:v>Heures formation / collab</c:v>
                </c:pt>
              </c:strCache>
            </c:strRef>
          </c:cat>
          <c:val>
            <c:numRef>
              <c:f>Dashboard_RH!$B$39:$B$42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axId val="50040001"/>
        <c:axId val="50040002"/>
      </c:barChart>
      <c:catAx>
        <c:axId val="50040001"/>
        <c:scaling>
          <c:orientation val="minMax"/>
        </c:scaling>
        <c:axPos val="b"/>
        <c:tickLblPos val="nextTo"/>
        <c:crossAx val="50040002"/>
        <c:crosses val="autoZero"/>
        <c:auto val="1"/>
        <c:lblAlgn val="ctr"/>
        <c:lblOffset val="100"/>
      </c:catAx>
      <c:valAx>
        <c:axId val="50040002"/>
        <c:scaling>
          <c:orientation val="minMax"/>
        </c:scaling>
        <c:axPos val="l"/>
        <c:majorGridlines/>
        <c:numFmt formatCode="General" sourceLinked="1"/>
        <c:tickLblPos val="nextTo"/>
        <c:crossAx val="5004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12"/>
  <c:chart>
    <c:title>
      <c:tx>
        <c:rich>
          <a:bodyPr/>
          <a:lstStyle/>
          <a:p>
            <a:pPr>
              <a:defRPr/>
            </a:pPr>
            <a:r>
              <a:rPr lang="en-US"/>
              <a:t>Radar – Profil social RH</a:t>
            </a:r>
          </a:p>
        </c:rich>
      </c:tx>
      <c:layout/>
    </c:title>
    <c:plotArea>
      <c:layout/>
      <c:radarChart>
        <c:radarStyle val="marker"/>
        <c:ser>
          <c:idx val="0"/>
          <c:order val="0"/>
          <c:tx>
            <c:v>Profil social</c:v>
          </c:tx>
          <c:marker>
            <c:symbol val="none"/>
          </c:marker>
          <c:cat>
            <c:strRef>
              <c:f>Dashboard_RH!$A$39:$A$42</c:f>
              <c:strCache>
                <c:ptCount val="4"/>
                <c:pt idx="0">
                  <c:v>Turnover global</c:v>
                </c:pt>
                <c:pt idx="1">
                  <c:v>Absentéisme</c:v>
                </c:pt>
                <c:pt idx="2">
                  <c:v>Score engagement</c:v>
                </c:pt>
                <c:pt idx="3">
                  <c:v>Heures formation / collab</c:v>
                </c:pt>
              </c:strCache>
            </c:strRef>
          </c:cat>
          <c:val>
            <c:numRef>
              <c:f>Dashboard_RH!$B$39:$B$42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axId val="50050001"/>
        <c:axId val="50050002"/>
      </c:radarChart>
      <c:catAx>
        <c:axId val="50050001"/>
        <c:scaling>
          <c:orientation val="minMax"/>
        </c:scaling>
        <c:axPos val="b"/>
        <c:majorGridlines/>
        <c:tickLblPos val="nextTo"/>
        <c:crossAx val="50050002"/>
        <c:crosses val="autoZero"/>
        <c:auto val="1"/>
        <c:lblAlgn val="ctr"/>
        <c:lblOffset val="100"/>
      </c:catAx>
      <c:valAx>
        <c:axId val="50050002"/>
        <c:scaling>
          <c:orientation val="minMax"/>
        </c:scaling>
        <c:axPos val="l"/>
        <c:majorGridlines/>
        <c:numFmt formatCode="General" sourceLinked="1"/>
        <c:majorTickMark val="cross"/>
        <c:tickLblPos val="nextTo"/>
        <c:crossAx val="5005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4"/>
  <c:chart>
    <c:title>
      <c:tx>
        <c:rich>
          <a:bodyPr/>
          <a:lstStyle/>
          <a:p>
            <a:pPr>
              <a:defRPr/>
            </a:pPr>
            <a:r>
              <a:rPr lang="en-US"/>
              <a:t>Répartition des effectifs par type de contrat</a:t>
            </a:r>
          </a:p>
        </c:rich>
      </c:tx>
      <c:layout/>
    </c:title>
    <c:plotArea>
      <c:layout/>
      <c:barChart>
        <c:barDir val="bar"/>
        <c:grouping val="clustered"/>
        <c:ser>
          <c:idx val="0"/>
          <c:order val="0"/>
          <c:tx>
            <c:v>Effectifs actifs par type de contrat</c:v>
          </c:tx>
          <c:cat>
            <c:strRef>
              <c:f>Dashboard_RH!$A$46:$A$48</c:f>
              <c:strCache>
                <c:ptCount val="3"/>
                <c:pt idx="1">
                  <c:v>CDI</c:v>
                </c:pt>
                <c:pt idx="2">
                  <c:v>CDD</c:v>
                </c:pt>
              </c:strCache>
            </c:strRef>
          </c:cat>
          <c:val>
            <c:numRef>
              <c:f>Dashboard_RH!$B$46:$B$48</c:f>
              <c:numCache>
                <c:formatCode>General</c:formatCode>
                <c:ptCount val="3"/>
                <c:pt idx="1">
                  <c:v>0</c:v>
                </c:pt>
                <c:pt idx="2">
                  <c:v>0</c:v>
                </c:pt>
              </c:numCache>
            </c:numRef>
          </c:val>
        </c:ser>
        <c:axId val="50060001"/>
        <c:axId val="50060002"/>
      </c:barChart>
      <c:catAx>
        <c:axId val="50060001"/>
        <c:scaling>
          <c:orientation val="minMax"/>
        </c:scaling>
        <c:axPos val="l"/>
        <c:tickLblPos val="nextTo"/>
        <c:crossAx val="50060002"/>
        <c:crosses val="autoZero"/>
        <c:auto val="1"/>
        <c:lblAlgn val="ctr"/>
        <c:lblOffset val="100"/>
      </c:catAx>
      <c:valAx>
        <c:axId val="50060002"/>
        <c:scaling>
          <c:orientation val="minMax"/>
        </c:scaling>
        <c:axPos val="b"/>
        <c:majorGridlines/>
        <c:numFmt formatCode="General" sourceLinked="1"/>
        <c:tickLblPos val="nextTo"/>
        <c:crossAx val="5006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<Relationship Id="rId5" Type="http://schemas.openxmlformats.org/officeDocument/2006/relationships/chart" Target="../charts/chart5.xml"/><Relationship Id="rId6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29</xdr:row>
      <xdr:rowOff>0</xdr:rowOff>
    </xdr:from>
    <xdr:to>
      <xdr:col>3</xdr:col>
      <xdr:colOff>428625</xdr:colOff>
      <xdr:row>43</xdr:row>
      <xdr:rowOff>76200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0</xdr:colOff>
      <xdr:row>29</xdr:row>
      <xdr:rowOff>0</xdr:rowOff>
    </xdr:from>
    <xdr:to>
      <xdr:col>7</xdr:col>
      <xdr:colOff>428625</xdr:colOff>
      <xdr:row>43</xdr:row>
      <xdr:rowOff>76200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0</xdr:colOff>
      <xdr:row>29</xdr:row>
      <xdr:rowOff>0</xdr:rowOff>
    </xdr:from>
    <xdr:to>
      <xdr:col>11</xdr:col>
      <xdr:colOff>428625</xdr:colOff>
      <xdr:row>43</xdr:row>
      <xdr:rowOff>76200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0</xdr:colOff>
      <xdr:row>37</xdr:row>
      <xdr:rowOff>0</xdr:rowOff>
    </xdr:from>
    <xdr:to>
      <xdr:col>6</xdr:col>
      <xdr:colOff>885825</xdr:colOff>
      <xdr:row>52</xdr:row>
      <xdr:rowOff>161925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0</xdr:colOff>
      <xdr:row>37</xdr:row>
      <xdr:rowOff>0</xdr:rowOff>
    </xdr:from>
    <xdr:to>
      <xdr:col>11</xdr:col>
      <xdr:colOff>885825</xdr:colOff>
      <xdr:row>52</xdr:row>
      <xdr:rowOff>161925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</xdr:col>
      <xdr:colOff>0</xdr:colOff>
      <xdr:row>44</xdr:row>
      <xdr:rowOff>0</xdr:rowOff>
    </xdr:from>
    <xdr:to>
      <xdr:col>6</xdr:col>
      <xdr:colOff>885825</xdr:colOff>
      <xdr:row>59</xdr:row>
      <xdr:rowOff>161925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bl_Effectifs" displayName="tbl_Effectifs" ref="A5:N13" totalsRowShown="0">
  <autoFilter ref="A5:N13"/>
  <tableColumns count="14">
    <tableColumn id="1" name="Matricule"/>
    <tableColumn id="2" name="Nom"/>
    <tableColumn id="3" name="Prénom"/>
    <tableColumn id="4" name="Sexe"/>
    <tableColumn id="5" name="Age"/>
    <tableColumn id="6" name="Catégorie"/>
    <tableColumn id="7" name="Département"/>
    <tableColumn id="8" name="Site"/>
    <tableColumn id="9" name="Type_Contrat"/>
    <tableColumn id="10" name="Date_Entrée"/>
    <tableColumn id="11" name="Date_Sortie"/>
    <tableColumn id="12" name="Motif_Sortie"/>
    <tableColumn id="13" name="Statut_Actif"/>
    <tableColumn id="14" name="FTE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bl_Absences" displayName="tbl_Absences" ref="A5:F13" totalsRowShown="0">
  <autoFilter ref="A5:F13"/>
  <tableColumns count="6">
    <tableColumn id="1" name="Matricule"/>
    <tableColumn id="2" name="Année"/>
    <tableColumn id="3" name="Mois"/>
    <tableColumn id="4" name="Type_Absence"/>
    <tableColumn id="5" name="Jours_Absence"/>
    <tableColumn id="6" name="Jours_Travailables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tbl_Formation" displayName="tbl_Formation" ref="A5:H10" totalsRowShown="0">
  <autoFilter ref="A5:H10"/>
  <tableColumns count="8">
    <tableColumn id="1" name="Matricule"/>
    <tableColumn id="2" name="Nom"/>
    <tableColumn id="3" name="Département"/>
    <tableColumn id="4" name="Type_Formation"/>
    <tableColumn id="5" name="Intitulé_Formation"/>
    <tableColumn id="6" name="Date_Formation"/>
    <tableColumn id="7" name="Heures_Formation"/>
    <tableColumn id="8" name="Statut_Formation"/>
  </tableColumns>
  <tableStyleInfo name="TableStyleMedium3" showFirstColumn="0" showLastColumn="0" showRowStripes="1" showColumnStripes="0"/>
</table>
</file>

<file path=xl/tables/table4.xml><?xml version="1.0" encoding="utf-8"?>
<table xmlns="http://schemas.openxmlformats.org/spreadsheetml/2006/main" id="4" name="tbl_Performance" displayName="tbl_Performance" ref="A5:I10" totalsRowShown="0">
  <autoFilter ref="A5:I10"/>
  <tableColumns count="9">
    <tableColumn id="1" name="Matricule"/>
    <tableColumn id="2" name="Année"/>
    <tableColumn id="3" name="Manager"/>
    <tableColumn id="4" name="Département"/>
    <tableColumn id="5" name="Score_Entretien"/>
    <tableColumn id="6" name="Objectifs_Atteints_pct"/>
    <tableColumn id="7" name="Potentiel"/>
    <tableColumn id="8" name="Plan_Développement"/>
    <tableColumn id="9" name="Mobilité_Souhaitée"/>
  </tableColumns>
  <tableStyleInfo name="TableStyleMedium4" showFirstColumn="0" showLastColumn="0" showRowStripes="1" showColumnStripes="0"/>
</table>
</file>

<file path=xl/tables/table5.xml><?xml version="1.0" encoding="utf-8"?>
<table xmlns="http://schemas.openxmlformats.org/spreadsheetml/2006/main" id="5" name="tbl_Remuneration" displayName="tbl_Remuneration" ref="A5:J12" totalsRowShown="0">
  <autoFilter ref="A5:J12"/>
  <tableColumns count="10">
    <tableColumn id="1" name="Matricule"/>
    <tableColumn id="2" name="Département"/>
    <tableColumn id="3" name="Catégorie"/>
    <tableColumn id="4" name="Site"/>
    <tableColumn id="5" name="Salaire_Base_Annuel"/>
    <tableColumn id="6" name="Primes_Annuelles"/>
    <tableColumn id="7" name="Variable_Annuel"/>
    <tableColumn id="8" name="Masse_Salariale_Annuelle"/>
    <tableColumn id="9" name="Anciennete_ans"/>
    <tableColumn id="10" name="Ratio_vs_Moyenne_Departement"/>
  </tableColumns>
  <tableStyleInfo name="TableStyleMedium5" showFirstColumn="0" showLastColumn="0" showRowStripes="1" showColumnStripes="0"/>
</table>
</file>

<file path=xl/tables/table6.xml><?xml version="1.0" encoding="utf-8"?>
<table xmlns="http://schemas.openxmlformats.org/spreadsheetml/2006/main" id="6" name="tbl_Barometre" displayName="tbl_Barometre" ref="A5:G8" totalsRowShown="0">
  <autoFilter ref="A5:G8"/>
  <tableColumns count="7">
    <tableColumn id="1" name="Segment"/>
    <tableColumn id="2" name="Score_Engagement"/>
    <tableColumn id="3" name="Score_Management"/>
    <tableColumn id="4" name="Score_QVT"/>
    <tableColumn id="5" name="Taux_Absenteisme"/>
    <tableColumn id="6" name="Turnover_volontaire"/>
    <tableColumn id="7" name="Commentaire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tabSelected="1" workbookViewId="0">
      <pane ySplit="5" topLeftCell="A6" activePane="bottomLeft" state="frozen"/>
      <selection pane="bottomLeft"/>
    </sheetView>
  </sheetViews>
  <sheetFormatPr defaultRowHeight="15"/>
  <cols>
    <col min="1" max="1" width="10.7109375" customWidth="1"/>
    <col min="2" max="3" width="12.7109375" customWidth="1"/>
    <col min="4" max="5" width="8.7109375" customWidth="1"/>
    <col min="6" max="11" width="14.7109375" customWidth="1"/>
    <col min="12" max="13" width="16.7109375" customWidth="1"/>
    <col min="14" max="14" width="8.7109375" customWidth="1"/>
  </cols>
  <sheetData>
    <row r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4" spans="1:14">
      <c r="A4" s="3" t="s">
        <v>2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spans="1:14">
      <c r="A5" t="s">
        <v>3</v>
      </c>
      <c r="B5" t="s">
        <v>4</v>
      </c>
      <c r="C5" t="s">
        <v>5</v>
      </c>
      <c r="D5" t="s">
        <v>6</v>
      </c>
      <c r="E5" t="s">
        <v>7</v>
      </c>
      <c r="F5" t="s">
        <v>8</v>
      </c>
      <c r="G5" t="s">
        <v>9</v>
      </c>
      <c r="H5" t="s">
        <v>10</v>
      </c>
      <c r="I5" t="s">
        <v>11</v>
      </c>
      <c r="J5" t="s">
        <v>12</v>
      </c>
      <c r="K5" t="s">
        <v>13</v>
      </c>
      <c r="L5" t="s">
        <v>14</v>
      </c>
      <c r="M5" t="s">
        <v>15</v>
      </c>
      <c r="N5" t="s">
        <v>16</v>
      </c>
    </row>
    <row r="6" spans="1:14">
      <c r="A6" s="4" t="s">
        <v>17</v>
      </c>
      <c r="B6" s="4" t="s">
        <v>18</v>
      </c>
      <c r="C6" s="4" t="s">
        <v>19</v>
      </c>
      <c r="D6" s="4" t="s">
        <v>20</v>
      </c>
      <c r="E6" s="5">
        <f>IF(J6="", "",DATEDIF(J6,TODAY(),"Y"))</f>
        <v>0</v>
      </c>
      <c r="F6" s="4" t="s">
        <v>21</v>
      </c>
      <c r="G6" s="4" t="s">
        <v>22</v>
      </c>
      <c r="H6" s="4" t="s">
        <v>23</v>
      </c>
      <c r="I6" s="4" t="s">
        <v>24</v>
      </c>
      <c r="J6" s="6">
        <v>42430</v>
      </c>
      <c r="K6" s="6"/>
      <c r="L6" s="4"/>
      <c r="M6" s="4" t="s">
        <v>25</v>
      </c>
      <c r="N6" s="7">
        <v>1</v>
      </c>
    </row>
    <row r="7" spans="1:14">
      <c r="A7" s="4" t="s">
        <v>26</v>
      </c>
      <c r="B7" s="4" t="s">
        <v>27</v>
      </c>
      <c r="C7" s="4" t="s">
        <v>28</v>
      </c>
      <c r="D7" s="4" t="s">
        <v>29</v>
      </c>
      <c r="E7" s="5">
        <f>IF(J7="", "",DATEDIF(J7,TODAY(),"Y"))</f>
        <v>0</v>
      </c>
      <c r="F7" s="4" t="s">
        <v>21</v>
      </c>
      <c r="G7" s="4" t="s">
        <v>30</v>
      </c>
      <c r="H7" s="4" t="s">
        <v>23</v>
      </c>
      <c r="I7" s="4" t="s">
        <v>24</v>
      </c>
      <c r="J7" s="6">
        <v>43296</v>
      </c>
      <c r="K7" s="6"/>
      <c r="L7" s="4"/>
      <c r="M7" s="4" t="s">
        <v>25</v>
      </c>
      <c r="N7" s="7">
        <v>1</v>
      </c>
    </row>
    <row r="8" spans="1:14">
      <c r="A8" s="4" t="s">
        <v>31</v>
      </c>
      <c r="B8" s="4" t="s">
        <v>32</v>
      </c>
      <c r="C8" s="4" t="s">
        <v>33</v>
      </c>
      <c r="D8" s="4" t="s">
        <v>20</v>
      </c>
      <c r="E8" s="5">
        <f>IF(J8="", "",DATEDIF(J8,TODAY(),"Y"))</f>
        <v>0</v>
      </c>
      <c r="F8" s="4" t="s">
        <v>34</v>
      </c>
      <c r="G8" s="4" t="s">
        <v>35</v>
      </c>
      <c r="H8" s="4" t="s">
        <v>36</v>
      </c>
      <c r="I8" s="4" t="s">
        <v>24</v>
      </c>
      <c r="J8" s="6">
        <v>43840</v>
      </c>
      <c r="K8" s="6"/>
      <c r="L8" s="4"/>
      <c r="M8" s="4" t="s">
        <v>25</v>
      </c>
      <c r="N8" s="7">
        <v>0.8</v>
      </c>
    </row>
    <row r="9" spans="1:14">
      <c r="A9" s="4" t="s">
        <v>37</v>
      </c>
      <c r="B9" s="4" t="s">
        <v>38</v>
      </c>
      <c r="C9" s="4" t="s">
        <v>39</v>
      </c>
      <c r="D9" s="4" t="s">
        <v>29</v>
      </c>
      <c r="E9" s="5">
        <f>IF(J9="", "",DATEDIF(J9,TODAY(),"Y"))</f>
        <v>0</v>
      </c>
      <c r="F9" s="4" t="s">
        <v>40</v>
      </c>
      <c r="G9" s="4" t="s">
        <v>41</v>
      </c>
      <c r="H9" s="4" t="s">
        <v>36</v>
      </c>
      <c r="I9" s="4" t="s">
        <v>42</v>
      </c>
      <c r="J9" s="6">
        <v>45048</v>
      </c>
      <c r="K9" s="6"/>
      <c r="L9" s="4"/>
      <c r="M9" s="4" t="s">
        <v>25</v>
      </c>
      <c r="N9" s="7">
        <v>1</v>
      </c>
    </row>
    <row r="10" spans="1:14">
      <c r="A10" s="4" t="s">
        <v>43</v>
      </c>
      <c r="B10" s="4" t="s">
        <v>44</v>
      </c>
      <c r="C10" s="4" t="s">
        <v>45</v>
      </c>
      <c r="D10" s="4" t="s">
        <v>20</v>
      </c>
      <c r="E10" s="5">
        <f>IF(J10="", "",DATEDIF(J10,TODAY(),"Y"))</f>
        <v>0</v>
      </c>
      <c r="F10" s="4" t="s">
        <v>46</v>
      </c>
      <c r="G10" s="4" t="s">
        <v>41</v>
      </c>
      <c r="H10" s="4" t="s">
        <v>36</v>
      </c>
      <c r="I10" s="4" t="s">
        <v>24</v>
      </c>
      <c r="J10" s="6">
        <v>43709</v>
      </c>
      <c r="K10" s="6"/>
      <c r="L10" s="4"/>
      <c r="M10" s="4" t="s">
        <v>25</v>
      </c>
      <c r="N10" s="7">
        <v>1</v>
      </c>
    </row>
    <row r="11" spans="1:14">
      <c r="A11" s="4" t="s">
        <v>47</v>
      </c>
      <c r="B11" s="4" t="s">
        <v>48</v>
      </c>
      <c r="C11" s="4" t="s">
        <v>49</v>
      </c>
      <c r="D11" s="4" t="s">
        <v>29</v>
      </c>
      <c r="E11" s="5">
        <f>IF(J11="", "",DATEDIF(J11,TODAY(),"Y"))</f>
        <v>0</v>
      </c>
      <c r="F11" s="4" t="s">
        <v>34</v>
      </c>
      <c r="G11" s="4" t="s">
        <v>50</v>
      </c>
      <c r="H11" s="4" t="s">
        <v>23</v>
      </c>
      <c r="I11" s="4" t="s">
        <v>24</v>
      </c>
      <c r="J11" s="6">
        <v>43059</v>
      </c>
      <c r="K11" s="6">
        <v>45412</v>
      </c>
      <c r="L11" s="4" t="s">
        <v>51</v>
      </c>
      <c r="M11" s="4" t="s">
        <v>52</v>
      </c>
      <c r="N11" s="7">
        <v>1</v>
      </c>
    </row>
    <row r="12" spans="1:14">
      <c r="A12" s="4" t="s">
        <v>53</v>
      </c>
      <c r="B12" s="4" t="s">
        <v>54</v>
      </c>
      <c r="C12" s="4" t="s">
        <v>55</v>
      </c>
      <c r="D12" s="4" t="s">
        <v>20</v>
      </c>
      <c r="E12" s="5">
        <f>IF(J12="", "",DATEDIF(J12,TODAY(),"Y"))</f>
        <v>0</v>
      </c>
      <c r="F12" s="4" t="s">
        <v>34</v>
      </c>
      <c r="G12" s="4" t="s">
        <v>22</v>
      </c>
      <c r="H12" s="4" t="s">
        <v>23</v>
      </c>
      <c r="I12" s="4" t="s">
        <v>42</v>
      </c>
      <c r="J12" s="6">
        <v>45170</v>
      </c>
      <c r="K12" s="6">
        <v>45351</v>
      </c>
      <c r="L12" s="4" t="s">
        <v>56</v>
      </c>
      <c r="M12" s="4" t="s">
        <v>52</v>
      </c>
      <c r="N12" s="7">
        <v>0.8</v>
      </c>
    </row>
    <row r="13" spans="1:14">
      <c r="A13" s="4" t="s">
        <v>57</v>
      </c>
      <c r="B13" s="4" t="s">
        <v>58</v>
      </c>
      <c r="C13" s="4" t="s">
        <v>59</v>
      </c>
      <c r="D13" s="4" t="s">
        <v>29</v>
      </c>
      <c r="E13" s="5">
        <f>IF(J13="", "",DATEDIF(J13,TODAY(),"Y"))</f>
        <v>0</v>
      </c>
      <c r="F13" s="4" t="s">
        <v>40</v>
      </c>
      <c r="G13" s="4" t="s">
        <v>41</v>
      </c>
      <c r="H13" s="4" t="s">
        <v>60</v>
      </c>
      <c r="I13" s="4" t="s">
        <v>61</v>
      </c>
      <c r="J13" s="6">
        <v>45418</v>
      </c>
      <c r="K13" s="6"/>
      <c r="L13" s="4"/>
      <c r="M13" s="4" t="s">
        <v>25</v>
      </c>
      <c r="N13" s="7">
        <v>1</v>
      </c>
    </row>
  </sheetData>
  <mergeCells count="3">
    <mergeCell ref="A1:N1"/>
    <mergeCell ref="A2:N2"/>
    <mergeCell ref="A4:N4"/>
  </mergeCell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F13"/>
  <sheetViews>
    <sheetView workbookViewId="0">
      <pane ySplit="5" topLeftCell="A6" activePane="bottomLeft" state="frozen"/>
      <selection pane="bottomLeft"/>
    </sheetView>
  </sheetViews>
  <sheetFormatPr defaultRowHeight="15"/>
  <cols>
    <col min="1" max="3" width="10.7109375" customWidth="1"/>
    <col min="4" max="6" width="16.7109375" customWidth="1"/>
  </cols>
  <sheetData>
    <row r="1" spans="1:6">
      <c r="A1" s="1" t="s">
        <v>62</v>
      </c>
      <c r="B1" s="1"/>
      <c r="C1" s="1"/>
      <c r="D1" s="1"/>
      <c r="E1" s="1"/>
      <c r="F1" s="1"/>
    </row>
    <row r="2" spans="1:6">
      <c r="A2" s="2" t="s">
        <v>63</v>
      </c>
      <c r="B2" s="2"/>
      <c r="C2" s="2"/>
      <c r="D2" s="2"/>
      <c r="E2" s="2"/>
      <c r="F2" s="2"/>
    </row>
    <row r="4" spans="1:6">
      <c r="A4" s="3" t="s">
        <v>64</v>
      </c>
      <c r="B4" s="3"/>
      <c r="C4" s="3"/>
      <c r="D4" s="3"/>
      <c r="E4" s="3"/>
      <c r="F4" s="3"/>
    </row>
    <row r="5" spans="1:6">
      <c r="A5" t="s">
        <v>3</v>
      </c>
      <c r="B5" t="s">
        <v>65</v>
      </c>
      <c r="C5" t="s">
        <v>66</v>
      </c>
      <c r="D5" t="s">
        <v>67</v>
      </c>
      <c r="E5" t="s">
        <v>68</v>
      </c>
      <c r="F5" t="s">
        <v>69</v>
      </c>
    </row>
    <row r="6" spans="1:6">
      <c r="A6" s="4" t="s">
        <v>17</v>
      </c>
      <c r="B6" s="5">
        <v>2024</v>
      </c>
      <c r="C6" s="5">
        <v>1</v>
      </c>
      <c r="D6" s="4" t="s">
        <v>70</v>
      </c>
      <c r="E6" s="7">
        <v>2</v>
      </c>
      <c r="F6" s="7">
        <v>22</v>
      </c>
    </row>
    <row r="7" spans="1:6">
      <c r="A7" s="4" t="s">
        <v>17</v>
      </c>
      <c r="B7" s="5">
        <v>2024</v>
      </c>
      <c r="C7" s="5">
        <v>2</v>
      </c>
      <c r="D7" s="4" t="s">
        <v>70</v>
      </c>
      <c r="E7" s="7">
        <v>3</v>
      </c>
      <c r="F7" s="7">
        <v>20</v>
      </c>
    </row>
    <row r="8" spans="1:6">
      <c r="A8" s="4" t="s">
        <v>26</v>
      </c>
      <c r="B8" s="5">
        <v>2024</v>
      </c>
      <c r="C8" s="5">
        <v>1</v>
      </c>
      <c r="D8" s="4" t="s">
        <v>71</v>
      </c>
      <c r="E8" s="7">
        <v>1</v>
      </c>
      <c r="F8" s="7">
        <v>22</v>
      </c>
    </row>
    <row r="9" spans="1:6">
      <c r="A9" s="4" t="s">
        <v>31</v>
      </c>
      <c r="B9" s="5">
        <v>2024</v>
      </c>
      <c r="C9" s="5">
        <v>1</v>
      </c>
      <c r="D9" s="4" t="s">
        <v>70</v>
      </c>
      <c r="E9" s="7">
        <v>2</v>
      </c>
      <c r="F9" s="7">
        <v>22</v>
      </c>
    </row>
    <row r="10" spans="1:6">
      <c r="A10" s="4" t="s">
        <v>37</v>
      </c>
      <c r="B10" s="5">
        <v>2024</v>
      </c>
      <c r="C10" s="5">
        <v>2</v>
      </c>
      <c r="D10" s="4" t="s">
        <v>72</v>
      </c>
      <c r="E10" s="7">
        <v>2</v>
      </c>
      <c r="F10" s="7">
        <v>20</v>
      </c>
    </row>
    <row r="11" spans="1:6">
      <c r="A11" s="4" t="s">
        <v>43</v>
      </c>
      <c r="B11" s="5">
        <v>2024</v>
      </c>
      <c r="C11" s="5">
        <v>3</v>
      </c>
      <c r="D11" s="4" t="s">
        <v>71</v>
      </c>
      <c r="E11" s="7">
        <v>3</v>
      </c>
      <c r="F11" s="7">
        <v>23</v>
      </c>
    </row>
    <row r="12" spans="1:6">
      <c r="A12" s="4" t="s">
        <v>47</v>
      </c>
      <c r="B12" s="5">
        <v>2024</v>
      </c>
      <c r="C12" s="5">
        <v>1</v>
      </c>
      <c r="D12" s="4" t="s">
        <v>70</v>
      </c>
      <c r="E12" s="7">
        <v>5</v>
      </c>
      <c r="F12" s="7">
        <v>22</v>
      </c>
    </row>
    <row r="13" spans="1:6">
      <c r="A13" s="4" t="s">
        <v>57</v>
      </c>
      <c r="B13" s="5">
        <v>2024</v>
      </c>
      <c r="C13" s="5">
        <v>2</v>
      </c>
      <c r="D13" s="4" t="s">
        <v>73</v>
      </c>
      <c r="E13" s="7">
        <v>1</v>
      </c>
      <c r="F13" s="7">
        <v>20</v>
      </c>
    </row>
  </sheetData>
  <mergeCells count="3">
    <mergeCell ref="A1:F1"/>
    <mergeCell ref="A2:F2"/>
    <mergeCell ref="A4:F4"/>
  </mergeCell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>
  <dimension ref="A1:H10"/>
  <sheetViews>
    <sheetView workbookViewId="0">
      <pane ySplit="5" topLeftCell="A6" activePane="bottomLeft" state="frozen"/>
      <selection pane="bottomLeft"/>
    </sheetView>
  </sheetViews>
  <sheetFormatPr defaultRowHeight="15"/>
  <cols>
    <col min="1" max="1" width="10.7109375" customWidth="1"/>
    <col min="2" max="4" width="14.7109375" customWidth="1"/>
    <col min="5" max="5" width="26.7109375" customWidth="1"/>
    <col min="6" max="7" width="14.7109375" customWidth="1"/>
    <col min="8" max="8" width="16.7109375" customWidth="1"/>
  </cols>
  <sheetData>
    <row r="1" spans="1:8">
      <c r="A1" s="1" t="s">
        <v>74</v>
      </c>
      <c r="B1" s="1"/>
      <c r="C1" s="1"/>
      <c r="D1" s="1"/>
      <c r="E1" s="1"/>
      <c r="F1" s="1"/>
      <c r="G1" s="1"/>
      <c r="H1" s="1"/>
    </row>
    <row r="2" spans="1:8">
      <c r="A2" s="2" t="s">
        <v>75</v>
      </c>
      <c r="B2" s="2"/>
      <c r="C2" s="2"/>
      <c r="D2" s="2"/>
      <c r="E2" s="2"/>
      <c r="F2" s="2"/>
      <c r="G2" s="2"/>
      <c r="H2" s="2"/>
    </row>
    <row r="4" spans="1:8">
      <c r="A4" s="3" t="s">
        <v>76</v>
      </c>
      <c r="B4" s="3"/>
      <c r="C4" s="3"/>
      <c r="D4" s="3"/>
      <c r="E4" s="3"/>
      <c r="F4" s="3"/>
      <c r="G4" s="3"/>
      <c r="H4" s="3"/>
    </row>
    <row r="5" spans="1:8">
      <c r="A5" t="s">
        <v>3</v>
      </c>
      <c r="B5" t="s">
        <v>4</v>
      </c>
      <c r="C5" t="s">
        <v>9</v>
      </c>
      <c r="D5" t="s">
        <v>77</v>
      </c>
      <c r="E5" t="s">
        <v>78</v>
      </c>
      <c r="F5" t="s">
        <v>79</v>
      </c>
      <c r="G5" t="s">
        <v>80</v>
      </c>
      <c r="H5" t="s">
        <v>81</v>
      </c>
    </row>
    <row r="6" spans="1:8">
      <c r="A6" s="4" t="s">
        <v>17</v>
      </c>
      <c r="B6" s="4" t="s">
        <v>18</v>
      </c>
      <c r="C6" s="4" t="s">
        <v>22</v>
      </c>
      <c r="D6" s="4" t="s">
        <v>82</v>
      </c>
      <c r="E6" s="4" t="s">
        <v>83</v>
      </c>
      <c r="F6" s="6">
        <v>45327</v>
      </c>
      <c r="G6" s="7">
        <v>7</v>
      </c>
      <c r="H6" s="4" t="s">
        <v>84</v>
      </c>
    </row>
    <row r="7" spans="1:8">
      <c r="A7" s="4" t="s">
        <v>26</v>
      </c>
      <c r="B7" s="4" t="s">
        <v>27</v>
      </c>
      <c r="C7" s="4" t="s">
        <v>30</v>
      </c>
      <c r="D7" s="4" t="s">
        <v>82</v>
      </c>
      <c r="E7" s="4" t="s">
        <v>85</v>
      </c>
      <c r="F7" s="6">
        <v>45361</v>
      </c>
      <c r="G7" s="7">
        <v>7</v>
      </c>
      <c r="H7" s="4" t="s">
        <v>84</v>
      </c>
    </row>
    <row r="8" spans="1:8">
      <c r="A8" s="4" t="s">
        <v>31</v>
      </c>
      <c r="B8" s="4" t="s">
        <v>32</v>
      </c>
      <c r="C8" s="4" t="s">
        <v>35</v>
      </c>
      <c r="D8" s="4" t="s">
        <v>86</v>
      </c>
      <c r="E8" s="4" t="s">
        <v>87</v>
      </c>
      <c r="F8" s="6">
        <v>45384</v>
      </c>
      <c r="G8" s="7">
        <v>14</v>
      </c>
      <c r="H8" s="4" t="s">
        <v>84</v>
      </c>
    </row>
    <row r="9" spans="1:8">
      <c r="A9" s="4" t="s">
        <v>37</v>
      </c>
      <c r="B9" s="4" t="s">
        <v>38</v>
      </c>
      <c r="C9" s="4" t="s">
        <v>41</v>
      </c>
      <c r="D9" s="4" t="s">
        <v>82</v>
      </c>
      <c r="E9" s="4" t="s">
        <v>88</v>
      </c>
      <c r="F9" s="6">
        <v>45427</v>
      </c>
      <c r="G9" s="7">
        <v>7</v>
      </c>
      <c r="H9" s="4" t="s">
        <v>89</v>
      </c>
    </row>
    <row r="10" spans="1:8">
      <c r="A10" s="4" t="s">
        <v>43</v>
      </c>
      <c r="B10" s="4" t="s">
        <v>44</v>
      </c>
      <c r="C10" s="4" t="s">
        <v>41</v>
      </c>
      <c r="D10" s="4" t="s">
        <v>86</v>
      </c>
      <c r="E10" s="4" t="s">
        <v>90</v>
      </c>
      <c r="F10" s="6">
        <v>45463</v>
      </c>
      <c r="G10" s="7">
        <v>14</v>
      </c>
      <c r="H10" s="4" t="s">
        <v>84</v>
      </c>
    </row>
  </sheetData>
  <mergeCells count="3">
    <mergeCell ref="A1:H1"/>
    <mergeCell ref="A2:H2"/>
    <mergeCell ref="A4:H4"/>
  </mergeCell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:I10"/>
  <sheetViews>
    <sheetView workbookViewId="0">
      <pane ySplit="5" topLeftCell="A6" activePane="bottomLeft" state="frozen"/>
      <selection pane="bottomLeft"/>
    </sheetView>
  </sheetViews>
  <sheetFormatPr defaultRowHeight="15"/>
  <cols>
    <col min="1" max="2" width="10.7109375" customWidth="1"/>
    <col min="3" max="5" width="16.7109375" customWidth="1"/>
    <col min="6" max="9" width="18.7109375" customWidth="1"/>
  </cols>
  <sheetData>
    <row r="1" spans="1:9">
      <c r="A1" s="1" t="s">
        <v>91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92</v>
      </c>
      <c r="B2" s="2"/>
      <c r="C2" s="2"/>
      <c r="D2" s="2"/>
      <c r="E2" s="2"/>
      <c r="F2" s="2"/>
      <c r="G2" s="2"/>
      <c r="H2" s="2"/>
      <c r="I2" s="2"/>
    </row>
    <row r="4" spans="1:9">
      <c r="A4" s="3" t="s">
        <v>93</v>
      </c>
      <c r="B4" s="3"/>
      <c r="C4" s="3"/>
      <c r="D4" s="3"/>
      <c r="E4" s="3"/>
      <c r="F4" s="3"/>
      <c r="G4" s="3"/>
      <c r="H4" s="3"/>
      <c r="I4" s="3"/>
    </row>
    <row r="5" spans="1:9">
      <c r="A5" t="s">
        <v>3</v>
      </c>
      <c r="B5" t="s">
        <v>65</v>
      </c>
      <c r="C5" t="s">
        <v>94</v>
      </c>
      <c r="D5" t="s">
        <v>9</v>
      </c>
      <c r="E5" t="s">
        <v>95</v>
      </c>
      <c r="F5" t="s">
        <v>96</v>
      </c>
      <c r="G5" t="s">
        <v>97</v>
      </c>
      <c r="H5" t="s">
        <v>98</v>
      </c>
      <c r="I5" t="s">
        <v>99</v>
      </c>
    </row>
    <row r="6" spans="1:9">
      <c r="A6" s="4" t="s">
        <v>17</v>
      </c>
      <c r="B6" s="5">
        <v>2024</v>
      </c>
      <c r="C6" s="4" t="s">
        <v>100</v>
      </c>
      <c r="D6" s="4" t="s">
        <v>22</v>
      </c>
      <c r="E6" s="7">
        <v>4.5</v>
      </c>
      <c r="F6" s="8">
        <v>0.9</v>
      </c>
      <c r="G6" s="4" t="s">
        <v>101</v>
      </c>
      <c r="H6" s="4" t="s">
        <v>102</v>
      </c>
      <c r="I6" s="4" t="s">
        <v>102</v>
      </c>
    </row>
    <row r="7" spans="1:9">
      <c r="A7" s="4" t="s">
        <v>26</v>
      </c>
      <c r="B7" s="5">
        <v>2024</v>
      </c>
      <c r="C7" s="4" t="s">
        <v>103</v>
      </c>
      <c r="D7" s="4" t="s">
        <v>30</v>
      </c>
      <c r="E7" s="7">
        <v>4</v>
      </c>
      <c r="F7" s="8">
        <v>0.85</v>
      </c>
      <c r="G7" s="4" t="s">
        <v>104</v>
      </c>
      <c r="H7" s="4" t="s">
        <v>102</v>
      </c>
      <c r="I7" s="4" t="s">
        <v>105</v>
      </c>
    </row>
    <row r="8" spans="1:9">
      <c r="A8" s="4" t="s">
        <v>31</v>
      </c>
      <c r="B8" s="5">
        <v>2024</v>
      </c>
      <c r="C8" s="4" t="s">
        <v>106</v>
      </c>
      <c r="D8" s="4" t="s">
        <v>35</v>
      </c>
      <c r="E8" s="7">
        <v>4.2</v>
      </c>
      <c r="F8" s="8">
        <v>0.88</v>
      </c>
      <c r="G8" s="4" t="s">
        <v>101</v>
      </c>
      <c r="H8" s="4" t="s">
        <v>102</v>
      </c>
      <c r="I8" s="4" t="s">
        <v>102</v>
      </c>
    </row>
    <row r="9" spans="1:9">
      <c r="A9" s="4" t="s">
        <v>37</v>
      </c>
      <c r="B9" s="5">
        <v>2024</v>
      </c>
      <c r="C9" s="4" t="s">
        <v>107</v>
      </c>
      <c r="D9" s="4" t="s">
        <v>41</v>
      </c>
      <c r="E9" s="7">
        <v>3.5</v>
      </c>
      <c r="F9" s="8">
        <v>0.75</v>
      </c>
      <c r="G9" s="4" t="s">
        <v>104</v>
      </c>
      <c r="H9" s="4" t="s">
        <v>105</v>
      </c>
      <c r="I9" s="4" t="s">
        <v>105</v>
      </c>
    </row>
    <row r="10" spans="1:9">
      <c r="A10" s="4" t="s">
        <v>43</v>
      </c>
      <c r="B10" s="5">
        <v>2024</v>
      </c>
      <c r="C10" s="4" t="s">
        <v>107</v>
      </c>
      <c r="D10" s="4" t="s">
        <v>41</v>
      </c>
      <c r="E10" s="7">
        <v>4.1</v>
      </c>
      <c r="F10" s="8">
        <v>0.82</v>
      </c>
      <c r="G10" s="4" t="s">
        <v>101</v>
      </c>
      <c r="H10" s="4" t="s">
        <v>102</v>
      </c>
      <c r="I10" s="4" t="s">
        <v>102</v>
      </c>
    </row>
  </sheetData>
  <mergeCells count="3">
    <mergeCell ref="A1:I1"/>
    <mergeCell ref="A2:I2"/>
    <mergeCell ref="A4:I4"/>
  </mergeCells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>
  <dimension ref="A1:J12"/>
  <sheetViews>
    <sheetView workbookViewId="0">
      <pane ySplit="5" topLeftCell="A6" activePane="bottomLeft" state="frozen"/>
      <selection pane="bottomLeft"/>
    </sheetView>
  </sheetViews>
  <sheetFormatPr defaultRowHeight="15"/>
  <cols>
    <col min="1" max="1" width="10.7109375" customWidth="1"/>
    <col min="2" max="8" width="16.7109375" customWidth="1"/>
    <col min="9" max="10" width="18.7109375" customWidth="1"/>
  </cols>
  <sheetData>
    <row r="1" spans="1:10">
      <c r="A1" s="1" t="s">
        <v>108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109</v>
      </c>
      <c r="B2" s="2"/>
      <c r="C2" s="2"/>
      <c r="D2" s="2"/>
      <c r="E2" s="2"/>
      <c r="F2" s="2"/>
      <c r="G2" s="2"/>
      <c r="H2" s="2"/>
      <c r="I2" s="2"/>
      <c r="J2" s="2"/>
    </row>
    <row r="4" spans="1:10">
      <c r="A4" s="3" t="s">
        <v>110</v>
      </c>
      <c r="B4" s="3"/>
      <c r="C4" s="3"/>
      <c r="D4" s="3"/>
      <c r="E4" s="3"/>
      <c r="F4" s="3"/>
      <c r="G4" s="3"/>
      <c r="H4" s="3"/>
      <c r="I4" s="3"/>
      <c r="J4" s="3"/>
    </row>
    <row r="5" spans="1:10">
      <c r="A5" t="s">
        <v>3</v>
      </c>
      <c r="B5" t="s">
        <v>9</v>
      </c>
      <c r="C5" t="s">
        <v>8</v>
      </c>
      <c r="D5" t="s">
        <v>10</v>
      </c>
      <c r="E5" t="s">
        <v>111</v>
      </c>
      <c r="F5" t="s">
        <v>112</v>
      </c>
      <c r="G5" t="s">
        <v>113</v>
      </c>
      <c r="H5" t="s">
        <v>114</v>
      </c>
      <c r="I5" t="s">
        <v>115</v>
      </c>
      <c r="J5" t="s">
        <v>116</v>
      </c>
    </row>
    <row r="6" spans="1:10">
      <c r="A6" s="4" t="s">
        <v>17</v>
      </c>
      <c r="B6" s="4" t="s">
        <v>22</v>
      </c>
      <c r="C6" s="4" t="s">
        <v>21</v>
      </c>
      <c r="D6" s="4" t="s">
        <v>23</v>
      </c>
      <c r="E6" s="7">
        <v>52000</v>
      </c>
      <c r="F6" s="7">
        <v>4000</v>
      </c>
      <c r="G6" s="7">
        <v>3000</v>
      </c>
      <c r="H6" s="7">
        <f>SUM(E6:G6)</f>
        <v>0</v>
      </c>
      <c r="I6" s="7">
        <f>IFERROR(DATEDIF(INDEX(Effectifs_Mouvements!$J:$J,MATCH(A6,Effectifs_Mouvements!$A:$A,0)),TODAY(),"Y"),"")</f>
        <v>0</v>
      </c>
      <c r="J6" s="7">
        <f>IFERROR(H6/AVERAGEIFS($H$6:$H$12,$B$6:$B$12,B6),"")</f>
        <v>0</v>
      </c>
    </row>
    <row r="7" spans="1:10">
      <c r="A7" s="4" t="s">
        <v>26</v>
      </c>
      <c r="B7" s="4" t="s">
        <v>30</v>
      </c>
      <c r="C7" s="4" t="s">
        <v>21</v>
      </c>
      <c r="D7" s="4" t="s">
        <v>23</v>
      </c>
      <c r="E7" s="7">
        <v>48000</v>
      </c>
      <c r="F7" s="7">
        <v>3500</v>
      </c>
      <c r="G7" s="7">
        <v>2500</v>
      </c>
      <c r="H7" s="7">
        <f>SUM(E7:G7)</f>
        <v>0</v>
      </c>
      <c r="I7" s="7">
        <f>IFERROR(DATEDIF(INDEX(Effectifs_Mouvements!$J:$J,MATCH(A7,Effectifs_Mouvements!$A:$A,0)),TODAY(),"Y"),"")</f>
        <v>0</v>
      </c>
      <c r="J7" s="7">
        <f>IFERROR(H7/AVERAGEIFS($H$6:$H$12,$B$6:$B$12,B7),"")</f>
        <v>0</v>
      </c>
    </row>
    <row r="8" spans="1:10">
      <c r="A8" s="4" t="s">
        <v>31</v>
      </c>
      <c r="B8" s="4" t="s">
        <v>35</v>
      </c>
      <c r="C8" s="4" t="s">
        <v>34</v>
      </c>
      <c r="D8" s="4" t="s">
        <v>36</v>
      </c>
      <c r="E8" s="7">
        <v>32000</v>
      </c>
      <c r="F8" s="7">
        <v>1500</v>
      </c>
      <c r="G8" s="7">
        <v>1000</v>
      </c>
      <c r="H8" s="7">
        <f>SUM(E8:G8)</f>
        <v>0</v>
      </c>
      <c r="I8" s="7">
        <f>IFERROR(DATEDIF(INDEX(Effectifs_Mouvements!$J:$J,MATCH(A8,Effectifs_Mouvements!$A:$A,0)),TODAY(),"Y"),"")</f>
        <v>0</v>
      </c>
      <c r="J8" s="7">
        <f>IFERROR(H8/AVERAGEIFS($H$6:$H$12,$B$6:$B$12,B8),"")</f>
        <v>0</v>
      </c>
    </row>
    <row r="9" spans="1:10">
      <c r="A9" s="4" t="s">
        <v>37</v>
      </c>
      <c r="B9" s="4" t="s">
        <v>41</v>
      </c>
      <c r="C9" s="4" t="s">
        <v>40</v>
      </c>
      <c r="D9" s="4" t="s">
        <v>36</v>
      </c>
      <c r="E9" s="7">
        <v>26000</v>
      </c>
      <c r="F9" s="7">
        <v>1200</v>
      </c>
      <c r="G9" s="7">
        <v>800</v>
      </c>
      <c r="H9" s="7">
        <f>SUM(E9:G9)</f>
        <v>0</v>
      </c>
      <c r="I9" s="7">
        <f>IFERROR(DATEDIF(INDEX(Effectifs_Mouvements!$J:$J,MATCH(A9,Effectifs_Mouvements!$A:$A,0)),TODAY(),"Y"),"")</f>
        <v>0</v>
      </c>
      <c r="J9" s="7">
        <f>IFERROR(H9/AVERAGEIFS($H$6:$H$12,$B$6:$B$12,B9),"")</f>
        <v>0</v>
      </c>
    </row>
    <row r="10" spans="1:10">
      <c r="A10" s="4" t="s">
        <v>43</v>
      </c>
      <c r="B10" s="4" t="s">
        <v>41</v>
      </c>
      <c r="C10" s="4" t="s">
        <v>46</v>
      </c>
      <c r="D10" s="4" t="s">
        <v>36</v>
      </c>
      <c r="E10" s="7">
        <v>34000</v>
      </c>
      <c r="F10" s="7">
        <v>1800</v>
      </c>
      <c r="G10" s="7">
        <v>1200</v>
      </c>
      <c r="H10" s="7">
        <f>SUM(E10:G10)</f>
        <v>0</v>
      </c>
      <c r="I10" s="7">
        <f>IFERROR(DATEDIF(INDEX(Effectifs_Mouvements!$J:$J,MATCH(A10,Effectifs_Mouvements!$A:$A,0)),TODAY(),"Y"),"")</f>
        <v>0</v>
      </c>
      <c r="J10" s="7">
        <f>IFERROR(H10/AVERAGEIFS($H$6:$H$12,$B$6:$B$12,B10),"")</f>
        <v>0</v>
      </c>
    </row>
    <row r="11" spans="1:10">
      <c r="A11" s="4" t="s">
        <v>47</v>
      </c>
      <c r="B11" s="4" t="s">
        <v>50</v>
      </c>
      <c r="C11" s="4" t="s">
        <v>34</v>
      </c>
      <c r="D11" s="4" t="s">
        <v>23</v>
      </c>
      <c r="E11" s="7">
        <v>38000</v>
      </c>
      <c r="F11" s="7">
        <v>2000</v>
      </c>
      <c r="G11" s="7">
        <v>1500</v>
      </c>
      <c r="H11" s="7">
        <f>SUM(E11:G11)</f>
        <v>0</v>
      </c>
      <c r="I11" s="7">
        <f>IFERROR(DATEDIF(INDEX(Effectifs_Mouvements!$J:$J,MATCH(A11,Effectifs_Mouvements!$A:$A,0)),TODAY(),"Y"),"")</f>
        <v>0</v>
      </c>
      <c r="J11" s="7">
        <f>IFERROR(H11/AVERAGEIFS($H$6:$H$12,$B$6:$B$12,B11),"")</f>
        <v>0</v>
      </c>
    </row>
    <row r="12" spans="1:10">
      <c r="A12" s="4" t="s">
        <v>57</v>
      </c>
      <c r="B12" s="4" t="s">
        <v>41</v>
      </c>
      <c r="C12" s="4" t="s">
        <v>40</v>
      </c>
      <c r="D12" s="4" t="s">
        <v>60</v>
      </c>
      <c r="E12" s="7">
        <v>25000</v>
      </c>
      <c r="F12" s="7">
        <v>1000</v>
      </c>
      <c r="G12" s="7">
        <v>600</v>
      </c>
      <c r="H12" s="7">
        <f>SUM(E12:G12)</f>
        <v>0</v>
      </c>
      <c r="I12" s="7">
        <f>IFERROR(DATEDIF(INDEX(Effectifs_Mouvements!$J:$J,MATCH(A12,Effectifs_Mouvements!$A:$A,0)),TODAY(),"Y"),"")</f>
        <v>0</v>
      </c>
      <c r="J12" s="7">
        <f>IFERROR(H12/AVERAGEIFS($H$6:$H$12,$B$6:$B$12,B12),"")</f>
        <v>0</v>
      </c>
    </row>
  </sheetData>
  <mergeCells count="3">
    <mergeCell ref="A1:J1"/>
    <mergeCell ref="A2:J2"/>
    <mergeCell ref="A4:J4"/>
  </mergeCells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>
  <dimension ref="A1:G8"/>
  <sheetViews>
    <sheetView workbookViewId="0">
      <pane ySplit="5" topLeftCell="A6" activePane="bottomLeft" state="frozen"/>
      <selection pane="bottomLeft"/>
    </sheetView>
  </sheetViews>
  <sheetFormatPr defaultRowHeight="15"/>
  <cols>
    <col min="1" max="1" width="24.7109375" customWidth="1"/>
    <col min="2" max="5" width="18.7109375" customWidth="1"/>
    <col min="6" max="7" width="24.7109375" customWidth="1"/>
  </cols>
  <sheetData>
    <row r="1" spans="1:7">
      <c r="A1" s="1" t="s">
        <v>117</v>
      </c>
      <c r="B1" s="1"/>
      <c r="C1" s="1"/>
      <c r="D1" s="1"/>
      <c r="E1" s="1"/>
      <c r="F1" s="1"/>
      <c r="G1" s="1"/>
    </row>
    <row r="2" spans="1:7">
      <c r="A2" s="2" t="s">
        <v>118</v>
      </c>
      <c r="B2" s="2"/>
      <c r="C2" s="2"/>
      <c r="D2" s="2"/>
      <c r="E2" s="2"/>
      <c r="F2" s="2"/>
      <c r="G2" s="2"/>
    </row>
    <row r="4" spans="1:7">
      <c r="A4" s="3" t="s">
        <v>119</v>
      </c>
      <c r="B4" s="3"/>
      <c r="C4" s="3"/>
      <c r="D4" s="3"/>
      <c r="E4" s="3"/>
      <c r="F4" s="3"/>
      <c r="G4" s="3"/>
    </row>
    <row r="5" spans="1:7">
      <c r="A5" t="s">
        <v>120</v>
      </c>
      <c r="B5" t="s">
        <v>121</v>
      </c>
      <c r="C5" t="s">
        <v>122</v>
      </c>
      <c r="D5" t="s">
        <v>123</v>
      </c>
      <c r="E5" t="s">
        <v>124</v>
      </c>
      <c r="F5" t="s">
        <v>125</v>
      </c>
      <c r="G5" t="s">
        <v>126</v>
      </c>
    </row>
    <row r="6" spans="1:7">
      <c r="A6" s="4" t="s">
        <v>127</v>
      </c>
      <c r="B6" s="7">
        <v>78</v>
      </c>
      <c r="C6" s="7">
        <v>74</v>
      </c>
      <c r="D6" s="7">
        <v>80</v>
      </c>
      <c r="E6" s="8">
        <v>0.025</v>
      </c>
      <c r="F6" s="8">
        <v>0.08</v>
      </c>
      <c r="G6" s="4" t="s">
        <v>128</v>
      </c>
    </row>
    <row r="7" spans="1:7">
      <c r="A7" s="4" t="s">
        <v>129</v>
      </c>
      <c r="B7" s="7">
        <v>70</v>
      </c>
      <c r="C7" s="7">
        <v>68</v>
      </c>
      <c r="D7" s="7">
        <v>65</v>
      </c>
      <c r="E7" s="8">
        <v>0.035</v>
      </c>
      <c r="F7" s="8">
        <v>0.11</v>
      </c>
      <c r="G7" s="4" t="s">
        <v>130</v>
      </c>
    </row>
    <row r="8" spans="1:7">
      <c r="A8" s="4" t="s">
        <v>131</v>
      </c>
      <c r="B8" s="7">
        <v>82</v>
      </c>
      <c r="C8" s="7">
        <v>80</v>
      </c>
      <c r="D8" s="7">
        <v>78</v>
      </c>
      <c r="E8" s="8">
        <v>0.02</v>
      </c>
      <c r="F8" s="8">
        <v>0.05</v>
      </c>
      <c r="G8" s="4" t="s">
        <v>132</v>
      </c>
    </row>
  </sheetData>
  <mergeCells count="3">
    <mergeCell ref="A1:G1"/>
    <mergeCell ref="A2:G2"/>
    <mergeCell ref="A4:G4"/>
  </mergeCells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>
  <dimension ref="A1:M49"/>
  <sheetViews>
    <sheetView workbookViewId="0"/>
  </sheetViews>
  <sheetFormatPr defaultRowHeight="15"/>
  <cols>
    <col min="1" max="13" width="20.7109375" customWidth="1"/>
  </cols>
  <sheetData>
    <row r="1" spans="1:13" ht="30" customHeight="1">
      <c r="A1" s="1" t="s">
        <v>133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 t="s">
        <v>134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4" spans="1:13">
      <c r="A4" s="3" t="s">
        <v>135</v>
      </c>
      <c r="B4" s="3"/>
      <c r="C4" s="9" t="s">
        <v>65</v>
      </c>
      <c r="D4" s="5">
        <v>2025</v>
      </c>
      <c r="I4" s="3" t="s">
        <v>166</v>
      </c>
      <c r="J4" s="9" t="s">
        <v>170</v>
      </c>
      <c r="K4" s="9" t="s">
        <v>171</v>
      </c>
      <c r="L4" s="9" t="s">
        <v>172</v>
      </c>
    </row>
    <row r="5" spans="1:13">
      <c r="I5" s="9" t="s">
        <v>167</v>
      </c>
      <c r="J5" s="8">
        <f>C14</f>
        <v>0</v>
      </c>
      <c r="K5" s="8">
        <f>1-J5</f>
        <v>0</v>
      </c>
      <c r="L5" s="8">
        <v>1</v>
      </c>
    </row>
    <row r="6" spans="1:13">
      <c r="A6" s="3" t="s">
        <v>136</v>
      </c>
      <c r="B6" s="3"/>
      <c r="E6" s="3" t="s">
        <v>148</v>
      </c>
      <c r="F6" s="3"/>
      <c r="I6" s="9" t="s">
        <v>168</v>
      </c>
      <c r="J6" s="8">
        <f>C18</f>
        <v>0</v>
      </c>
      <c r="K6" s="8">
        <f>1-J6</f>
        <v>0</v>
      </c>
      <c r="L6" s="8">
        <v>1</v>
      </c>
    </row>
    <row r="7" spans="1:13">
      <c r="A7" s="10" t="s">
        <v>137</v>
      </c>
      <c r="C7" s="11">
        <f>SUMIFS(Effectifs_Mouvements!$N$6:$N$13,Effectifs_Mouvements!$M$6:$M$13,"Actif")</f>
        <v>0</v>
      </c>
      <c r="E7" s="10" t="s">
        <v>149</v>
      </c>
      <c r="G7" s="11">
        <f>SUM(Formation!$G$6:$G$10)</f>
        <v>0</v>
      </c>
      <c r="I7" s="9" t="s">
        <v>169</v>
      </c>
      <c r="J7" s="8">
        <f>IF(C22="",0,C22/100)</f>
        <v>0</v>
      </c>
      <c r="K7" s="8">
        <f>1-J7</f>
        <v>0</v>
      </c>
      <c r="L7" s="8">
        <v>1</v>
      </c>
    </row>
    <row r="8" spans="1:13">
      <c r="A8" s="10" t="s">
        <v>138</v>
      </c>
      <c r="C8" s="12">
        <f>IF(C7=0,0,SUMIFS(Effectifs_Mouvements!$N$6:$N$13,Effectifs_Mouvements!$M$6:$M$13,"Actif",Effectifs_Mouvements!$I$6:$I$13,"CDI")/C7)</f>
        <v>0</v>
      </c>
      <c r="E8" s="10" t="s">
        <v>150</v>
      </c>
      <c r="G8" s="13">
        <f>IF(C7=0,0,G7/C7)</f>
        <v>0</v>
      </c>
    </row>
    <row r="9" spans="1:13">
      <c r="A9" s="10" t="s">
        <v>139</v>
      </c>
      <c r="C9" s="13">
        <f>IF(C7=0,"",AVERAGEIFS(Remuneration!$I$6:$I$12,Remuneration!$A$6:$A$12,"&lt;&gt;"))</f>
        <v>0</v>
      </c>
      <c r="E9" s="10" t="s">
        <v>151</v>
      </c>
      <c r="G9" s="12" cm="1">
        <f t="array" ref="G9">IF(C7=0,0,COUNTA(_xlfn.UNIQUE(_xlfn._xlws.FILTER(Formation!$A$6:$A$10,Formation!$H$6:$H$10="Réalisée")))/C7)</f>
        <v>0</v>
      </c>
    </row>
    <row r="11" spans="1:13">
      <c r="A11" s="3" t="s">
        <v>140</v>
      </c>
      <c r="B11" s="3"/>
      <c r="E11" s="3" t="s">
        <v>93</v>
      </c>
      <c r="F11" s="3"/>
    </row>
    <row r="12" spans="1:13">
      <c r="A12" s="10" t="s">
        <v>141</v>
      </c>
      <c r="C12" s="11">
        <f>COUNTIFS(Effectifs_Mouvements!$J:$J,"&gt;="&amp;DATE($D$4,1,1),Effectifs_Mouvements!$J:$J,"&lt;="&amp;DATE($D$4,12,31))</f>
        <v>0</v>
      </c>
      <c r="E12" s="10" t="s">
        <v>152</v>
      </c>
      <c r="G12" s="12">
        <f>IF(C7=0,0,COUNTA(Performance!$A$6:$A$10)/C7)</f>
        <v>0</v>
      </c>
    </row>
    <row r="13" spans="1:13">
      <c r="A13" s="10" t="s">
        <v>142</v>
      </c>
      <c r="C13" s="11">
        <f>COUNTIFS(Effectifs_Mouvements!$K:$K,"&gt;="&amp;DATE($D$4,1,1),Effectifs_Mouvements!$K:$K,"&lt;="&amp;DATE($D$4,12,31))</f>
        <v>0</v>
      </c>
      <c r="E13" s="10" t="s">
        <v>153</v>
      </c>
      <c r="G13" s="13">
        <f>IF(COUNTA(Performance!$E$6:$E$10)=0,"",AVERAGE(Performance!$E$6:$E$10))</f>
        <v>0</v>
      </c>
    </row>
    <row r="14" spans="1:13">
      <c r="A14" s="10" t="s">
        <v>143</v>
      </c>
      <c r="C14" s="12">
        <f>IF(C7=0,0,C13/C7)</f>
        <v>0</v>
      </c>
      <c r="E14" s="10" t="s">
        <v>154</v>
      </c>
      <c r="G14" s="12">
        <f>IF(C7=0,0,COUNTIFS(Performance!$H$6:$H$10,"Oui")/C7)</f>
        <v>0</v>
      </c>
    </row>
    <row r="15" spans="1:13">
      <c r="A15" s="10" t="s">
        <v>144</v>
      </c>
      <c r="C15" s="12">
        <f>IF(C7=0,0,COUNTIFS(Effectifs_Mouvements!$K:$K,"&gt;="&amp;DATE($D$4,1,1),Effectifs_Mouvements!$K:$K,"&lt;="&amp;DATE($D$4,12,31),Effectifs_Mouvements!$L:$L,"Départ volontaire")/C7)</f>
        <v>0</v>
      </c>
    </row>
    <row r="17" spans="1:10">
      <c r="A17" s="3" t="s">
        <v>145</v>
      </c>
      <c r="B17" s="3"/>
      <c r="E17" s="3" t="s">
        <v>155</v>
      </c>
      <c r="F17" s="3"/>
    </row>
    <row r="18" spans="1:10">
      <c r="A18" s="10" t="s">
        <v>146</v>
      </c>
      <c r="C18" s="12">
        <f>IF(SUM(Absences!$F$6:$F$13)=0,0,SUM(Absences!$E$6:$E$13)/SUM(Absences!$F$6:$F$13))</f>
        <v>0</v>
      </c>
      <c r="E18" s="10" t="s">
        <v>156</v>
      </c>
      <c r="G18" s="11">
        <f>SUM(Remuneration!$H$6:$H$12)</f>
        <v>0</v>
      </c>
    </row>
    <row r="19" spans="1:10">
      <c r="A19" s="10" t="s">
        <v>147</v>
      </c>
      <c r="C19" s="13">
        <f>IF(C7=0,0,SUM(Absences!$E$6:$E$13)/C7)</f>
        <v>0</v>
      </c>
      <c r="E19" s="10" t="s">
        <v>157</v>
      </c>
      <c r="G19" s="11">
        <f>IF(C7=0,0,G18/C7)</f>
        <v>0</v>
      </c>
    </row>
    <row r="21" spans="1:10">
      <c r="A21" s="3" t="s">
        <v>158</v>
      </c>
      <c r="B21" s="3"/>
    </row>
    <row r="22" spans="1:10">
      <c r="A22" s="10" t="s">
        <v>159</v>
      </c>
      <c r="C22" s="13">
        <f>IF(COUNTA(Barometre_Social!$A$6:$A$8)=0,"",AVERAGE(Barometre_Social!$B$6:$B$8))</f>
        <v>0</v>
      </c>
    </row>
    <row r="23" spans="1:10">
      <c r="A23" s="10" t="s">
        <v>160</v>
      </c>
      <c r="C23" s="13">
        <f>IF(COUNTA(Barometre_Social!$A$6:$A$8)=0,"",AVERAGE(Barometre_Social!$D$6:$D$8))</f>
        <v>0</v>
      </c>
    </row>
    <row r="24" spans="1:10">
      <c r="A24" s="10" t="s">
        <v>161</v>
      </c>
      <c r="C24" s="12">
        <f>IF(COUNTA(Barometre_Social!$A$6:$A$8)=0,0,AVERAGE(Barometre_Social!$F$6:$F$8))</f>
        <v>0</v>
      </c>
    </row>
    <row r="26" spans="1:10">
      <c r="A26" s="14" t="s">
        <v>162</v>
      </c>
      <c r="B26" s="14"/>
      <c r="C26" s="15" t="s">
        <v>143</v>
      </c>
      <c r="D26" s="15"/>
      <c r="E26" s="15" t="s">
        <v>163</v>
      </c>
      <c r="F26" s="15"/>
      <c r="G26" s="16" t="s">
        <v>164</v>
      </c>
      <c r="H26" s="16"/>
      <c r="I26" s="14" t="s">
        <v>165</v>
      </c>
      <c r="J26" s="14"/>
    </row>
    <row r="27" spans="1:10">
      <c r="A27" s="11">
        <f>C7</f>
        <v>0</v>
      </c>
      <c r="B27" s="14"/>
      <c r="C27" s="12">
        <f>C14</f>
        <v>0</v>
      </c>
      <c r="D27" s="15"/>
      <c r="E27" s="12">
        <f>C18</f>
        <v>0</v>
      </c>
      <c r="F27" s="15"/>
      <c r="G27" s="13">
        <f>C22</f>
        <v>0</v>
      </c>
      <c r="H27" s="16"/>
      <c r="I27" s="13">
        <f>G8</f>
        <v>0</v>
      </c>
      <c r="J27" s="14"/>
    </row>
    <row r="38" spans="1:2">
      <c r="A38" s="9" t="s">
        <v>173</v>
      </c>
      <c r="B38" s="9" t="s">
        <v>170</v>
      </c>
    </row>
    <row r="39" spans="1:2">
      <c r="A39" s="4" t="s">
        <v>143</v>
      </c>
      <c r="B39" s="8">
        <f>C14</f>
        <v>0</v>
      </c>
    </row>
    <row r="40" spans="1:2">
      <c r="A40" s="4" t="s">
        <v>174</v>
      </c>
      <c r="B40" s="8">
        <f>C18</f>
        <v>0</v>
      </c>
    </row>
    <row r="41" spans="1:2">
      <c r="A41" s="4" t="s">
        <v>164</v>
      </c>
      <c r="B41" s="8">
        <f>C22/100</f>
        <v>0</v>
      </c>
    </row>
    <row r="42" spans="1:2">
      <c r="A42" s="4" t="s">
        <v>175</v>
      </c>
      <c r="B42" s="8">
        <f>G8/100</f>
        <v>0</v>
      </c>
    </row>
    <row r="45" spans="1:2">
      <c r="A45" s="9" t="s">
        <v>176</v>
      </c>
      <c r="B45" s="9" t="s">
        <v>177</v>
      </c>
    </row>
    <row r="47" spans="1:2">
      <c r="A47" s="4" t="s">
        <v>24</v>
      </c>
      <c r="B47" s="7">
        <f>SUMIFS(Effectifs_Mouvements!$N$6:$N$13,Effectifs_Mouvements!$M$6:$M$13,"Actif",Effectifs_Mouvements!$I$6:$I$13,"CDI")</f>
        <v>0</v>
      </c>
    </row>
    <row r="48" spans="1:2">
      <c r="A48" s="4" t="s">
        <v>42</v>
      </c>
      <c r="B48" s="7">
        <f>SUMIFS(Effectifs_Mouvements!$N$6:$N$13,Effectifs_Mouvements!$M$6:$M$13,"Actif",Effectifs_Mouvements!$I$6:$I$13,"CDD")</f>
        <v>0</v>
      </c>
    </row>
    <row r="49" spans="1:2">
      <c r="A49" s="4" t="s">
        <v>61</v>
      </c>
      <c r="B49" s="7">
        <f>SUMIFS(Effectifs_Mouvements!$N$6:$N$13,Effectifs_Mouvements!$M$6:$M$13,"Actif",Effectifs_Mouvements!$I$6:$I$13,"Intérim")</f>
        <v>0</v>
      </c>
    </row>
  </sheetData>
  <mergeCells count="20">
    <mergeCell ref="A1:M1"/>
    <mergeCell ref="A2:M2"/>
    <mergeCell ref="A4:B4"/>
    <mergeCell ref="A6:B6"/>
    <mergeCell ref="A11:B11"/>
    <mergeCell ref="A17:B17"/>
    <mergeCell ref="E6:F6"/>
    <mergeCell ref="E11:F11"/>
    <mergeCell ref="E17:F17"/>
    <mergeCell ref="A21:B21"/>
    <mergeCell ref="A26:B26"/>
    <mergeCell ref="A27:B27"/>
    <mergeCell ref="C26:D26"/>
    <mergeCell ref="C27:D27"/>
    <mergeCell ref="E26:F26"/>
    <mergeCell ref="E27:F27"/>
    <mergeCell ref="G26:H26"/>
    <mergeCell ref="G27:H27"/>
    <mergeCell ref="I26:J26"/>
    <mergeCell ref="I27:J27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2"/>
  <sheetViews>
    <sheetView workbookViewId="0"/>
  </sheetViews>
  <sheetFormatPr defaultRowHeight="15"/>
  <cols>
    <col min="1" max="6" width="24.7109375" customWidth="1"/>
  </cols>
  <sheetData>
    <row r="1" spans="1:6" ht="30" customHeight="1">
      <c r="A1" s="1" t="s">
        <v>178</v>
      </c>
      <c r="B1" s="1"/>
      <c r="C1" s="1"/>
      <c r="D1" s="1"/>
      <c r="E1" s="1"/>
      <c r="F1" s="1"/>
    </row>
    <row r="2" spans="1:6">
      <c r="A2" s="2" t="s">
        <v>179</v>
      </c>
      <c r="B2" s="2"/>
      <c r="C2" s="2"/>
      <c r="D2" s="2"/>
      <c r="E2" s="2"/>
      <c r="F2" s="2"/>
    </row>
    <row r="4" spans="1:6">
      <c r="A4" s="10" t="s">
        <v>180</v>
      </c>
      <c r="B4" s="5">
        <f>Dashboard_RH!D4</f>
        <v>0</v>
      </c>
      <c r="C4" s="4"/>
      <c r="D4" s="4"/>
      <c r="E4" s="4"/>
      <c r="F4" s="4"/>
    </row>
    <row r="6" spans="1:6">
      <c r="A6" s="3" t="s">
        <v>181</v>
      </c>
      <c r="B6" s="3"/>
      <c r="C6" s="3"/>
      <c r="D6" s="3"/>
      <c r="E6" s="3"/>
      <c r="F6" s="3"/>
    </row>
    <row r="7" spans="1:6">
      <c r="E7" s="4" t="s">
        <v>183</v>
      </c>
    </row>
    <row r="8" spans="1:6">
      <c r="A8" s="10" t="s">
        <v>137</v>
      </c>
      <c r="C8" s="11">
        <f>Dashboard_RH!C7</f>
        <v>0</v>
      </c>
      <c r="E8" s="4">
        <f>IF(Dashboard_RH!C14&gt;0.15,"Turnover élevé : analyser les causes de départ.","Turnover maîtrisé.")</f>
        <v>0</v>
      </c>
    </row>
    <row r="9" spans="1:6">
      <c r="A9" s="10" t="s">
        <v>143</v>
      </c>
      <c r="C9" s="12">
        <f>Dashboard_RH!C14</f>
        <v>0</v>
      </c>
      <c r="E9" s="4">
        <f>IF(Dashboard_RH!C15&gt;0.08,"Départs volontaires significatifs : surveiller l'attractivité interne.","Taux de départs volontaires acceptable.")</f>
        <v>0</v>
      </c>
    </row>
    <row r="10" spans="1:6">
      <c r="A10" s="10" t="s">
        <v>144</v>
      </c>
      <c r="C10" s="12">
        <f>Dashboard_RH!C15</f>
        <v>0</v>
      </c>
      <c r="E10" s="4">
        <f>IF(Dashboard_RH!C18&gt;0.04,"Absentéisme au-dessus du seuil de vigilance.","Absentéisme dans une zone acceptable.")</f>
        <v>0</v>
      </c>
    </row>
    <row r="11" spans="1:6">
      <c r="A11" s="10" t="s">
        <v>163</v>
      </c>
      <c r="C11" s="12">
        <f>Dashboard_RH!C18</f>
        <v>0</v>
      </c>
      <c r="E11" s="4" t="s">
        <v>184</v>
      </c>
    </row>
    <row r="12" spans="1:6">
      <c r="A12" s="10" t="s">
        <v>182</v>
      </c>
      <c r="C12" s="13">
        <f>Dashboard_RH!G8</f>
        <v>0</v>
      </c>
      <c r="E12" s="4">
        <f>IF(Dashboard_RH!G12&lt;0.8,"Taux d'entretiens insuffisant par rapport aux pratiques recommandées.","Couverture satisfaisante des entretiens annuels.")</f>
        <v>0</v>
      </c>
    </row>
    <row r="13" spans="1:6">
      <c r="A13" s="10" t="s">
        <v>152</v>
      </c>
      <c r="C13" s="12">
        <f>Dashboard_RH!G12</f>
        <v>0</v>
      </c>
      <c r="E13" s="4" t="s">
        <v>185</v>
      </c>
    </row>
    <row r="14" spans="1:6">
      <c r="A14" s="10" t="s">
        <v>157</v>
      </c>
      <c r="C14" s="11">
        <f>Dashboard_RH!G19</f>
        <v>0</v>
      </c>
      <c r="E14" s="4">
        <f>IF(Dashboard_RH!C22&lt;70,"Engagement fragile : écouter les signaux faibles du climat social.","Bon niveau d'engagement global.")</f>
        <v>0</v>
      </c>
    </row>
    <row r="15" spans="1:6">
      <c r="A15" s="10" t="s">
        <v>159</v>
      </c>
      <c r="C15" s="13">
        <f>Dashboard_RH!C22</f>
        <v>0</v>
      </c>
      <c r="E15" s="4">
        <f>IF(Dashboard_RH!C23&lt;70,"Qualité de vie perçue comme perfectible.","Perception satisfaisante des conditions de travail.")</f>
        <v>0</v>
      </c>
    </row>
    <row r="16" spans="1:6">
      <c r="A16" s="10" t="s">
        <v>160</v>
      </c>
      <c r="C16" s="13">
        <f>Dashboard_RH!C23</f>
        <v>0</v>
      </c>
    </row>
    <row r="18" spans="1:6">
      <c r="A18" s="2" t="s">
        <v>186</v>
      </c>
      <c r="B18" s="2"/>
      <c r="C18" s="2"/>
      <c r="D18" s="2"/>
      <c r="E18" s="2"/>
      <c r="F18" s="2"/>
    </row>
    <row r="19" spans="1:6">
      <c r="A19" s="2"/>
      <c r="B19" s="2"/>
      <c r="C19" s="2"/>
      <c r="D19" s="2"/>
      <c r="E19" s="2"/>
      <c r="F19" s="2"/>
    </row>
    <row r="20" spans="1:6">
      <c r="A20" s="2"/>
      <c r="B20" s="2"/>
      <c r="C20" s="2"/>
      <c r="D20" s="2"/>
      <c r="E20" s="2"/>
      <c r="F20" s="2"/>
    </row>
    <row r="21" spans="1:6">
      <c r="A21" s="2"/>
      <c r="B21" s="2"/>
      <c r="C21" s="2"/>
      <c r="D21" s="2"/>
      <c r="E21" s="2"/>
      <c r="F21" s="2"/>
    </row>
    <row r="22" spans="1:6">
      <c r="A22" s="2"/>
      <c r="B22" s="2"/>
      <c r="C22" s="2"/>
      <c r="D22" s="2"/>
      <c r="E22" s="2"/>
      <c r="F22" s="2"/>
    </row>
  </sheetData>
  <mergeCells count="5">
    <mergeCell ref="A1:F1"/>
    <mergeCell ref="A2:F2"/>
    <mergeCell ref="C4:F4"/>
    <mergeCell ref="A6:F6"/>
    <mergeCell ref="A18:F22"/>
  </mergeCells>
  <pageMargins left="0.5" right="0.5" top="0.7" bottom="0.7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</vt:i4>
      </vt:variant>
    </vt:vector>
  </HeadingPairs>
  <TitlesOfParts>
    <vt:vector size="9" baseType="lpstr">
      <vt:lpstr>Effectifs_Mouvements</vt:lpstr>
      <vt:lpstr>Absences</vt:lpstr>
      <vt:lpstr>Formation</vt:lpstr>
      <vt:lpstr>Performance</vt:lpstr>
      <vt:lpstr>Remuneration</vt:lpstr>
      <vt:lpstr>Barometre_Social</vt:lpstr>
      <vt:lpstr>Dashboard_RH</vt:lpstr>
      <vt:lpstr>Synthese_A4</vt:lpstr>
      <vt:lpstr>Synthese_A4!Print_Area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2025-11-25T04:02:41Z</dcterms:created>
  <dcterms:modified xsi:type="dcterms:W3CDTF">2025-11-25T04:02:41Z</dcterms:modified>
</cp:coreProperties>
</file>