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Equipements" sheetId="1" r:id="rId1"/>
    <sheet name="Interventions" sheetId="2" r:id="rId2"/>
    <sheet name="Dashboard" sheetId="3" r:id="rId3"/>
    <sheet name="Synthèse_A4" sheetId="4" r:id="rId4"/>
    <sheet name="Barometre_Humain" sheetId="5" r:id="rId5"/>
  </sheets>
  <definedNames>
    <definedName name="_xlnm.Print_Area" localSheetId="3">Synthèse_A4!$A$1:$F$32</definedName>
  </definedNames>
  <calcPr calcId="124519" fullCalcOnLoad="1"/>
</workbook>
</file>

<file path=xl/sharedStrings.xml><?xml version="1.0" encoding="utf-8"?>
<sst xmlns="http://schemas.openxmlformats.org/spreadsheetml/2006/main" count="257" uniqueCount="153">
  <si>
    <t>Base équipements – Maintenance préventive</t>
  </si>
  <si>
    <t>Liste structurée des équipements avec criticité, périodicité de maintenance préventive et indicateurs MTBF.</t>
  </si>
  <si>
    <t>Référentiel équipements</t>
  </si>
  <si>
    <t>ID_Equipement</t>
  </si>
  <si>
    <t>Nom_Equipement</t>
  </si>
  <si>
    <t>Famille</t>
  </si>
  <si>
    <t>Criticité</t>
  </si>
  <si>
    <t>Localisation</t>
  </si>
  <si>
    <t>Fréquence_PM_jours</t>
  </si>
  <si>
    <t>Durée_Prévue_h</t>
  </si>
  <si>
    <t>Responsable</t>
  </si>
  <si>
    <t>Date_Dernière_PM</t>
  </si>
  <si>
    <t>Date_Prochaine_PM</t>
  </si>
  <si>
    <t>Statut_PM</t>
  </si>
  <si>
    <t>Nb_Pannes_12m</t>
  </si>
  <si>
    <t>MTBF_h</t>
  </si>
  <si>
    <t>EQ-001</t>
  </si>
  <si>
    <t>Compresseur air principal</t>
  </si>
  <si>
    <t>Air comprimé</t>
  </si>
  <si>
    <t>Atelier A</t>
  </si>
  <si>
    <t>Ali</t>
  </si>
  <si>
    <t>EQ-002</t>
  </si>
  <si>
    <t>Convoyeur ligne 1</t>
  </si>
  <si>
    <t>Convoyage</t>
  </si>
  <si>
    <t>Ligne 1</t>
  </si>
  <si>
    <t>Sara</t>
  </si>
  <si>
    <t>EQ-003</t>
  </si>
  <si>
    <t>Four de traitement thermique</t>
  </si>
  <si>
    <t>Thermique</t>
  </si>
  <si>
    <t>Zone chaleur</t>
  </si>
  <si>
    <t>Youssef</t>
  </si>
  <si>
    <t>EQ-004</t>
  </si>
  <si>
    <t>Pompe eau process</t>
  </si>
  <si>
    <t>Pompage</t>
  </si>
  <si>
    <t>Local pompes</t>
  </si>
  <si>
    <t>Nadia</t>
  </si>
  <si>
    <t>EQ-005</t>
  </si>
  <si>
    <t>Chariot élévateur 1</t>
  </si>
  <si>
    <t>Manutention</t>
  </si>
  <si>
    <t>Magasin</t>
  </si>
  <si>
    <t>Hicham</t>
  </si>
  <si>
    <t>EQ-006</t>
  </si>
  <si>
    <t>Groupe froid central</t>
  </si>
  <si>
    <t>Froid</t>
  </si>
  <si>
    <t>Salle technique</t>
  </si>
  <si>
    <t>Samir</t>
  </si>
  <si>
    <t>EQ-007</t>
  </si>
  <si>
    <t>Compresseur air secours</t>
  </si>
  <si>
    <t>EQ-008</t>
  </si>
  <si>
    <t>Convoyeur ligne 2</t>
  </si>
  <si>
    <t>Ligne 2</t>
  </si>
  <si>
    <t>EQ-009</t>
  </si>
  <si>
    <t>Pompe de relevage</t>
  </si>
  <si>
    <t>Station relevage</t>
  </si>
  <si>
    <t>EQ-010</t>
  </si>
  <si>
    <t>Chariot élévateur 2</t>
  </si>
  <si>
    <t>Journal des interventions de maintenance</t>
  </si>
  <si>
    <t>Historique des interventions préventives et correctives, base pour le calcul des indicateurs.</t>
  </si>
  <si>
    <t>Interventions réalisées</t>
  </si>
  <si>
    <t>ID_Intervention</t>
  </si>
  <si>
    <t>Date</t>
  </si>
  <si>
    <t>Type</t>
  </si>
  <si>
    <t>Statut</t>
  </si>
  <si>
    <t>Durée_h</t>
  </si>
  <si>
    <t>Temps_Arret_h</t>
  </si>
  <si>
    <t>Technicien</t>
  </si>
  <si>
    <t>Commentaire</t>
  </si>
  <si>
    <t>INT-001</t>
  </si>
  <si>
    <t>Préventif</t>
  </si>
  <si>
    <t>Réalisée</t>
  </si>
  <si>
    <t>Contrôle filtre</t>
  </si>
  <si>
    <t>INT-002</t>
  </si>
  <si>
    <t>Correctif</t>
  </si>
  <si>
    <t>Courroie remplacée</t>
  </si>
  <si>
    <t>INT-003</t>
  </si>
  <si>
    <t>Graissage</t>
  </si>
  <si>
    <t>INT-004</t>
  </si>
  <si>
    <t>Contrôle niveau gaz</t>
  </si>
  <si>
    <t>INT-005</t>
  </si>
  <si>
    <t>Visite complète</t>
  </si>
  <si>
    <t>INT-006</t>
  </si>
  <si>
    <t>Capteur remplacé</t>
  </si>
  <si>
    <t>INT-007</t>
  </si>
  <si>
    <t>Fuite joint</t>
  </si>
  <si>
    <t>INT-008</t>
  </si>
  <si>
    <t>Capteur HS</t>
  </si>
  <si>
    <t>INT-009</t>
  </si>
  <si>
    <t>Vidange et contrôle</t>
  </si>
  <si>
    <t>INT-010</t>
  </si>
  <si>
    <t>Remplacement ventilo</t>
  </si>
  <si>
    <t>INT-011</t>
  </si>
  <si>
    <t>Résistance grillée</t>
  </si>
  <si>
    <t>INT-012</t>
  </si>
  <si>
    <t>Contrôle routine</t>
  </si>
  <si>
    <t>INT-013</t>
  </si>
  <si>
    <t>Contrôle général</t>
  </si>
  <si>
    <t>INT-014</t>
  </si>
  <si>
    <t>Nettoyage crépine</t>
  </si>
  <si>
    <t>INT-015</t>
  </si>
  <si>
    <t>Contrôle sécurité</t>
  </si>
  <si>
    <t>Tableau de bord maintenance préventive – Vue détaillée</t>
  </si>
  <si>
    <t>Pilotage des indicateurs clés de maintenance préventive et corrective sur une période donnée.</t>
  </si>
  <si>
    <t>Période d'analyse</t>
  </si>
  <si>
    <t>Du</t>
  </si>
  <si>
    <t>Au</t>
  </si>
  <si>
    <t>Indicateurs clés de la période</t>
  </si>
  <si>
    <t>Nb PM préventives réalisées (période)</t>
  </si>
  <si>
    <t>Nb interventions correctives (période)</t>
  </si>
  <si>
    <t>% interventions préventives sur total (période)</t>
  </si>
  <si>
    <t>% équipements à jour (PM)</t>
  </si>
  <si>
    <t>Durée totale PM (h) sur la période</t>
  </si>
  <si>
    <t>Temps d'arrêt correctif (h) sur la période</t>
  </si>
  <si>
    <t>Score global de culture préventive (/100)</t>
  </si>
  <si>
    <t>Taux de préventif</t>
  </si>
  <si>
    <t>Équipements à jour</t>
  </si>
  <si>
    <t>Score préventif (/100)</t>
  </si>
  <si>
    <t>Temps arrêt correctif (h)</t>
  </si>
  <si>
    <t>Répartition interventions (période)</t>
  </si>
  <si>
    <t>Nb interventions</t>
  </si>
  <si>
    <t>Interventions par équipement (période)</t>
  </si>
  <si>
    <t>Temps (h) par type d'activité (période)</t>
  </si>
  <si>
    <t>Temps_h</t>
  </si>
  <si>
    <t>Durée PM</t>
  </si>
  <si>
    <t>Temps arrêt correctif</t>
  </si>
  <si>
    <t>Synthèse – Tableau de bord maintenance préventive</t>
  </si>
  <si>
    <t>Vue condensée des indicateurs clés et des équipements les plus sollicités, prête à être imprimée en A4.</t>
  </si>
  <si>
    <t>Période d'analyse :</t>
  </si>
  <si>
    <t>Indicateurs principaux de la période</t>
  </si>
  <si>
    <t>PM préventives réalisées</t>
  </si>
  <si>
    <t>Interventions correctives</t>
  </si>
  <si>
    <t>% préventif sur total</t>
  </si>
  <si>
    <t>% équipements à jour</t>
  </si>
  <si>
    <t>Durée totale PM (h)</t>
  </si>
  <si>
    <t>Temps d'arrêt correctif (h)</t>
  </si>
  <si>
    <t>Score global préventif (/100)</t>
  </si>
  <si>
    <t>Volume d'activité préventive réalisé.</t>
  </si>
  <si>
    <t>Nombre de pannes traitées.</t>
  </si>
  <si>
    <t>Charge de travail préventive (heures).</t>
  </si>
  <si>
    <t>Focus équipements – Top 3 par nombre d'interventions</t>
  </si>
  <si>
    <t>Nb interventions (période)</t>
  </si>
  <si>
    <t>Équipements à intégrer en priorité dans la revue de plan de maintenance.</t>
  </si>
  <si>
    <t>Lecture rapide : les indicateurs en haut, les équipements clés au centre, le graphique en bas comme support visuel pour la réunion de production ou de maintenance.</t>
  </si>
  <si>
    <t>Baromètre humain de la maintenance préventive</t>
  </si>
  <si>
    <t>Angle original : visualiser la charge, l'équilibre préventif/correctif et le ressenti des techniciens sur la période.</t>
  </si>
  <si>
    <t>Profil par technicien – Charge et équilibre préventif / correctif</t>
  </si>
  <si>
    <t>Nb interventions préventives</t>
  </si>
  <si>
    <t>Nb interventions correctives</t>
  </si>
  <si>
    <t>Heures totales (h)</t>
  </si>
  <si>
    <t>% préventif</t>
  </si>
  <si>
    <t>Indice d'équilibre charge (0–100)</t>
  </si>
  <si>
    <t>Ressenti (à saisir)</t>
  </si>
  <si>
    <t>Commentaire libre</t>
  </si>
  <si>
    <t>Interprétation :
- Un indice proche de 100 traduit une charge équilibrée avec majorité de préventif et peu de correctifs.
- Un indice faible signale un technicien souvent exposé au « pompiérisme » (correctif) ou à une surcharge.
- La colonne « Ressenti » permet de confronter la donnée chiffrée à la perception terrain lors des points d'équipe.</t>
  </si>
</sst>
</file>

<file path=xl/styles.xml><?xml version="1.0" encoding="utf-8"?>
<styleSheet xmlns="http://schemas.openxmlformats.org/spreadsheetml/2006/main">
  <numFmts count="3">
    <numFmt numFmtId="164" formatCode="0.00"/>
    <numFmt numFmtId="165" formatCode="dd/mm/yyyy"/>
    <numFmt numFmtId="166" formatCode="0.0%"/>
  </numFmts>
  <fonts count="8">
    <font>
      <sz val="11"/>
      <color theme="1"/>
      <name val="Calibri"/>
      <family val="2"/>
      <scheme val="minor"/>
    </font>
    <font>
      <b/>
      <sz val="18"/>
      <color rgb="FF1F4E79"/>
      <name val="Calibri"/>
      <family val="2"/>
      <scheme val="minor"/>
    </font>
    <font>
      <i/>
      <sz val="10"/>
      <color rgb="FF555555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1F4E79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E2F0D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8CBAD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164" fontId="4" fillId="0" borderId="1" xfId="0" applyNumberFormat="1" applyFont="1" applyBorder="1"/>
    <xf numFmtId="165" fontId="4" fillId="0" borderId="1" xfId="0" applyNumberFormat="1" applyFont="1" applyBorder="1"/>
    <xf numFmtId="0" fontId="5" fillId="3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left" vertical="center"/>
    </xf>
    <xf numFmtId="1" fontId="7" fillId="0" borderId="0" xfId="0" applyNumberFormat="1" applyFont="1" applyAlignment="1">
      <alignment horizontal="center" vertical="center"/>
    </xf>
    <xf numFmtId="166" fontId="7" fillId="0" borderId="0" xfId="0" applyNumberFormat="1" applyFont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166" fontId="4" fillId="0" borderId="1" xfId="0" applyNumberFormat="1" applyFont="1" applyBorder="1"/>
  </cellXfs>
  <cellStyles count="1">
    <cellStyle name="Normal" xfId="0" builtinId="0"/>
  </cellStyles>
  <dxfs count="3">
    <dxf>
      <fill>
        <patternFill>
          <bgColor rgb="FFF8CBAD"/>
        </patternFill>
      </fill>
    </dxf>
    <dxf>
      <fill>
        <patternFill>
          <bgColor rgb="FFE2F0D9"/>
        </patternFill>
      </fill>
    </dxf>
    <dxf>
      <fill>
        <patternFill>
          <bgColor rgb="FFFFF2CC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Préventif vs Correctif (nb interventions)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Nb interventions</c:v>
          </c:tx>
          <c:cat>
            <c:strRef>
              <c:f>Dashboard!$A$16:$A$17</c:f>
              <c:strCache>
                <c:ptCount val="2"/>
                <c:pt idx="0">
                  <c:v>Préventif</c:v>
                </c:pt>
                <c:pt idx="1">
                  <c:v>Correctif</c:v>
                </c:pt>
              </c:strCache>
            </c:strRef>
          </c:cat>
          <c:val>
            <c:numRef>
              <c:f>Dashboard!$B$16:$B$17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axId val="50010001"/>
        <c:axId val="50010002"/>
      </c:barChart>
      <c:catAx>
        <c:axId val="50010001"/>
        <c:scaling>
          <c:orientation val="minMax"/>
        </c:scaling>
        <c:axPos val="b"/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l"/>
        <c:majorGridlines/>
        <c:numFmt formatCode="General" sourceLinked="1"/>
        <c:tickLblPos val="nextTo"/>
        <c:crossAx val="5001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Interventions par équipement (Top 5)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Nb interventions</c:v>
          </c:tx>
          <c:cat>
            <c:numRef>
              <c:f>Dashboard!$A$21:$A$25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cat>
          <c:val>
            <c:numRef>
              <c:f>Dashboard!$B$21:$B$25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</c:ser>
        <c:axId val="50020001"/>
        <c:axId val="50020002"/>
      </c:barChart>
      <c:catAx>
        <c:axId val="50020001"/>
        <c:scaling>
          <c:orientation val="minMax"/>
        </c:scaling>
        <c:axPos val="b"/>
        <c:numFmt formatCode="General" sourceLinked="1"/>
        <c:tickLblPos val="nextTo"/>
        <c:crossAx val="50020002"/>
        <c:crosses val="autoZero"/>
        <c:auto val="1"/>
        <c:lblAlgn val="ctr"/>
        <c:lblOffset val="100"/>
      </c:catAx>
      <c:valAx>
        <c:axId val="50020002"/>
        <c:scaling>
          <c:orientation val="minMax"/>
        </c:scaling>
        <c:axPos val="l"/>
        <c:majorGridlines/>
        <c:numFmt formatCode="General" sourceLinked="1"/>
        <c:tickLblPos val="nextTo"/>
        <c:crossAx val="5002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Répartition du temps (h)</a:t>
            </a:r>
          </a:p>
        </c:rich>
      </c:tx>
      <c:layout/>
    </c:title>
    <c:plotArea>
      <c:layout/>
      <c:pieChart>
        <c:varyColors val="1"/>
        <c:ser>
          <c:idx val="0"/>
          <c:order val="0"/>
          <c:tx>
            <c:v>Temps (h)</c:v>
          </c:tx>
          <c:cat>
            <c:strRef>
              <c:f>Dashboard!$A$29:$A$30</c:f>
              <c:strCache>
                <c:ptCount val="2"/>
                <c:pt idx="0">
                  <c:v>Durée PM</c:v>
                </c:pt>
                <c:pt idx="1">
                  <c:v>Temps arrêt correctif</c:v>
                </c:pt>
              </c:strCache>
            </c:strRef>
          </c:cat>
          <c:val>
            <c:numRef>
              <c:f>Dashboard!$B$29:$B$30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firstSliceAng val="0"/>
      </c:pieChart>
    </c:plotArea>
    <c:legend>
      <c:legendPos val="r"/>
      <c:layout/>
      <c:txPr>
        <a:bodyPr/>
        <a:lstStyle/>
        <a:p>
          <a:pPr rtl="0">
            <a:defRPr/>
          </a:pPr>
          <a:endParaRPr lang="en-US"/>
        </a:p>
      </c:txPr>
    </c:legend>
    <c:plotVisOnly val="1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Top 3 équipements (nb interventions)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Nb interventions</c:v>
          </c:tx>
          <c:cat>
            <c:numRef>
              <c:f>Synthèse_A4!$A$17:$A$19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cat>
          <c:val>
            <c:numRef>
              <c:f>Synthèse_A4!$C$17:$C$19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</c:ser>
        <c:axId val="50040001"/>
        <c:axId val="50040002"/>
      </c:barChart>
      <c:catAx>
        <c:axId val="50040001"/>
        <c:scaling>
          <c:orientation val="minMax"/>
        </c:scaling>
        <c:axPos val="b"/>
        <c:numFmt formatCode="General" sourceLinked="1"/>
        <c:tickLblPos val="nextTo"/>
        <c:crossAx val="50040002"/>
        <c:crosses val="autoZero"/>
        <c:auto val="1"/>
        <c:lblAlgn val="ctr"/>
        <c:lblOffset val="100"/>
      </c:catAx>
      <c:valAx>
        <c:axId val="50040002"/>
        <c:scaling>
          <c:orientation val="minMax"/>
        </c:scaling>
        <c:axPos val="l"/>
        <c:majorGridlines/>
        <c:numFmt formatCode="General" sourceLinked="1"/>
        <c:tickLblPos val="nextTo"/>
        <c:crossAx val="5004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Indice d'équilibre charge par technicien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Indice d'équilibre charge</c:v>
          </c:tx>
          <c:cat>
            <c:strRef>
              <c:f>Barometre_Humain!$A$7:$A$12</c:f>
              <c:strCache>
                <c:ptCount val="6"/>
                <c:pt idx="0">
                  <c:v>Ali</c:v>
                </c:pt>
                <c:pt idx="1">
                  <c:v>Sara</c:v>
                </c:pt>
                <c:pt idx="2">
                  <c:v>Youssef</c:v>
                </c:pt>
                <c:pt idx="3">
                  <c:v>Nadia</c:v>
                </c:pt>
                <c:pt idx="4">
                  <c:v>Hicham</c:v>
                </c:pt>
                <c:pt idx="5">
                  <c:v>Samir</c:v>
                </c:pt>
              </c:strCache>
            </c:strRef>
          </c:cat>
          <c:val>
            <c:numRef>
              <c:f>Barometre_Humain!$F$7:$F$12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</c:ser>
        <c:axId val="50050001"/>
        <c:axId val="50050002"/>
      </c:barChart>
      <c:catAx>
        <c:axId val="50050001"/>
        <c:scaling>
          <c:orientation val="minMax"/>
        </c:scaling>
        <c:axPos val="b"/>
        <c:tickLblPos val="nextTo"/>
        <c:crossAx val="50050002"/>
        <c:crosses val="autoZero"/>
        <c:auto val="1"/>
        <c:lblAlgn val="ctr"/>
        <c:lblOffset val="100"/>
      </c:catAx>
      <c:valAx>
        <c:axId val="50050002"/>
        <c:scaling>
          <c:orientation val="minMax"/>
        </c:scaling>
        <c:axPos val="l"/>
        <c:majorGridlines/>
        <c:numFmt formatCode="General" sourceLinked="1"/>
        <c:tickLblPos val="nextTo"/>
        <c:crossAx val="5005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3.xml.rels><?xml version="1.0" encoding="UTF-8" standalone="yes"?>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5</xdr:row>
      <xdr:rowOff>0</xdr:rowOff>
    </xdr:from>
    <xdr:to>
      <xdr:col>9</xdr:col>
      <xdr:colOff>400050</xdr:colOff>
      <xdr:row>20</xdr:row>
      <xdr:rowOff>161925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0</xdr:colOff>
      <xdr:row>18</xdr:row>
      <xdr:rowOff>0</xdr:rowOff>
    </xdr:from>
    <xdr:to>
      <xdr:col>9</xdr:col>
      <xdr:colOff>400050</xdr:colOff>
      <xdr:row>33</xdr:row>
      <xdr:rowOff>161925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0</xdr:colOff>
      <xdr:row>27</xdr:row>
      <xdr:rowOff>0</xdr:rowOff>
    </xdr:from>
    <xdr:to>
      <xdr:col>8</xdr:col>
      <xdr:colOff>552450</xdr:colOff>
      <xdr:row>39</xdr:row>
      <xdr:rowOff>180975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20</xdr:row>
      <xdr:rowOff>0</xdr:rowOff>
    </xdr:from>
    <xdr:to>
      <xdr:col>3</xdr:col>
      <xdr:colOff>28575</xdr:colOff>
      <xdr:row>34</xdr:row>
      <xdr:rowOff>76200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12</xdr:row>
      <xdr:rowOff>0</xdr:rowOff>
    </xdr:from>
    <xdr:to>
      <xdr:col>3</xdr:col>
      <xdr:colOff>1000125</xdr:colOff>
      <xdr:row>29</xdr:row>
      <xdr:rowOff>57150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tbl_Equipements" displayName="tbl_Equipements" ref="A5:M15" totalsRowShown="0">
  <autoFilter ref="A5:M15"/>
  <tableColumns count="13">
    <tableColumn id="1" name="ID_Equipement"/>
    <tableColumn id="2" name="Nom_Equipement"/>
    <tableColumn id="3" name="Famille"/>
    <tableColumn id="4" name="Criticité"/>
    <tableColumn id="5" name="Localisation"/>
    <tableColumn id="6" name="Fréquence_PM_jours"/>
    <tableColumn id="7" name="Durée_Prévue_h"/>
    <tableColumn id="8" name="Responsable"/>
    <tableColumn id="9" name="Date_Dernière_PM"/>
    <tableColumn id="10" name="Date_Prochaine_PM"/>
    <tableColumn id="11" name="Statut_PM"/>
    <tableColumn id="12" name="Nb_Pannes_12m"/>
    <tableColumn id="13" name="MTBF_h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tbl_Interventions" displayName="tbl_Interventions" ref="A5:I20" totalsRowShown="0">
  <autoFilter ref="A5:I20"/>
  <tableColumns count="9">
    <tableColumn id="1" name="ID_Intervention"/>
    <tableColumn id="2" name="Date"/>
    <tableColumn id="3" name="ID_Equipement"/>
    <tableColumn id="4" name="Type"/>
    <tableColumn id="5" name="Statut"/>
    <tableColumn id="6" name="Durée_h"/>
    <tableColumn id="7" name="Temps_Arret_h"/>
    <tableColumn id="8" name="Technicien"/>
    <tableColumn id="9" name="Commentaire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5"/>
  <sheetViews>
    <sheetView tabSelected="1" workbookViewId="0">
      <pane ySplit="4" topLeftCell="A5" activePane="bottomLeft" state="frozen"/>
      <selection pane="bottomLeft"/>
    </sheetView>
  </sheetViews>
  <sheetFormatPr defaultRowHeight="15"/>
  <cols>
    <col min="1" max="13" width="18.7109375" customWidth="1"/>
  </cols>
  <sheetData>
    <row r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4" spans="1:13">
      <c r="A4" s="3" t="s">
        <v>2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</row>
    <row r="5" spans="1:13">
      <c r="A5" t="s">
        <v>3</v>
      </c>
      <c r="B5" t="s">
        <v>4</v>
      </c>
      <c r="C5" t="s">
        <v>5</v>
      </c>
      <c r="D5" t="s">
        <v>6</v>
      </c>
      <c r="E5" t="s">
        <v>7</v>
      </c>
      <c r="F5" t="s">
        <v>8</v>
      </c>
      <c r="G5" t="s">
        <v>9</v>
      </c>
      <c r="H5" t="s">
        <v>10</v>
      </c>
      <c r="I5" t="s">
        <v>11</v>
      </c>
      <c r="J5" t="s">
        <v>12</v>
      </c>
      <c r="K5" t="s">
        <v>13</v>
      </c>
      <c r="L5" t="s">
        <v>14</v>
      </c>
      <c r="M5" t="s">
        <v>15</v>
      </c>
    </row>
    <row r="6" spans="1:13">
      <c r="A6" s="4" t="s">
        <v>16</v>
      </c>
      <c r="B6" s="4" t="s">
        <v>17</v>
      </c>
      <c r="C6" s="4" t="s">
        <v>18</v>
      </c>
      <c r="D6" s="5">
        <v>3</v>
      </c>
      <c r="E6" s="4" t="s">
        <v>19</v>
      </c>
      <c r="F6" s="5">
        <v>30</v>
      </c>
      <c r="G6" s="6">
        <v>2</v>
      </c>
      <c r="H6" s="4" t="s">
        <v>20</v>
      </c>
      <c r="I6" s="7">
        <v>45957</v>
      </c>
      <c r="J6" s="7">
        <f>I6+F6</f>
        <v>0</v>
      </c>
      <c r="K6" s="4">
        <f>IF(I6="","À planifier",IF(J6&lt;TODAY(),"En retard",IF(J6=TODAY(),"À faire aujourd'hui","OK")))</f>
        <v>0</v>
      </c>
      <c r="L6" s="5">
        <f>COUNTIFS(Interventions!$C:$C,A6,Interventions!$D:$D,"Correctif",Interventions!$B:$B,"&gt;="&amp;TODAY()-365)</f>
        <v>0</v>
      </c>
      <c r="M6" s="6">
        <f>IF(L6=0,"",365*24/L6)</f>
        <v>0</v>
      </c>
    </row>
    <row r="7" spans="1:13">
      <c r="A7" s="4" t="s">
        <v>21</v>
      </c>
      <c r="B7" s="4" t="s">
        <v>22</v>
      </c>
      <c r="C7" s="4" t="s">
        <v>23</v>
      </c>
      <c r="D7" s="5">
        <v>2</v>
      </c>
      <c r="E7" s="4" t="s">
        <v>24</v>
      </c>
      <c r="F7" s="5">
        <v>14</v>
      </c>
      <c r="G7" s="6">
        <v>1</v>
      </c>
      <c r="H7" s="4" t="s">
        <v>25</v>
      </c>
      <c r="I7" s="7">
        <v>45975</v>
      </c>
      <c r="J7" s="7">
        <f>I7+F7</f>
        <v>0</v>
      </c>
      <c r="K7" s="4">
        <f>IF(I7="","À planifier",IF(J7&lt;TODAY(),"En retard",IF(J7=TODAY(),"À faire aujourd'hui","OK")))</f>
        <v>0</v>
      </c>
      <c r="L7" s="5">
        <f>COUNTIFS(Interventions!$C:$C,A7,Interventions!$D:$D,"Correctif",Interventions!$B:$B,"&gt;="&amp;TODAY()-365)</f>
        <v>0</v>
      </c>
      <c r="M7" s="6">
        <f>IF(L7=0,"",365*24/L7)</f>
        <v>0</v>
      </c>
    </row>
    <row r="8" spans="1:13">
      <c r="A8" s="4" t="s">
        <v>26</v>
      </c>
      <c r="B8" s="4" t="s">
        <v>27</v>
      </c>
      <c r="C8" s="4" t="s">
        <v>28</v>
      </c>
      <c r="D8" s="5">
        <v>3</v>
      </c>
      <c r="E8" s="4" t="s">
        <v>29</v>
      </c>
      <c r="F8" s="5">
        <v>60</v>
      </c>
      <c r="G8" s="6">
        <v>3.5</v>
      </c>
      <c r="H8" s="4" t="s">
        <v>30</v>
      </c>
      <c r="I8" s="7">
        <v>45915</v>
      </c>
      <c r="J8" s="7">
        <f>I8+F8</f>
        <v>0</v>
      </c>
      <c r="K8" s="4">
        <f>IF(I8="","À planifier",IF(J8&lt;TODAY(),"En retard",IF(J8=TODAY(),"À faire aujourd'hui","OK")))</f>
        <v>0</v>
      </c>
      <c r="L8" s="5">
        <f>COUNTIFS(Interventions!$C:$C,A8,Interventions!$D:$D,"Correctif",Interventions!$B:$B,"&gt;="&amp;TODAY()-365)</f>
        <v>0</v>
      </c>
      <c r="M8" s="6">
        <f>IF(L8=0,"",365*24/L8)</f>
        <v>0</v>
      </c>
    </row>
    <row r="9" spans="1:13">
      <c r="A9" s="4" t="s">
        <v>31</v>
      </c>
      <c r="B9" s="4" t="s">
        <v>32</v>
      </c>
      <c r="C9" s="4" t="s">
        <v>33</v>
      </c>
      <c r="D9" s="5">
        <v>2</v>
      </c>
      <c r="E9" s="4" t="s">
        <v>34</v>
      </c>
      <c r="F9" s="5">
        <v>45</v>
      </c>
      <c r="G9" s="6">
        <v>1.5</v>
      </c>
      <c r="H9" s="4" t="s">
        <v>35</v>
      </c>
      <c r="I9" s="7">
        <v>45945</v>
      </c>
      <c r="J9" s="7">
        <f>I9+F9</f>
        <v>0</v>
      </c>
      <c r="K9" s="4">
        <f>IF(I9="","À planifier",IF(J9&lt;TODAY(),"En retard",IF(J9=TODAY(),"À faire aujourd'hui","OK")))</f>
        <v>0</v>
      </c>
      <c r="L9" s="5">
        <f>COUNTIFS(Interventions!$C:$C,A9,Interventions!$D:$D,"Correctif",Interventions!$B:$B,"&gt;="&amp;TODAY()-365)</f>
        <v>0</v>
      </c>
      <c r="M9" s="6">
        <f>IF(L9=0,"",365*24/L9)</f>
        <v>0</v>
      </c>
    </row>
    <row r="10" spans="1:13">
      <c r="A10" s="4" t="s">
        <v>36</v>
      </c>
      <c r="B10" s="4" t="s">
        <v>37</v>
      </c>
      <c r="C10" s="4" t="s">
        <v>38</v>
      </c>
      <c r="D10" s="5">
        <v>1</v>
      </c>
      <c r="E10" s="4" t="s">
        <v>39</v>
      </c>
      <c r="F10" s="5">
        <v>90</v>
      </c>
      <c r="G10" s="6">
        <v>2</v>
      </c>
      <c r="H10" s="4" t="s">
        <v>40</v>
      </c>
      <c r="I10" s="7">
        <v>45890</v>
      </c>
      <c r="J10" s="7">
        <f>I10+F10</f>
        <v>0</v>
      </c>
      <c r="K10" s="4">
        <f>IF(I10="","À planifier",IF(J10&lt;TODAY(),"En retard",IF(J10=TODAY(),"À faire aujourd'hui","OK")))</f>
        <v>0</v>
      </c>
      <c r="L10" s="5">
        <f>COUNTIFS(Interventions!$C:$C,A10,Interventions!$D:$D,"Correctif",Interventions!$B:$B,"&gt;="&amp;TODAY()-365)</f>
        <v>0</v>
      </c>
      <c r="M10" s="6">
        <f>IF(L10=0,"",365*24/L10)</f>
        <v>0</v>
      </c>
    </row>
    <row r="11" spans="1:13">
      <c r="A11" s="4" t="s">
        <v>41</v>
      </c>
      <c r="B11" s="4" t="s">
        <v>42</v>
      </c>
      <c r="C11" s="4" t="s">
        <v>43</v>
      </c>
      <c r="D11" s="5">
        <v>3</v>
      </c>
      <c r="E11" s="4" t="s">
        <v>44</v>
      </c>
      <c r="F11" s="5">
        <v>30</v>
      </c>
      <c r="G11" s="6">
        <v>2.5</v>
      </c>
      <c r="H11" s="4" t="s">
        <v>45</v>
      </c>
      <c r="I11" s="7">
        <v>45965</v>
      </c>
      <c r="J11" s="7">
        <f>I11+F11</f>
        <v>0</v>
      </c>
      <c r="K11" s="4">
        <f>IF(I11="","À planifier",IF(J11&lt;TODAY(),"En retard",IF(J11=TODAY(),"À faire aujourd'hui","OK")))</f>
        <v>0</v>
      </c>
      <c r="L11" s="5">
        <f>COUNTIFS(Interventions!$C:$C,A11,Interventions!$D:$D,"Correctif",Interventions!$B:$B,"&gt;="&amp;TODAY()-365)</f>
        <v>0</v>
      </c>
      <c r="M11" s="6">
        <f>IF(L11=0,"",365*24/L11)</f>
        <v>0</v>
      </c>
    </row>
    <row r="12" spans="1:13">
      <c r="A12" s="4" t="s">
        <v>46</v>
      </c>
      <c r="B12" s="4" t="s">
        <v>47</v>
      </c>
      <c r="C12" s="4" t="s">
        <v>18</v>
      </c>
      <c r="D12" s="5">
        <v>2</v>
      </c>
      <c r="E12" s="4" t="s">
        <v>19</v>
      </c>
      <c r="F12" s="5">
        <v>45</v>
      </c>
      <c r="G12" s="6">
        <v>1.5</v>
      </c>
      <c r="H12" s="4" t="s">
        <v>20</v>
      </c>
      <c r="I12" s="7">
        <v>45935</v>
      </c>
      <c r="J12" s="7">
        <f>I12+F12</f>
        <v>0</v>
      </c>
      <c r="K12" s="4">
        <f>IF(I12="","À planifier",IF(J12&lt;TODAY(),"En retard",IF(J12=TODAY(),"À faire aujourd'hui","OK")))</f>
        <v>0</v>
      </c>
      <c r="L12" s="5">
        <f>COUNTIFS(Interventions!$C:$C,A12,Interventions!$D:$D,"Correctif",Interventions!$B:$B,"&gt;="&amp;TODAY()-365)</f>
        <v>0</v>
      </c>
      <c r="M12" s="6">
        <f>IF(L12=0,"",365*24/L12)</f>
        <v>0</v>
      </c>
    </row>
    <row r="13" spans="1:13">
      <c r="A13" s="4" t="s">
        <v>48</v>
      </c>
      <c r="B13" s="4" t="s">
        <v>49</v>
      </c>
      <c r="C13" s="4" t="s">
        <v>23</v>
      </c>
      <c r="D13" s="5">
        <v>2</v>
      </c>
      <c r="E13" s="4" t="s">
        <v>50</v>
      </c>
      <c r="F13" s="5">
        <v>14</v>
      </c>
      <c r="G13" s="6">
        <v>1</v>
      </c>
      <c r="H13" s="4" t="s">
        <v>25</v>
      </c>
      <c r="I13" s="7">
        <v>45967</v>
      </c>
      <c r="J13" s="7">
        <f>I13+F13</f>
        <v>0</v>
      </c>
      <c r="K13" s="4">
        <f>IF(I13="","À planifier",IF(J13&lt;TODAY(),"En retard",IF(J13=TODAY(),"À faire aujourd'hui","OK")))</f>
        <v>0</v>
      </c>
      <c r="L13" s="5">
        <f>COUNTIFS(Interventions!$C:$C,A13,Interventions!$D:$D,"Correctif",Interventions!$B:$B,"&gt;="&amp;TODAY()-365)</f>
        <v>0</v>
      </c>
      <c r="M13" s="6">
        <f>IF(L13=0,"",365*24/L13)</f>
        <v>0</v>
      </c>
    </row>
    <row r="14" spans="1:13">
      <c r="A14" s="4" t="s">
        <v>51</v>
      </c>
      <c r="B14" s="4" t="s">
        <v>52</v>
      </c>
      <c r="C14" s="4" t="s">
        <v>33</v>
      </c>
      <c r="D14" s="5">
        <v>2</v>
      </c>
      <c r="E14" s="4" t="s">
        <v>53</v>
      </c>
      <c r="F14" s="5">
        <v>60</v>
      </c>
      <c r="G14" s="6">
        <v>2</v>
      </c>
      <c r="H14" s="4" t="s">
        <v>35</v>
      </c>
      <c r="I14" s="7">
        <v>45930</v>
      </c>
      <c r="J14" s="7">
        <f>I14+F14</f>
        <v>0</v>
      </c>
      <c r="K14" s="4">
        <f>IF(I14="","À planifier",IF(J14&lt;TODAY(),"En retard",IF(J14=TODAY(),"À faire aujourd'hui","OK")))</f>
        <v>0</v>
      </c>
      <c r="L14" s="5">
        <f>COUNTIFS(Interventions!$C:$C,A14,Interventions!$D:$D,"Correctif",Interventions!$B:$B,"&gt;="&amp;TODAY()-365)</f>
        <v>0</v>
      </c>
      <c r="M14" s="6">
        <f>IF(L14=0,"",365*24/L14)</f>
        <v>0</v>
      </c>
    </row>
    <row r="15" spans="1:13">
      <c r="A15" s="4" t="s">
        <v>54</v>
      </c>
      <c r="B15" s="4" t="s">
        <v>55</v>
      </c>
      <c r="C15" s="4" t="s">
        <v>38</v>
      </c>
      <c r="D15" s="5">
        <v>1</v>
      </c>
      <c r="E15" s="4" t="s">
        <v>39</v>
      </c>
      <c r="F15" s="5">
        <v>90</v>
      </c>
      <c r="G15" s="6">
        <v>2</v>
      </c>
      <c r="H15" s="4" t="s">
        <v>40</v>
      </c>
      <c r="I15" s="7">
        <v>45905</v>
      </c>
      <c r="J15" s="7">
        <f>I15+F15</f>
        <v>0</v>
      </c>
      <c r="K15" s="4">
        <f>IF(I15="","À planifier",IF(J15&lt;TODAY(),"En retard",IF(J15=TODAY(),"À faire aujourd'hui","OK")))</f>
        <v>0</v>
      </c>
      <c r="L15" s="5">
        <f>COUNTIFS(Interventions!$C:$C,A15,Interventions!$D:$D,"Correctif",Interventions!$B:$B,"&gt;="&amp;TODAY()-365)</f>
        <v>0</v>
      </c>
      <c r="M15" s="6">
        <f>IF(L15=0,"",365*24/L15)</f>
        <v>0</v>
      </c>
    </row>
  </sheetData>
  <mergeCells count="3">
    <mergeCell ref="A1:M1"/>
    <mergeCell ref="A2:M2"/>
    <mergeCell ref="A4:M4"/>
  </mergeCells>
  <conditionalFormatting sqref="D6:D15">
    <cfRule type="colorScale" priority="1">
      <colorScale>
        <cfvo type="min" val="0"/>
        <cfvo type="percentile" val="50"/>
        <cfvo type="max" val="0"/>
        <color rgb="FFC6EFCE"/>
        <color rgb="FFFFEB9C"/>
        <color rgb="FFF8CBAD"/>
      </colorScale>
    </cfRule>
  </conditionalFormatting>
  <conditionalFormatting sqref="K6:K15">
    <cfRule type="expression" dxfId="0" priority="2">
      <formula>$K6="En retard"</formula>
    </cfRule>
    <cfRule type="expression" dxfId="1" priority="3">
      <formula>$K6="OK"</formula>
    </cfRule>
    <cfRule type="expression" dxfId="2" priority="4">
      <formula>$K6="À faire aujourd'hui"</formula>
    </cfRule>
  </conditionalFormatting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:I20"/>
  <sheetViews>
    <sheetView workbookViewId="0">
      <pane ySplit="4" topLeftCell="A5" activePane="bottomLeft" state="frozen"/>
      <selection pane="bottomLeft"/>
    </sheetView>
  </sheetViews>
  <sheetFormatPr defaultRowHeight="15"/>
  <cols>
    <col min="1" max="9" width="20.7109375" customWidth="1"/>
  </cols>
  <sheetData>
    <row r="1" spans="1:9">
      <c r="A1" s="1" t="s">
        <v>56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57</v>
      </c>
      <c r="B2" s="2"/>
      <c r="C2" s="2"/>
      <c r="D2" s="2"/>
      <c r="E2" s="2"/>
      <c r="F2" s="2"/>
      <c r="G2" s="2"/>
      <c r="H2" s="2"/>
      <c r="I2" s="2"/>
    </row>
    <row r="4" spans="1:9">
      <c r="A4" s="3" t="s">
        <v>58</v>
      </c>
      <c r="B4" s="3"/>
      <c r="C4" s="3"/>
      <c r="D4" s="3"/>
      <c r="E4" s="3"/>
      <c r="F4" s="3"/>
      <c r="G4" s="3"/>
      <c r="H4" s="3"/>
      <c r="I4" s="3"/>
    </row>
    <row r="5" spans="1:9">
      <c r="A5" t="s">
        <v>59</v>
      </c>
      <c r="B5" t="s">
        <v>60</v>
      </c>
      <c r="C5" t="s">
        <v>3</v>
      </c>
      <c r="D5" t="s">
        <v>61</v>
      </c>
      <c r="E5" t="s">
        <v>62</v>
      </c>
      <c r="F5" t="s">
        <v>63</v>
      </c>
      <c r="G5" t="s">
        <v>64</v>
      </c>
      <c r="H5" t="s">
        <v>65</v>
      </c>
      <c r="I5" t="s">
        <v>66</v>
      </c>
    </row>
    <row r="6" spans="1:9">
      <c r="A6" s="4" t="s">
        <v>67</v>
      </c>
      <c r="B6" s="7">
        <v>45982</v>
      </c>
      <c r="C6" s="4" t="s">
        <v>16</v>
      </c>
      <c r="D6" s="4" t="s">
        <v>68</v>
      </c>
      <c r="E6" s="4" t="s">
        <v>69</v>
      </c>
      <c r="F6" s="6">
        <v>2</v>
      </c>
      <c r="G6" s="6">
        <v>1</v>
      </c>
      <c r="H6" s="4" t="s">
        <v>20</v>
      </c>
      <c r="I6" s="4" t="s">
        <v>70</v>
      </c>
    </row>
    <row r="7" spans="1:9">
      <c r="A7" s="4" t="s">
        <v>71</v>
      </c>
      <c r="B7" s="7">
        <v>45978</v>
      </c>
      <c r="C7" s="4" t="s">
        <v>21</v>
      </c>
      <c r="D7" s="4" t="s">
        <v>72</v>
      </c>
      <c r="E7" s="4" t="s">
        <v>69</v>
      </c>
      <c r="F7" s="6">
        <v>1.5</v>
      </c>
      <c r="G7" s="6">
        <v>1.5</v>
      </c>
      <c r="H7" s="4" t="s">
        <v>25</v>
      </c>
      <c r="I7" s="4" t="s">
        <v>73</v>
      </c>
    </row>
    <row r="8" spans="1:9">
      <c r="A8" s="4" t="s">
        <v>74</v>
      </c>
      <c r="B8" s="7">
        <v>45975</v>
      </c>
      <c r="C8" s="4" t="s">
        <v>48</v>
      </c>
      <c r="D8" s="4" t="s">
        <v>68</v>
      </c>
      <c r="E8" s="4" t="s">
        <v>69</v>
      </c>
      <c r="F8" s="6">
        <v>1</v>
      </c>
      <c r="G8" s="6">
        <v>0</v>
      </c>
      <c r="H8" s="4" t="s">
        <v>25</v>
      </c>
      <c r="I8" s="4" t="s">
        <v>75</v>
      </c>
    </row>
    <row r="9" spans="1:9">
      <c r="A9" s="4" t="s">
        <v>76</v>
      </c>
      <c r="B9" s="7">
        <v>45973</v>
      </c>
      <c r="C9" s="4" t="s">
        <v>41</v>
      </c>
      <c r="D9" s="4" t="s">
        <v>68</v>
      </c>
      <c r="E9" s="4" t="s">
        <v>69</v>
      </c>
      <c r="F9" s="6">
        <v>2.5</v>
      </c>
      <c r="G9" s="6">
        <v>0.5</v>
      </c>
      <c r="H9" s="4" t="s">
        <v>45</v>
      </c>
      <c r="I9" s="4" t="s">
        <v>77</v>
      </c>
    </row>
    <row r="10" spans="1:9">
      <c r="A10" s="4" t="s">
        <v>78</v>
      </c>
      <c r="B10" s="7">
        <v>45970</v>
      </c>
      <c r="C10" s="4" t="s">
        <v>26</v>
      </c>
      <c r="D10" s="4" t="s">
        <v>68</v>
      </c>
      <c r="E10" s="4" t="s">
        <v>69</v>
      </c>
      <c r="F10" s="6">
        <v>3.5</v>
      </c>
      <c r="G10" s="6">
        <v>0</v>
      </c>
      <c r="H10" s="4" t="s">
        <v>30</v>
      </c>
      <c r="I10" s="4" t="s">
        <v>79</v>
      </c>
    </row>
    <row r="11" spans="1:9">
      <c r="A11" s="4" t="s">
        <v>80</v>
      </c>
      <c r="B11" s="7">
        <v>45967</v>
      </c>
      <c r="C11" s="4" t="s">
        <v>48</v>
      </c>
      <c r="D11" s="4" t="s">
        <v>72</v>
      </c>
      <c r="E11" s="4" t="s">
        <v>69</v>
      </c>
      <c r="F11" s="6">
        <v>1.5</v>
      </c>
      <c r="G11" s="6">
        <v>1</v>
      </c>
      <c r="H11" s="4" t="s">
        <v>25</v>
      </c>
      <c r="I11" s="4" t="s">
        <v>81</v>
      </c>
    </row>
    <row r="12" spans="1:9">
      <c r="A12" s="4" t="s">
        <v>82</v>
      </c>
      <c r="B12" s="7">
        <v>45964</v>
      </c>
      <c r="C12" s="4" t="s">
        <v>31</v>
      </c>
      <c r="D12" s="4" t="s">
        <v>72</v>
      </c>
      <c r="E12" s="4" t="s">
        <v>69</v>
      </c>
      <c r="F12" s="6">
        <v>2</v>
      </c>
      <c r="G12" s="6">
        <v>2</v>
      </c>
      <c r="H12" s="4" t="s">
        <v>35</v>
      </c>
      <c r="I12" s="4" t="s">
        <v>83</v>
      </c>
    </row>
    <row r="13" spans="1:9">
      <c r="A13" s="4" t="s">
        <v>84</v>
      </c>
      <c r="B13" s="7">
        <v>45960</v>
      </c>
      <c r="C13" s="4" t="s">
        <v>16</v>
      </c>
      <c r="D13" s="4" t="s">
        <v>72</v>
      </c>
      <c r="E13" s="4" t="s">
        <v>69</v>
      </c>
      <c r="F13" s="6">
        <v>1</v>
      </c>
      <c r="G13" s="6">
        <v>1</v>
      </c>
      <c r="H13" s="4" t="s">
        <v>20</v>
      </c>
      <c r="I13" s="4" t="s">
        <v>85</v>
      </c>
    </row>
    <row r="14" spans="1:9">
      <c r="A14" s="4" t="s">
        <v>86</v>
      </c>
      <c r="B14" s="7">
        <v>45955</v>
      </c>
      <c r="C14" s="4" t="s">
        <v>36</v>
      </c>
      <c r="D14" s="4" t="s">
        <v>68</v>
      </c>
      <c r="E14" s="4" t="s">
        <v>69</v>
      </c>
      <c r="F14" s="6">
        <v>2</v>
      </c>
      <c r="G14" s="6">
        <v>0</v>
      </c>
      <c r="H14" s="4" t="s">
        <v>40</v>
      </c>
      <c r="I14" s="4" t="s">
        <v>87</v>
      </c>
    </row>
    <row r="15" spans="1:9">
      <c r="A15" s="4" t="s">
        <v>88</v>
      </c>
      <c r="B15" s="7">
        <v>45950</v>
      </c>
      <c r="C15" s="4" t="s">
        <v>41</v>
      </c>
      <c r="D15" s="4" t="s">
        <v>72</v>
      </c>
      <c r="E15" s="4" t="s">
        <v>69</v>
      </c>
      <c r="F15" s="6">
        <v>2.5</v>
      </c>
      <c r="G15" s="6">
        <v>2</v>
      </c>
      <c r="H15" s="4" t="s">
        <v>45</v>
      </c>
      <c r="I15" s="4" t="s">
        <v>89</v>
      </c>
    </row>
    <row r="16" spans="1:9">
      <c r="A16" s="4" t="s">
        <v>90</v>
      </c>
      <c r="B16" s="7">
        <v>45940</v>
      </c>
      <c r="C16" s="4" t="s">
        <v>26</v>
      </c>
      <c r="D16" s="4" t="s">
        <v>72</v>
      </c>
      <c r="E16" s="4" t="s">
        <v>69</v>
      </c>
      <c r="F16" s="6">
        <v>4</v>
      </c>
      <c r="G16" s="6">
        <v>4</v>
      </c>
      <c r="H16" s="4" t="s">
        <v>30</v>
      </c>
      <c r="I16" s="4" t="s">
        <v>91</v>
      </c>
    </row>
    <row r="17" spans="1:9">
      <c r="A17" s="4" t="s">
        <v>92</v>
      </c>
      <c r="B17" s="7">
        <v>45935</v>
      </c>
      <c r="C17" s="4" t="s">
        <v>31</v>
      </c>
      <c r="D17" s="4" t="s">
        <v>68</v>
      </c>
      <c r="E17" s="4" t="s">
        <v>69</v>
      </c>
      <c r="F17" s="6">
        <v>1.5</v>
      </c>
      <c r="G17" s="6">
        <v>0</v>
      </c>
      <c r="H17" s="4" t="s">
        <v>35</v>
      </c>
      <c r="I17" s="4" t="s">
        <v>93</v>
      </c>
    </row>
    <row r="18" spans="1:9">
      <c r="A18" s="4" t="s">
        <v>94</v>
      </c>
      <c r="B18" s="7">
        <v>45925</v>
      </c>
      <c r="C18" s="4" t="s">
        <v>46</v>
      </c>
      <c r="D18" s="4" t="s">
        <v>68</v>
      </c>
      <c r="E18" s="4" t="s">
        <v>69</v>
      </c>
      <c r="F18" s="6">
        <v>1.5</v>
      </c>
      <c r="G18" s="6">
        <v>0</v>
      </c>
      <c r="H18" s="4" t="s">
        <v>20</v>
      </c>
      <c r="I18" s="4" t="s">
        <v>95</v>
      </c>
    </row>
    <row r="19" spans="1:9">
      <c r="A19" s="4" t="s">
        <v>96</v>
      </c>
      <c r="B19" s="7">
        <v>45915</v>
      </c>
      <c r="C19" s="4" t="s">
        <v>51</v>
      </c>
      <c r="D19" s="4" t="s">
        <v>72</v>
      </c>
      <c r="E19" s="4" t="s">
        <v>69</v>
      </c>
      <c r="F19" s="6">
        <v>3</v>
      </c>
      <c r="G19" s="6">
        <v>3</v>
      </c>
      <c r="H19" s="4" t="s">
        <v>35</v>
      </c>
      <c r="I19" s="4" t="s">
        <v>97</v>
      </c>
    </row>
    <row r="20" spans="1:9">
      <c r="A20" s="4" t="s">
        <v>98</v>
      </c>
      <c r="B20" s="7">
        <v>45905</v>
      </c>
      <c r="C20" s="4" t="s">
        <v>54</v>
      </c>
      <c r="D20" s="4" t="s">
        <v>68</v>
      </c>
      <c r="E20" s="4" t="s">
        <v>69</v>
      </c>
      <c r="F20" s="6">
        <v>2</v>
      </c>
      <c r="G20" s="6">
        <v>0</v>
      </c>
      <c r="H20" s="4" t="s">
        <v>40</v>
      </c>
      <c r="I20" s="4" t="s">
        <v>99</v>
      </c>
    </row>
  </sheetData>
  <mergeCells count="3">
    <mergeCell ref="A1:I1"/>
    <mergeCell ref="A2:I2"/>
    <mergeCell ref="A4:I4"/>
  </mergeCell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>
  <dimension ref="A1:H30"/>
  <sheetViews>
    <sheetView workbookViewId="0"/>
  </sheetViews>
  <sheetFormatPr defaultRowHeight="15"/>
  <cols>
    <col min="1" max="8" width="26.7109375" customWidth="1"/>
  </cols>
  <sheetData>
    <row r="1" spans="1:8" ht="30" customHeight="1">
      <c r="A1" s="1" t="s">
        <v>100</v>
      </c>
      <c r="B1" s="1"/>
      <c r="C1" s="1"/>
      <c r="D1" s="1"/>
      <c r="E1" s="1"/>
      <c r="F1" s="1"/>
      <c r="G1" s="1"/>
      <c r="H1" s="1"/>
    </row>
    <row r="2" spans="1:8">
      <c r="A2" s="2" t="s">
        <v>101</v>
      </c>
      <c r="B2" s="2"/>
      <c r="C2" s="2"/>
      <c r="D2" s="2"/>
      <c r="E2" s="2"/>
      <c r="F2" s="2"/>
      <c r="G2" s="2"/>
      <c r="H2" s="2"/>
    </row>
    <row r="3" spans="1:8">
      <c r="A3" s="3" t="s">
        <v>102</v>
      </c>
      <c r="B3" s="3"/>
      <c r="C3" s="8" t="s">
        <v>103</v>
      </c>
      <c r="D3" s="7">
        <v>45955</v>
      </c>
      <c r="E3" s="8" t="s">
        <v>104</v>
      </c>
      <c r="F3" s="7">
        <v>45985</v>
      </c>
    </row>
    <row r="5" spans="1:8">
      <c r="A5" s="3" t="s">
        <v>105</v>
      </c>
      <c r="B5" s="3"/>
      <c r="E5" s="9" t="s">
        <v>113</v>
      </c>
      <c r="F5" s="9"/>
    </row>
    <row r="6" spans="1:8">
      <c r="A6" s="10" t="s">
        <v>106</v>
      </c>
      <c r="C6" s="11">
        <f>COUNTIFS(Interventions!$D:$D,"Préventif",Interventions!$E:$E,"Réalisée",Interventions!$B:$B,"&gt;="&amp;$D$3,Interventions!$B:$B,"&lt;="&amp;$F$3)</f>
        <v>0</v>
      </c>
      <c r="E6" s="12">
        <f>C8</f>
        <v>0</v>
      </c>
      <c r="F6" s="9"/>
    </row>
    <row r="7" spans="1:8">
      <c r="A7" s="10" t="s">
        <v>107</v>
      </c>
      <c r="C7" s="11">
        <f>COUNTIFS(Interventions!$D:$D,"Correctif",Interventions!$E:$E,"Réalisée",Interventions!$B:$B,"&gt;="&amp;$D$3,Interventions!$B:$B,"&lt;="&amp;$F$3)</f>
        <v>0</v>
      </c>
    </row>
    <row r="8" spans="1:8">
      <c r="A8" s="10" t="s">
        <v>108</v>
      </c>
      <c r="C8" s="12">
        <f>IF((C6+C7)=0,0,C6/(C6+C7))</f>
        <v>0</v>
      </c>
      <c r="E8" s="9" t="s">
        <v>114</v>
      </c>
      <c r="F8" s="9"/>
    </row>
    <row r="9" spans="1:8">
      <c r="A9" s="10" t="s">
        <v>109</v>
      </c>
      <c r="C9" s="12">
        <f>IF(COUNTA(Equipements!$A:$A)=0,"",1-COUNTIFS(Equipements!$K:$K,"En retard")/COUNTA(Equipements!$A:$A))</f>
        <v>0</v>
      </c>
      <c r="E9" s="12">
        <f>C9</f>
        <v>0</v>
      </c>
      <c r="F9" s="9"/>
    </row>
    <row r="10" spans="1:8">
      <c r="A10" s="10" t="s">
        <v>110</v>
      </c>
      <c r="C10" s="11">
        <f>SUMIFS(Interventions!$F:$F,Interventions!$D:$D,"Préventif",Interventions!$B:$B,"&gt;="&amp;$D$3,Interventions!$B:$B,"&lt;="&amp;$F$3)</f>
        <v>0</v>
      </c>
    </row>
    <row r="11" spans="1:8">
      <c r="A11" s="10" t="s">
        <v>111</v>
      </c>
      <c r="C11" s="11">
        <f>SUMIFS(Interventions!$G:$G,Interventions!$D:$D,"Correctif",Interventions!$B:$B,"&gt;="&amp;$D$3,Interventions!$B:$B,"&lt;="&amp;$F$3)</f>
        <v>0</v>
      </c>
      <c r="E11" s="13" t="s">
        <v>115</v>
      </c>
      <c r="F11" s="13"/>
    </row>
    <row r="12" spans="1:8">
      <c r="A12" s="10" t="s">
        <v>112</v>
      </c>
      <c r="C12" s="11">
        <f>ROUND(((C8*100)*0.5 + (C9*100)*0.5),0)</f>
        <v>0</v>
      </c>
      <c r="E12" s="11">
        <f>C12</f>
        <v>0</v>
      </c>
      <c r="F12" s="13"/>
    </row>
    <row r="14" spans="1:8">
      <c r="A14" s="3" t="s">
        <v>117</v>
      </c>
      <c r="B14" s="3"/>
      <c r="E14" s="14" t="s">
        <v>116</v>
      </c>
      <c r="F14" s="14"/>
    </row>
    <row r="15" spans="1:8">
      <c r="A15" s="8" t="s">
        <v>61</v>
      </c>
      <c r="B15" s="8" t="s">
        <v>118</v>
      </c>
      <c r="E15" s="11">
        <f>C11</f>
        <v>0</v>
      </c>
      <c r="F15" s="14"/>
    </row>
    <row r="16" spans="1:8">
      <c r="A16" s="4" t="s">
        <v>68</v>
      </c>
      <c r="B16" s="6">
        <f>COUNTIFS(Interventions!$D:$D,"Préventif",Interventions!$B:$B,"&gt;="&amp;$D$3,Interventions!$B:$B,"&lt;="&amp;$F$3)</f>
        <v>0</v>
      </c>
    </row>
    <row r="17" spans="1:2">
      <c r="A17" s="4" t="s">
        <v>72</v>
      </c>
      <c r="B17" s="6">
        <f>COUNTIFS(Interventions!$D:$D,"Correctif",Interventions!$B:$B,"&gt;="&amp;$D$3,Interventions!$B:$B,"&lt;="&amp;$F$3)</f>
        <v>0</v>
      </c>
    </row>
    <row r="19" spans="1:2">
      <c r="A19" s="3" t="s">
        <v>119</v>
      </c>
      <c r="B19" s="3"/>
    </row>
    <row r="20" spans="1:2">
      <c r="A20" s="8" t="s">
        <v>3</v>
      </c>
      <c r="B20" s="8" t="s">
        <v>118</v>
      </c>
    </row>
    <row r="21" spans="1:2">
      <c r="A21" s="4">
        <f>Equipements!A6</f>
        <v>0</v>
      </c>
      <c r="B21" s="6">
        <f>COUNTIFS(Interventions!$C:$C,A21,Interventions!$B:$B,"&gt;="&amp;$D$3,Interventions!$B:$B,"&lt;="&amp;$F$3)</f>
        <v>0</v>
      </c>
    </row>
    <row r="22" spans="1:2">
      <c r="A22" s="4">
        <f>Equipements!A7</f>
        <v>0</v>
      </c>
      <c r="B22" s="6">
        <f>COUNTIFS(Interventions!$C:$C,A22,Interventions!$B:$B,"&gt;="&amp;$D$3,Interventions!$B:$B,"&lt;="&amp;$F$3)</f>
        <v>0</v>
      </c>
    </row>
    <row r="23" spans="1:2">
      <c r="A23" s="4">
        <f>Equipements!A8</f>
        <v>0</v>
      </c>
      <c r="B23" s="6">
        <f>COUNTIFS(Interventions!$C:$C,A23,Interventions!$B:$B,"&gt;="&amp;$D$3,Interventions!$B:$B,"&lt;="&amp;$F$3)</f>
        <v>0</v>
      </c>
    </row>
    <row r="24" spans="1:2">
      <c r="A24" s="4">
        <f>Equipements!A9</f>
        <v>0</v>
      </c>
      <c r="B24" s="6">
        <f>COUNTIFS(Interventions!$C:$C,A24,Interventions!$B:$B,"&gt;="&amp;$D$3,Interventions!$B:$B,"&lt;="&amp;$F$3)</f>
        <v>0</v>
      </c>
    </row>
    <row r="25" spans="1:2">
      <c r="A25" s="4">
        <f>Equipements!A10</f>
        <v>0</v>
      </c>
      <c r="B25" s="6">
        <f>COUNTIFS(Interventions!$C:$C,A25,Interventions!$B:$B,"&gt;="&amp;$D$3,Interventions!$B:$B,"&lt;="&amp;$F$3)</f>
        <v>0</v>
      </c>
    </row>
    <row r="27" spans="1:2">
      <c r="A27" s="3" t="s">
        <v>120</v>
      </c>
      <c r="B27" s="3"/>
    </row>
    <row r="28" spans="1:2">
      <c r="A28" s="8" t="s">
        <v>61</v>
      </c>
      <c r="B28" s="8" t="s">
        <v>121</v>
      </c>
    </row>
    <row r="29" spans="1:2">
      <c r="A29" s="4" t="s">
        <v>122</v>
      </c>
      <c r="B29" s="6">
        <f>C10</f>
        <v>0</v>
      </c>
    </row>
    <row r="30" spans="1:2">
      <c r="A30" s="4" t="s">
        <v>123</v>
      </c>
      <c r="B30" s="6">
        <f>C11</f>
        <v>0</v>
      </c>
    </row>
  </sheetData>
  <mergeCells count="15">
    <mergeCell ref="A1:H1"/>
    <mergeCell ref="A2:H2"/>
    <mergeCell ref="A3:B3"/>
    <mergeCell ref="A5:B5"/>
    <mergeCell ref="E5:F5"/>
    <mergeCell ref="E6:F6"/>
    <mergeCell ref="E8:F8"/>
    <mergeCell ref="E9:F9"/>
    <mergeCell ref="E11:F11"/>
    <mergeCell ref="E12:F12"/>
    <mergeCell ref="E14:F14"/>
    <mergeCell ref="E15:F15"/>
    <mergeCell ref="A14:B14"/>
    <mergeCell ref="A19:B19"/>
    <mergeCell ref="A27:B2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30"/>
  <sheetViews>
    <sheetView workbookViewId="0"/>
  </sheetViews>
  <sheetFormatPr defaultRowHeight="15"/>
  <cols>
    <col min="1" max="6" width="22.7109375" customWidth="1"/>
  </cols>
  <sheetData>
    <row r="1" spans="1:6" ht="30" customHeight="1">
      <c r="A1" s="1" t="s">
        <v>124</v>
      </c>
      <c r="B1" s="1"/>
      <c r="C1" s="1"/>
      <c r="D1" s="1"/>
      <c r="E1" s="1"/>
      <c r="F1" s="1"/>
    </row>
    <row r="2" spans="1:6">
      <c r="A2" s="2" t="s">
        <v>125</v>
      </c>
      <c r="B2" s="2"/>
      <c r="C2" s="2"/>
      <c r="D2" s="2"/>
      <c r="E2" s="2"/>
      <c r="F2" s="2"/>
    </row>
    <row r="4" spans="1:6">
      <c r="A4" s="10" t="s">
        <v>126</v>
      </c>
      <c r="B4" s="4"/>
      <c r="C4" s="4"/>
      <c r="D4" s="4"/>
      <c r="E4" s="4"/>
      <c r="F4" s="4"/>
    </row>
    <row r="6" spans="1:6">
      <c r="A6" s="3" t="s">
        <v>127</v>
      </c>
      <c r="B6" s="3"/>
      <c r="C6" s="3"/>
      <c r="D6" s="3"/>
      <c r="E6" s="3"/>
      <c r="F6" s="3"/>
    </row>
    <row r="7" spans="1:6">
      <c r="A7" s="10" t="s">
        <v>128</v>
      </c>
      <c r="C7" s="11">
        <f>Dashboard!C6</f>
        <v>0</v>
      </c>
      <c r="E7" s="4" t="s">
        <v>135</v>
      </c>
    </row>
    <row r="8" spans="1:6">
      <c r="A8" s="10" t="s">
        <v>129</v>
      </c>
      <c r="C8" s="11">
        <f>Dashboard!C7</f>
        <v>0</v>
      </c>
      <c r="E8" s="4" t="s">
        <v>136</v>
      </c>
    </row>
    <row r="9" spans="1:6">
      <c r="A9" s="10" t="s">
        <v>130</v>
      </c>
      <c r="C9" s="12">
        <f>Dashboard!C8</f>
        <v>0</v>
      </c>
      <c r="E9" s="4">
        <f>IF(Dashboard!C8&lt;0.5,"Préventif minoritaire, renforcer le plan.","Préventif majoritaire, tendance favorable.")</f>
        <v>0</v>
      </c>
    </row>
    <row r="10" spans="1:6">
      <c r="A10" s="10" t="s">
        <v>131</v>
      </c>
      <c r="C10" s="12">
        <f>Dashboard!C9</f>
        <v>0</v>
      </c>
      <c r="E10" s="4">
        <f>IF(Dashboard!C9&lt;0.8,"Plusieurs équipements en retard de PM.","Parc globalement à jour.")</f>
        <v>0</v>
      </c>
    </row>
    <row r="11" spans="1:6">
      <c r="A11" s="10" t="s">
        <v>132</v>
      </c>
      <c r="C11" s="11">
        <f>Dashboard!C10</f>
        <v>0</v>
      </c>
      <c r="E11" s="4" t="s">
        <v>137</v>
      </c>
    </row>
    <row r="12" spans="1:6">
      <c r="A12" s="10" t="s">
        <v>133</v>
      </c>
      <c r="C12" s="11">
        <f>Dashboard!C11</f>
        <v>0</v>
      </c>
      <c r="E12" s="4">
        <f>IF(Dashboard!C11&gt;0,"Temps perdu suite à des pannes, à réduire.","Aucun arrêt correctif enregistré.")</f>
        <v>0</v>
      </c>
    </row>
    <row r="13" spans="1:6">
      <c r="A13" s="10" t="s">
        <v>134</v>
      </c>
      <c r="C13" s="11">
        <f>Dashboard!C12</f>
        <v>0</v>
      </c>
      <c r="E13" s="4">
        <f>IF(Dashboard!C12&lt;70,"Score perfectible, à discuter en revue.","Score satisfaisant, maintenir l'effort.")</f>
        <v>0</v>
      </c>
    </row>
    <row r="15" spans="1:6">
      <c r="A15" s="3" t="s">
        <v>138</v>
      </c>
      <c r="B15" s="3"/>
      <c r="C15" s="3"/>
      <c r="D15" s="3"/>
      <c r="E15" s="3"/>
      <c r="F15" s="3"/>
    </row>
    <row r="16" spans="1:6">
      <c r="A16" s="8" t="s">
        <v>3</v>
      </c>
      <c r="C16" s="8" t="s">
        <v>139</v>
      </c>
    </row>
    <row r="17" spans="1:6">
      <c r="A17" s="4">
        <f>Dashboard!A21</f>
        <v>0</v>
      </c>
      <c r="C17" s="6">
        <f>Dashboard!B21</f>
        <v>0</v>
      </c>
      <c r="E17" s="4" t="s">
        <v>140</v>
      </c>
    </row>
    <row r="18" spans="1:6">
      <c r="A18" s="4">
        <f>Dashboard!A22</f>
        <v>0</v>
      </c>
      <c r="C18" s="6">
        <f>Dashboard!B22</f>
        <v>0</v>
      </c>
    </row>
    <row r="19" spans="1:6">
      <c r="A19" s="4">
        <f>Dashboard!A23</f>
        <v>0</v>
      </c>
      <c r="C19" s="6">
        <f>Dashboard!B23</f>
        <v>0</v>
      </c>
    </row>
    <row r="28" spans="1:6">
      <c r="A28" s="2" t="s">
        <v>141</v>
      </c>
      <c r="B28" s="2"/>
      <c r="C28" s="2"/>
      <c r="D28" s="2"/>
      <c r="E28" s="2"/>
      <c r="F28" s="2"/>
    </row>
    <row r="29" spans="1:6">
      <c r="A29" s="2"/>
      <c r="B29" s="2"/>
      <c r="C29" s="2"/>
      <c r="D29" s="2"/>
      <c r="E29" s="2"/>
      <c r="F29" s="2"/>
    </row>
    <row r="30" spans="1:6">
      <c r="A30" s="2"/>
      <c r="B30" s="2"/>
      <c r="C30" s="2"/>
      <c r="D30" s="2"/>
      <c r="E30" s="2"/>
      <c r="F30" s="2"/>
    </row>
  </sheetData>
  <mergeCells count="6">
    <mergeCell ref="A1:F1"/>
    <mergeCell ref="A2:F2"/>
    <mergeCell ref="B4:F4"/>
    <mergeCell ref="A6:F6"/>
    <mergeCell ref="A15:F15"/>
    <mergeCell ref="A28:F30"/>
  </mergeCells>
  <conditionalFormatting sqref="C10">
    <cfRule type="iconSet" priority="2">
      <iconSet>
        <cfvo type="percent" val="0"/>
        <cfvo type="percent" val="33"/>
        <cfvo type="percent" val="67"/>
      </iconSet>
    </cfRule>
  </conditionalFormatting>
  <conditionalFormatting sqref="C13">
    <cfRule type="iconSet" priority="3">
      <iconSet>
        <cfvo type="percent" val="0"/>
        <cfvo type="percent" val="33"/>
        <cfvo type="percent" val="67"/>
      </iconSet>
    </cfRule>
  </conditionalFormatting>
  <conditionalFormatting sqref="C9">
    <cfRule type="iconSet" priority="1">
      <iconSet>
        <cfvo type="percent" val="0"/>
        <cfvo type="percent" val="33"/>
        <cfvo type="percent" val="67"/>
      </iconSet>
    </cfRule>
  </conditionalFormatting>
  <pageMargins left="0.5" right="0.5" top="0.7" bottom="0.7" header="0.3" footer="0.3"/>
  <pageSetup paperSize="9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H25"/>
  <sheetViews>
    <sheetView workbookViewId="0"/>
  </sheetViews>
  <sheetFormatPr defaultRowHeight="15"/>
  <cols>
    <col min="1" max="8" width="24.7109375" customWidth="1"/>
  </cols>
  <sheetData>
    <row r="1" spans="1:8" ht="30" customHeight="1">
      <c r="A1" s="1" t="s">
        <v>142</v>
      </c>
      <c r="B1" s="1"/>
      <c r="C1" s="1"/>
      <c r="D1" s="1"/>
      <c r="E1" s="1"/>
      <c r="F1" s="1"/>
      <c r="G1" s="1"/>
      <c r="H1" s="1"/>
    </row>
    <row r="2" spans="1:8">
      <c r="A2" s="2" t="s">
        <v>143</v>
      </c>
      <c r="B2" s="2"/>
      <c r="C2" s="2"/>
      <c r="D2" s="2"/>
      <c r="E2" s="2"/>
      <c r="F2" s="2"/>
      <c r="G2" s="2"/>
      <c r="H2" s="2"/>
    </row>
    <row r="4" spans="1:8">
      <c r="A4" s="3" t="s">
        <v>144</v>
      </c>
      <c r="B4" s="3"/>
      <c r="C4" s="3"/>
      <c r="D4" s="3"/>
      <c r="E4" s="3"/>
      <c r="F4" s="3"/>
      <c r="G4" s="3"/>
      <c r="H4" s="3"/>
    </row>
    <row r="6" spans="1:8">
      <c r="A6" s="8" t="s">
        <v>65</v>
      </c>
      <c r="B6" s="8" t="s">
        <v>145</v>
      </c>
      <c r="C6" s="8" t="s">
        <v>146</v>
      </c>
      <c r="D6" s="8" t="s">
        <v>147</v>
      </c>
      <c r="E6" s="8" t="s">
        <v>148</v>
      </c>
      <c r="F6" s="8" t="s">
        <v>149</v>
      </c>
      <c r="G6" s="8" t="s">
        <v>150</v>
      </c>
      <c r="H6" s="8" t="s">
        <v>151</v>
      </c>
    </row>
    <row r="7" spans="1:8">
      <c r="A7" s="4" t="s">
        <v>20</v>
      </c>
      <c r="B7" s="6">
        <f>COUNTIFS(Interventions!$H:$H,$A7,Interventions!$D:$D,"Préventif",Interventions!$B:$B,"&gt;="&amp;Dashboard!$D$3,Interventions!$B:$B,"&lt;="&amp;Dashboard!$F$3)</f>
        <v>0</v>
      </c>
      <c r="C7" s="6">
        <f>COUNTIFS(Interventions!$H:$H,$A7,Interventions!$D:$D,"Correctif",Interventions!$B:$B,"&gt;="&amp;Dashboard!$D$3,Interventions!$B:$B,"&lt;="&amp;Dashboard!$F$3)</f>
        <v>0</v>
      </c>
      <c r="D7" s="6">
        <f>SUMIFS(Interventions!$F:$F,Interventions!$H:$H,$A7,Interventions!$B:$B,"&gt;="&amp;Dashboard!$D$3,Interventions!$B:$B,"&lt;="&amp;Dashboard!$F$3)</f>
        <v>0</v>
      </c>
      <c r="E7" s="15">
        <f>IF((B7+C7)=0,"",B7/(B7+C7))</f>
        <v>0</v>
      </c>
      <c r="F7" s="11">
        <f>IF((B7+C7)=0,"",ROUND((B7/(B7+C7)*100*0.6 + MAX(0,1-C7/10)*40),0))</f>
        <v>0</v>
      </c>
      <c r="G7" s="4"/>
      <c r="H7" s="4"/>
    </row>
    <row r="8" spans="1:8">
      <c r="A8" s="4" t="s">
        <v>25</v>
      </c>
      <c r="B8" s="6">
        <f>COUNTIFS(Interventions!$H:$H,$A8,Interventions!$D:$D,"Préventif",Interventions!$B:$B,"&gt;="&amp;Dashboard!$D$3,Interventions!$B:$B,"&lt;="&amp;Dashboard!$F$3)</f>
        <v>0</v>
      </c>
      <c r="C8" s="6">
        <f>COUNTIFS(Interventions!$H:$H,$A8,Interventions!$D:$D,"Correctif",Interventions!$B:$B,"&gt;="&amp;Dashboard!$D$3,Interventions!$B:$B,"&lt;="&amp;Dashboard!$F$3)</f>
        <v>0</v>
      </c>
      <c r="D8" s="6">
        <f>SUMIFS(Interventions!$F:$F,Interventions!$H:$H,$A8,Interventions!$B:$B,"&gt;="&amp;Dashboard!$D$3,Interventions!$B:$B,"&lt;="&amp;Dashboard!$F$3)</f>
        <v>0</v>
      </c>
      <c r="E8" s="15">
        <f>IF((B8+C8)=0,"",B8/(B8+C8))</f>
        <v>0</v>
      </c>
      <c r="F8" s="11">
        <f>IF((B8+C8)=0,"",ROUND((B8/(B8+C8)*100*0.6 + MAX(0,1-C8/10)*40),0))</f>
        <v>0</v>
      </c>
      <c r="G8" s="4"/>
      <c r="H8" s="4"/>
    </row>
    <row r="9" spans="1:8">
      <c r="A9" s="4" t="s">
        <v>30</v>
      </c>
      <c r="B9" s="6">
        <f>COUNTIFS(Interventions!$H:$H,$A9,Interventions!$D:$D,"Préventif",Interventions!$B:$B,"&gt;="&amp;Dashboard!$D$3,Interventions!$B:$B,"&lt;="&amp;Dashboard!$F$3)</f>
        <v>0</v>
      </c>
      <c r="C9" s="6">
        <f>COUNTIFS(Interventions!$H:$H,$A9,Interventions!$D:$D,"Correctif",Interventions!$B:$B,"&gt;="&amp;Dashboard!$D$3,Interventions!$B:$B,"&lt;="&amp;Dashboard!$F$3)</f>
        <v>0</v>
      </c>
      <c r="D9" s="6">
        <f>SUMIFS(Interventions!$F:$F,Interventions!$H:$H,$A9,Interventions!$B:$B,"&gt;="&amp;Dashboard!$D$3,Interventions!$B:$B,"&lt;="&amp;Dashboard!$F$3)</f>
        <v>0</v>
      </c>
      <c r="E9" s="15">
        <f>IF((B9+C9)=0,"",B9/(B9+C9))</f>
        <v>0</v>
      </c>
      <c r="F9" s="11">
        <f>IF((B9+C9)=0,"",ROUND((B9/(B9+C9)*100*0.6 + MAX(0,1-C9/10)*40),0))</f>
        <v>0</v>
      </c>
      <c r="G9" s="4"/>
      <c r="H9" s="4"/>
    </row>
    <row r="10" spans="1:8">
      <c r="A10" s="4" t="s">
        <v>35</v>
      </c>
      <c r="B10" s="6">
        <f>COUNTIFS(Interventions!$H:$H,$A10,Interventions!$D:$D,"Préventif",Interventions!$B:$B,"&gt;="&amp;Dashboard!$D$3,Interventions!$B:$B,"&lt;="&amp;Dashboard!$F$3)</f>
        <v>0</v>
      </c>
      <c r="C10" s="6">
        <f>COUNTIFS(Interventions!$H:$H,$A10,Interventions!$D:$D,"Correctif",Interventions!$B:$B,"&gt;="&amp;Dashboard!$D$3,Interventions!$B:$B,"&lt;="&amp;Dashboard!$F$3)</f>
        <v>0</v>
      </c>
      <c r="D10" s="6">
        <f>SUMIFS(Interventions!$F:$F,Interventions!$H:$H,$A10,Interventions!$B:$B,"&gt;="&amp;Dashboard!$D$3,Interventions!$B:$B,"&lt;="&amp;Dashboard!$F$3)</f>
        <v>0</v>
      </c>
      <c r="E10" s="15">
        <f>IF((B10+C10)=0,"",B10/(B10+C10))</f>
        <v>0</v>
      </c>
      <c r="F10" s="11">
        <f>IF((B10+C10)=0,"",ROUND((B10/(B10+C10)*100*0.6 + MAX(0,1-C10/10)*40),0))</f>
        <v>0</v>
      </c>
      <c r="G10" s="4"/>
      <c r="H10" s="4"/>
    </row>
    <row r="11" spans="1:8">
      <c r="A11" s="4" t="s">
        <v>40</v>
      </c>
      <c r="B11" s="6">
        <f>COUNTIFS(Interventions!$H:$H,$A11,Interventions!$D:$D,"Préventif",Interventions!$B:$B,"&gt;="&amp;Dashboard!$D$3,Interventions!$B:$B,"&lt;="&amp;Dashboard!$F$3)</f>
        <v>0</v>
      </c>
      <c r="C11" s="6">
        <f>COUNTIFS(Interventions!$H:$H,$A11,Interventions!$D:$D,"Correctif",Interventions!$B:$B,"&gt;="&amp;Dashboard!$D$3,Interventions!$B:$B,"&lt;="&amp;Dashboard!$F$3)</f>
        <v>0</v>
      </c>
      <c r="D11" s="6">
        <f>SUMIFS(Interventions!$F:$F,Interventions!$H:$H,$A11,Interventions!$B:$B,"&gt;="&amp;Dashboard!$D$3,Interventions!$B:$B,"&lt;="&amp;Dashboard!$F$3)</f>
        <v>0</v>
      </c>
      <c r="E11" s="15">
        <f>IF((B11+C11)=0,"",B11/(B11+C11))</f>
        <v>0</v>
      </c>
      <c r="F11" s="11">
        <f>IF((B11+C11)=0,"",ROUND((B11/(B11+C11)*100*0.6 + MAX(0,1-C11/10)*40),0))</f>
        <v>0</v>
      </c>
      <c r="G11" s="4"/>
      <c r="H11" s="4"/>
    </row>
    <row r="12" spans="1:8">
      <c r="A12" s="4" t="s">
        <v>45</v>
      </c>
      <c r="B12" s="6">
        <f>COUNTIFS(Interventions!$H:$H,$A12,Interventions!$D:$D,"Préventif",Interventions!$B:$B,"&gt;="&amp;Dashboard!$D$3,Interventions!$B:$B,"&lt;="&amp;Dashboard!$F$3)</f>
        <v>0</v>
      </c>
      <c r="C12" s="6">
        <f>COUNTIFS(Interventions!$H:$H,$A12,Interventions!$D:$D,"Correctif",Interventions!$B:$B,"&gt;="&amp;Dashboard!$D$3,Interventions!$B:$B,"&lt;="&amp;Dashboard!$F$3)</f>
        <v>0</v>
      </c>
      <c r="D12" s="6">
        <f>SUMIFS(Interventions!$F:$F,Interventions!$H:$H,$A12,Interventions!$B:$B,"&gt;="&amp;Dashboard!$D$3,Interventions!$B:$B,"&lt;="&amp;Dashboard!$F$3)</f>
        <v>0</v>
      </c>
      <c r="E12" s="15">
        <f>IF((B12+C12)=0,"",B12/(B12+C12))</f>
        <v>0</v>
      </c>
      <c r="F12" s="11">
        <f>IF((B12+C12)=0,"",ROUND((B12/(B12+C12)*100*0.6 + MAX(0,1-C12/10)*40),0))</f>
        <v>0</v>
      </c>
      <c r="G12" s="4"/>
      <c r="H12" s="4"/>
    </row>
    <row r="22" spans="1:8">
      <c r="A22" s="2" t="s">
        <v>152</v>
      </c>
      <c r="B22" s="2"/>
      <c r="C22" s="2"/>
      <c r="D22" s="2"/>
      <c r="E22" s="2"/>
      <c r="F22" s="2"/>
      <c r="G22" s="2"/>
      <c r="H22" s="2"/>
    </row>
    <row r="23" spans="1:8">
      <c r="A23" s="2"/>
      <c r="B23" s="2"/>
      <c r="C23" s="2"/>
      <c r="D23" s="2"/>
      <c r="E23" s="2"/>
      <c r="F23" s="2"/>
      <c r="G23" s="2"/>
      <c r="H23" s="2"/>
    </row>
    <row r="24" spans="1:8">
      <c r="A24" s="2"/>
      <c r="B24" s="2"/>
      <c r="C24" s="2"/>
      <c r="D24" s="2"/>
      <c r="E24" s="2"/>
      <c r="F24" s="2"/>
      <c r="G24" s="2"/>
      <c r="H24" s="2"/>
    </row>
    <row r="25" spans="1:8">
      <c r="A25" s="2"/>
      <c r="B25" s="2"/>
      <c r="C25" s="2"/>
      <c r="D25" s="2"/>
      <c r="E25" s="2"/>
      <c r="F25" s="2"/>
      <c r="G25" s="2"/>
      <c r="H25" s="2"/>
    </row>
  </sheetData>
  <mergeCells count="4">
    <mergeCell ref="A1:H1"/>
    <mergeCell ref="A2:H2"/>
    <mergeCell ref="A4:H4"/>
    <mergeCell ref="A22:H25"/>
  </mergeCells>
  <conditionalFormatting sqref="F7:F12">
    <cfRule type="colorScale" priority="1">
      <colorScale>
        <cfvo type="min" val="0"/>
        <cfvo type="percentile" val="50"/>
        <cfvo type="max" val="0"/>
        <color rgb="FFF8CBAD"/>
        <color rgb="FFFFE699"/>
        <color rgb="FFC6EFCE"/>
      </colorScale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Equipements</vt:lpstr>
      <vt:lpstr>Interventions</vt:lpstr>
      <vt:lpstr>Dashboard</vt:lpstr>
      <vt:lpstr>Synthèse_A4</vt:lpstr>
      <vt:lpstr>Barometre_Humain</vt:lpstr>
      <vt:lpstr>Synthèse_A4!Print_Area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2025-11-24T16:25:16Z</dcterms:created>
  <dcterms:modified xsi:type="dcterms:W3CDTF">2025-11-24T16:25:16Z</dcterms:modified>
</cp:coreProperties>
</file>