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lux_Commandes" sheetId="1" r:id="rId1"/>
    <sheet name="Stocks" sheetId="2" r:id="rId2"/>
    <sheet name="Qualite_Operationnelle" sheetId="3" r:id="rId3"/>
    <sheet name="Performance_Transporteurs" sheetId="4" r:id="rId4"/>
    <sheet name="Capacite_Entrepot" sheetId="5" r:id="rId5"/>
    <sheet name="Dashboard" sheetId="6" r:id="rId6"/>
    <sheet name="Synthèse_A4" sheetId="7" r:id="rId7"/>
    <sheet name="Barometre_Humain" sheetId="8" r:id="rId8"/>
  </sheets>
  <definedNames>
    <definedName name="_xlnm.Print_Area" localSheetId="6">Synthèse_A4!$A$1:$F$36</definedName>
  </definedNames>
  <calcPr calcId="124519" fullCalcOnLoad="1"/>
</workbook>
</file>

<file path=xl/sharedStrings.xml><?xml version="1.0" encoding="utf-8"?>
<sst xmlns="http://schemas.openxmlformats.org/spreadsheetml/2006/main" count="362" uniqueCount="205">
  <si>
    <t>Flux commandes – Tableau de bord logistique globale</t>
  </si>
  <si>
    <t>Historique des commandes client, délais de livraison, complétude et coûts de transport.</t>
  </si>
  <si>
    <t>Référentiel des flux commandes</t>
  </si>
  <si>
    <t>ID_Commande</t>
  </si>
  <si>
    <t>Date_Commande</t>
  </si>
  <si>
    <t>Client</t>
  </si>
  <si>
    <t>Région</t>
  </si>
  <si>
    <t>Canal</t>
  </si>
  <si>
    <t>Entrepot_Origine</t>
  </si>
  <si>
    <t>Mode_Transport</t>
  </si>
  <si>
    <t>Date_Prévue_Livraison</t>
  </si>
  <si>
    <t>Date_Réelle_Livraison</t>
  </si>
  <si>
    <t>Statut_OT</t>
  </si>
  <si>
    <t>Statut_Completude</t>
  </si>
  <si>
    <t>Nb_Lignes</t>
  </si>
  <si>
    <t>Volume_m3</t>
  </si>
  <si>
    <t>Poids_kg</t>
  </si>
  <si>
    <t>Valeur_Commande</t>
  </si>
  <si>
    <t>Cout_Transport</t>
  </si>
  <si>
    <t>Responsable_Logistique</t>
  </si>
  <si>
    <t>LeadTime_jours</t>
  </si>
  <si>
    <t>CMD-001</t>
  </si>
  <si>
    <t>Client A</t>
  </si>
  <si>
    <t>France Nord</t>
  </si>
  <si>
    <t>Retail</t>
  </si>
  <si>
    <t>ENT-1</t>
  </si>
  <si>
    <t>Route</t>
  </si>
  <si>
    <t>Complet</t>
  </si>
  <si>
    <t>Sara</t>
  </si>
  <si>
    <t>CMD-002</t>
  </si>
  <si>
    <t>Client B</t>
  </si>
  <si>
    <t>France Sud</t>
  </si>
  <si>
    <t>E-commerce</t>
  </si>
  <si>
    <t>ENT-2</t>
  </si>
  <si>
    <t>Ali</t>
  </si>
  <si>
    <t>CMD-003</t>
  </si>
  <si>
    <t>Client C</t>
  </si>
  <si>
    <t>Benelux</t>
  </si>
  <si>
    <t>B2B</t>
  </si>
  <si>
    <t>Air</t>
  </si>
  <si>
    <t>Youssef</t>
  </si>
  <si>
    <t>CMD-004</t>
  </si>
  <si>
    <t>Client D</t>
  </si>
  <si>
    <t>ENT-3</t>
  </si>
  <si>
    <t>Partiel</t>
  </si>
  <si>
    <t>Nadia</t>
  </si>
  <si>
    <t>CMD-005</t>
  </si>
  <si>
    <t>Client E</t>
  </si>
  <si>
    <t>Iberia</t>
  </si>
  <si>
    <t>Sea</t>
  </si>
  <si>
    <t>Hicham</t>
  </si>
  <si>
    <t>CMD-006</t>
  </si>
  <si>
    <t>Client F</t>
  </si>
  <si>
    <t>CMD-007</t>
  </si>
  <si>
    <t>Client G</t>
  </si>
  <si>
    <t>CMD-008</t>
  </si>
  <si>
    <t>Client H</t>
  </si>
  <si>
    <t>Stocks – Sites logistiques</t>
  </si>
  <si>
    <t>Visibilité sur le stock théorique, le stock physique, les écarts et la couverture par rapport au stock de sécurité.</t>
  </si>
  <si>
    <t>Référentiel stocks par site et produit</t>
  </si>
  <si>
    <t>Site</t>
  </si>
  <si>
    <t>SKU</t>
  </si>
  <si>
    <t>Famille_Produit</t>
  </si>
  <si>
    <t>Stock_Théorique</t>
  </si>
  <si>
    <t>Stock_Physique</t>
  </si>
  <si>
    <t>Écart</t>
  </si>
  <si>
    <t>Jours_Couverture</t>
  </si>
  <si>
    <t>Stock_Sécurité</t>
  </si>
  <si>
    <t>Statut_Couverture</t>
  </si>
  <si>
    <t>SKU-001</t>
  </si>
  <si>
    <t>Pièce A</t>
  </si>
  <si>
    <t>SKU-002</t>
  </si>
  <si>
    <t>Pièce B</t>
  </si>
  <si>
    <t>SKU-003</t>
  </si>
  <si>
    <t>Pièce C</t>
  </si>
  <si>
    <t>SKU-004</t>
  </si>
  <si>
    <t>Pièce D</t>
  </si>
  <si>
    <t>SKU-005</t>
  </si>
  <si>
    <t>Pièce E</t>
  </si>
  <si>
    <t>SKU-006</t>
  </si>
  <si>
    <t>Pièce F</t>
  </si>
  <si>
    <t>Qualité opérationnelle – incidents logistiques</t>
  </si>
  <si>
    <t>Suivi des erreurs de préparation, avaries, retards et litiges clients.</t>
  </si>
  <si>
    <t>Journal des incidents logistiques</t>
  </si>
  <si>
    <t>Date_Incident</t>
  </si>
  <si>
    <t>Entrepot</t>
  </si>
  <si>
    <t>Type_Anomalie</t>
  </si>
  <si>
    <t>Nb_Commandes_concernees</t>
  </si>
  <si>
    <t>Nb_Unites_concernees</t>
  </si>
  <si>
    <t>Valeur_concernee</t>
  </si>
  <si>
    <t>Transporteur</t>
  </si>
  <si>
    <t>Cause_Racine</t>
  </si>
  <si>
    <t>Statut_Action</t>
  </si>
  <si>
    <t>Erreur_préparation</t>
  </si>
  <si>
    <t>TRANSP-1</t>
  </si>
  <si>
    <t>Process_picking</t>
  </si>
  <si>
    <t>Ouvert</t>
  </si>
  <si>
    <t>Colis_avarie</t>
  </si>
  <si>
    <t>TRANSP-2</t>
  </si>
  <si>
    <t>Manutention</t>
  </si>
  <si>
    <t>Clos</t>
  </si>
  <si>
    <t>Retard_transport</t>
  </si>
  <si>
    <t>TRANSP-3</t>
  </si>
  <si>
    <t>Surcharge_tournée</t>
  </si>
  <si>
    <t>Formation</t>
  </si>
  <si>
    <t>En cours</t>
  </si>
  <si>
    <t>Mauvais_adressage</t>
  </si>
  <si>
    <t>Données_client</t>
  </si>
  <si>
    <t>Performance des transporteurs</t>
  </si>
  <si>
    <t>Suivi de la qualité de service, des coûts et des émissions CO₂ par transporteur.</t>
  </si>
  <si>
    <t>Synthèse par transporteur</t>
  </si>
  <si>
    <t>Mode</t>
  </si>
  <si>
    <t>Zone</t>
  </si>
  <si>
    <t>Nb_Expeditions</t>
  </si>
  <si>
    <t>Nb_OTIF</t>
  </si>
  <si>
    <t>OTIF_pct</t>
  </si>
  <si>
    <t>Cout_Total_Transport</t>
  </si>
  <si>
    <t>Cout_moyen_par_expedition</t>
  </si>
  <si>
    <t>Cout_par_kg</t>
  </si>
  <si>
    <t>Km_parcourus</t>
  </si>
  <si>
    <t>CO2_estime</t>
  </si>
  <si>
    <t>Score_Service</t>
  </si>
  <si>
    <t>Score_CO2</t>
  </si>
  <si>
    <t>TRANSP-4</t>
  </si>
  <si>
    <t>Capacité et saturation des entrepôts</t>
  </si>
  <si>
    <t>Suivi de l'occupation, de la capacité et de la productivité par zone logistique.</t>
  </si>
  <si>
    <t>Vue par entrepôt et par zone</t>
  </si>
  <si>
    <t>Surface_m2</t>
  </si>
  <si>
    <t>Capacite_Palettes_theorique</t>
  </si>
  <si>
    <t>Nb_Palettes_stockees</t>
  </si>
  <si>
    <t>Taux_Occupation</t>
  </si>
  <si>
    <t>Nb_Docks</t>
  </si>
  <si>
    <t>Nb_Camions_jour</t>
  </si>
  <si>
    <t>Productivite_lignes_heure</t>
  </si>
  <si>
    <t>Niveau_Saturation</t>
  </si>
  <si>
    <t>Stock palettes</t>
  </si>
  <si>
    <t>Picking</t>
  </si>
  <si>
    <t>Réception</t>
  </si>
  <si>
    <t>Expédition</t>
  </si>
  <si>
    <t>Tableau de bord logistique globale – Vue détaillée</t>
  </si>
  <si>
    <t>Pilotage des flux commandes, du service logistique, de la qualité opérationnelle, du transport et de la capacité entrepôt.</t>
  </si>
  <si>
    <t>Période d'analyse</t>
  </si>
  <si>
    <t>Du</t>
  </si>
  <si>
    <t>Au</t>
  </si>
  <si>
    <t>Indicateurs flux commandes</t>
  </si>
  <si>
    <t>Nb commandes sur la période</t>
  </si>
  <si>
    <t>Taux On Time</t>
  </si>
  <si>
    <t>Taux complétude (Complet)</t>
  </si>
  <si>
    <t>Taux OTIF (On Time In Full)</t>
  </si>
  <si>
    <t>Lead time moyen (jours)</t>
  </si>
  <si>
    <t>Coût transport / commande (moyen)</t>
  </si>
  <si>
    <t>Indicateurs qualité de stock</t>
  </si>
  <si>
    <t>Nb SKUs suivis</t>
  </si>
  <si>
    <t>Taux d'exactitude stock (écart = 0)</t>
  </si>
  <si>
    <t>% références en sous-stock</t>
  </si>
  <si>
    <t>% références en sur-stock</t>
  </si>
  <si>
    <t>Taux OTIF global</t>
  </si>
  <si>
    <t>Coût moyen transport</t>
  </si>
  <si>
    <t>Exactitude stock</t>
  </si>
  <si>
    <t>Références sous-stock</t>
  </si>
  <si>
    <t>Répartition délais de livraison (période)</t>
  </si>
  <si>
    <t>Nb commandes</t>
  </si>
  <si>
    <t>On Time</t>
  </si>
  <si>
    <t>Late</t>
  </si>
  <si>
    <t>OTIF par région (période – exemple)</t>
  </si>
  <si>
    <t>OTIF</t>
  </si>
  <si>
    <t>Qualité opérationnelle logistique</t>
  </si>
  <si>
    <t>Taux erreurs préparation</t>
  </si>
  <si>
    <t>Taux litiges livraison</t>
  </si>
  <si>
    <t>Coût anomalies / CA logistique</t>
  </si>
  <si>
    <t>Transport &amp; empreinte CO₂</t>
  </si>
  <si>
    <t>CO₂ par commande (kg)</t>
  </si>
  <si>
    <t>OTIF moyen transporteurs</t>
  </si>
  <si>
    <t>Capacité &amp; saturation entrepôts</t>
  </si>
  <si>
    <t>% zones &gt; 85% occupation</t>
  </si>
  <si>
    <t>Taux d'occupation max</t>
  </si>
  <si>
    <t>Productivité moyenne (lignes/heure)</t>
  </si>
  <si>
    <t>Synthèse – Tableau de bord logistique globale</t>
  </si>
  <si>
    <t>Vue condensée du niveau de service, des coûts, de la qualité de stock, des incidents, du transport et de la capacité entrepôt.</t>
  </si>
  <si>
    <t>Période d'analyse :</t>
  </si>
  <si>
    <t>Indicateurs principaux de la période</t>
  </si>
  <si>
    <t>OTIF global</t>
  </si>
  <si>
    <t>Coût moyen transport / commande</t>
  </si>
  <si>
    <t>Taux d'exactitude stock</t>
  </si>
  <si>
    <t>Volume total traité sur la période.</t>
  </si>
  <si>
    <t>Charge de transport moyenne par commande.</t>
  </si>
  <si>
    <t>Lecture rapide :
- La colonne centrale présente les valeurs calculées sur la période (service, coûts, stock, incidents, CO₂, capacité).
- La colonne de droite fournit une interprétation immédiatement réutilisable dans la revue logistique.
- Cette page peut être imprimée telle quelle et jointe au compte-rendu de réunion ou au rapport mensuel logistique.</t>
  </si>
  <si>
    <t>Baromètre humain de la logistique</t>
  </si>
  <si>
    <t>Lecture par personne de la charge, du niveau de service et du ressenti sur la période d'analyse.</t>
  </si>
  <si>
    <t>Profil par ressource logistique – Charge et niveau de service</t>
  </si>
  <si>
    <t>Ressource</t>
  </si>
  <si>
    <t>Rôle</t>
  </si>
  <si>
    <t>Nb commandes traitées</t>
  </si>
  <si>
    <t>OTIF personnel</t>
  </si>
  <si>
    <t>Heures d'activité estimées</t>
  </si>
  <si>
    <t>Heures sup déclarées</t>
  </si>
  <si>
    <t>Indice équilibre charge (0–100)</t>
  </si>
  <si>
    <t>Ressenti (à saisir)</t>
  </si>
  <si>
    <t>Commentaire libre</t>
  </si>
  <si>
    <t>Responsable flux</t>
  </si>
  <si>
    <t>Préparateur commandes</t>
  </si>
  <si>
    <t>Cariste</t>
  </si>
  <si>
    <t>Chauffeur</t>
  </si>
  <si>
    <t>Planificateur transport</t>
  </si>
  <si>
    <t>Interprétation :
- Un indice proche de 100 traduit une charge équilibrée, un service de qualité et peu d'heures supplémentaires.
- Un indice faible signale un profil très exposé aux urgences, aux retards ou à la surcharge.
- La colonne « Ressenti » permet de confronter ces données chiffrées à la perception terrain lors des points d'équipe.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</si>
</sst>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.00"/>
    <numFmt numFmtId="166" formatCode="0.0%"/>
    <numFmt numFmtId="167" formatCode="0.0"/>
  </numFmts>
  <fonts count="8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i/>
      <sz val="10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164" fontId="4" fillId="0" borderId="1" xfId="0" applyNumberFormat="1" applyFont="1" applyBorder="1"/>
    <xf numFmtId="1" fontId="4" fillId="0" borderId="1" xfId="0" applyNumberFormat="1" applyFont="1" applyBorder="1"/>
    <xf numFmtId="165" fontId="4" fillId="0" borderId="1" xfId="0" applyNumberFormat="1" applyFont="1" applyBorder="1"/>
    <xf numFmtId="166" fontId="4" fillId="0" borderId="1" xfId="0" applyNumberFormat="1" applyFont="1" applyBorder="1"/>
    <xf numFmtId="1" fontId="5" fillId="0" borderId="0" xfId="0" applyNumberFormat="1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166" fontId="5" fillId="0" borderId="0" xfId="0" applyNumberFormat="1" applyFont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167" fontId="5" fillId="0" borderId="0" xfId="0" applyNumberFormat="1" applyFont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rgb="FFF8CBA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F0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69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On Time vs Late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Nb commandes</c:v>
          </c:tx>
          <c:cat>
            <c:strRef>
              <c:f>Dashboard!$A$21:$A$22</c:f>
              <c:strCache>
                <c:ptCount val="2"/>
                <c:pt idx="0">
                  <c:v>On Time</c:v>
                </c:pt>
                <c:pt idx="1">
                  <c:v>Late</c:v>
                </c:pt>
              </c:strCache>
            </c:strRef>
          </c:cat>
          <c:val>
            <c:numRef>
              <c:f>Dashboard!$B$21:$B$22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OTIF par région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OTIF</c:v>
          </c:tx>
          <c:cat>
            <c:strRef>
              <c:f>Dashboard!$A$26:$A$28</c:f>
              <c:strCache>
                <c:ptCount val="3"/>
                <c:pt idx="0">
                  <c:v>France Nord</c:v>
                </c:pt>
                <c:pt idx="1">
                  <c:v>France Sud</c:v>
                </c:pt>
                <c:pt idx="2">
                  <c:v>Benelux</c:v>
                </c:pt>
              </c:strCache>
            </c:strRef>
          </c:cat>
          <c:val>
            <c:numRef>
              <c:f>Dashboard!$B$26:$B$28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Indice équilibre charge par ressource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Indice équilibre charge</c:v>
          </c:tx>
          <c:cat>
            <c:strRef>
              <c:f>Barometre_Humain!$A$7:$A$11</c:f>
              <c:strCache>
                <c:ptCount val="5"/>
                <c:pt idx="0">
                  <c:v>Sara</c:v>
                </c:pt>
                <c:pt idx="1">
                  <c:v>Ali</c:v>
                </c:pt>
                <c:pt idx="2">
                  <c:v>Youssef</c:v>
                </c:pt>
                <c:pt idx="3">
                  <c:v>Nadia</c:v>
                </c:pt>
                <c:pt idx="4">
                  <c:v>Hicham</c:v>
                </c:pt>
              </c:strCache>
            </c:strRef>
          </c:cat>
          <c:val>
            <c:numRef>
              <c:f>Barometre_Humain!$G$7:$G$11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b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</xdr:row>
      <xdr:rowOff>0</xdr:rowOff>
    </xdr:from>
    <xdr:to>
      <xdr:col>9</xdr:col>
      <xdr:colOff>400050</xdr:colOff>
      <xdr:row>19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18</xdr:row>
      <xdr:rowOff>0</xdr:rowOff>
    </xdr:from>
    <xdr:to>
      <xdr:col>9</xdr:col>
      <xdr:colOff>400050</xdr:colOff>
      <xdr:row>33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1000125</xdr:colOff>
      <xdr:row>29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Flux" displayName="tbl_Flux" ref="A5:R13" totalsRowShown="0">
  <autoFilter ref="A5:R13"/>
  <tableColumns count="18">
    <tableColumn id="1" name="ID_Commande"/>
    <tableColumn id="2" name="Date_Commande"/>
    <tableColumn id="3" name="Client"/>
    <tableColumn id="4" name="Région"/>
    <tableColumn id="5" name="Canal"/>
    <tableColumn id="6" name="Entrepot_Origine"/>
    <tableColumn id="7" name="Mode_Transport"/>
    <tableColumn id="8" name="Date_Prévue_Livraison"/>
    <tableColumn id="9" name="Date_Réelle_Livraison"/>
    <tableColumn id="10" name="Statut_OT"/>
    <tableColumn id="11" name="Statut_Completude"/>
    <tableColumn id="12" name="Nb_Lignes"/>
    <tableColumn id="13" name="Volume_m3"/>
    <tableColumn id="14" name="Poids_kg"/>
    <tableColumn id="15" name="Valeur_Commande"/>
    <tableColumn id="16" name="Cout_Transport"/>
    <tableColumn id="17" name="Responsable_Logistique"/>
    <tableColumn id="18" name="LeadTime_jour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_Stocks" displayName="tbl_Stocks" ref="A5:I11" totalsRowShown="0">
  <autoFilter ref="A5:I11"/>
  <tableColumns count="9">
    <tableColumn id="1" name="Site"/>
    <tableColumn id="2" name="SKU"/>
    <tableColumn id="3" name="Famille_Produit"/>
    <tableColumn id="4" name="Stock_Théorique"/>
    <tableColumn id="5" name="Stock_Physique"/>
    <tableColumn id="6" name="Écart"/>
    <tableColumn id="7" name="Jours_Couverture"/>
    <tableColumn id="8" name="Stock_Sécurité"/>
    <tableColumn id="9" name="Statut_Couvertur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Qualite" displayName="tbl_Qualite" ref="A5:K10" totalsRowShown="0">
  <autoFilter ref="A5:K10"/>
  <tableColumns count="11">
    <tableColumn id="1" name="Date_Incident"/>
    <tableColumn id="2" name="Entrepot"/>
    <tableColumn id="3" name="Client"/>
    <tableColumn id="4" name="Canal"/>
    <tableColumn id="5" name="Type_Anomalie"/>
    <tableColumn id="6" name="Nb_Commandes_concernees"/>
    <tableColumn id="7" name="Nb_Unites_concernees"/>
    <tableColumn id="8" name="Valeur_concernee"/>
    <tableColumn id="9" name="Transporteur"/>
    <tableColumn id="10" name="Cause_Racine"/>
    <tableColumn id="11" name="Statut_Action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4" name="tbl_Transport" displayName="tbl_Transport" ref="A5:M9" totalsRowShown="0">
  <autoFilter ref="A5:M9"/>
  <tableColumns count="13">
    <tableColumn id="1" name="Transporteur"/>
    <tableColumn id="2" name="Mode"/>
    <tableColumn id="3" name="Zone"/>
    <tableColumn id="4" name="Nb_Expeditions"/>
    <tableColumn id="5" name="Nb_OTIF"/>
    <tableColumn id="6" name="OTIF_pct"/>
    <tableColumn id="7" name="Cout_Total_Transport"/>
    <tableColumn id="8" name="Cout_moyen_par_expedition"/>
    <tableColumn id="9" name="Cout_par_kg"/>
    <tableColumn id="10" name="Km_parcourus"/>
    <tableColumn id="11" name="CO2_estime"/>
    <tableColumn id="12" name="Score_Service"/>
    <tableColumn id="13" name="Score_CO2"/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id="5" name="tbl_Capacite" displayName="tbl_Capacite" ref="A5:J11" totalsRowShown="0">
  <autoFilter ref="A5:J11"/>
  <tableColumns count="10">
    <tableColumn id="1" name="Entrepot"/>
    <tableColumn id="2" name="Zone"/>
    <tableColumn id="3" name="Surface_m2"/>
    <tableColumn id="4" name="Capacite_Palettes_theorique"/>
    <tableColumn id="5" name="Nb_Palettes_stockees"/>
    <tableColumn id="6" name="Taux_Occupation"/>
    <tableColumn id="7" name="Nb_Docks"/>
    <tableColumn id="8" name="Nb_Camions_jour"/>
    <tableColumn id="9" name="Productivite_lignes_heure"/>
    <tableColumn id="10" name="Niveau_Saturation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>
      <pane ySplit="5" topLeftCell="A6" activePane="bottomLeft" state="frozen"/>
      <selection pane="bottomLeft"/>
    </sheetView>
  </sheetViews>
  <sheetFormatPr defaultRowHeight="15"/>
  <cols>
    <col min="1" max="1" width="14.7109375" customWidth="1"/>
    <col min="2" max="2" width="12.7109375" customWidth="1"/>
    <col min="3" max="3" width="18.7109375" customWidth="1"/>
    <col min="4" max="5" width="14.7109375" customWidth="1"/>
    <col min="6" max="7" width="16.7109375" customWidth="1"/>
    <col min="8" max="16" width="14.7109375" customWidth="1"/>
    <col min="17" max="17" width="20.7109375" customWidth="1"/>
    <col min="18" max="18" width="14.7109375" customWidth="1"/>
  </cols>
  <sheetData>
    <row r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4" spans="1:18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  <c r="R5" t="s">
        <v>20</v>
      </c>
    </row>
    <row r="6" spans="1:18">
      <c r="A6" s="4" t="s">
        <v>21</v>
      </c>
      <c r="B6" s="5">
        <v>45975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>
        <v>45980</v>
      </c>
      <c r="I6" s="5">
        <v>45980</v>
      </c>
      <c r="J6" s="4">
        <f>IF(OR(H6="",I6=""),"",IF(I6&lt;=H6,"On Time","Late"))</f>
        <v>0</v>
      </c>
      <c r="K6" s="4" t="s">
        <v>27</v>
      </c>
      <c r="L6" s="6">
        <v>5</v>
      </c>
      <c r="M6" s="7">
        <v>3.2</v>
      </c>
      <c r="N6" s="7">
        <v>450</v>
      </c>
      <c r="O6" s="7">
        <v>15000</v>
      </c>
      <c r="P6" s="7">
        <v>420</v>
      </c>
      <c r="Q6" s="4" t="s">
        <v>28</v>
      </c>
      <c r="R6" s="7">
        <f>IF(OR(B6="",I6=""),"",I6-B6)</f>
        <v>0</v>
      </c>
    </row>
    <row r="7" spans="1:18">
      <c r="A7" s="4" t="s">
        <v>29</v>
      </c>
      <c r="B7" s="5">
        <v>45977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26</v>
      </c>
      <c r="H7" s="5">
        <v>45982</v>
      </c>
      <c r="I7" s="5">
        <v>45983</v>
      </c>
      <c r="J7" s="4">
        <f>IF(OR(H7="",I7=""),"",IF(I7&lt;=H7,"On Time","Late"))</f>
        <v>0</v>
      </c>
      <c r="K7" s="4" t="s">
        <v>27</v>
      </c>
      <c r="L7" s="6">
        <v>3</v>
      </c>
      <c r="M7" s="7">
        <v>1</v>
      </c>
      <c r="N7" s="7">
        <v>120</v>
      </c>
      <c r="O7" s="7">
        <v>6000</v>
      </c>
      <c r="P7" s="7">
        <v>180</v>
      </c>
      <c r="Q7" s="4" t="s">
        <v>34</v>
      </c>
      <c r="R7" s="7">
        <f>IF(OR(B7="",I7=""),"",I7-B7)</f>
        <v>0</v>
      </c>
    </row>
    <row r="8" spans="1:18">
      <c r="A8" s="4" t="s">
        <v>35</v>
      </c>
      <c r="B8" s="5">
        <v>45978</v>
      </c>
      <c r="C8" s="4" t="s">
        <v>36</v>
      </c>
      <c r="D8" s="4" t="s">
        <v>37</v>
      </c>
      <c r="E8" s="4" t="s">
        <v>38</v>
      </c>
      <c r="F8" s="4" t="s">
        <v>25</v>
      </c>
      <c r="G8" s="4" t="s">
        <v>39</v>
      </c>
      <c r="H8" s="5">
        <v>45983</v>
      </c>
      <c r="I8" s="5">
        <v>45984</v>
      </c>
      <c r="J8" s="4">
        <f>IF(OR(H8="",I8=""),"",IF(I8&lt;=H8,"On Time","Late"))</f>
        <v>0</v>
      </c>
      <c r="K8" s="4" t="s">
        <v>27</v>
      </c>
      <c r="L8" s="6">
        <v>8</v>
      </c>
      <c r="M8" s="7">
        <v>4.5</v>
      </c>
      <c r="N8" s="7">
        <v>780</v>
      </c>
      <c r="O8" s="7">
        <v>28000</v>
      </c>
      <c r="P8" s="7">
        <v>850</v>
      </c>
      <c r="Q8" s="4" t="s">
        <v>40</v>
      </c>
      <c r="R8" s="7">
        <f>IF(OR(B8="",I8=""),"",I8-B8)</f>
        <v>0</v>
      </c>
    </row>
    <row r="9" spans="1:18">
      <c r="A9" s="4" t="s">
        <v>41</v>
      </c>
      <c r="B9" s="5">
        <v>45979</v>
      </c>
      <c r="C9" s="4" t="s">
        <v>42</v>
      </c>
      <c r="D9" s="4" t="s">
        <v>23</v>
      </c>
      <c r="E9" s="4" t="s">
        <v>24</v>
      </c>
      <c r="F9" s="4" t="s">
        <v>43</v>
      </c>
      <c r="G9" s="4" t="s">
        <v>26</v>
      </c>
      <c r="H9" s="5">
        <v>45984</v>
      </c>
      <c r="I9" s="5">
        <v>45985</v>
      </c>
      <c r="J9" s="4">
        <f>IF(OR(H9="",I9=""),"",IF(I9&lt;=H9,"On Time","Late"))</f>
        <v>0</v>
      </c>
      <c r="K9" s="4" t="s">
        <v>44</v>
      </c>
      <c r="L9" s="6">
        <v>10</v>
      </c>
      <c r="M9" s="7">
        <v>6</v>
      </c>
      <c r="N9" s="7">
        <v>900</v>
      </c>
      <c r="O9" s="7">
        <v>32000</v>
      </c>
      <c r="P9" s="7">
        <v>900</v>
      </c>
      <c r="Q9" s="4" t="s">
        <v>45</v>
      </c>
      <c r="R9" s="7">
        <f>IF(OR(B9="",I9=""),"",I9-B9)</f>
        <v>0</v>
      </c>
    </row>
    <row r="10" spans="1:18">
      <c r="A10" s="4" t="s">
        <v>46</v>
      </c>
      <c r="B10" s="5">
        <v>45973</v>
      </c>
      <c r="C10" s="4" t="s">
        <v>47</v>
      </c>
      <c r="D10" s="4" t="s">
        <v>48</v>
      </c>
      <c r="E10" s="4" t="s">
        <v>38</v>
      </c>
      <c r="F10" s="4" t="s">
        <v>33</v>
      </c>
      <c r="G10" s="4" t="s">
        <v>49</v>
      </c>
      <c r="H10" s="5">
        <v>45983</v>
      </c>
      <c r="I10" s="5">
        <v>45986</v>
      </c>
      <c r="J10" s="4">
        <f>IF(OR(H10="",I10=""),"",IF(I10&lt;=H10,"On Time","Late"))</f>
        <v>0</v>
      </c>
      <c r="K10" s="4" t="s">
        <v>27</v>
      </c>
      <c r="L10" s="6">
        <v>15</v>
      </c>
      <c r="M10" s="7">
        <v>12</v>
      </c>
      <c r="N10" s="7">
        <v>2500</v>
      </c>
      <c r="O10" s="7">
        <v>55000</v>
      </c>
      <c r="P10" s="7">
        <v>1400</v>
      </c>
      <c r="Q10" s="4" t="s">
        <v>50</v>
      </c>
      <c r="R10" s="7">
        <f>IF(OR(B10="",I10=""),"",I10-B10)</f>
        <v>0</v>
      </c>
    </row>
    <row r="11" spans="1:18">
      <c r="A11" s="4" t="s">
        <v>51</v>
      </c>
      <c r="B11" s="5">
        <v>45976</v>
      </c>
      <c r="C11" s="4" t="s">
        <v>52</v>
      </c>
      <c r="D11" s="4" t="s">
        <v>31</v>
      </c>
      <c r="E11" s="4" t="s">
        <v>32</v>
      </c>
      <c r="F11" s="4" t="s">
        <v>25</v>
      </c>
      <c r="G11" s="4" t="s">
        <v>26</v>
      </c>
      <c r="H11" s="5">
        <v>45981</v>
      </c>
      <c r="I11" s="5">
        <v>45981</v>
      </c>
      <c r="J11" s="4">
        <f>IF(OR(H11="",I11=""),"",IF(I11&lt;=H11,"On Time","Late"))</f>
        <v>0</v>
      </c>
      <c r="K11" s="4" t="s">
        <v>27</v>
      </c>
      <c r="L11" s="6">
        <v>2</v>
      </c>
      <c r="M11" s="7">
        <v>0.6</v>
      </c>
      <c r="N11" s="7">
        <v>80</v>
      </c>
      <c r="O11" s="7">
        <v>2800</v>
      </c>
      <c r="P11" s="7">
        <v>90</v>
      </c>
      <c r="Q11" s="4" t="s">
        <v>28</v>
      </c>
      <c r="R11" s="7">
        <f>IF(OR(B11="",I11=""),"",I11-B11)</f>
        <v>0</v>
      </c>
    </row>
    <row r="12" spans="1:18">
      <c r="A12" s="4" t="s">
        <v>53</v>
      </c>
      <c r="B12" s="5">
        <v>45981</v>
      </c>
      <c r="C12" s="4" t="s">
        <v>54</v>
      </c>
      <c r="D12" s="4" t="s">
        <v>23</v>
      </c>
      <c r="E12" s="4" t="s">
        <v>24</v>
      </c>
      <c r="F12" s="4" t="s">
        <v>43</v>
      </c>
      <c r="G12" s="4" t="s">
        <v>26</v>
      </c>
      <c r="H12" s="5">
        <v>45986</v>
      </c>
      <c r="I12" s="5">
        <v>45987</v>
      </c>
      <c r="J12" s="4">
        <f>IF(OR(H12="",I12=""),"",IF(I12&lt;=H12,"On Time","Late"))</f>
        <v>0</v>
      </c>
      <c r="K12" s="4" t="s">
        <v>27</v>
      </c>
      <c r="L12" s="6">
        <v>6</v>
      </c>
      <c r="M12" s="7">
        <v>3.8</v>
      </c>
      <c r="N12" s="7">
        <v>520</v>
      </c>
      <c r="O12" s="7">
        <v>16000</v>
      </c>
      <c r="P12" s="7">
        <v>400</v>
      </c>
      <c r="Q12" s="4" t="s">
        <v>34</v>
      </c>
      <c r="R12" s="7">
        <f>IF(OR(B12="",I12=""),"",I12-B12)</f>
        <v>0</v>
      </c>
    </row>
    <row r="13" spans="1:18">
      <c r="A13" s="4" t="s">
        <v>55</v>
      </c>
      <c r="B13" s="5">
        <v>45982</v>
      </c>
      <c r="C13" s="4" t="s">
        <v>56</v>
      </c>
      <c r="D13" s="4" t="s">
        <v>37</v>
      </c>
      <c r="E13" s="4" t="s">
        <v>32</v>
      </c>
      <c r="F13" s="4" t="s">
        <v>33</v>
      </c>
      <c r="G13" s="4" t="s">
        <v>39</v>
      </c>
      <c r="H13" s="5">
        <v>45985</v>
      </c>
      <c r="I13" s="5">
        <v>45985</v>
      </c>
      <c r="J13" s="4">
        <f>IF(OR(H13="",I13=""),"",IF(I13&lt;=H13,"On Time","Late"))</f>
        <v>0</v>
      </c>
      <c r="K13" s="4" t="s">
        <v>27</v>
      </c>
      <c r="L13" s="6">
        <v>4</v>
      </c>
      <c r="M13" s="7">
        <v>1.8</v>
      </c>
      <c r="N13" s="7">
        <v>200</v>
      </c>
      <c r="O13" s="7">
        <v>9000</v>
      </c>
      <c r="P13" s="7">
        <v>260</v>
      </c>
      <c r="Q13" s="4" t="s">
        <v>40</v>
      </c>
      <c r="R13" s="7">
        <f>IF(OR(B13="",I13=""),"",I13-B13)</f>
        <v>0</v>
      </c>
    </row>
  </sheetData>
  <mergeCells count="3">
    <mergeCell ref="A1:R1"/>
    <mergeCell ref="A2:R2"/>
    <mergeCell ref="A4:R4"/>
  </mergeCells>
  <conditionalFormatting sqref="J6:J13">
    <cfRule type="containsText" dxfId="0" priority="1" operator="containsText" text="Late">
      <formula>NOT(ISERROR(SEARCH("Late",J6)))</formula>
    </cfRule>
    <cfRule type="containsText" dxfId="1" priority="2" operator="containsText" text="On Time">
      <formula>NOT(ISERROR(SEARCH("On Time",J6)))</formula>
    </cfRule>
  </conditionalFormatting>
  <conditionalFormatting sqref="K6:K13">
    <cfRule type="containsText" dxfId="2" priority="3" operator="containsText" text="Partiel">
      <formula>NOT(ISERROR(SEARCH("Partiel",K6)))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12.7109375" customWidth="1"/>
    <col min="2" max="2" width="14.7109375" customWidth="1"/>
    <col min="3" max="3" width="16.7109375" customWidth="1"/>
    <col min="4" max="8" width="14.7109375" customWidth="1"/>
    <col min="9" max="9" width="16.7109375" customWidth="1"/>
  </cols>
  <sheetData>
    <row r="1" spans="1:9">
      <c r="A1" s="1" t="s">
        <v>57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58</v>
      </c>
      <c r="B2" s="2"/>
      <c r="C2" s="2"/>
      <c r="D2" s="2"/>
      <c r="E2" s="2"/>
      <c r="F2" s="2"/>
      <c r="G2" s="2"/>
      <c r="H2" s="2"/>
      <c r="I2" s="2"/>
    </row>
    <row r="4" spans="1:9">
      <c r="A4" s="3" t="s">
        <v>59</v>
      </c>
      <c r="B4" s="3"/>
      <c r="C4" s="3"/>
      <c r="D4" s="3"/>
      <c r="E4" s="3"/>
      <c r="F4" s="3"/>
      <c r="G4" s="3"/>
      <c r="H4" s="3"/>
      <c r="I4" s="3"/>
    </row>
    <row r="5" spans="1:9">
      <c r="A5" t="s">
        <v>60</v>
      </c>
      <c r="B5" t="s">
        <v>61</v>
      </c>
      <c r="C5" t="s">
        <v>62</v>
      </c>
      <c r="D5" t="s">
        <v>63</v>
      </c>
      <c r="E5" t="s">
        <v>64</v>
      </c>
      <c r="F5" t="s">
        <v>65</v>
      </c>
      <c r="G5" t="s">
        <v>66</v>
      </c>
      <c r="H5" t="s">
        <v>67</v>
      </c>
      <c r="I5" t="s">
        <v>68</v>
      </c>
    </row>
    <row r="6" spans="1:9">
      <c r="A6" s="4" t="s">
        <v>25</v>
      </c>
      <c r="B6" s="4" t="s">
        <v>69</v>
      </c>
      <c r="C6" s="4" t="s">
        <v>70</v>
      </c>
      <c r="D6" s="6">
        <v>500</v>
      </c>
      <c r="E6" s="6">
        <v>520</v>
      </c>
      <c r="F6" s="6">
        <f>E6-D6</f>
        <v>0</v>
      </c>
      <c r="G6" s="6">
        <v>18</v>
      </c>
      <c r="H6" s="6">
        <v>15</v>
      </c>
      <c r="I6" s="4">
        <f>IF(G6&lt;H6,"Sous-stock",IF(G6&gt;H6*1.5,"Sur-stock","OK"))</f>
        <v>0</v>
      </c>
    </row>
    <row r="7" spans="1:9">
      <c r="A7" s="4" t="s">
        <v>25</v>
      </c>
      <c r="B7" s="4" t="s">
        <v>71</v>
      </c>
      <c r="C7" s="4" t="s">
        <v>72</v>
      </c>
      <c r="D7" s="6">
        <v>300</v>
      </c>
      <c r="E7" s="6">
        <v>250</v>
      </c>
      <c r="F7" s="6">
        <f>E7-D7</f>
        <v>0</v>
      </c>
      <c r="G7" s="6">
        <v>9</v>
      </c>
      <c r="H7" s="6">
        <v>12</v>
      </c>
      <c r="I7" s="4">
        <f>IF(G7&lt;H7,"Sous-stock",IF(G7&gt;H7*1.5,"Sur-stock","OK"))</f>
        <v>0</v>
      </c>
    </row>
    <row r="8" spans="1:9">
      <c r="A8" s="4" t="s">
        <v>33</v>
      </c>
      <c r="B8" s="4" t="s">
        <v>73</v>
      </c>
      <c r="C8" s="4" t="s">
        <v>74</v>
      </c>
      <c r="D8" s="6">
        <v>800</v>
      </c>
      <c r="E8" s="6">
        <v>820</v>
      </c>
      <c r="F8" s="6">
        <f>E8-D8</f>
        <v>0</v>
      </c>
      <c r="G8" s="6">
        <v>22</v>
      </c>
      <c r="H8" s="6">
        <v>18</v>
      </c>
      <c r="I8" s="4">
        <f>IF(G8&lt;H8,"Sous-stock",IF(G8&gt;H8*1.5,"Sur-stock","OK"))</f>
        <v>0</v>
      </c>
    </row>
    <row r="9" spans="1:9">
      <c r="A9" s="4" t="s">
        <v>33</v>
      </c>
      <c r="B9" s="4" t="s">
        <v>75</v>
      </c>
      <c r="C9" s="4" t="s">
        <v>76</v>
      </c>
      <c r="D9" s="6">
        <v>200</v>
      </c>
      <c r="E9" s="6">
        <v>150</v>
      </c>
      <c r="F9" s="6">
        <f>E9-D9</f>
        <v>0</v>
      </c>
      <c r="G9" s="6">
        <v>7</v>
      </c>
      <c r="H9" s="6">
        <v>10</v>
      </c>
      <c r="I9" s="4">
        <f>IF(G9&lt;H9,"Sous-stock",IF(G9&gt;H9*1.5,"Sur-stock","OK"))</f>
        <v>0</v>
      </c>
    </row>
    <row r="10" spans="1:9">
      <c r="A10" s="4" t="s">
        <v>43</v>
      </c>
      <c r="B10" s="4" t="s">
        <v>77</v>
      </c>
      <c r="C10" s="4" t="s">
        <v>78</v>
      </c>
      <c r="D10" s="6">
        <v>1000</v>
      </c>
      <c r="E10" s="6">
        <v>1100</v>
      </c>
      <c r="F10" s="6">
        <f>E10-D10</f>
        <v>0</v>
      </c>
      <c r="G10" s="6">
        <v>30</v>
      </c>
      <c r="H10" s="6">
        <v>20</v>
      </c>
      <c r="I10" s="4">
        <f>IF(G10&lt;H10,"Sous-stock",IF(G10&gt;H10*1.5,"Sur-stock","OK"))</f>
        <v>0</v>
      </c>
    </row>
    <row r="11" spans="1:9">
      <c r="A11" s="4" t="s">
        <v>43</v>
      </c>
      <c r="B11" s="4" t="s">
        <v>79</v>
      </c>
      <c r="C11" s="4" t="s">
        <v>80</v>
      </c>
      <c r="D11" s="6">
        <v>150</v>
      </c>
      <c r="E11" s="6">
        <v>140</v>
      </c>
      <c r="F11" s="6">
        <f>E11-D11</f>
        <v>0</v>
      </c>
      <c r="G11" s="6">
        <v>6</v>
      </c>
      <c r="H11" s="6">
        <v>8</v>
      </c>
      <c r="I11" s="4">
        <f>IF(G11&lt;H11,"Sous-stock",IF(G11&gt;H11*1.5,"Sur-stock","OK"))</f>
        <v>0</v>
      </c>
    </row>
  </sheetData>
  <mergeCells count="3">
    <mergeCell ref="A1:I1"/>
    <mergeCell ref="A2:I2"/>
    <mergeCell ref="A4:I4"/>
  </mergeCells>
  <conditionalFormatting sqref="I6:I11">
    <cfRule type="containsText" dxfId="0" priority="1" operator="containsText" text="Sous-stock">
      <formula>NOT(ISERROR(SEARCH("Sous-stock",I6)))</formula>
    </cfRule>
    <cfRule type="containsText" dxfId="2" priority="2" operator="containsText" text="Sur-stock">
      <formula>NOT(ISERROR(SEARCH("Sur-stock",I6)))</formula>
    </cfRule>
    <cfRule type="containsText" dxfId="1" priority="3" operator="containsText" text="OK">
      <formula>NOT(ISERROR(SEARCH("OK",I6)))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pane ySplit="5" topLeftCell="A6" activePane="bottomLeft" state="frozen"/>
      <selection pane="bottomLeft"/>
    </sheetView>
  </sheetViews>
  <sheetFormatPr defaultRowHeight="15"/>
  <cols>
    <col min="1" max="4" width="14.7109375" customWidth="1"/>
    <col min="5" max="5" width="18.7109375" customWidth="1"/>
    <col min="6" max="8" width="16.7109375" customWidth="1"/>
    <col min="9" max="11" width="18.7109375" customWidth="1"/>
  </cols>
  <sheetData>
    <row r="1" spans="1:11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4" spans="1:11">
      <c r="A4" s="3" t="s">
        <v>83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t="s">
        <v>84</v>
      </c>
      <c r="B5" t="s">
        <v>85</v>
      </c>
      <c r="C5" t="s">
        <v>5</v>
      </c>
      <c r="D5" t="s">
        <v>7</v>
      </c>
      <c r="E5" t="s">
        <v>86</v>
      </c>
      <c r="F5" t="s">
        <v>87</v>
      </c>
      <c r="G5" t="s">
        <v>88</v>
      </c>
      <c r="H5" t="s">
        <v>89</v>
      </c>
      <c r="I5" t="s">
        <v>90</v>
      </c>
      <c r="J5" t="s">
        <v>91</v>
      </c>
      <c r="K5" t="s">
        <v>92</v>
      </c>
    </row>
    <row r="6" spans="1:11">
      <c r="A6" s="5">
        <v>45976</v>
      </c>
      <c r="B6" s="4" t="s">
        <v>25</v>
      </c>
      <c r="C6" s="4" t="s">
        <v>22</v>
      </c>
      <c r="D6" s="4" t="s">
        <v>24</v>
      </c>
      <c r="E6" s="4" t="s">
        <v>93</v>
      </c>
      <c r="F6" s="6">
        <v>2</v>
      </c>
      <c r="G6" s="6">
        <v>5</v>
      </c>
      <c r="H6" s="7">
        <v>3200</v>
      </c>
      <c r="I6" s="4" t="s">
        <v>94</v>
      </c>
      <c r="J6" s="4" t="s">
        <v>95</v>
      </c>
      <c r="K6" s="4" t="s">
        <v>96</v>
      </c>
    </row>
    <row r="7" spans="1:11">
      <c r="A7" s="5">
        <v>45978</v>
      </c>
      <c r="B7" s="4" t="s">
        <v>33</v>
      </c>
      <c r="C7" s="4" t="s">
        <v>30</v>
      </c>
      <c r="D7" s="4" t="s">
        <v>32</v>
      </c>
      <c r="E7" s="4" t="s">
        <v>97</v>
      </c>
      <c r="F7" s="6">
        <v>1</v>
      </c>
      <c r="G7" s="6">
        <v>1</v>
      </c>
      <c r="H7" s="7">
        <v>800</v>
      </c>
      <c r="I7" s="4" t="s">
        <v>98</v>
      </c>
      <c r="J7" s="4" t="s">
        <v>99</v>
      </c>
      <c r="K7" s="4" t="s">
        <v>100</v>
      </c>
    </row>
    <row r="8" spans="1:11">
      <c r="A8" s="5">
        <v>45979</v>
      </c>
      <c r="B8" s="4" t="s">
        <v>25</v>
      </c>
      <c r="C8" s="4" t="s">
        <v>36</v>
      </c>
      <c r="D8" s="4" t="s">
        <v>38</v>
      </c>
      <c r="E8" s="4" t="s">
        <v>101</v>
      </c>
      <c r="F8" s="6">
        <v>1</v>
      </c>
      <c r="G8" s="6">
        <v>10</v>
      </c>
      <c r="H8" s="7">
        <v>5000</v>
      </c>
      <c r="I8" s="4" t="s">
        <v>102</v>
      </c>
      <c r="J8" s="4" t="s">
        <v>103</v>
      </c>
      <c r="K8" s="4" t="s">
        <v>96</v>
      </c>
    </row>
    <row r="9" spans="1:11">
      <c r="A9" s="5">
        <v>45981</v>
      </c>
      <c r="B9" s="4" t="s">
        <v>43</v>
      </c>
      <c r="C9" s="4" t="s">
        <v>42</v>
      </c>
      <c r="D9" s="4" t="s">
        <v>24</v>
      </c>
      <c r="E9" s="4" t="s">
        <v>93</v>
      </c>
      <c r="F9" s="6">
        <v>3</v>
      </c>
      <c r="G9" s="6">
        <v>6</v>
      </c>
      <c r="H9" s="7">
        <v>4500</v>
      </c>
      <c r="I9" s="4" t="s">
        <v>94</v>
      </c>
      <c r="J9" s="4" t="s">
        <v>104</v>
      </c>
      <c r="K9" s="4" t="s">
        <v>105</v>
      </c>
    </row>
    <row r="10" spans="1:11">
      <c r="A10" s="5">
        <v>45983</v>
      </c>
      <c r="B10" s="4" t="s">
        <v>33</v>
      </c>
      <c r="C10" s="4" t="s">
        <v>47</v>
      </c>
      <c r="D10" s="4" t="s">
        <v>32</v>
      </c>
      <c r="E10" s="4" t="s">
        <v>106</v>
      </c>
      <c r="F10" s="6">
        <v>1</v>
      </c>
      <c r="G10" s="6">
        <v>2</v>
      </c>
      <c r="H10" s="7">
        <v>600</v>
      </c>
      <c r="I10" s="4" t="s">
        <v>98</v>
      </c>
      <c r="J10" s="4" t="s">
        <v>107</v>
      </c>
      <c r="K10" s="4" t="s">
        <v>96</v>
      </c>
    </row>
  </sheetData>
  <mergeCells count="3">
    <mergeCell ref="A1:K1"/>
    <mergeCell ref="A2:K2"/>
    <mergeCell ref="A4:K4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pane ySplit="5" topLeftCell="A6" activePane="bottomLeft" state="frozen"/>
      <selection pane="bottomLeft"/>
    </sheetView>
  </sheetViews>
  <sheetFormatPr defaultRowHeight="15"/>
  <cols>
    <col min="1" max="4" width="14.7109375" customWidth="1"/>
    <col min="5" max="13" width="16.7109375" customWidth="1"/>
  </cols>
  <sheetData>
    <row r="1" spans="1:13">
      <c r="A1" s="1" t="s">
        <v>108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>
      <c r="A4" s="3" t="s">
        <v>110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t="s">
        <v>90</v>
      </c>
      <c r="B5" t="s">
        <v>111</v>
      </c>
      <c r="C5" t="s">
        <v>112</v>
      </c>
      <c r="D5" t="s">
        <v>113</v>
      </c>
      <c r="E5" t="s">
        <v>114</v>
      </c>
      <c r="F5" t="s">
        <v>115</v>
      </c>
      <c r="G5" t="s">
        <v>116</v>
      </c>
      <c r="H5" t="s">
        <v>117</v>
      </c>
      <c r="I5" t="s">
        <v>118</v>
      </c>
      <c r="J5" t="s">
        <v>119</v>
      </c>
      <c r="K5" t="s">
        <v>120</v>
      </c>
      <c r="L5" t="s">
        <v>121</v>
      </c>
      <c r="M5" t="s">
        <v>122</v>
      </c>
    </row>
    <row r="6" spans="1:13">
      <c r="A6" s="4" t="s">
        <v>94</v>
      </c>
      <c r="B6" s="4" t="s">
        <v>26</v>
      </c>
      <c r="C6" s="4" t="s">
        <v>23</v>
      </c>
      <c r="D6" s="6">
        <v>120</v>
      </c>
      <c r="E6" s="6">
        <v>108</v>
      </c>
      <c r="F6" s="8">
        <f>IF(D6=0,"",E6/D6)</f>
        <v>0</v>
      </c>
      <c r="G6" s="7">
        <v>24000</v>
      </c>
      <c r="H6" s="7">
        <f>IF(D6=0,"",G6/D6)</f>
        <v>0</v>
      </c>
      <c r="I6" s="7">
        <v>0.35</v>
      </c>
      <c r="J6" s="7">
        <v>18000</v>
      </c>
      <c r="K6" s="7">
        <v>6.5</v>
      </c>
      <c r="L6" s="9">
        <f>ROUND(IF(F6="",0,F6*100*0.7) + (1-MIN(1,MAX(0,H6/200)))*30,0)</f>
        <v>0</v>
      </c>
      <c r="M6" s="9">
        <f>ROUND((1-MIN(1,MAX(0,K6/20)))*100,0)</f>
        <v>0</v>
      </c>
    </row>
    <row r="7" spans="1:13">
      <c r="A7" s="4" t="s">
        <v>98</v>
      </c>
      <c r="B7" s="4" t="s">
        <v>26</v>
      </c>
      <c r="C7" s="4" t="s">
        <v>31</v>
      </c>
      <c r="D7" s="6">
        <v>90</v>
      </c>
      <c r="E7" s="6">
        <v>76</v>
      </c>
      <c r="F7" s="8">
        <f>IF(D7=0,"",E7/D7)</f>
        <v>0</v>
      </c>
      <c r="G7" s="7">
        <v>18500</v>
      </c>
      <c r="H7" s="7">
        <f>IF(D7=0,"",G7/D7)</f>
        <v>0</v>
      </c>
      <c r="I7" s="7">
        <v>0.4</v>
      </c>
      <c r="J7" s="7">
        <v>15000</v>
      </c>
      <c r="K7" s="7">
        <v>5.8</v>
      </c>
      <c r="L7" s="9">
        <f>ROUND(IF(F7="",0,F7*100*0.7) + (1-MIN(1,MAX(0,H7/200)))*30,0)</f>
        <v>0</v>
      </c>
      <c r="M7" s="9">
        <f>ROUND((1-MIN(1,MAX(0,K7/20)))*100,0)</f>
        <v>0</v>
      </c>
    </row>
    <row r="8" spans="1:13">
      <c r="A8" s="4" t="s">
        <v>102</v>
      </c>
      <c r="B8" s="4" t="s">
        <v>39</v>
      </c>
      <c r="C8" s="4" t="s">
        <v>37</v>
      </c>
      <c r="D8" s="6">
        <v>40</v>
      </c>
      <c r="E8" s="6">
        <v>32</v>
      </c>
      <c r="F8" s="8">
        <f>IF(D8=0,"",E8/D8)</f>
        <v>0</v>
      </c>
      <c r="G8" s="7">
        <v>32000</v>
      </c>
      <c r="H8" s="7">
        <f>IF(D8=0,"",G8/D8)</f>
        <v>0</v>
      </c>
      <c r="I8" s="7">
        <v>1.1</v>
      </c>
      <c r="J8" s="7">
        <v>22000</v>
      </c>
      <c r="K8" s="7">
        <v>18</v>
      </c>
      <c r="L8" s="9">
        <f>ROUND(IF(F8="",0,F8*100*0.7) + (1-MIN(1,MAX(0,H8/200)))*30,0)</f>
        <v>0</v>
      </c>
      <c r="M8" s="9">
        <f>ROUND((1-MIN(1,MAX(0,K8/20)))*100,0)</f>
        <v>0</v>
      </c>
    </row>
    <row r="9" spans="1:13">
      <c r="A9" s="4" t="s">
        <v>123</v>
      </c>
      <c r="B9" s="4" t="s">
        <v>49</v>
      </c>
      <c r="C9" s="4" t="s">
        <v>48</v>
      </c>
      <c r="D9" s="6">
        <v>30</v>
      </c>
      <c r="E9" s="6">
        <v>25</v>
      </c>
      <c r="F9" s="8">
        <f>IF(D9=0,"",E9/D9)</f>
        <v>0</v>
      </c>
      <c r="G9" s="7">
        <v>9000</v>
      </c>
      <c r="H9" s="7">
        <f>IF(D9=0,"",G9/D9)</f>
        <v>0</v>
      </c>
      <c r="I9" s="7">
        <v>0.2</v>
      </c>
      <c r="J9" s="7">
        <v>40000</v>
      </c>
      <c r="K9" s="7">
        <v>3.2</v>
      </c>
      <c r="L9" s="9">
        <f>ROUND(IF(F9="",0,F9*100*0.7) + (1-MIN(1,MAX(0,H9/200)))*30,0)</f>
        <v>0</v>
      </c>
      <c r="M9" s="9">
        <f>ROUND((1-MIN(1,MAX(0,K9/20)))*100,0)</f>
        <v>0</v>
      </c>
    </row>
  </sheetData>
  <mergeCells count="3">
    <mergeCell ref="A1:M1"/>
    <mergeCell ref="A2:M2"/>
    <mergeCell ref="A4:M4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5" topLeftCell="A6" activePane="bottomLeft" state="frozen"/>
      <selection pane="bottomLeft"/>
    </sheetView>
  </sheetViews>
  <sheetFormatPr defaultRowHeight="15"/>
  <cols>
    <col min="1" max="2" width="14.7109375" customWidth="1"/>
    <col min="3" max="9" width="16.7109375" customWidth="1"/>
    <col min="10" max="10" width="18.7109375" customWidth="1"/>
  </cols>
  <sheetData>
    <row r="1" spans="1:10">
      <c r="A1" s="1" t="s">
        <v>124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125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126</v>
      </c>
      <c r="B4" s="3"/>
      <c r="C4" s="3"/>
      <c r="D4" s="3"/>
      <c r="E4" s="3"/>
      <c r="F4" s="3"/>
      <c r="G4" s="3"/>
      <c r="H4" s="3"/>
      <c r="I4" s="3"/>
      <c r="J4" s="3"/>
    </row>
    <row r="5" spans="1:10">
      <c r="A5" t="s">
        <v>85</v>
      </c>
      <c r="B5" t="s">
        <v>112</v>
      </c>
      <c r="C5" t="s">
        <v>127</v>
      </c>
      <c r="D5" t="s">
        <v>128</v>
      </c>
      <c r="E5" t="s">
        <v>129</v>
      </c>
      <c r="F5" t="s">
        <v>130</v>
      </c>
      <c r="G5" t="s">
        <v>131</v>
      </c>
      <c r="H5" t="s">
        <v>132</v>
      </c>
      <c r="I5" t="s">
        <v>133</v>
      </c>
      <c r="J5" t="s">
        <v>134</v>
      </c>
    </row>
    <row r="6" spans="1:10">
      <c r="A6" s="4" t="s">
        <v>25</v>
      </c>
      <c r="B6" s="4" t="s">
        <v>135</v>
      </c>
      <c r="C6" s="6">
        <v>3500</v>
      </c>
      <c r="D6" s="6">
        <v>4500</v>
      </c>
      <c r="E6" s="6">
        <v>3800</v>
      </c>
      <c r="F6" s="7">
        <f>IF(D6=0,"",E6/D6)</f>
        <v>0</v>
      </c>
      <c r="G6" s="6">
        <v>6</v>
      </c>
      <c r="H6" s="6">
        <v>40</v>
      </c>
      <c r="I6" s="7">
        <v>180</v>
      </c>
      <c r="J6" s="4">
        <f>IF(F6="","",IF(F6&lt;0.75,"Normal",IF(F6&lt;0.9,"Tendu","Saturé")))</f>
        <v>0</v>
      </c>
    </row>
    <row r="7" spans="1:10">
      <c r="A7" s="4" t="s">
        <v>25</v>
      </c>
      <c r="B7" s="4" t="s">
        <v>136</v>
      </c>
      <c r="C7" s="6">
        <v>1500</v>
      </c>
      <c r="D7" s="6">
        <v>2200</v>
      </c>
      <c r="E7" s="6">
        <v>1950</v>
      </c>
      <c r="F7" s="7">
        <f>IF(D7=0,"",E7/D7)</f>
        <v>0</v>
      </c>
      <c r="G7" s="6">
        <v>0</v>
      </c>
      <c r="H7" s="6">
        <v>0</v>
      </c>
      <c r="I7" s="7">
        <v>260</v>
      </c>
      <c r="J7" s="4">
        <f>IF(F7="","",IF(F7&lt;0.75,"Normal",IF(F7&lt;0.9,"Tendu","Saturé")))</f>
        <v>0</v>
      </c>
    </row>
    <row r="8" spans="1:10">
      <c r="A8" s="4" t="s">
        <v>33</v>
      </c>
      <c r="B8" s="4" t="s">
        <v>135</v>
      </c>
      <c r="C8" s="6">
        <v>3000</v>
      </c>
      <c r="D8" s="6">
        <v>4000</v>
      </c>
      <c r="E8" s="6">
        <v>3600</v>
      </c>
      <c r="F8" s="7">
        <f>IF(D8=0,"",E8/D8)</f>
        <v>0</v>
      </c>
      <c r="G8" s="6">
        <v>4</v>
      </c>
      <c r="H8" s="6">
        <v>30</v>
      </c>
      <c r="I8" s="7">
        <v>150</v>
      </c>
      <c r="J8" s="4">
        <f>IF(F8="","",IF(F8&lt;0.75,"Normal",IF(F8&lt;0.9,"Tendu","Saturé")))</f>
        <v>0</v>
      </c>
    </row>
    <row r="9" spans="1:10">
      <c r="A9" s="4" t="s">
        <v>33</v>
      </c>
      <c r="B9" s="4" t="s">
        <v>137</v>
      </c>
      <c r="C9" s="6">
        <v>800</v>
      </c>
      <c r="D9" s="6">
        <v>900</v>
      </c>
      <c r="E9" s="6">
        <v>700</v>
      </c>
      <c r="F9" s="7">
        <f>IF(D9=0,"",E9/D9)</f>
        <v>0</v>
      </c>
      <c r="G9" s="6">
        <v>3</v>
      </c>
      <c r="H9" s="6">
        <v>25</v>
      </c>
      <c r="I9" s="7">
        <v>120</v>
      </c>
      <c r="J9" s="4">
        <f>IF(F9="","",IF(F9&lt;0.75,"Normal",IF(F9&lt;0.9,"Tendu","Saturé")))</f>
        <v>0</v>
      </c>
    </row>
    <row r="10" spans="1:10">
      <c r="A10" s="4" t="s">
        <v>43</v>
      </c>
      <c r="B10" s="4" t="s">
        <v>135</v>
      </c>
      <c r="C10" s="6">
        <v>2800</v>
      </c>
      <c r="D10" s="6">
        <v>3600</v>
      </c>
      <c r="E10" s="6">
        <v>3400</v>
      </c>
      <c r="F10" s="7">
        <f>IF(D10=0,"",E10/D10)</f>
        <v>0</v>
      </c>
      <c r="G10" s="6">
        <v>5</v>
      </c>
      <c r="H10" s="6">
        <v>35</v>
      </c>
      <c r="I10" s="7">
        <v>140</v>
      </c>
      <c r="J10" s="4">
        <f>IF(F10="","",IF(F10&lt;0.75,"Normal",IF(F10&lt;0.9,"Tendu","Saturé")))</f>
        <v>0</v>
      </c>
    </row>
    <row r="11" spans="1:10">
      <c r="A11" s="4" t="s">
        <v>43</v>
      </c>
      <c r="B11" s="4" t="s">
        <v>138</v>
      </c>
      <c r="C11" s="6">
        <v>900</v>
      </c>
      <c r="D11" s="6">
        <v>1000</v>
      </c>
      <c r="E11" s="6">
        <v>950</v>
      </c>
      <c r="F11" s="7">
        <f>IF(D11=0,"",E11/D11)</f>
        <v>0</v>
      </c>
      <c r="G11" s="6">
        <v>4</v>
      </c>
      <c r="H11" s="6">
        <v>32</v>
      </c>
      <c r="I11" s="7">
        <v>130</v>
      </c>
      <c r="J11" s="4">
        <f>IF(F11="","",IF(F11&lt;0.75,"Normal",IF(F11&lt;0.9,"Tendu","Saturé")))</f>
        <v>0</v>
      </c>
    </row>
  </sheetData>
  <mergeCells count="3">
    <mergeCell ref="A1:J1"/>
    <mergeCell ref="A2:J2"/>
    <mergeCell ref="A4:J4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H43"/>
  <sheetViews>
    <sheetView workbookViewId="0"/>
  </sheetViews>
  <sheetFormatPr defaultRowHeight="15"/>
  <cols>
    <col min="1" max="8" width="26.7109375" customWidth="1"/>
  </cols>
  <sheetData>
    <row r="1" spans="1:8" ht="30" customHeight="1">
      <c r="A1" s="1" t="s">
        <v>139</v>
      </c>
      <c r="B1" s="1"/>
      <c r="C1" s="1"/>
      <c r="D1" s="1"/>
      <c r="E1" s="1"/>
      <c r="F1" s="1"/>
      <c r="G1" s="1"/>
      <c r="H1" s="1"/>
    </row>
    <row r="2" spans="1:8">
      <c r="A2" s="2" t="s">
        <v>140</v>
      </c>
      <c r="B2" s="2"/>
      <c r="C2" s="2"/>
      <c r="D2" s="2"/>
      <c r="E2" s="2"/>
      <c r="F2" s="2"/>
      <c r="G2" s="2"/>
      <c r="H2" s="2"/>
    </row>
    <row r="3" spans="1:8">
      <c r="A3" s="3" t="s">
        <v>141</v>
      </c>
      <c r="B3" s="3"/>
      <c r="C3" s="10" t="s">
        <v>142</v>
      </c>
      <c r="D3" s="5">
        <v>45955</v>
      </c>
      <c r="E3" s="10" t="s">
        <v>143</v>
      </c>
      <c r="F3" s="5">
        <v>45985</v>
      </c>
    </row>
    <row r="5" spans="1:8">
      <c r="A5" s="3" t="s">
        <v>144</v>
      </c>
      <c r="B5" s="3"/>
      <c r="E5" s="11" t="s">
        <v>156</v>
      </c>
      <c r="F5" s="11"/>
    </row>
    <row r="6" spans="1:8">
      <c r="A6" s="12" t="s">
        <v>145</v>
      </c>
      <c r="C6" s="9">
        <f>COUNTIFS(Flux_Commandes!$B:$B,"&gt;="&amp;$D$3,Flux_Commandes!$B:$B,"&lt;="&amp;$F$3)</f>
        <v>0</v>
      </c>
      <c r="E6" s="13">
        <f>C9</f>
        <v>0</v>
      </c>
      <c r="F6" s="11"/>
    </row>
    <row r="7" spans="1:8">
      <c r="A7" s="12" t="s">
        <v>146</v>
      </c>
      <c r="C7" s="13">
        <f>IF(C6=0,0,COUNTIFS(Flux_Commandes!$B:$B,"&gt;="&amp;$D$3,Flux_Commandes!$B:$B,"&lt;="&amp;$F$3,Flux_Commandes!$J:$J,"On Time")/C6)</f>
        <v>0</v>
      </c>
    </row>
    <row r="8" spans="1:8">
      <c r="A8" s="12" t="s">
        <v>147</v>
      </c>
      <c r="C8" s="13">
        <f>IF(C6=0,0,COUNTIFS(Flux_Commandes!$B:$B,"&gt;="&amp;$D$3,Flux_Commandes!$B:$B,"&lt;="&amp;$F$3,Flux_Commandes!$K:$K,"Complet")/C6)</f>
        <v>0</v>
      </c>
      <c r="E8" s="14" t="s">
        <v>149</v>
      </c>
      <c r="F8" s="14"/>
    </row>
    <row r="9" spans="1:8">
      <c r="A9" s="12" t="s">
        <v>148</v>
      </c>
      <c r="C9" s="13">
        <f>IF(C6=0,0,COUNTIFS(Flux_Commandes!$B:$B,"&gt;="&amp;$D$3,Flux_Commandes!$B:$B,"&lt;="&amp;$F$3,Flux_Commandes!$J:$J,"On Time",Flux_Commandes!$K:$K,"Complet")/C6)</f>
        <v>0</v>
      </c>
      <c r="E9" s="15">
        <f>C10</f>
        <v>0</v>
      </c>
      <c r="F9" s="14"/>
    </row>
    <row r="10" spans="1:8">
      <c r="A10" s="12" t="s">
        <v>149</v>
      </c>
      <c r="C10" s="15">
        <f>IF(C6=0,"",AVERAGEIFS(Flux_Commandes!$R:$R,Flux_Commandes!$B:$B,"&gt;="&amp;$D$3,Flux_Commandes!$B:$B,"&lt;="&amp;$F$3))</f>
        <v>0</v>
      </c>
    </row>
    <row r="11" spans="1:8">
      <c r="A11" s="12" t="s">
        <v>150</v>
      </c>
      <c r="C11" s="9">
        <f>IF(C6=0,"",AVERAGEIFS(Flux_Commandes!$P:$P,Flux_Commandes!$B:$B,"&gt;="&amp;$D$3,Flux_Commandes!$B:$B,"&lt;="&amp;$F$3))</f>
        <v>0</v>
      </c>
      <c r="E11" s="14" t="s">
        <v>157</v>
      </c>
      <c r="F11" s="14"/>
    </row>
    <row r="12" spans="1:8">
      <c r="E12" s="9">
        <f>C11</f>
        <v>0</v>
      </c>
      <c r="F12" s="14"/>
    </row>
    <row r="13" spans="1:8">
      <c r="A13" s="3" t="s">
        <v>151</v>
      </c>
      <c r="B13" s="3"/>
    </row>
    <row r="14" spans="1:8">
      <c r="A14" s="12" t="s">
        <v>152</v>
      </c>
      <c r="C14" s="9">
        <f>COUNTA(Stocks!$A$6:$A$11)</f>
        <v>0</v>
      </c>
      <c r="E14" s="11" t="s">
        <v>158</v>
      </c>
      <c r="F14" s="11"/>
    </row>
    <row r="15" spans="1:8">
      <c r="A15" s="12" t="s">
        <v>153</v>
      </c>
      <c r="C15" s="13">
        <f>IF(C14=0,0,COUNTIFS(Stocks!$F$6:$F$11,0)/C14)</f>
        <v>0</v>
      </c>
      <c r="E15" s="13">
        <f>C15</f>
        <v>0</v>
      </c>
      <c r="F15" s="11"/>
    </row>
    <row r="16" spans="1:8">
      <c r="A16" s="12" t="s">
        <v>154</v>
      </c>
      <c r="C16" s="13">
        <f>IF(C14=0,0,COUNTIFS(Stocks!$I$6:$I$11,"Sous-stock")/C14)</f>
        <v>0</v>
      </c>
    </row>
    <row r="17" spans="1:6">
      <c r="A17" s="12" t="s">
        <v>155</v>
      </c>
      <c r="C17" s="13">
        <f>IF(C14=0,0,COUNTIFS(Stocks!$I$6:$I$11,"Sur-stock")/C14)</f>
        <v>0</v>
      </c>
      <c r="E17" s="16" t="s">
        <v>159</v>
      </c>
      <c r="F17" s="16"/>
    </row>
    <row r="18" spans="1:6">
      <c r="E18" s="13">
        <f>C16</f>
        <v>0</v>
      </c>
      <c r="F18" s="16"/>
    </row>
    <row r="19" spans="1:6">
      <c r="A19" s="3" t="s">
        <v>160</v>
      </c>
      <c r="B19" s="3"/>
    </row>
    <row r="20" spans="1:6">
      <c r="A20" s="10" t="s">
        <v>12</v>
      </c>
      <c r="B20" s="10" t="s">
        <v>161</v>
      </c>
    </row>
    <row r="21" spans="1:6">
      <c r="A21" s="4" t="s">
        <v>162</v>
      </c>
      <c r="B21" s="6">
        <f>COUNTIFS(Flux_Commandes!$B:$B,"&gt;="&amp;$D$3,Flux_Commandes!$B:$B,"&lt;="&amp;$F$3,Flux_Commandes!$J:$J,"On Time")</f>
        <v>0</v>
      </c>
    </row>
    <row r="22" spans="1:6">
      <c r="A22" s="4" t="s">
        <v>163</v>
      </c>
      <c r="B22" s="6">
        <f>COUNTIFS(Flux_Commandes!$B:$B,"&gt;="&amp;$D$3,Flux_Commandes!$B:$B,"&lt;="&amp;$F$3,Flux_Commandes!$J:$J,"Late")</f>
        <v>0</v>
      </c>
    </row>
    <row r="24" spans="1:6">
      <c r="A24" s="3" t="s">
        <v>164</v>
      </c>
      <c r="B24" s="3"/>
    </row>
    <row r="25" spans="1:6">
      <c r="A25" s="10" t="s">
        <v>6</v>
      </c>
      <c r="B25" s="10" t="s">
        <v>165</v>
      </c>
    </row>
    <row r="26" spans="1:6">
      <c r="A26" s="4" t="s">
        <v>23</v>
      </c>
      <c r="B26" s="8">
        <f>IF(C6=0,0,IF(COUNTIFS(Flux_Commandes!$B:$B,"&gt;="&amp;$D$3,Flux_Commandes!$B:$B,"&lt;="&amp;$F$3,Flux_Commandes!$D:$D,"France Nord")=0,0,COUNTIFS(Flux_Commandes!$B:$B,"&gt;="&amp;$D$3,Flux_Commandes!$B:$B,"&lt;="&amp;$F$3,Flux_Commandes!$D:$D,"France Nord",Flux_Commandes!$J:$J,"On Time",Flux_Commandes!$K:$K,"Complet")/COUNTIFS(Flux_Commandes!$B:$B,"&gt;="&amp;$D$3,Flux_Commandes!$B:$B,"&lt;="&amp;$F$3,Flux_Commandes!$D:$D,"France Nord")))</f>
        <v>0</v>
      </c>
    </row>
    <row r="27" spans="1:6">
      <c r="A27" s="4" t="s">
        <v>31</v>
      </c>
      <c r="B27" s="8">
        <f>IF(C6=0,0,IF(COUNTIFS(Flux_Commandes!$B:$B,"&gt;="&amp;$D$3,Flux_Commandes!$B:$B,"&lt;="&amp;$F$3,Flux_Commandes!$D:$D,"France Sud")=0,0,COUNTIFS(Flux_Commandes!$B:$B,"&gt;="&amp;$D$3,Flux_Commandes!$B:$B,"&lt;="&amp;$F$3,Flux_Commandes!$D:$D,"France Sud",Flux_Commandes!$J:$J,"On Time",Flux_Commandes!$K:$K,"Complet")/COUNTIFS(Flux_Commandes!$B:$B,"&gt;="&amp;$D$3,Flux_Commandes!$B:$B,"&lt;="&amp;$F$3,Flux_Commandes!$D:$D,"France Sud")))</f>
        <v>0</v>
      </c>
    </row>
    <row r="28" spans="1:6">
      <c r="A28" s="4" t="s">
        <v>37</v>
      </c>
      <c r="B28" s="8">
        <f>IF(C6=0,0,IF(COUNTIFS(Flux_Commandes!$B:$B,"&gt;="&amp;$D$3,Flux_Commandes!$B:$B,"&lt;="&amp;$F$3,Flux_Commandes!$D:$D,"Benelux")=0,0,COUNTIFS(Flux_Commandes!$B:$B,"&gt;="&amp;$D$3,Flux_Commandes!$B:$B,"&lt;="&amp;$F$3,Flux_Commandes!$D:$D,"Benelux",Flux_Commandes!$J:$J,"On Time",Flux_Commandes!$K:$K,"Complet")/COUNTIFS(Flux_Commandes!$B:$B,"&gt;="&amp;$D$3,Flux_Commandes!$B:$B,"&lt;="&amp;$F$3,Flux_Commandes!$D:$D,"Benelux")))</f>
        <v>0</v>
      </c>
    </row>
    <row r="30" spans="1:6">
      <c r="A30" s="3" t="s">
        <v>166</v>
      </c>
      <c r="B30" s="3"/>
    </row>
    <row r="31" spans="1:6">
      <c r="A31" s="12" t="s">
        <v>167</v>
      </c>
      <c r="C31" s="13">
        <f>IF(C6=0,0,SUMIFS(Qualite_Operationnelle!$F:$F,Qualite_Operationnelle!$E:$E,"Erreur_préparation",Qualite_Operationnelle!$A:$A,"&gt;="&amp;$D$3,Qualite_Operationnelle!$A:$A,"&lt;="&amp;$F$3)/C6)</f>
        <v>0</v>
      </c>
    </row>
    <row r="32" spans="1:6">
      <c r="A32" s="12" t="s">
        <v>168</v>
      </c>
      <c r="C32" s="13">
        <f>IF(C6=0,0,(SUMIFS(Qualite_Operationnelle!$F:$F,Qualite_Operationnelle!$E:$E,"Colis_avarie",Qualite_Operationnelle!$A:$A,"&gt;="&amp;$D$3,Qualite_Operationnelle!$A:$A,"&lt;="&amp;$F$3)+SUMIFS(Qualite_Operationnelle!$F:$F,Qualite_Operationnelle!$E:$E,"Retard_transport",Qualite_Operationnelle!$A:$A,"&gt;="&amp;$D$3,Qualite_Operationnelle!$A:$A,"&lt;="&amp;$F$3))/C6)</f>
        <v>0</v>
      </c>
    </row>
    <row r="33" spans="1:3">
      <c r="A33" s="12" t="s">
        <v>169</v>
      </c>
      <c r="C33" s="13">
        <f>IF(SUMIFS(Flux_Commandes!$O:$O,Flux_Commandes!$B:$B,"&gt;="&amp;$D$3,Flux_Commandes!$B:$B,"&lt;="&amp;$F$3)=0,"",SUMIFS(Qualite_Operationnelle!$H:$H,Qualite_Operationnelle!$A:$A,"&gt;="&amp;$D$3,Qualite_Operationnelle!$A:$A,"&lt;="&amp;$F$3)/SUMIFS(Flux_Commandes!$O:$O,Flux_Commandes!$B:$B,"&gt;="&amp;$D$3,Flux_Commandes!$B:$B,"&lt;="&amp;$F$3))</f>
        <v>0</v>
      </c>
    </row>
    <row r="35" spans="1:3">
      <c r="A35" s="3" t="s">
        <v>170</v>
      </c>
      <c r="B35" s="3"/>
    </row>
    <row r="36" spans="1:3">
      <c r="A36" s="12" t="s">
        <v>171</v>
      </c>
      <c r="C36" s="15">
        <f>IF(C6=0,0,SUM(Performance_Transporteurs!$K$6:$K$9)/C6)</f>
        <v>0</v>
      </c>
    </row>
    <row r="37" spans="1:3">
      <c r="A37" s="12" t="s">
        <v>172</v>
      </c>
      <c r="C37" s="13">
        <f>IF(COUNTA(Performance_Transporteurs!$A$6:$A$9)=0,0,AVERAGE(Performance_Transporteurs!$F$6:$F$9))</f>
        <v>0</v>
      </c>
    </row>
    <row r="40" spans="1:3">
      <c r="A40" s="3" t="s">
        <v>173</v>
      </c>
      <c r="B40" s="3"/>
    </row>
    <row r="41" spans="1:3">
      <c r="A41" s="12" t="s">
        <v>174</v>
      </c>
      <c r="C41" s="13">
        <f>IF(COUNTA(Capacite_Entrepot!$A$6:$A$11)=0,0,COUNTIFS(Capacite_Entrepot!$F$6:$F$11,"&gt;0.85")/COUNTA(Capacite_Entrepot!$A$6:$A$11))</f>
        <v>0</v>
      </c>
    </row>
    <row r="42" spans="1:3">
      <c r="A42" s="12" t="s">
        <v>175</v>
      </c>
      <c r="C42" s="15">
        <f>IF(COUNTA(Capacite_Entrepot!$A$6:$A$11)=0,"",MAX(Capacite_Entrepot!$F$6:$F$11))</f>
        <v>0</v>
      </c>
    </row>
    <row r="43" spans="1:3">
      <c r="A43" s="12" t="s">
        <v>176</v>
      </c>
      <c r="C43" s="15">
        <f>IF(COUNTA(Capacite_Entrepot!$I$6:$I$11)=0,"",AVERAGE(Capacite_Entrepot!$I$6:$I$11))</f>
        <v>0</v>
      </c>
    </row>
  </sheetData>
  <mergeCells count="20">
    <mergeCell ref="A1:H1"/>
    <mergeCell ref="A2:H2"/>
    <mergeCell ref="A3:B3"/>
    <mergeCell ref="A5:B5"/>
    <mergeCell ref="A13:B13"/>
    <mergeCell ref="E5:F5"/>
    <mergeCell ref="E6:F6"/>
    <mergeCell ref="E8:F8"/>
    <mergeCell ref="E9:F9"/>
    <mergeCell ref="E11:F11"/>
    <mergeCell ref="E12:F12"/>
    <mergeCell ref="E14:F14"/>
    <mergeCell ref="E15:F15"/>
    <mergeCell ref="E17:F17"/>
    <mergeCell ref="E18:F18"/>
    <mergeCell ref="A19:B19"/>
    <mergeCell ref="A24:B24"/>
    <mergeCell ref="A30:B30"/>
    <mergeCell ref="A35:B35"/>
    <mergeCell ref="A40:B4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workbookViewId="0"/>
  </sheetViews>
  <sheetFormatPr defaultRowHeight="15"/>
  <cols>
    <col min="1" max="6" width="22.7109375" customWidth="1"/>
  </cols>
  <sheetData>
    <row r="1" spans="1:6" ht="30" customHeight="1">
      <c r="A1" s="1" t="s">
        <v>177</v>
      </c>
      <c r="B1" s="1"/>
      <c r="C1" s="1"/>
      <c r="D1" s="1"/>
      <c r="E1" s="1"/>
      <c r="F1" s="1"/>
    </row>
    <row r="2" spans="1:6">
      <c r="A2" s="2" t="s">
        <v>178</v>
      </c>
      <c r="B2" s="2"/>
      <c r="C2" s="2"/>
      <c r="D2" s="2"/>
      <c r="E2" s="2"/>
      <c r="F2" s="2"/>
    </row>
    <row r="4" spans="1:6">
      <c r="A4" s="12" t="s">
        <v>179</v>
      </c>
      <c r="B4" s="4"/>
      <c r="C4" s="4"/>
      <c r="D4" s="4"/>
      <c r="E4" s="4"/>
      <c r="F4" s="4"/>
    </row>
    <row r="6" spans="1:6">
      <c r="A6" s="3" t="s">
        <v>180</v>
      </c>
      <c r="B6" s="3"/>
      <c r="C6" s="3"/>
      <c r="D6" s="3"/>
      <c r="E6" s="3"/>
      <c r="F6" s="3"/>
    </row>
    <row r="7" spans="1:6">
      <c r="A7" s="12" t="s">
        <v>161</v>
      </c>
      <c r="C7" s="9">
        <f>Dashboard!C6</f>
        <v>0</v>
      </c>
      <c r="E7" s="4" t="s">
        <v>184</v>
      </c>
    </row>
    <row r="8" spans="1:6">
      <c r="A8" s="12" t="s">
        <v>181</v>
      </c>
      <c r="C8" s="13">
        <f>Dashboard!C9</f>
        <v>0</v>
      </c>
      <c r="E8" s="4">
        <f>IF(Dashboard!C9&lt;0.95,"Niveau de service en deçà de la cible : analyser les causes de retard.","Niveau de service conforme ou supérieur à la cible.")</f>
        <v>0</v>
      </c>
    </row>
    <row r="9" spans="1:6">
      <c r="A9" s="12" t="s">
        <v>149</v>
      </c>
      <c r="C9" s="15">
        <f>Dashboard!C10</f>
        <v>0</v>
      </c>
      <c r="E9" s="4">
        <f>IF(Dashboard!C10&gt;5,"Délais moyens à optimiser.","Délais maîtrisés sur la période.")</f>
        <v>0</v>
      </c>
    </row>
    <row r="10" spans="1:6">
      <c r="A10" s="12" t="s">
        <v>182</v>
      </c>
      <c r="C10" s="9">
        <f>Dashboard!C11</f>
        <v>0</v>
      </c>
      <c r="E10" s="4" t="s">
        <v>185</v>
      </c>
    </row>
    <row r="11" spans="1:6">
      <c r="A11" s="12" t="s">
        <v>183</v>
      </c>
      <c r="C11" s="13">
        <f>Dashboard!C15</f>
        <v>0</v>
      </c>
      <c r="E11" s="4">
        <f>IF(Dashboard!C15&lt;0.9,"Exactitude perfectible : renforcer les inventaires.","Niveau d'exactitude satisfaisant.")</f>
        <v>0</v>
      </c>
    </row>
    <row r="12" spans="1:6">
      <c r="A12" s="12" t="s">
        <v>154</v>
      </c>
      <c r="C12" s="13">
        <f>Dashboard!C16</f>
        <v>0</v>
      </c>
      <c r="E12" s="4">
        <f>IF(Dashboard!C16&gt;0.1,"Sous-stock fréquent : revoir les seuils et la planification.","Sous-stock limité sur les références suivies.")</f>
        <v>0</v>
      </c>
    </row>
    <row r="13" spans="1:6">
      <c r="A13" s="12" t="s">
        <v>167</v>
      </c>
      <c r="C13" s="13">
        <f>Dashboard!C31</f>
        <v>0</v>
      </c>
      <c r="E13" s="4">
        <f>IF(Dashboard!C31&gt;0.02,"Erreurs de préparation significatives : focus sur le picking et le contrôle.","Taux d'erreur de préparation maîtrisé.")</f>
        <v>0</v>
      </c>
    </row>
    <row r="14" spans="1:6">
      <c r="A14" s="12" t="s">
        <v>169</v>
      </c>
      <c r="C14" s="13">
        <f>Dashboard!C33</f>
        <v>0</v>
      </c>
      <c r="E14" s="4">
        <f>IF(Dashboard!C33&gt;0.01,"Coût des anomalies à suivre de près dans le compte de résultat logistique.","Impact financier des anomalies limité sur la période.")</f>
        <v>0</v>
      </c>
    </row>
    <row r="15" spans="1:6">
      <c r="A15" s="12" t="s">
        <v>171</v>
      </c>
      <c r="C15" s="15">
        <f>Dashboard!C36</f>
        <v>0</v>
      </c>
      <c r="E15" s="4">
        <f>IF(Dashboard!C36&gt;5,"Empreinte CO2 par commande élevée : étudier le mix transport.","CO2 par commande cohérent avec le profil d'activité.")</f>
        <v>0</v>
      </c>
    </row>
    <row r="16" spans="1:6">
      <c r="A16" s="12" t="s">
        <v>174</v>
      </c>
      <c r="C16" s="13">
        <f>Dashboard!C41</f>
        <v>0</v>
      </c>
      <c r="E16" s="4">
        <f>IF(Dashboard!C41&gt;0.2,"Plus de 20% des zones sont très chargées : risque de saturation à moyen terme.","Capacité entrepôt globalement maîtrisée.")</f>
        <v>0</v>
      </c>
    </row>
    <row r="19" spans="1:6">
      <c r="A19" s="2" t="s">
        <v>186</v>
      </c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</sheetData>
  <mergeCells count="5">
    <mergeCell ref="A1:F1"/>
    <mergeCell ref="A2:F2"/>
    <mergeCell ref="B4:F4"/>
    <mergeCell ref="A6:F6"/>
    <mergeCell ref="A19:F22"/>
  </mergeCells>
  <conditionalFormatting sqref="C11">
    <cfRule type="iconSet" priority="2">
      <iconSet>
        <cfvo type="percent" val="0"/>
        <cfvo type="percent" val="33"/>
        <cfvo type="percent" val="67"/>
      </iconSet>
    </cfRule>
  </conditionalFormatting>
  <conditionalFormatting sqref="C8">
    <cfRule type="iconSet" priority="1">
      <iconSet>
        <cfvo type="percent" val="0"/>
        <cfvo type="percent" val="33"/>
        <cfvo type="percent" val="67"/>
      </iconSet>
    </cfRule>
  </conditionalFormatting>
  <pageMargins left="0.5" right="0.5" top="0.7" bottom="0.7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cols>
    <col min="1" max="9" width="24.7109375" customWidth="1"/>
  </cols>
  <sheetData>
    <row r="1" spans="1:9" ht="30" customHeight="1">
      <c r="A1" s="1" t="s">
        <v>187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188</v>
      </c>
      <c r="B2" s="2"/>
      <c r="C2" s="2"/>
      <c r="D2" s="2"/>
      <c r="E2" s="2"/>
      <c r="F2" s="2"/>
      <c r="G2" s="2"/>
      <c r="H2" s="2"/>
      <c r="I2" s="2"/>
    </row>
    <row r="4" spans="1:9">
      <c r="A4" s="3" t="s">
        <v>189</v>
      </c>
      <c r="B4" s="3"/>
      <c r="C4" s="3"/>
      <c r="D4" s="3"/>
      <c r="E4" s="3"/>
      <c r="F4" s="3"/>
      <c r="G4" s="3"/>
      <c r="H4" s="3"/>
      <c r="I4" s="3"/>
    </row>
    <row r="6" spans="1:9">
      <c r="A6" s="10" t="s">
        <v>190</v>
      </c>
      <c r="B6" s="10" t="s">
        <v>191</v>
      </c>
      <c r="C6" s="10" t="s">
        <v>192</v>
      </c>
      <c r="D6" s="10" t="s">
        <v>193</v>
      </c>
      <c r="E6" s="10" t="s">
        <v>194</v>
      </c>
      <c r="F6" s="10" t="s">
        <v>195</v>
      </c>
      <c r="G6" s="10" t="s">
        <v>196</v>
      </c>
      <c r="H6" s="10" t="s">
        <v>197</v>
      </c>
      <c r="I6" s="10" t="s">
        <v>198</v>
      </c>
    </row>
    <row r="7" spans="1:9">
      <c r="A7" s="4" t="s">
        <v>28</v>
      </c>
      <c r="B7" s="4" t="s">
        <v>199</v>
      </c>
      <c r="C7" s="6">
        <f>COUNTIFS(Flux_Commandes!$Q:$Q,$A7,Flux_Commandes!$B:$B,"&gt;="&amp;Dashboard!$D$3,Flux_Commandes!$B:$B,"&lt;="&amp;Dashboard!$F$3)</f>
        <v>0</v>
      </c>
      <c r="D7" s="8">
        <f>IF(C7=0,"",COUNTIFS(Flux_Commandes!$Q:$Q,$A7,Flux_Commandes!$B:$B,"&gt;="&amp;Dashboard!$D$3,Flux_Commandes!$B:$B,"&lt;="&amp;Dashboard!$F$3,Flux_Commandes!$J:$J,"On Time",Flux_Commandes!$K:$K,"Complet")/C7)</f>
        <v>0</v>
      </c>
      <c r="E7" s="7">
        <f>C7*0.5</f>
        <v>0</v>
      </c>
      <c r="F7" s="7"/>
      <c r="G7" s="9">
        <f>IF(C7=0,"",ROUND((IF(D7="",0,D7*100)*0.6 + MAX(0,1-MAX(0,F7)/20)*40),0))</f>
        <v>0</v>
      </c>
      <c r="H7" s="4"/>
      <c r="I7" s="4"/>
    </row>
    <row r="8" spans="1:9">
      <c r="A8" s="4" t="s">
        <v>34</v>
      </c>
      <c r="B8" s="4" t="s">
        <v>200</v>
      </c>
      <c r="C8" s="6">
        <f>COUNTIFS(Flux_Commandes!$Q:$Q,$A8,Flux_Commandes!$B:$B,"&gt;="&amp;Dashboard!$D$3,Flux_Commandes!$B:$B,"&lt;="&amp;Dashboard!$F$3)</f>
        <v>0</v>
      </c>
      <c r="D8" s="8">
        <f>IF(C8=0,"",COUNTIFS(Flux_Commandes!$Q:$Q,$A8,Flux_Commandes!$B:$B,"&gt;="&amp;Dashboard!$D$3,Flux_Commandes!$B:$B,"&lt;="&amp;Dashboard!$F$3,Flux_Commandes!$J:$J,"On Time",Flux_Commandes!$K:$K,"Complet")/C8)</f>
        <v>0</v>
      </c>
      <c r="E8" s="7">
        <f>C8*0.5</f>
        <v>0</v>
      </c>
      <c r="F8" s="7"/>
      <c r="G8" s="9">
        <f>IF(C8=0,"",ROUND((IF(D8="",0,D8*100)*0.6 + MAX(0,1-MAX(0,F8)/20)*40),0))</f>
        <v>0</v>
      </c>
      <c r="H8" s="4"/>
      <c r="I8" s="4"/>
    </row>
    <row r="9" spans="1:9">
      <c r="A9" s="4" t="s">
        <v>40</v>
      </c>
      <c r="B9" s="4" t="s">
        <v>201</v>
      </c>
      <c r="C9" s="6">
        <f>COUNTIFS(Flux_Commandes!$Q:$Q,$A9,Flux_Commandes!$B:$B,"&gt;="&amp;Dashboard!$D$3,Flux_Commandes!$B:$B,"&lt;="&amp;Dashboard!$F$3)</f>
        <v>0</v>
      </c>
      <c r="D9" s="8">
        <f>IF(C9=0,"",COUNTIFS(Flux_Commandes!$Q:$Q,$A9,Flux_Commandes!$B:$B,"&gt;="&amp;Dashboard!$D$3,Flux_Commandes!$B:$B,"&lt;="&amp;Dashboard!$F$3,Flux_Commandes!$J:$J,"On Time",Flux_Commandes!$K:$K,"Complet")/C9)</f>
        <v>0</v>
      </c>
      <c r="E9" s="7">
        <f>C9*0.5</f>
        <v>0</v>
      </c>
      <c r="F9" s="7"/>
      <c r="G9" s="9">
        <f>IF(C9=0,"",ROUND((IF(D9="",0,D9*100)*0.6 + MAX(0,1-MAX(0,F9)/20)*40),0))</f>
        <v>0</v>
      </c>
      <c r="H9" s="4"/>
      <c r="I9" s="4"/>
    </row>
    <row r="10" spans="1:9">
      <c r="A10" s="4" t="s">
        <v>45</v>
      </c>
      <c r="B10" s="4" t="s">
        <v>202</v>
      </c>
      <c r="C10" s="6">
        <f>COUNTIFS(Flux_Commandes!$Q:$Q,$A10,Flux_Commandes!$B:$B,"&gt;="&amp;Dashboard!$D$3,Flux_Commandes!$B:$B,"&lt;="&amp;Dashboard!$F$3)</f>
        <v>0</v>
      </c>
      <c r="D10" s="8">
        <f>IF(C10=0,"",COUNTIFS(Flux_Commandes!$Q:$Q,$A10,Flux_Commandes!$B:$B,"&gt;="&amp;Dashboard!$D$3,Flux_Commandes!$B:$B,"&lt;="&amp;Dashboard!$F$3,Flux_Commandes!$J:$J,"On Time",Flux_Commandes!$K:$K,"Complet")/C10)</f>
        <v>0</v>
      </c>
      <c r="E10" s="7">
        <f>C10*0.5</f>
        <v>0</v>
      </c>
      <c r="F10" s="7"/>
      <c r="G10" s="9">
        <f>IF(C10=0,"",ROUND((IF(D10="",0,D10*100)*0.6 + MAX(0,1-MAX(0,F10)/20)*40),0))</f>
        <v>0</v>
      </c>
      <c r="H10" s="4"/>
      <c r="I10" s="4"/>
    </row>
    <row r="11" spans="1:9">
      <c r="A11" s="4" t="s">
        <v>50</v>
      </c>
      <c r="B11" s="4" t="s">
        <v>203</v>
      </c>
      <c r="C11" s="6">
        <f>COUNTIFS(Flux_Commandes!$Q:$Q,$A11,Flux_Commandes!$B:$B,"&gt;="&amp;Dashboard!$D$3,Flux_Commandes!$B:$B,"&lt;="&amp;Dashboard!$F$3)</f>
        <v>0</v>
      </c>
      <c r="D11" s="8">
        <f>IF(C11=0,"",COUNTIFS(Flux_Commandes!$Q:$Q,$A11,Flux_Commandes!$B:$B,"&gt;="&amp;Dashboard!$D$3,Flux_Commandes!$B:$B,"&lt;="&amp;Dashboard!$F$3,Flux_Commandes!$J:$J,"On Time",Flux_Commandes!$K:$K,"Complet")/C11)</f>
        <v>0</v>
      </c>
      <c r="E11" s="7">
        <f>C11*0.5</f>
        <v>0</v>
      </c>
      <c r="F11" s="7"/>
      <c r="G11" s="9">
        <f>IF(C11=0,"",ROUND((IF(D11="",0,D11*100)*0.6 + MAX(0,1-MAX(0,F11)/20)*40),0))</f>
        <v>0</v>
      </c>
      <c r="H11" s="4"/>
      <c r="I11" s="4"/>
    </row>
    <row r="22" spans="1:9">
      <c r="A22" s="2" t="s">
        <v>204</v>
      </c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</sheetData>
  <mergeCells count="4">
    <mergeCell ref="A1:I1"/>
    <mergeCell ref="A2:I2"/>
    <mergeCell ref="A4:I4"/>
    <mergeCell ref="A22:I25"/>
  </mergeCells>
  <conditionalFormatting sqref="G7:G11">
    <cfRule type="colorScale" priority="1">
      <colorScale>
        <cfvo type="min" val="0"/>
        <cfvo type="percentile" val="50"/>
        <cfvo type="max" val="0"/>
        <color rgb="FFF8CBAD"/>
        <color rgb="FFFFE699"/>
        <color rgb="FFC6EFCE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Flux_Commandes</vt:lpstr>
      <vt:lpstr>Stocks</vt:lpstr>
      <vt:lpstr>Qualite_Operationnelle</vt:lpstr>
      <vt:lpstr>Performance_Transporteurs</vt:lpstr>
      <vt:lpstr>Capacite_Entrepot</vt:lpstr>
      <vt:lpstr>Dashboard</vt:lpstr>
      <vt:lpstr>Synthèse_A4</vt:lpstr>
      <vt:lpstr>Barometre_Humain</vt:lpstr>
      <vt:lpstr>Synthèse_A4!Print_Area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2025-11-24T17:56:48Z</dcterms:created>
  <dcterms:modified xsi:type="dcterms:W3CDTF">2025-11-24T17:56:48Z</dcterms:modified>
</cp:coreProperties>
</file>