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ez_moi" sheetId="1" r:id="rId1"/>
    <sheet name="Paramètres" sheetId="2" r:id="rId2"/>
    <sheet name="Activités" sheetId="3" r:id="rId3"/>
    <sheet name="Tableau_de_bord" sheetId="4" r:id="rId4"/>
    <sheet name="Gantt" sheetId="5" r:id="rId5"/>
    <sheet name="Charges" sheetId="6" r:id="rId6"/>
    <sheet name="Risques" sheetId="7" r:id="rId7"/>
  </sheets>
  <definedNames>
    <definedName name="annee">Paramètres!$B$2</definedName>
    <definedName name="liste_categories">Paramètres!$B$10:$B$40</definedName>
    <definedName name="liste_priorites">Paramètres!$D$10:$D$40</definedName>
    <definedName name="liste_programmes">Paramètres!$G$10:$G$40</definedName>
    <definedName name="liste_responsables">Paramètres!$E$10:$E$50</definedName>
    <definedName name="liste_sites">Paramètres!$F$10:$F$40</definedName>
    <definedName name="liste_statuts">Paramètres!$A$10:$A$40</definedName>
    <definedName name="liste_types">Paramètres!$C$10:$C$40</definedName>
    <definedName name="objectif_heure">Paramètres!$B$6</definedName>
    <definedName name="seuil_crit">Paramètres!$B$5</definedName>
    <definedName name="wip_max">Paramètres!$B$4</definedName>
  </definedNames>
  <calcPr calcId="124519" fullCalcOnLoad="1"/>
</workbook>
</file>

<file path=xl/sharedStrings.xml><?xml version="1.0" encoding="utf-8"?>
<sst xmlns="http://schemas.openxmlformats.org/spreadsheetml/2006/main" count="1371" uniqueCount="300">
  <si>
    <t>Programme d’activités – Modèle avancé (prérempli)</t>
  </si>
  <si>
    <t>Suivi complet : table d’activités riche, KPIs, Gantt, charge par responsable, matrice de risques, indicateurs RICE et budget cumulé.</t>
  </si>
  <si>
    <t>Mode d’emploi express</t>
  </si>
  <si>
    <t>1) Paramètres : régler l’année, les plafonds (WIP), les listes et les seuils de risque.</t>
  </si>
  <si>
    <t>2) Activités : remplacer les exemples par vos actions (titres, dates, statuts, budgets, risques).</t>
  </si>
  <si>
    <t>3) Ouvrir les vues : Tableau_de_bord, Gantt, Charges, Risques pour décider.</t>
  </si>
  <si>
    <t>Astuce : filtrer par Programme, Responsable, Statut et Mois pour une lecture ciblée.</t>
  </si>
  <si>
    <t>Année</t>
  </si>
  <si>
    <t>Plafond WIP par responsable (recommandé)</t>
  </si>
  <si>
    <t>Seuil criticité (P×S) élevé</t>
  </si>
  <si>
    <t>Objectif % à l’heure (sur terminées)</t>
  </si>
  <si>
    <t>Listes (éditables)</t>
  </si>
  <si>
    <t>Statuts</t>
  </si>
  <si>
    <t>À planifier</t>
  </si>
  <si>
    <t>Planifié</t>
  </si>
  <si>
    <t>En cours</t>
  </si>
  <si>
    <t>Bloqué</t>
  </si>
  <si>
    <t>Terminé</t>
  </si>
  <si>
    <t>Catégories</t>
  </si>
  <si>
    <t>Projet &amp; produit</t>
  </si>
  <si>
    <t>Qualité &amp; audit</t>
  </si>
  <si>
    <t>Maintenance &amp; HSE</t>
  </si>
  <si>
    <t>Formation</t>
  </si>
  <si>
    <t>Commercial &amp; marketing</t>
  </si>
  <si>
    <t>IT &amp; data</t>
  </si>
  <si>
    <t>RH</t>
  </si>
  <si>
    <t>Logistique</t>
  </si>
  <si>
    <t>Événement</t>
  </si>
  <si>
    <t>Types</t>
  </si>
  <si>
    <t>Projet</t>
  </si>
  <si>
    <t>Incident</t>
  </si>
  <si>
    <t>Qualité</t>
  </si>
  <si>
    <t>Maintenance</t>
  </si>
  <si>
    <t>Autre</t>
  </si>
  <si>
    <t>Priorités</t>
  </si>
  <si>
    <t>Basse</t>
  </si>
  <si>
    <t>Normale</t>
  </si>
  <si>
    <t>Haute</t>
  </si>
  <si>
    <t>Critique</t>
  </si>
  <si>
    <t>Responsables (ex.)</t>
  </si>
  <si>
    <t>Claire</t>
  </si>
  <si>
    <t>Marc</t>
  </si>
  <si>
    <t>Hugo</t>
  </si>
  <si>
    <t>Julien</t>
  </si>
  <si>
    <t>Élodie</t>
  </si>
  <si>
    <t>Sophie</t>
  </si>
  <si>
    <t>Nadia</t>
  </si>
  <si>
    <t>Pauline</t>
  </si>
  <si>
    <t>Alexandre</t>
  </si>
  <si>
    <t>Inès</t>
  </si>
  <si>
    <t>Sites (ex.)</t>
  </si>
  <si>
    <t>Siège</t>
  </si>
  <si>
    <t>Atelier A</t>
  </si>
  <si>
    <t>Atelier B</t>
  </si>
  <si>
    <t>Client X</t>
  </si>
  <si>
    <t>Client Y</t>
  </si>
  <si>
    <t>Campus</t>
  </si>
  <si>
    <t>Distanciel</t>
  </si>
  <si>
    <t>Programmes (ex.)</t>
  </si>
  <si>
    <t>Industrialisation 2026</t>
  </si>
  <si>
    <t>Qualité 9001</t>
  </si>
  <si>
    <t>Excellence Opérationnelle</t>
  </si>
  <si>
    <t>IT – ERP &amp; Data</t>
  </si>
  <si>
    <t>Développement client</t>
  </si>
  <si>
    <t>ID</t>
  </si>
  <si>
    <t>Programme</t>
  </si>
  <si>
    <t>Client</t>
  </si>
  <si>
    <t>Type</t>
  </si>
  <si>
    <t>Titre</t>
  </si>
  <si>
    <t>Catégorie</t>
  </si>
  <si>
    <t>Responsable</t>
  </si>
  <si>
    <t>Site</t>
  </si>
  <si>
    <t>Priorité</t>
  </si>
  <si>
    <t>Début</t>
  </si>
  <si>
    <t>Fin planifiée</t>
  </si>
  <si>
    <t>Fin réelle</t>
  </si>
  <si>
    <t>Durée pl. (j)</t>
  </si>
  <si>
    <t>Durée ré. (j)</t>
  </si>
  <si>
    <t>Statut</t>
  </si>
  <si>
    <t>Avancement (%)</t>
  </si>
  <si>
    <t>Budget prévu</t>
  </si>
  <si>
    <t>Budget réalisé</t>
  </si>
  <si>
    <t>Écart (€)</t>
  </si>
  <si>
    <t>Libellé écart</t>
  </si>
  <si>
    <t>Risque – Probabilité (1-5)</t>
  </si>
  <si>
    <t>Risque – Sévérité (1-5)</t>
  </si>
  <si>
    <t>Criticité (P×S)</t>
  </si>
  <si>
    <t>Valeur (1-5)</t>
  </si>
  <si>
    <t>Effort (jours)</t>
  </si>
  <si>
    <t>Reach (pers.)</t>
  </si>
  <si>
    <t>Impact (1-5)</t>
  </si>
  <si>
    <t>Confidence (0-1)</t>
  </si>
  <si>
    <t>Score RICE</t>
  </si>
  <si>
    <t>Commentaires</t>
  </si>
  <si>
    <t>Lien</t>
  </si>
  <si>
    <t>Tags</t>
  </si>
  <si>
    <t>Mois</t>
  </si>
  <si>
    <t>État temporel</t>
  </si>
  <si>
    <t>À l’heure ?</t>
  </si>
  <si>
    <t>Bêta Industrie</t>
  </si>
  <si>
    <t>Portes ouvertes – Client X</t>
  </si>
  <si>
    <t>Formation – Portes ouvertes – Client X (Excellence Opérationnelle)</t>
  </si>
  <si>
    <t>https://intra/doc</t>
  </si>
  <si>
    <t>projet &amp; produit; distanciel</t>
  </si>
  <si>
    <t>Alpha SA</t>
  </si>
  <si>
    <t>Bascule serveur applicatif</t>
  </si>
  <si>
    <t>Autre – Bascule serveur applicatif (IT – ERP &amp; Data)</t>
  </si>
  <si>
    <t>qualité &amp; audit; campus</t>
  </si>
  <si>
    <t>Gamma Tech</t>
  </si>
  <si>
    <t>Qualité – Portes ouvertes – Client X (Développement client)</t>
  </si>
  <si>
    <t>maintenance &amp; hse; client y</t>
  </si>
  <si>
    <t>Revue processus ISO 9001</t>
  </si>
  <si>
    <t>Autre – Revue processus ISO 9001 (Excellence Opérationnelle)</t>
  </si>
  <si>
    <t>formation; client y</t>
  </si>
  <si>
    <t>Public – Ville</t>
  </si>
  <si>
    <t>Mise en production module ERP</t>
  </si>
  <si>
    <t>Formation – Mise en production module ERP (Qualité 9001)</t>
  </si>
  <si>
    <t>qualité &amp; audit; client y</t>
  </si>
  <si>
    <t>Clinique Atlas</t>
  </si>
  <si>
    <t>Standard de contrôle visuel</t>
  </si>
  <si>
    <t>Autre – Standard de contrôle visuel (Développement client)</t>
  </si>
  <si>
    <t>commercial &amp; marketing; campus</t>
  </si>
  <si>
    <t>Interne</t>
  </si>
  <si>
    <t>Atelier 5S – Assemblage</t>
  </si>
  <si>
    <t>Formation – Atelier 5S – Assemblage (IT – ERP &amp; Data)</t>
  </si>
  <si>
    <t>maintenance &amp; hse; client x</t>
  </si>
  <si>
    <t>Formation – Bascule serveur applicatif (Qualité 9001)</t>
  </si>
  <si>
    <t>maintenance &amp; hse; atelier b</t>
  </si>
  <si>
    <t>Projet – Standard de contrôle visuel (IT – ERP &amp; Data)</t>
  </si>
  <si>
    <t>rh; atelier a</t>
  </si>
  <si>
    <t>Campagne emailing B2B</t>
  </si>
  <si>
    <t>Projet – Campagne emailing B2B (Développement client)</t>
  </si>
  <si>
    <t>rh; campus</t>
  </si>
  <si>
    <t>Calibration instruments métrologie</t>
  </si>
  <si>
    <t>Événement – Calibration instruments métrologie (Industrialisation 2026)</t>
  </si>
  <si>
    <t>commercial &amp; marketing; distanciel</t>
  </si>
  <si>
    <t>Événement – Campagne emailing B2B (Excellence Opérationnelle)</t>
  </si>
  <si>
    <t>événement; distanciel</t>
  </si>
  <si>
    <t>Audit fournisseur clé</t>
  </si>
  <si>
    <t>Qualité – Audit fournisseur clé (Qualité 9001)</t>
  </si>
  <si>
    <t>logistique; atelier b</t>
  </si>
  <si>
    <t>Maintenance – Atelier 5S – Assemblage (Industrialisation 2026)</t>
  </si>
  <si>
    <t>rh; client x</t>
  </si>
  <si>
    <t>Association Main</t>
  </si>
  <si>
    <t>Formation – Portes ouvertes – Client X (Qualité 9001)</t>
  </si>
  <si>
    <t>maintenance &amp; hse; distanciel</t>
  </si>
  <si>
    <t>Événement – Campagne emailing B2B (Qualité 9001)</t>
  </si>
  <si>
    <t>commercial &amp; marketing; atelier a</t>
  </si>
  <si>
    <t>Qualité – Mise en production module ERP (Qualité 9001)</t>
  </si>
  <si>
    <t>logistique; client y</t>
  </si>
  <si>
    <t>Projet – Campagne emailing B2B (Industrialisation 2026)</t>
  </si>
  <si>
    <t>formation; siège</t>
  </si>
  <si>
    <t>Pilote IoT zone A</t>
  </si>
  <si>
    <t>Formation – Pilote IoT zone A (Développement client)</t>
  </si>
  <si>
    <t>formation; atelier b</t>
  </si>
  <si>
    <t>Incident – Calibration instruments métrologie (Industrialisation 2026)</t>
  </si>
  <si>
    <t>it &amp; data; atelier b</t>
  </si>
  <si>
    <t>Événement – Atelier 5S – Assemblage (Qualité 9001)</t>
  </si>
  <si>
    <t>Maintenance – Atelier 5S – Assemblage (Excellence Opérationnelle)</t>
  </si>
  <si>
    <t>commercial &amp; marketing; client y</t>
  </si>
  <si>
    <t>Formation sécurité machines</t>
  </si>
  <si>
    <t>Incident – Formation sécurité machines (Qualité 9001)</t>
  </si>
  <si>
    <t>projet &amp; produit; atelier a</t>
  </si>
  <si>
    <t>Formation – Campagne emailing B2B (Qualité 9001)</t>
  </si>
  <si>
    <t>logistique; campus</t>
  </si>
  <si>
    <t>Maintenance – Calibration instruments métrologie (Industrialisation 2026)</t>
  </si>
  <si>
    <t>Projet – Formation sécurité machines (Excellence Opérationnelle)</t>
  </si>
  <si>
    <t>it &amp; data; client y</t>
  </si>
  <si>
    <t>qualité &amp; audit; distanciel</t>
  </si>
  <si>
    <t>Formation – Revue processus ISO 9001 (Excellence Opérationnelle)</t>
  </si>
  <si>
    <t>Maintenance – Audit fournisseur clé (Industrialisation 2026)</t>
  </si>
  <si>
    <t>Qualité – Atelier 5S – Assemblage (Industrialisation 2026)</t>
  </si>
  <si>
    <t>logistique; distanciel</t>
  </si>
  <si>
    <t>Qualité – Revue processus ISO 9001 (Qualité 9001)</t>
  </si>
  <si>
    <t>it &amp; data; campus</t>
  </si>
  <si>
    <t>Formation – Standard de contrôle visuel (Excellence Opérationnelle)</t>
  </si>
  <si>
    <t>qualité &amp; audit; atelier a</t>
  </si>
  <si>
    <t>Incident – Calibration instruments métrologie (Développement client)</t>
  </si>
  <si>
    <t>événement; atelier b</t>
  </si>
  <si>
    <t>Maintenance – Revue processus ISO 9001 (IT – ERP &amp; Data)</t>
  </si>
  <si>
    <t>qualité &amp; audit; client x</t>
  </si>
  <si>
    <t>Formation – Mise en production module ERP (Excellence Opérationnelle)</t>
  </si>
  <si>
    <t>rh; client y</t>
  </si>
  <si>
    <t>Événement – Formation sécurité machines (IT – ERP &amp; Data)</t>
  </si>
  <si>
    <t>commercial &amp; marketing; client x</t>
  </si>
  <si>
    <t>Qualité – Campagne emailing B2B (IT – ERP &amp; Data)</t>
  </si>
  <si>
    <t>formation; atelier a</t>
  </si>
  <si>
    <t>Événement – Audit fournisseur clé (Qualité 9001)</t>
  </si>
  <si>
    <t>projet &amp; produit; atelier b</t>
  </si>
  <si>
    <t>Formation – Mise en production module ERP (IT – ERP &amp; Data)</t>
  </si>
  <si>
    <t>Maintenance – Portes ouvertes – Client X (Qualité 9001)</t>
  </si>
  <si>
    <t>rh; atelier b</t>
  </si>
  <si>
    <t>Incident – Standard de contrôle visuel (Développement client)</t>
  </si>
  <si>
    <t>formation; distanciel</t>
  </si>
  <si>
    <t>Maintenance préventive trimestrielle</t>
  </si>
  <si>
    <t>Incident – Maintenance préventive trimestrielle (Industrialisation 2026)</t>
  </si>
  <si>
    <t>projet &amp; produit; siège</t>
  </si>
  <si>
    <t>Formation – Mise en production module ERP (Développement client)</t>
  </si>
  <si>
    <t>Autre – Formation sécurité machines (IT – ERP &amp; Data)</t>
  </si>
  <si>
    <t>rh; siège</t>
  </si>
  <si>
    <t>Projet – Mise en production module ERP (Industrialisation 2026)</t>
  </si>
  <si>
    <t>Incident – Atelier 5S – Assemblage (Industrialisation 2026)</t>
  </si>
  <si>
    <t>formation; client x</t>
  </si>
  <si>
    <t>Événement – Formation sécurité machines (Développement client)</t>
  </si>
  <si>
    <t>Autre – Atelier 5S – Assemblage (Qualité 9001)</t>
  </si>
  <si>
    <t>logistique; siège</t>
  </si>
  <si>
    <t>Qualité – Revue processus ISO 9001 (Industrialisation 2026)</t>
  </si>
  <si>
    <t>Maintenance – Audit fournisseur clé (Excellence Opérationnelle)</t>
  </si>
  <si>
    <t>Maintenance – Formation sécurité machines (Qualité 9001)</t>
  </si>
  <si>
    <t>Formation – Revue processus ISO 9001 (Qualité 9001)</t>
  </si>
  <si>
    <t>rh; distanciel</t>
  </si>
  <si>
    <t>Maintenance – Pilote IoT zone A (Développement client)</t>
  </si>
  <si>
    <t>Maintenance – Maintenance préventive trimestrielle (Industrialisation 2026)</t>
  </si>
  <si>
    <t>Événement – Standard de contrôle visuel (IT – ERP &amp; Data)</t>
  </si>
  <si>
    <t>événement; atelier a</t>
  </si>
  <si>
    <t>Formation – Audit fournisseur clé (Qualité 9001)</t>
  </si>
  <si>
    <t>Incident – Bascule serveur applicatif (Développement client)</t>
  </si>
  <si>
    <t>Maintenance – Audit fournisseur clé (Développement client)</t>
  </si>
  <si>
    <t>Incident – Bascule serveur applicatif (IT – ERP &amp; Data)</t>
  </si>
  <si>
    <t>Incident – Bascule serveur applicatif (Qualité 9001)</t>
  </si>
  <si>
    <t>Qualité – Standard de contrôle visuel (Qualité 9001)</t>
  </si>
  <si>
    <t>maintenance &amp; hse; siège</t>
  </si>
  <si>
    <t>Qualité – Standard de contrôle visuel (Développement client)</t>
  </si>
  <si>
    <t>Incident – Revue processus ISO 9001 (Développement client)</t>
  </si>
  <si>
    <t>Incident – Atelier 5S – Assemblage (IT – ERP &amp; Data)</t>
  </si>
  <si>
    <t>Incident – Formation sécurité machines (Développement client)</t>
  </si>
  <si>
    <t>Maintenance – Portes ouvertes – Client X (Industrialisation 2026)</t>
  </si>
  <si>
    <t>projet &amp; produit; campus</t>
  </si>
  <si>
    <t>Autre – Portes ouvertes – Client X (Industrialisation 2026)</t>
  </si>
  <si>
    <t>Autre – Bascule serveur applicatif (Excellence Opérationnelle)</t>
  </si>
  <si>
    <t>Qualité – Revue processus ISO 9001 (Développement client)</t>
  </si>
  <si>
    <t>Maintenance – Mise en production module ERP (Industrialisation 2026)</t>
  </si>
  <si>
    <t>Incident – Standard de contrôle visuel (Excellence Opérationnelle)</t>
  </si>
  <si>
    <t>Maintenance – Revue processus ISO 9001 (Développement client)</t>
  </si>
  <si>
    <t>qualité &amp; audit; atelier b</t>
  </si>
  <si>
    <t>formation; campus</t>
  </si>
  <si>
    <t>Autre – Campagne emailing B2B (Qualité 9001)</t>
  </si>
  <si>
    <t>événement; siège</t>
  </si>
  <si>
    <t>Projet – Calibration instruments métrologie (Développement client)</t>
  </si>
  <si>
    <t>Incident – Maintenance préventive trimestrielle (IT – ERP &amp; Data)</t>
  </si>
  <si>
    <t>logistique; atelier a</t>
  </si>
  <si>
    <t>Autre – Campagne emailing B2B (IT – ERP &amp; Data)</t>
  </si>
  <si>
    <t>Projet – Portes ouvertes – Client X (Développement client)</t>
  </si>
  <si>
    <t>Incident – Campagne emailing B2B (Industrialisation 2026)</t>
  </si>
  <si>
    <t>Projet – Pilote IoT zone A (IT – ERP &amp; Data)</t>
  </si>
  <si>
    <t>Maintenance – Mise en production module ERP (Développement client)</t>
  </si>
  <si>
    <t>Projet – Pilote IoT zone A (Excellence Opérationnelle)</t>
  </si>
  <si>
    <t>Événement – Maintenance préventive trimestrielle (Excellence Opérationnelle)</t>
  </si>
  <si>
    <t>commercial &amp; marketing; siège</t>
  </si>
  <si>
    <t>Événement – Revue processus ISO 9001 (Excellence Opérationnelle)</t>
  </si>
  <si>
    <t>Tableau de bord — Modèle avancé</t>
  </si>
  <si>
    <t>KPIs principaux</t>
  </si>
  <si>
    <t>Total activités</t>
  </si>
  <si>
    <t>Terminées</t>
  </si>
  <si>
    <t>Bloquées</t>
  </si>
  <si>
    <t>% à l’heure (sur terminées)</t>
  </si>
  <si>
    <t>Budget prévu (€)</t>
  </si>
  <si>
    <t>Budget réalisé (€)</t>
  </si>
  <si>
    <t>Écart total (€)</t>
  </si>
  <si>
    <t>Charge totale (jours)</t>
  </si>
  <si>
    <t>Par mois</t>
  </si>
  <si>
    <t>Clôturées</t>
  </si>
  <si>
    <t>Prévu (€)</t>
  </si>
  <si>
    <t>Réalisé (€)</t>
  </si>
  <si>
    <t>Répartition par statut</t>
  </si>
  <si>
    <t>Nb</t>
  </si>
  <si>
    <t>Charge (jours) par responsable – WIP</t>
  </si>
  <si>
    <t>Jours</t>
  </si>
  <si>
    <t>Prévu cumulé</t>
  </si>
  <si>
    <t>Réalisé cumulé</t>
  </si>
  <si>
    <t>Gantt (planifié)</t>
  </si>
  <si>
    <t>Décalage (jours)</t>
  </si>
  <si>
    <t>Durée (jours)</t>
  </si>
  <si>
    <t>Charge planifiée par responsable et par mois (jours)</t>
  </si>
  <si>
    <t>Jan</t>
  </si>
  <si>
    <t>Fév</t>
  </si>
  <si>
    <t>Mar</t>
  </si>
  <si>
    <t>Avr</t>
  </si>
  <si>
    <t>Mai</t>
  </si>
  <si>
    <t>Juin</t>
  </si>
  <si>
    <t>Juil</t>
  </si>
  <si>
    <t>Août</t>
  </si>
  <si>
    <t>Sep</t>
  </si>
  <si>
    <t>Oct</t>
  </si>
  <si>
    <t>Nov</t>
  </si>
  <si>
    <t>Déc</t>
  </si>
  <si>
    <t>Matrice de risques (Probabilité × Sévérité)</t>
  </si>
  <si>
    <t>S1</t>
  </si>
  <si>
    <t>S2</t>
  </si>
  <si>
    <t>S3</t>
  </si>
  <si>
    <t>S4</t>
  </si>
  <si>
    <t>S5</t>
  </si>
  <si>
    <t>P1</t>
  </si>
  <si>
    <t>P2</t>
  </si>
  <si>
    <t>P3</t>
  </si>
  <si>
    <t>P4</t>
  </si>
  <si>
    <t>P5</t>
  </si>
  <si>
    <t>Indicateurs risques</t>
  </si>
  <si>
    <t>Total (P×S ≥ seuil)</t>
  </si>
  <si>
    <t>Criticité moyenne</t>
  </si>
</sst>
</file>

<file path=xl/styles.xml><?xml version="1.0" encoding="utf-8"?>
<styleSheet xmlns="http://schemas.openxmlformats.org/spreadsheetml/2006/main">
  <numFmts count="3">
    <numFmt numFmtId="164" formatCode="0%"/>
    <numFmt numFmtId="165" formatCode="dd/mm/yyyy"/>
    <numFmt numFmtId="166" formatCode="#,##0.00 [$€-1]"/>
  </numFmts>
  <fonts count="8">
    <font>
      <sz val="11"/>
      <color theme="1"/>
      <name val="Calibri"/>
      <family val="2"/>
      <scheme val="minor"/>
    </font>
    <font>
      <b/>
      <sz val="18"/>
      <color rgb="FF111827"/>
      <name val="Calibri"/>
      <family val="2"/>
      <scheme val="minor"/>
    </font>
    <font>
      <sz val="10"/>
      <color rgb="FF111827"/>
      <name val="Calibri"/>
      <family val="2"/>
      <scheme val="minor"/>
    </font>
    <font>
      <b/>
      <sz val="14"/>
      <color rgb="FF111827"/>
      <name val="Calibri"/>
      <family val="2"/>
      <scheme val="minor"/>
    </font>
    <font>
      <i/>
      <sz val="9"/>
      <color rgb="FF6B7280"/>
      <name val="Calibri"/>
      <family val="2"/>
      <scheme val="minor"/>
    </font>
    <font>
      <b/>
      <sz val="12"/>
      <color rgb="FF111827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11182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AFC"/>
        <bgColor indexed="64"/>
      </patternFill>
    </fill>
  </fills>
  <borders count="2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1" fontId="6" fillId="0" borderId="1" xfId="0" applyNumberFormat="1" applyFont="1" applyBorder="1"/>
    <xf numFmtId="164" fontId="6" fillId="0" borderId="1" xfId="0" applyNumberFormat="1" applyFont="1" applyBorder="1"/>
    <xf numFmtId="0" fontId="7" fillId="2" borderId="1" xfId="0" applyFont="1" applyFill="1" applyBorder="1" applyAlignment="1">
      <alignment horizontal="left" vertical="center"/>
    </xf>
    <xf numFmtId="0" fontId="6" fillId="0" borderId="1" xfId="0" applyFont="1" applyBorder="1"/>
    <xf numFmtId="165" fontId="6" fillId="0" borderId="1" xfId="0" applyNumberFormat="1" applyFont="1" applyBorder="1"/>
    <xf numFmtId="166" fontId="6" fillId="0" borderId="1" xfId="0" applyNumberFormat="1" applyFont="1" applyBorder="1"/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7">
    <dxf>
      <font>
        <color rgb="FFFFFFFF"/>
      </font>
      <fill>
        <patternFill>
          <bgColor rgb="FF94A3B8"/>
        </patternFill>
      </fill>
    </dxf>
    <dxf>
      <font>
        <color rgb="FFFFFFFF"/>
      </font>
      <fill>
        <patternFill>
          <bgColor rgb="FF3B82F6"/>
        </patternFill>
      </fill>
    </dxf>
    <dxf>
      <font>
        <color rgb="FFFFFFFF"/>
      </font>
      <fill>
        <patternFill>
          <bgColor rgb="FF10B981"/>
        </patternFill>
      </fill>
    </dxf>
    <dxf>
      <font>
        <color rgb="FFFFFFFF"/>
      </font>
      <fill>
        <patternFill>
          <bgColor rgb="FFEF4444"/>
        </patternFill>
      </fill>
    </dxf>
    <dxf>
      <font>
        <color rgb="FFFFFFFF"/>
      </font>
      <fill>
        <patternFill>
          <bgColor rgb="FF0EA5A4"/>
        </patternFill>
      </fill>
    </dxf>
    <dxf>
      <fill>
        <patternFill>
          <bgColor rgb="FFFCA5A5"/>
        </patternFill>
      </fill>
    </dxf>
    <dxf>
      <font>
        <color rgb="FF111827"/>
      </font>
      <fill>
        <patternFill>
          <bgColor rgb="FFF59E0B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Activités clôturées par mois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Clôturées</c:v>
          </c:tx>
          <c:cat>
            <c:numRef>
              <c:f>Tableau_de_bord!$F$5:$F$16</c:f>
              <c:numCache>
                <c:formatCode>General</c:formatCode>
                <c:ptCount val="12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Tableau_de_bord!$G$5:$G$16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Budget cumulé – Prévu vs Réalisé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Prévu (cumulé)</c:v>
          </c:tx>
          <c:marker>
            <c:symbol val="none"/>
          </c:marker>
          <c:cat>
            <c:numRef>
              <c:f>Tableau_de_bord!$F$5:$F$16</c:f>
              <c:numCache>
                <c:formatCode>General</c:formatCode>
                <c:ptCount val="12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Tableau_de_bord!$P$4:$P$15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Réalisé (cumulé)</c:v>
          </c:tx>
          <c:marker>
            <c:symbol val="none"/>
          </c:marker>
          <c:cat>
            <c:numRef>
              <c:f>Tableau_de_bord!$F$5:$F$16</c:f>
              <c:numCache>
                <c:formatCode>General</c:formatCode>
                <c:ptCount val="12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Tableau_de_bord!$Q$4:$Q$15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Charge par responsable (WIP)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Charge WIP (jours)</c:v>
          </c:tx>
          <c:cat>
            <c:strRef>
              <c:f>Tableau_de_bord!$N$5:$N$14</c:f>
              <c:strCache>
                <c:ptCount val="10"/>
                <c:pt idx="1">
                  <c:v>Claire</c:v>
                </c:pt>
                <c:pt idx="2">
                  <c:v>Marc</c:v>
                </c:pt>
                <c:pt idx="3">
                  <c:v>Hugo</c:v>
                </c:pt>
                <c:pt idx="4">
                  <c:v>Julien</c:v>
                </c:pt>
                <c:pt idx="5">
                  <c:v>Élodie</c:v>
                </c:pt>
                <c:pt idx="6">
                  <c:v>Sophie</c:v>
                </c:pt>
                <c:pt idx="7">
                  <c:v>Nadia</c:v>
                </c:pt>
                <c:pt idx="8">
                  <c:v>Pauline</c:v>
                </c:pt>
                <c:pt idx="9">
                  <c:v>Alexandre</c:v>
                </c:pt>
              </c:strCache>
            </c:strRef>
          </c:cat>
          <c:val>
            <c:numRef>
              <c:f>Tableau_de_bord!$O$5:$O$14</c:f>
              <c:numCache>
                <c:formatCode>General</c:formatCode>
                <c:ptCount val="1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Responsable</a:t>
                </a:r>
              </a:p>
            </c:rich>
          </c:tx>
          <c:layout/>
        </c:title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Jours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Gantt planifié (40 premières activités)</a:t>
            </a:r>
          </a:p>
        </c:rich>
      </c:tx>
      <c:layout/>
    </c:title>
    <c:plotArea>
      <c:layout/>
      <c:barChart>
        <c:barDir val="bar"/>
        <c:grouping val="stacked"/>
        <c:ser>
          <c:idx val="0"/>
          <c:order val="0"/>
          <c:tx>
            <c:v>Décalage</c:v>
          </c:tx>
          <c:cat>
            <c:numRef>
              <c:f>Gantt!$A$5:$A$44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cat>
          <c:val>
            <c:numRef>
              <c:f>Gantt!$B$5:$B$44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</c:ser>
        <c:ser>
          <c:idx val="1"/>
          <c:order val="1"/>
          <c:tx>
            <c:v>Durée</c:v>
          </c:tx>
          <c:cat>
            <c:numRef>
              <c:f>Gantt!$A$5:$A$44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cat>
          <c:val>
            <c:numRef>
              <c:f>Gantt!$C$5:$C$44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</c:ser>
        <c:overlap val="100"/>
        <c:axId val="50040001"/>
        <c:axId val="50040002"/>
      </c:barChart>
      <c:catAx>
        <c:axId val="50040001"/>
        <c:scaling>
          <c:orientation val="maxMin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Activités</a:t>
                </a:r>
              </a:p>
            </c:rich>
          </c:tx>
          <c:layout/>
        </c:title>
        <c:numFmt formatCode="General" sourceLinked="1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t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Jours depuis 1er jan</a:t>
                </a:r>
              </a:p>
            </c:rich>
          </c:tx>
          <c:layout/>
        </c:title>
        <c:numFmt formatCode="General" sourceLinked="1"/>
        <c:tickLblPos val="nextTo"/>
        <c:crossAx val="5004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17</xdr:row>
      <xdr:rowOff>0</xdr:rowOff>
    </xdr:from>
    <xdr:to>
      <xdr:col>9</xdr:col>
      <xdr:colOff>1028700</xdr:colOff>
      <xdr:row>31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17</xdr:row>
      <xdr:rowOff>0</xdr:rowOff>
    </xdr:from>
    <xdr:to>
      <xdr:col>14</xdr:col>
      <xdr:colOff>1028700</xdr:colOff>
      <xdr:row>31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17</xdr:row>
      <xdr:rowOff>0</xdr:rowOff>
    </xdr:from>
    <xdr:to>
      <xdr:col>17</xdr:col>
      <xdr:colOff>342900</xdr:colOff>
      <xdr:row>30</xdr:row>
      <xdr:rowOff>180975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</xdr:row>
      <xdr:rowOff>0</xdr:rowOff>
    </xdr:from>
    <xdr:to>
      <xdr:col>17</xdr:col>
      <xdr:colOff>0</xdr:colOff>
      <xdr:row>27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Activites" displayName="tblActivites" ref="A1:AJ601" totalsRowShown="0">
  <autoFilter ref="A1:AJ601"/>
  <tableColumns count="36">
    <tableColumn id="1" name="ID"/>
    <tableColumn id="2" name="Programme"/>
    <tableColumn id="3" name="Client"/>
    <tableColumn id="4" name="Type"/>
    <tableColumn id="5" name="Titre"/>
    <tableColumn id="6" name="Catégorie"/>
    <tableColumn id="7" name="Responsable"/>
    <tableColumn id="8" name="Site"/>
    <tableColumn id="9" name="Priorité"/>
    <tableColumn id="10" name="Début"/>
    <tableColumn id="11" name="Fin planifiée"/>
    <tableColumn id="12" name="Fin réelle"/>
    <tableColumn id="13" name="Durée pl. (j)">
      <calculatedColumnFormula>IF(AND([[#This Row],Début]&lt;&gt;"",[[#This Row],[Fin planifiée]]&lt;&gt;""),[[#This Row],[Fin planifiée]]-[[#This Row],Début]+1,"")</calculatedColumnFormula>
    </tableColumn>
    <tableColumn id="14" name="Durée ré. (j)">
      <calculatedColumnFormula>IF(AND([[#This Row],Début]&lt;&gt;"",[[#This Row],[Fin réelle]]&lt;&gt;""),[[#This Row],[Fin réelle]]-[[#This Row],Début]+1,"")</calculatedColumnFormula>
    </tableColumn>
    <tableColumn id="15" name="Statut"/>
    <tableColumn id="16" name="Avancement (%)"/>
    <tableColumn id="17" name="Budget prévu"/>
    <tableColumn id="18" name="Budget réalisé"/>
    <tableColumn id="19" name="Écart (€)">
      <calculatedColumnFormula>[[#This Row],[Budget réalisé]]-[[#This Row],[Budget prévu]]</calculatedColumnFormula>
    </tableColumn>
    <tableColumn id="20" name="Libellé écart">
      <calculatedColumnFormula>IF(OR([[#This Row],[Budget prévu]]="",[[#This Row],[Budget réalisé]]=""),"",IF([[#This Row],[Écart (€)]]=0,"À l'équilibre",IF([[#This Row],[Écart (€)]]&gt;0,"Dépassement","Sous budget")))</calculatedColumnFormula>
    </tableColumn>
    <tableColumn id="21" name="Risque – Probabilité (1-5)"/>
    <tableColumn id="22" name="Risque – Sévérité (1-5)"/>
    <tableColumn id="23" name="Criticité (P×S)">
      <calculatedColumnFormula>[[#This Row],[Risque – Probabilité (1-5)]]*[[#This Row],[Risque – Sévérité (1-5)]]</calculatedColumnFormula>
    </tableColumn>
    <tableColumn id="24" name="Valeur (1-5)"/>
    <tableColumn id="25" name="Effort (jours)"/>
    <tableColumn id="26" name="Reach (pers.)"/>
    <tableColumn id="27" name="Impact (1-5)"/>
    <tableColumn id="28" name="Confidence (0-1)"/>
    <tableColumn id="29" name="Score RICE">
      <calculatedColumnFormula>IF([[#This Row],Effort (jours)]&gt;0,[[#This Row],[Reach (pers.)]]*[[#This Row],[Impact (1-5)]]*[[#This Row],[Confidence (0-1)]]/[[#This Row],[Effort (jours)]],"")</calculatedColumnFormula>
    </tableColumn>
    <tableColumn id="30" name="Commentaires"/>
    <tableColumn id="31" name="Lien"/>
    <tableColumn id="32" name="Tags"/>
    <tableColumn id="33" name="Mois">
      <calculatedColumnFormula>IF([[#This Row],[Fin planifiée]]&lt;&gt;"",MONTH([[#This Row],[Fin planifiée]]),"")</calculatedColumnFormula>
    </tableColumn>
    <tableColumn id="34" name="Année">
      <calculatedColumnFormula>IF([[#This Row],[Fin planifiée]]&lt;&gt;"",YEAR([[#This Row],[Fin planifiée]]),"")</calculatedColumnFormula>
    </tableColumn>
    <tableColumn id="35" name="État temporel">
      <calculatedColumnFormula>IF([[#This Row],Statut]="Terminé","Terminé",IF(AND([[#This Row],Début]&lt;&gt;"",[[#This Row],[Fin planifiée]]&lt;&gt;""),IF(TODAY()&lt;[[#This Row],Début],"À venir",IF(TODAY()&gt;[[#This Row],[Fin planifiée]],"En retard","En cours")),""))</calculatedColumnFormula>
    </tableColumn>
    <tableColumn id="36" name="À l’heure ?">
      <calculatedColumnFormula>IF(AND([[#This Row],Statut]="Terminé",[[#This Row],[Fin réelle]]&lt;&gt;""),IF([[#This Row],[Fin réelle]]&lt;=[[#This Row],[Fin planifiée]],"Oui","Non"),"")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intra/doc" TargetMode="External"/><Relationship Id="rId2" Type="http://schemas.openxmlformats.org/officeDocument/2006/relationships/hyperlink" Target="https://intra/doc" TargetMode="External"/><Relationship Id="rId3" Type="http://schemas.openxmlformats.org/officeDocument/2006/relationships/hyperlink" Target="https://intra/doc" TargetMode="External"/><Relationship Id="rId4" Type="http://schemas.openxmlformats.org/officeDocument/2006/relationships/hyperlink" Target="https://intra/doc" TargetMode="External"/><Relationship Id="rId5" Type="http://schemas.openxmlformats.org/officeDocument/2006/relationships/hyperlink" Target="https://intra/doc" TargetMode="External"/><Relationship Id="rId6" Type="http://schemas.openxmlformats.org/officeDocument/2006/relationships/hyperlink" Target="https://intra/doc" TargetMode="External"/><Relationship Id="rId7" Type="http://schemas.openxmlformats.org/officeDocument/2006/relationships/hyperlink" Target="https://intra/doc" TargetMode="External"/><Relationship Id="rId8" Type="http://schemas.openxmlformats.org/officeDocument/2006/relationships/hyperlink" Target="https://intra/doc" TargetMode="External"/><Relationship Id="rId9" Type="http://schemas.openxmlformats.org/officeDocument/2006/relationships/hyperlink" Target="https://intra/doc" TargetMode="External"/><Relationship Id="rId10" Type="http://schemas.openxmlformats.org/officeDocument/2006/relationships/hyperlink" Target="https://intra/doc" TargetMode="External"/><Relationship Id="rId11" Type="http://schemas.openxmlformats.org/officeDocument/2006/relationships/hyperlink" Target="https://intra/doc" TargetMode="External"/><Relationship Id="rId12" Type="http://schemas.openxmlformats.org/officeDocument/2006/relationships/hyperlink" Target="https://intra/doc" TargetMode="External"/><Relationship Id="rId13" Type="http://schemas.openxmlformats.org/officeDocument/2006/relationships/hyperlink" Target="https://intra/doc" TargetMode="External"/><Relationship Id="rId14" Type="http://schemas.openxmlformats.org/officeDocument/2006/relationships/hyperlink" Target="https://intra/doc" TargetMode="External"/><Relationship Id="rId15" Type="http://schemas.openxmlformats.org/officeDocument/2006/relationships/hyperlink" Target="https://intra/doc" TargetMode="External"/><Relationship Id="rId16" Type="http://schemas.openxmlformats.org/officeDocument/2006/relationships/hyperlink" Target="https://intra/doc" TargetMode="External"/><Relationship Id="rId17" Type="http://schemas.openxmlformats.org/officeDocument/2006/relationships/hyperlink" Target="https://intra/doc" TargetMode="External"/><Relationship Id="rId18" Type="http://schemas.openxmlformats.org/officeDocument/2006/relationships/hyperlink" Target="https://intra/doc" TargetMode="External"/><Relationship Id="rId19" Type="http://schemas.openxmlformats.org/officeDocument/2006/relationships/hyperlink" Target="https://intra/doc" TargetMode="External"/><Relationship Id="rId20" Type="http://schemas.openxmlformats.org/officeDocument/2006/relationships/hyperlink" Target="https://intra/doc" TargetMode="External"/><Relationship Id="rId21" Type="http://schemas.openxmlformats.org/officeDocument/2006/relationships/hyperlink" Target="https://intra/doc" TargetMode="External"/><Relationship Id="rId22" Type="http://schemas.openxmlformats.org/officeDocument/2006/relationships/hyperlink" Target="https://intra/doc" TargetMode="External"/><Relationship Id="rId23" Type="http://schemas.openxmlformats.org/officeDocument/2006/relationships/hyperlink" Target="https://intra/doc" TargetMode="External"/><Relationship Id="rId24" Type="http://schemas.openxmlformats.org/officeDocument/2006/relationships/hyperlink" Target="https://intra/doc" TargetMode="External"/><Relationship Id="rId25" Type="http://schemas.openxmlformats.org/officeDocument/2006/relationships/hyperlink" Target="https://intra/doc" TargetMode="External"/><Relationship Id="rId26" Type="http://schemas.openxmlformats.org/officeDocument/2006/relationships/hyperlink" Target="https://intra/doc" TargetMode="External"/><Relationship Id="rId27" Type="http://schemas.openxmlformats.org/officeDocument/2006/relationships/hyperlink" Target="https://intra/doc" TargetMode="External"/><Relationship Id="rId28" Type="http://schemas.openxmlformats.org/officeDocument/2006/relationships/hyperlink" Target="https://intra/doc" TargetMode="External"/><Relationship Id="rId29" Type="http://schemas.openxmlformats.org/officeDocument/2006/relationships/hyperlink" Target="https://intra/doc" TargetMode="External"/><Relationship Id="rId30" Type="http://schemas.openxmlformats.org/officeDocument/2006/relationships/hyperlink" Target="https://intra/doc" TargetMode="External"/><Relationship Id="rId31" Type="http://schemas.openxmlformats.org/officeDocument/2006/relationships/hyperlink" Target="https://intra/doc" TargetMode="External"/><Relationship Id="rId32" Type="http://schemas.openxmlformats.org/officeDocument/2006/relationships/hyperlink" Target="https://intra/doc" TargetMode="External"/><Relationship Id="rId33" Type="http://schemas.openxmlformats.org/officeDocument/2006/relationships/hyperlink" Target="https://intra/doc" TargetMode="External"/><Relationship Id="rId34" Type="http://schemas.openxmlformats.org/officeDocument/2006/relationships/hyperlink" Target="https://intra/doc" TargetMode="External"/><Relationship Id="rId35" Type="http://schemas.openxmlformats.org/officeDocument/2006/relationships/hyperlink" Target="https://intra/doc" TargetMode="External"/><Relationship Id="rId36" Type="http://schemas.openxmlformats.org/officeDocument/2006/relationships/hyperlink" Target="https://intra/doc" TargetMode="External"/><Relationship Id="rId37" Type="http://schemas.openxmlformats.org/officeDocument/2006/relationships/hyperlink" Target="https://intra/doc" TargetMode="External"/><Relationship Id="rId38" Type="http://schemas.openxmlformats.org/officeDocument/2006/relationships/hyperlink" Target="https://intra/doc" TargetMode="External"/><Relationship Id="rId39" Type="http://schemas.openxmlformats.org/officeDocument/2006/relationships/hyperlink" Target="https://intra/doc" TargetMode="External"/><Relationship Id="rId40" Type="http://schemas.openxmlformats.org/officeDocument/2006/relationships/hyperlink" Target="https://intra/doc" TargetMode="External"/><Relationship Id="rId41" Type="http://schemas.openxmlformats.org/officeDocument/2006/relationships/hyperlink" Target="https://intra/doc" TargetMode="External"/><Relationship Id="rId42" Type="http://schemas.openxmlformats.org/officeDocument/2006/relationships/hyperlink" Target="https://intra/doc" TargetMode="External"/><Relationship Id="rId43" Type="http://schemas.openxmlformats.org/officeDocument/2006/relationships/hyperlink" Target="https://intra/doc" TargetMode="External"/><Relationship Id="rId44" Type="http://schemas.openxmlformats.org/officeDocument/2006/relationships/hyperlink" Target="https://intra/doc" TargetMode="External"/><Relationship Id="rId45" Type="http://schemas.openxmlformats.org/officeDocument/2006/relationships/hyperlink" Target="https://intra/doc" TargetMode="External"/><Relationship Id="rId46" Type="http://schemas.openxmlformats.org/officeDocument/2006/relationships/hyperlink" Target="https://intra/doc" TargetMode="External"/><Relationship Id="rId47" Type="http://schemas.openxmlformats.org/officeDocument/2006/relationships/hyperlink" Target="https://intra/doc" TargetMode="External"/><Relationship Id="rId48" Type="http://schemas.openxmlformats.org/officeDocument/2006/relationships/hyperlink" Target="https://intra/doc" TargetMode="External"/><Relationship Id="rId49" Type="http://schemas.openxmlformats.org/officeDocument/2006/relationships/hyperlink" Target="https://intra/doc" TargetMode="External"/><Relationship Id="rId50" Type="http://schemas.openxmlformats.org/officeDocument/2006/relationships/hyperlink" Target="https://intra/doc" TargetMode="External"/><Relationship Id="rId51" Type="http://schemas.openxmlformats.org/officeDocument/2006/relationships/hyperlink" Target="https://intra/doc" TargetMode="External"/><Relationship Id="rId52" Type="http://schemas.openxmlformats.org/officeDocument/2006/relationships/hyperlink" Target="https://intra/doc" TargetMode="External"/><Relationship Id="rId53" Type="http://schemas.openxmlformats.org/officeDocument/2006/relationships/hyperlink" Target="https://intra/doc" TargetMode="External"/><Relationship Id="rId54" Type="http://schemas.openxmlformats.org/officeDocument/2006/relationships/hyperlink" Target="https://intra/doc" TargetMode="External"/><Relationship Id="rId55" Type="http://schemas.openxmlformats.org/officeDocument/2006/relationships/hyperlink" Target="https://intra/doc" TargetMode="External"/><Relationship Id="rId56" Type="http://schemas.openxmlformats.org/officeDocument/2006/relationships/hyperlink" Target="https://intra/doc" TargetMode="External"/><Relationship Id="rId57" Type="http://schemas.openxmlformats.org/officeDocument/2006/relationships/hyperlink" Target="https://intra/doc" TargetMode="External"/><Relationship Id="rId58" Type="http://schemas.openxmlformats.org/officeDocument/2006/relationships/hyperlink" Target="https://intra/doc" TargetMode="External"/><Relationship Id="rId59" Type="http://schemas.openxmlformats.org/officeDocument/2006/relationships/hyperlink" Target="https://intra/doc" TargetMode="External"/><Relationship Id="rId60" Type="http://schemas.openxmlformats.org/officeDocument/2006/relationships/hyperlink" Target="https://intra/doc" TargetMode="External"/><Relationship Id="rId61" Type="http://schemas.openxmlformats.org/officeDocument/2006/relationships/hyperlink" Target="https://intra/doc" TargetMode="External"/><Relationship Id="rId62" Type="http://schemas.openxmlformats.org/officeDocument/2006/relationships/hyperlink" Target="https://intra/doc" TargetMode="External"/><Relationship Id="rId63" Type="http://schemas.openxmlformats.org/officeDocument/2006/relationships/hyperlink" Target="https://intra/doc" TargetMode="External"/><Relationship Id="rId64" Type="http://schemas.openxmlformats.org/officeDocument/2006/relationships/hyperlink" Target="https://intra/doc" TargetMode="External"/><Relationship Id="rId65" Type="http://schemas.openxmlformats.org/officeDocument/2006/relationships/hyperlink" Target="https://intra/doc" TargetMode="External"/><Relationship Id="rId66" Type="http://schemas.openxmlformats.org/officeDocument/2006/relationships/hyperlink" Target="https://intra/doc" TargetMode="External"/><Relationship Id="rId67" Type="http://schemas.openxmlformats.org/officeDocument/2006/relationships/hyperlink" Target="https://intra/doc" TargetMode="External"/><Relationship Id="rId68" Type="http://schemas.openxmlformats.org/officeDocument/2006/relationships/hyperlink" Target="https://intra/doc" TargetMode="External"/><Relationship Id="rId69" Type="http://schemas.openxmlformats.org/officeDocument/2006/relationships/hyperlink" Target="https://intra/doc" TargetMode="External"/><Relationship Id="rId70" Type="http://schemas.openxmlformats.org/officeDocument/2006/relationships/hyperlink" Target="https://intra/doc" TargetMode="External"/><Relationship Id="rId71" Type="http://schemas.openxmlformats.org/officeDocument/2006/relationships/hyperlink" Target="https://intra/doc" TargetMode="External"/><Relationship Id="rId72" Type="http://schemas.openxmlformats.org/officeDocument/2006/relationships/hyperlink" Target="https://intra/doc" TargetMode="External"/><Relationship Id="rId73" Type="http://schemas.openxmlformats.org/officeDocument/2006/relationships/hyperlink" Target="https://intra/doc" TargetMode="External"/><Relationship Id="rId74" Type="http://schemas.openxmlformats.org/officeDocument/2006/relationships/hyperlink" Target="https://intra/doc" TargetMode="External"/><Relationship Id="rId75" Type="http://schemas.openxmlformats.org/officeDocument/2006/relationships/hyperlink" Target="https://intra/doc" TargetMode="External"/><Relationship Id="rId76" Type="http://schemas.openxmlformats.org/officeDocument/2006/relationships/hyperlink" Target="https://intra/doc" TargetMode="External"/><Relationship Id="rId77" Type="http://schemas.openxmlformats.org/officeDocument/2006/relationships/hyperlink" Target="https://intra/doc" TargetMode="External"/><Relationship Id="rId78" Type="http://schemas.openxmlformats.org/officeDocument/2006/relationships/hyperlink" Target="https://intra/doc" TargetMode="External"/><Relationship Id="rId79" Type="http://schemas.openxmlformats.org/officeDocument/2006/relationships/hyperlink" Target="https://intra/doc" TargetMode="External"/><Relationship Id="rId80" Type="http://schemas.openxmlformats.org/officeDocument/2006/relationships/hyperlink" Target="https://intra/doc" TargetMode="External"/><Relationship Id="rId81" Type="http://schemas.openxmlformats.org/officeDocument/2006/relationships/hyperlink" Target="https://intra/doc" TargetMode="External"/><Relationship Id="rId82" Type="http://schemas.openxmlformats.org/officeDocument/2006/relationships/hyperlink" Target="https://intra/doc" TargetMode="External"/><Relationship Id="rId83" Type="http://schemas.openxmlformats.org/officeDocument/2006/relationships/hyperlink" Target="https://intra/doc" TargetMode="External"/><Relationship Id="rId84" Type="http://schemas.openxmlformats.org/officeDocument/2006/relationships/hyperlink" Target="https://intra/doc" TargetMode="External"/><Relationship Id="rId85" Type="http://schemas.openxmlformats.org/officeDocument/2006/relationships/hyperlink" Target="https://intra/doc" TargetMode="External"/><Relationship Id="rId86" Type="http://schemas.openxmlformats.org/officeDocument/2006/relationships/hyperlink" Target="https://intra/doc" TargetMode="External"/><Relationship Id="rId87" Type="http://schemas.openxmlformats.org/officeDocument/2006/relationships/hyperlink" Target="https://intra/doc" TargetMode="External"/><Relationship Id="rId88" Type="http://schemas.openxmlformats.org/officeDocument/2006/relationships/hyperlink" Target="https://intra/doc" TargetMode="External"/><Relationship Id="rId89" Type="http://schemas.openxmlformats.org/officeDocument/2006/relationships/hyperlink" Target="https://intra/doc" TargetMode="External"/><Relationship Id="rId90" Type="http://schemas.openxmlformats.org/officeDocument/2006/relationships/hyperlink" Target="https://intra/doc" TargetMode="External"/><Relationship Id="rId91" Type="http://schemas.openxmlformats.org/officeDocument/2006/relationships/hyperlink" Target="https://intra/doc" TargetMode="External"/><Relationship Id="rId92" Type="http://schemas.openxmlformats.org/officeDocument/2006/relationships/hyperlink" Target="https://intra/doc" TargetMode="External"/><Relationship Id="rId93" Type="http://schemas.openxmlformats.org/officeDocument/2006/relationships/hyperlink" Target="https://intra/doc" TargetMode="External"/><Relationship Id="rId94" Type="http://schemas.openxmlformats.org/officeDocument/2006/relationships/hyperlink" Target="https://intra/doc" TargetMode="External"/><Relationship Id="rId95" Type="http://schemas.openxmlformats.org/officeDocument/2006/relationships/hyperlink" Target="https://intra/doc" TargetMode="External"/><Relationship Id="rId96" Type="http://schemas.openxmlformats.org/officeDocument/2006/relationships/hyperlink" Target="https://intra/doc" TargetMode="External"/><Relationship Id="rId97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A5A4"/>
  </sheetPr>
  <dimension ref="B2:B11"/>
  <sheetViews>
    <sheetView tabSelected="1" workbookViewId="0"/>
  </sheetViews>
  <sheetFormatPr defaultRowHeight="18" customHeight="1"/>
  <cols>
    <col min="1" max="1" width="2.7109375" customWidth="1"/>
    <col min="2" max="2" width="98.7109375" customWidth="1"/>
  </cols>
  <sheetData>
    <row r="2" spans="2:2" ht="18" customHeight="1">
      <c r="B2" s="1" t="s">
        <v>0</v>
      </c>
    </row>
    <row r="4" spans="2:2" ht="18" customHeight="1">
      <c r="B4" s="2" t="s">
        <v>1</v>
      </c>
    </row>
    <row r="6" spans="2:2" ht="18" customHeight="1">
      <c r="B6" s="3" t="s">
        <v>2</v>
      </c>
    </row>
    <row r="7" spans="2:2" ht="18" customHeight="1">
      <c r="B7" s="2" t="s">
        <v>3</v>
      </c>
    </row>
    <row r="8" spans="2:2" ht="18" customHeight="1">
      <c r="B8" s="2" t="s">
        <v>4</v>
      </c>
    </row>
    <row r="9" spans="2:2" ht="18" customHeight="1">
      <c r="B9" s="2" t="s">
        <v>5</v>
      </c>
    </row>
    <row r="11" spans="2:2" ht="18" customHeight="1">
      <c r="B11" s="4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10B981"/>
  </sheetPr>
  <dimension ref="A2:G19"/>
  <sheetViews>
    <sheetView workbookViewId="0"/>
  </sheetViews>
  <sheetFormatPr defaultRowHeight="18" customHeight="1"/>
  <cols>
    <col min="1" max="1" width="34.7109375" customWidth="1"/>
    <col min="2" max="4" width="22.7109375" customWidth="1"/>
    <col min="5" max="7" width="28.7109375" customWidth="1"/>
  </cols>
  <sheetData>
    <row r="2" spans="1:7" ht="18" customHeight="1">
      <c r="A2" s="5" t="s">
        <v>7</v>
      </c>
      <c r="B2" s="6">
        <v>2026</v>
      </c>
    </row>
    <row r="4" spans="1:7" ht="18" customHeight="1">
      <c r="A4" s="5" t="s">
        <v>8</v>
      </c>
      <c r="B4" s="6">
        <v>6</v>
      </c>
    </row>
    <row r="5" spans="1:7" ht="18" customHeight="1">
      <c r="A5" s="5" t="s">
        <v>9</v>
      </c>
      <c r="B5" s="6">
        <v>12</v>
      </c>
    </row>
    <row r="6" spans="1:7" ht="18" customHeight="1">
      <c r="A6" s="5" t="s">
        <v>10</v>
      </c>
      <c r="B6" s="7">
        <v>0.9</v>
      </c>
    </row>
    <row r="8" spans="1:7" ht="18" customHeight="1">
      <c r="A8" s="3" t="s">
        <v>11</v>
      </c>
    </row>
    <row r="9" spans="1:7" ht="18" customHeight="1">
      <c r="A9" s="8" t="s">
        <v>12</v>
      </c>
      <c r="B9" s="8" t="s">
        <v>18</v>
      </c>
      <c r="C9" s="8" t="s">
        <v>28</v>
      </c>
      <c r="D9" s="8" t="s">
        <v>34</v>
      </c>
      <c r="E9" s="8" t="s">
        <v>39</v>
      </c>
      <c r="F9" s="8" t="s">
        <v>50</v>
      </c>
      <c r="G9" s="8" t="s">
        <v>58</v>
      </c>
    </row>
    <row r="10" spans="1:7" ht="18" customHeight="1">
      <c r="A10" s="9" t="s">
        <v>13</v>
      </c>
      <c r="B10" s="9" t="s">
        <v>19</v>
      </c>
      <c r="C10" s="9" t="s">
        <v>29</v>
      </c>
      <c r="D10" s="9" t="s">
        <v>35</v>
      </c>
      <c r="E10" s="9" t="s">
        <v>40</v>
      </c>
      <c r="F10" s="9" t="s">
        <v>51</v>
      </c>
      <c r="G10" s="9" t="s">
        <v>59</v>
      </c>
    </row>
    <row r="11" spans="1:7" ht="18" customHeight="1">
      <c r="A11" s="9" t="s">
        <v>14</v>
      </c>
      <c r="B11" s="9" t="s">
        <v>20</v>
      </c>
      <c r="C11" s="9" t="s">
        <v>30</v>
      </c>
      <c r="D11" s="9" t="s">
        <v>36</v>
      </c>
      <c r="E11" s="9" t="s">
        <v>41</v>
      </c>
      <c r="F11" s="9" t="s">
        <v>52</v>
      </c>
      <c r="G11" s="9" t="s">
        <v>60</v>
      </c>
    </row>
    <row r="12" spans="1:7" ht="18" customHeight="1">
      <c r="A12" s="9" t="s">
        <v>15</v>
      </c>
      <c r="B12" s="9" t="s">
        <v>21</v>
      </c>
      <c r="C12" s="9" t="s">
        <v>27</v>
      </c>
      <c r="D12" s="9" t="s">
        <v>37</v>
      </c>
      <c r="E12" s="9" t="s">
        <v>42</v>
      </c>
      <c r="F12" s="9" t="s">
        <v>53</v>
      </c>
      <c r="G12" s="9" t="s">
        <v>61</v>
      </c>
    </row>
    <row r="13" spans="1:7" ht="18" customHeight="1">
      <c r="A13" s="9" t="s">
        <v>16</v>
      </c>
      <c r="B13" s="9" t="s">
        <v>22</v>
      </c>
      <c r="C13" s="9" t="s">
        <v>22</v>
      </c>
      <c r="D13" s="9" t="s">
        <v>38</v>
      </c>
      <c r="E13" s="9" t="s">
        <v>43</v>
      </c>
      <c r="F13" s="9" t="s">
        <v>54</v>
      </c>
      <c r="G13" s="9" t="s">
        <v>62</v>
      </c>
    </row>
    <row r="14" spans="1:7" ht="18" customHeight="1">
      <c r="A14" s="9" t="s">
        <v>17</v>
      </c>
      <c r="B14" s="9" t="s">
        <v>23</v>
      </c>
      <c r="C14" s="9" t="s">
        <v>31</v>
      </c>
      <c r="E14" s="9" t="s">
        <v>44</v>
      </c>
      <c r="F14" s="9" t="s">
        <v>55</v>
      </c>
      <c r="G14" s="9" t="s">
        <v>63</v>
      </c>
    </row>
    <row r="15" spans="1:7" ht="18" customHeight="1">
      <c r="B15" s="9" t="s">
        <v>24</v>
      </c>
      <c r="C15" s="9" t="s">
        <v>32</v>
      </c>
      <c r="E15" s="9" t="s">
        <v>45</v>
      </c>
      <c r="F15" s="9" t="s">
        <v>56</v>
      </c>
    </row>
    <row r="16" spans="1:7" ht="18" customHeight="1">
      <c r="B16" s="9" t="s">
        <v>25</v>
      </c>
      <c r="C16" s="9" t="s">
        <v>33</v>
      </c>
      <c r="E16" s="9" t="s">
        <v>46</v>
      </c>
      <c r="F16" s="9" t="s">
        <v>57</v>
      </c>
    </row>
    <row r="17" spans="2:5" ht="18" customHeight="1">
      <c r="B17" s="9" t="s">
        <v>26</v>
      </c>
      <c r="E17" s="9" t="s">
        <v>47</v>
      </c>
    </row>
    <row r="18" spans="2:5" ht="18" customHeight="1">
      <c r="B18" s="9" t="s">
        <v>27</v>
      </c>
      <c r="E18" s="9" t="s">
        <v>48</v>
      </c>
    </row>
    <row r="19" spans="2:5" ht="18" customHeight="1">
      <c r="E19" s="9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3B82F6"/>
  </sheetPr>
  <dimension ref="A1:AJ601"/>
  <sheetViews>
    <sheetView workbookViewId="0">
      <pane ySplit="1" topLeftCell="A2" activePane="bottomLeft" state="frozen"/>
      <selection pane="bottomLeft"/>
    </sheetView>
  </sheetViews>
  <sheetFormatPr defaultRowHeight="20" customHeight="1"/>
  <cols>
    <col min="1" max="1" width="7.7109375" customWidth="1"/>
    <col min="2" max="2" width="24.7109375" customWidth="1"/>
    <col min="3" max="3" width="18.7109375" customWidth="1"/>
    <col min="4" max="4" width="14.7109375" customWidth="1"/>
    <col min="5" max="5" width="40.7109375" customWidth="1"/>
    <col min="6" max="6" width="22.7109375" customWidth="1"/>
    <col min="7" max="7" width="18.7109375" customWidth="1"/>
    <col min="8" max="8" width="16.7109375" customWidth="1"/>
    <col min="9" max="14" width="12.7109375" customWidth="1"/>
    <col min="15" max="16" width="13.7109375" customWidth="1"/>
    <col min="17" max="18" width="14.7109375" customWidth="1"/>
    <col min="19" max="19" width="12.7109375" customWidth="1"/>
    <col min="20" max="22" width="16.7109375" customWidth="1"/>
    <col min="23" max="28" width="14.7109375" customWidth="1"/>
    <col min="29" max="29" width="36.7109375" customWidth="1"/>
    <col min="30" max="30" width="22.7109375" customWidth="1"/>
    <col min="31" max="31" width="18.7109375" customWidth="1"/>
    <col min="32" max="33" width="10.7109375" customWidth="1"/>
    <col min="34" max="34" width="16.7109375" customWidth="1"/>
    <col min="35" max="35" width="12.7109375" customWidth="1"/>
  </cols>
  <sheetData>
    <row r="1" spans="1:36" ht="20" customHeight="1">
      <c r="A1" t="s">
        <v>64</v>
      </c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74</v>
      </c>
      <c r="L1" t="s">
        <v>75</v>
      </c>
      <c r="M1" t="s">
        <v>76</v>
      </c>
      <c r="N1" t="s">
        <v>77</v>
      </c>
      <c r="O1" t="s">
        <v>78</v>
      </c>
      <c r="P1" t="s">
        <v>79</v>
      </c>
      <c r="Q1" t="s">
        <v>80</v>
      </c>
      <c r="R1" t="s">
        <v>81</v>
      </c>
      <c r="S1" t="s">
        <v>82</v>
      </c>
      <c r="T1" t="s">
        <v>83</v>
      </c>
      <c r="U1" t="s">
        <v>84</v>
      </c>
      <c r="V1" t="s">
        <v>85</v>
      </c>
      <c r="W1" t="s">
        <v>86</v>
      </c>
      <c r="X1" t="s">
        <v>87</v>
      </c>
      <c r="Y1" t="s">
        <v>88</v>
      </c>
      <c r="Z1" t="s">
        <v>89</v>
      </c>
      <c r="AA1" t="s">
        <v>90</v>
      </c>
      <c r="AB1" t="s">
        <v>91</v>
      </c>
      <c r="AC1" t="s">
        <v>92</v>
      </c>
      <c r="AD1" t="s">
        <v>93</v>
      </c>
      <c r="AE1" t="s">
        <v>94</v>
      </c>
      <c r="AF1" t="s">
        <v>95</v>
      </c>
      <c r="AG1" t="s">
        <v>96</v>
      </c>
      <c r="AH1" t="s">
        <v>7</v>
      </c>
      <c r="AI1" t="s">
        <v>97</v>
      </c>
      <c r="AJ1" t="s">
        <v>98</v>
      </c>
    </row>
    <row r="2" spans="1:36" ht="20" customHeight="1">
      <c r="A2" s="9">
        <v>1</v>
      </c>
      <c r="B2" s="9" t="s">
        <v>61</v>
      </c>
      <c r="C2" s="9" t="s">
        <v>99</v>
      </c>
      <c r="D2" s="9" t="s">
        <v>22</v>
      </c>
      <c r="E2" s="9" t="s">
        <v>100</v>
      </c>
      <c r="F2" s="9" t="s">
        <v>19</v>
      </c>
      <c r="G2" s="9" t="s">
        <v>41</v>
      </c>
      <c r="H2" s="9" t="s">
        <v>57</v>
      </c>
      <c r="I2" s="9" t="s">
        <v>35</v>
      </c>
      <c r="J2" s="10">
        <v>46034</v>
      </c>
      <c r="K2" s="10">
        <v>46037</v>
      </c>
      <c r="L2" s="9"/>
      <c r="M2" s="9"/>
      <c r="N2" s="9"/>
      <c r="O2" s="9" t="s">
        <v>13</v>
      </c>
      <c r="P2" s="7">
        <v>0</v>
      </c>
      <c r="Q2" s="11">
        <v>0</v>
      </c>
      <c r="R2" s="11">
        <v>0</v>
      </c>
      <c r="S2" s="9"/>
      <c r="T2" s="9"/>
      <c r="U2" s="6">
        <v>1</v>
      </c>
      <c r="V2" s="6">
        <v>4</v>
      </c>
      <c r="W2" s="9"/>
      <c r="X2" s="6">
        <v>4</v>
      </c>
      <c r="Y2" s="6">
        <v>1</v>
      </c>
      <c r="Z2" s="6">
        <v>25</v>
      </c>
      <c r="AA2" s="6">
        <v>1</v>
      </c>
      <c r="AB2" s="7">
        <v>1</v>
      </c>
      <c r="AC2" s="9"/>
      <c r="AD2" s="9" t="s">
        <v>101</v>
      </c>
      <c r="AE2" s="9" t="s">
        <v>102</v>
      </c>
      <c r="AF2" s="9" t="s">
        <v>103</v>
      </c>
      <c r="AG2" s="9"/>
      <c r="AH2" s="9"/>
      <c r="AI2" s="9"/>
      <c r="AJ2" s="9"/>
    </row>
    <row r="3" spans="1:36" ht="20" customHeight="1">
      <c r="A3" s="9">
        <v>2</v>
      </c>
      <c r="B3" s="9" t="s">
        <v>62</v>
      </c>
      <c r="C3" s="9" t="s">
        <v>104</v>
      </c>
      <c r="D3" s="9" t="s">
        <v>33</v>
      </c>
      <c r="E3" s="9" t="s">
        <v>105</v>
      </c>
      <c r="F3" s="9" t="s">
        <v>20</v>
      </c>
      <c r="G3" s="9" t="s">
        <v>43</v>
      </c>
      <c r="H3" s="9" t="s">
        <v>56</v>
      </c>
      <c r="I3" s="9" t="s">
        <v>35</v>
      </c>
      <c r="J3" s="10">
        <v>46041</v>
      </c>
      <c r="K3" s="10">
        <v>46044</v>
      </c>
      <c r="L3" s="9"/>
      <c r="M3" s="9"/>
      <c r="N3" s="9"/>
      <c r="O3" s="9" t="s">
        <v>16</v>
      </c>
      <c r="P3" s="7">
        <v>0.2</v>
      </c>
      <c r="Q3" s="11">
        <v>0</v>
      </c>
      <c r="R3" s="11">
        <v>0</v>
      </c>
      <c r="S3" s="9"/>
      <c r="T3" s="9"/>
      <c r="U3" s="6">
        <v>5</v>
      </c>
      <c r="V3" s="6">
        <v>2</v>
      </c>
      <c r="W3" s="9"/>
      <c r="X3" s="6">
        <v>3</v>
      </c>
      <c r="Y3" s="6">
        <v>5</v>
      </c>
      <c r="Z3" s="6">
        <v>25</v>
      </c>
      <c r="AA3" s="6">
        <v>5</v>
      </c>
      <c r="AB3" s="7">
        <v>0.6</v>
      </c>
      <c r="AC3" s="9"/>
      <c r="AD3" s="9" t="s">
        <v>106</v>
      </c>
      <c r="AE3" s="9" t="s">
        <v>102</v>
      </c>
      <c r="AF3" s="9" t="s">
        <v>107</v>
      </c>
      <c r="AG3" s="9"/>
      <c r="AH3" s="9"/>
      <c r="AI3" s="9"/>
      <c r="AJ3" s="9"/>
    </row>
    <row r="4" spans="1:36" ht="20" customHeight="1">
      <c r="A4" s="9">
        <v>3</v>
      </c>
      <c r="B4" s="9" t="s">
        <v>63</v>
      </c>
      <c r="C4" s="9" t="s">
        <v>108</v>
      </c>
      <c r="D4" s="9" t="s">
        <v>31</v>
      </c>
      <c r="E4" s="9" t="s">
        <v>100</v>
      </c>
      <c r="F4" s="9" t="s">
        <v>21</v>
      </c>
      <c r="G4" s="9" t="s">
        <v>41</v>
      </c>
      <c r="H4" s="9" t="s">
        <v>55</v>
      </c>
      <c r="I4" s="9" t="s">
        <v>36</v>
      </c>
      <c r="J4" s="10">
        <v>46034</v>
      </c>
      <c r="K4" s="10">
        <v>46034</v>
      </c>
      <c r="L4" s="10">
        <v>46033</v>
      </c>
      <c r="M4" s="9"/>
      <c r="N4" s="9"/>
      <c r="O4" s="9" t="s">
        <v>17</v>
      </c>
      <c r="P4" s="7">
        <v>1</v>
      </c>
      <c r="Q4" s="11">
        <v>1200</v>
      </c>
      <c r="R4" s="11">
        <v>1228</v>
      </c>
      <c r="S4" s="9"/>
      <c r="T4" s="9"/>
      <c r="U4" s="6">
        <v>5</v>
      </c>
      <c r="V4" s="6">
        <v>4</v>
      </c>
      <c r="W4" s="9"/>
      <c r="X4" s="6">
        <v>3</v>
      </c>
      <c r="Y4" s="6">
        <v>5</v>
      </c>
      <c r="Z4" s="6">
        <v>200</v>
      </c>
      <c r="AA4" s="6">
        <v>4</v>
      </c>
      <c r="AB4" s="7">
        <v>0.8</v>
      </c>
      <c r="AC4" s="9"/>
      <c r="AD4" s="9" t="s">
        <v>109</v>
      </c>
      <c r="AE4" s="9" t="s">
        <v>102</v>
      </c>
      <c r="AF4" s="9" t="s">
        <v>110</v>
      </c>
      <c r="AG4" s="9"/>
      <c r="AH4" s="9"/>
      <c r="AI4" s="9"/>
      <c r="AJ4" s="9"/>
    </row>
    <row r="5" spans="1:36" ht="20" customHeight="1">
      <c r="A5" s="9">
        <v>4</v>
      </c>
      <c r="B5" s="9" t="s">
        <v>61</v>
      </c>
      <c r="C5" s="9" t="s">
        <v>99</v>
      </c>
      <c r="D5" s="9" t="s">
        <v>33</v>
      </c>
      <c r="E5" s="9" t="s">
        <v>111</v>
      </c>
      <c r="F5" s="9" t="s">
        <v>22</v>
      </c>
      <c r="G5" s="9" t="s">
        <v>41</v>
      </c>
      <c r="H5" s="9" t="s">
        <v>55</v>
      </c>
      <c r="I5" s="9" t="s">
        <v>37</v>
      </c>
      <c r="J5" s="10">
        <v>46039</v>
      </c>
      <c r="K5" s="10">
        <v>46041</v>
      </c>
      <c r="L5" s="9"/>
      <c r="M5" s="9"/>
      <c r="N5" s="9"/>
      <c r="O5" s="9" t="s">
        <v>15</v>
      </c>
      <c r="P5" s="7">
        <v>0.7</v>
      </c>
      <c r="Q5" s="11">
        <v>2500</v>
      </c>
      <c r="R5" s="11">
        <v>0</v>
      </c>
      <c r="S5" s="9"/>
      <c r="T5" s="9"/>
      <c r="U5" s="6">
        <v>5</v>
      </c>
      <c r="V5" s="6">
        <v>1</v>
      </c>
      <c r="W5" s="9"/>
      <c r="X5" s="6">
        <v>1</v>
      </c>
      <c r="Y5" s="6">
        <v>8</v>
      </c>
      <c r="Z5" s="6">
        <v>100</v>
      </c>
      <c r="AA5" s="6">
        <v>2</v>
      </c>
      <c r="AB5" s="7">
        <v>0.8</v>
      </c>
      <c r="AC5" s="9"/>
      <c r="AD5" s="9" t="s">
        <v>112</v>
      </c>
      <c r="AE5" s="9" t="s">
        <v>102</v>
      </c>
      <c r="AF5" s="9" t="s">
        <v>113</v>
      </c>
      <c r="AG5" s="9"/>
      <c r="AH5" s="9"/>
      <c r="AI5" s="9"/>
      <c r="AJ5" s="9"/>
    </row>
    <row r="6" spans="1:36" ht="20" customHeight="1">
      <c r="A6" s="9">
        <v>5</v>
      </c>
      <c r="B6" s="9" t="s">
        <v>60</v>
      </c>
      <c r="C6" s="9" t="s">
        <v>114</v>
      </c>
      <c r="D6" s="9" t="s">
        <v>22</v>
      </c>
      <c r="E6" s="9" t="s">
        <v>115</v>
      </c>
      <c r="F6" s="9" t="s">
        <v>20</v>
      </c>
      <c r="G6" s="9" t="s">
        <v>48</v>
      </c>
      <c r="H6" s="9" t="s">
        <v>55</v>
      </c>
      <c r="I6" s="9" t="s">
        <v>37</v>
      </c>
      <c r="J6" s="10">
        <v>46033</v>
      </c>
      <c r="K6" s="10">
        <v>46037</v>
      </c>
      <c r="L6" s="9"/>
      <c r="M6" s="9"/>
      <c r="N6" s="9"/>
      <c r="O6" s="9" t="s">
        <v>15</v>
      </c>
      <c r="P6" s="7">
        <v>0.7</v>
      </c>
      <c r="Q6" s="11">
        <v>3000</v>
      </c>
      <c r="R6" s="11">
        <v>0</v>
      </c>
      <c r="S6" s="9"/>
      <c r="T6" s="9"/>
      <c r="U6" s="6">
        <v>1</v>
      </c>
      <c r="V6" s="6">
        <v>1</v>
      </c>
      <c r="W6" s="9"/>
      <c r="X6" s="6">
        <v>3</v>
      </c>
      <c r="Y6" s="6">
        <v>5</v>
      </c>
      <c r="Z6" s="6">
        <v>10</v>
      </c>
      <c r="AA6" s="6">
        <v>1</v>
      </c>
      <c r="AB6" s="7">
        <v>0.8</v>
      </c>
      <c r="AC6" s="9"/>
      <c r="AD6" s="9" t="s">
        <v>116</v>
      </c>
      <c r="AE6" s="9" t="s">
        <v>102</v>
      </c>
      <c r="AF6" s="9" t="s">
        <v>117</v>
      </c>
      <c r="AG6" s="9"/>
      <c r="AH6" s="9"/>
      <c r="AI6" s="9"/>
      <c r="AJ6" s="9"/>
    </row>
    <row r="7" spans="1:36" ht="20" customHeight="1">
      <c r="A7" s="9">
        <v>6</v>
      </c>
      <c r="B7" s="9" t="s">
        <v>63</v>
      </c>
      <c r="C7" s="9" t="s">
        <v>118</v>
      </c>
      <c r="D7" s="9" t="s">
        <v>33</v>
      </c>
      <c r="E7" s="9" t="s">
        <v>119</v>
      </c>
      <c r="F7" s="9" t="s">
        <v>23</v>
      </c>
      <c r="G7" s="9" t="s">
        <v>46</v>
      </c>
      <c r="H7" s="9" t="s">
        <v>56</v>
      </c>
      <c r="I7" s="9" t="s">
        <v>37</v>
      </c>
      <c r="J7" s="10">
        <v>46023</v>
      </c>
      <c r="K7" s="10">
        <v>46025</v>
      </c>
      <c r="L7" s="9"/>
      <c r="M7" s="9"/>
      <c r="N7" s="9"/>
      <c r="O7" s="9" t="s">
        <v>15</v>
      </c>
      <c r="P7" s="7">
        <v>0.3</v>
      </c>
      <c r="Q7" s="11">
        <v>500</v>
      </c>
      <c r="R7" s="11">
        <v>0</v>
      </c>
      <c r="S7" s="9"/>
      <c r="T7" s="9"/>
      <c r="U7" s="6">
        <v>4</v>
      </c>
      <c r="V7" s="6">
        <v>1</v>
      </c>
      <c r="W7" s="9"/>
      <c r="X7" s="6">
        <v>2</v>
      </c>
      <c r="Y7" s="6">
        <v>3</v>
      </c>
      <c r="Z7" s="6">
        <v>25</v>
      </c>
      <c r="AA7" s="6">
        <v>2</v>
      </c>
      <c r="AB7" s="7">
        <v>0.9</v>
      </c>
      <c r="AC7" s="9"/>
      <c r="AD7" s="9" t="s">
        <v>120</v>
      </c>
      <c r="AE7" s="9" t="s">
        <v>102</v>
      </c>
      <c r="AF7" s="9" t="s">
        <v>121</v>
      </c>
      <c r="AG7" s="9"/>
      <c r="AH7" s="9"/>
      <c r="AI7" s="9"/>
      <c r="AJ7" s="9"/>
    </row>
    <row r="8" spans="1:36" ht="20" customHeight="1">
      <c r="A8" s="9">
        <v>7</v>
      </c>
      <c r="B8" s="9" t="s">
        <v>62</v>
      </c>
      <c r="C8" s="9" t="s">
        <v>122</v>
      </c>
      <c r="D8" s="9" t="s">
        <v>22</v>
      </c>
      <c r="E8" s="9" t="s">
        <v>123</v>
      </c>
      <c r="F8" s="9" t="s">
        <v>21</v>
      </c>
      <c r="G8" s="9" t="s">
        <v>47</v>
      </c>
      <c r="H8" s="9" t="s">
        <v>54</v>
      </c>
      <c r="I8" s="9" t="s">
        <v>37</v>
      </c>
      <c r="J8" s="10">
        <v>46027</v>
      </c>
      <c r="K8" s="10">
        <v>46029</v>
      </c>
      <c r="L8" s="10">
        <v>46029</v>
      </c>
      <c r="M8" s="9"/>
      <c r="N8" s="9"/>
      <c r="O8" s="9" t="s">
        <v>17</v>
      </c>
      <c r="P8" s="7">
        <v>1</v>
      </c>
      <c r="Q8" s="11">
        <v>600</v>
      </c>
      <c r="R8" s="11">
        <v>653</v>
      </c>
      <c r="S8" s="9"/>
      <c r="T8" s="9"/>
      <c r="U8" s="6">
        <v>4</v>
      </c>
      <c r="V8" s="6">
        <v>2</v>
      </c>
      <c r="W8" s="9"/>
      <c r="X8" s="6">
        <v>2</v>
      </c>
      <c r="Y8" s="6">
        <v>1</v>
      </c>
      <c r="Z8" s="6">
        <v>25</v>
      </c>
      <c r="AA8" s="6">
        <v>2</v>
      </c>
      <c r="AB8" s="7">
        <v>0.7</v>
      </c>
      <c r="AC8" s="9"/>
      <c r="AD8" s="9" t="s">
        <v>124</v>
      </c>
      <c r="AE8" s="9" t="s">
        <v>102</v>
      </c>
      <c r="AF8" s="9" t="s">
        <v>125</v>
      </c>
      <c r="AG8" s="9"/>
      <c r="AH8" s="9"/>
      <c r="AI8" s="9"/>
      <c r="AJ8" s="9"/>
    </row>
    <row r="9" spans="1:36" ht="20" customHeight="1">
      <c r="A9" s="9">
        <v>8</v>
      </c>
      <c r="B9" s="9" t="s">
        <v>60</v>
      </c>
      <c r="C9" s="9" t="s">
        <v>104</v>
      </c>
      <c r="D9" s="9" t="s">
        <v>22</v>
      </c>
      <c r="E9" s="9" t="s">
        <v>105</v>
      </c>
      <c r="F9" s="9" t="s">
        <v>21</v>
      </c>
      <c r="G9" s="9" t="s">
        <v>44</v>
      </c>
      <c r="H9" s="9" t="s">
        <v>53</v>
      </c>
      <c r="I9" s="9" t="s">
        <v>35</v>
      </c>
      <c r="J9" s="10">
        <v>46027</v>
      </c>
      <c r="K9" s="10">
        <v>46029</v>
      </c>
      <c r="L9" s="10">
        <v>46029</v>
      </c>
      <c r="M9" s="9"/>
      <c r="N9" s="9"/>
      <c r="O9" s="9" t="s">
        <v>17</v>
      </c>
      <c r="P9" s="7">
        <v>1</v>
      </c>
      <c r="Q9" s="11">
        <v>600</v>
      </c>
      <c r="R9" s="11">
        <v>710</v>
      </c>
      <c r="S9" s="9"/>
      <c r="T9" s="9"/>
      <c r="U9" s="6">
        <v>5</v>
      </c>
      <c r="V9" s="6">
        <v>5</v>
      </c>
      <c r="W9" s="9"/>
      <c r="X9" s="6">
        <v>1</v>
      </c>
      <c r="Y9" s="6">
        <v>5</v>
      </c>
      <c r="Z9" s="6">
        <v>200</v>
      </c>
      <c r="AA9" s="6">
        <v>4</v>
      </c>
      <c r="AB9" s="7">
        <v>0.9</v>
      </c>
      <c r="AC9" s="9"/>
      <c r="AD9" s="9" t="s">
        <v>126</v>
      </c>
      <c r="AE9" s="9" t="s">
        <v>102</v>
      </c>
      <c r="AF9" s="9" t="s">
        <v>127</v>
      </c>
      <c r="AG9" s="9"/>
      <c r="AH9" s="9"/>
      <c r="AI9" s="9"/>
      <c r="AJ9" s="9"/>
    </row>
    <row r="10" spans="1:36" ht="20" customHeight="1">
      <c r="A10" s="9">
        <v>9</v>
      </c>
      <c r="B10" s="9" t="s">
        <v>62</v>
      </c>
      <c r="C10" s="9" t="s">
        <v>114</v>
      </c>
      <c r="D10" s="9" t="s">
        <v>29</v>
      </c>
      <c r="E10" s="9" t="s">
        <v>119</v>
      </c>
      <c r="F10" s="9" t="s">
        <v>25</v>
      </c>
      <c r="G10" s="9" t="s">
        <v>40</v>
      </c>
      <c r="H10" s="9" t="s">
        <v>52</v>
      </c>
      <c r="I10" s="9" t="s">
        <v>35</v>
      </c>
      <c r="J10" s="10">
        <v>46060</v>
      </c>
      <c r="K10" s="10">
        <v>46062</v>
      </c>
      <c r="L10" s="9"/>
      <c r="M10" s="9"/>
      <c r="N10" s="9"/>
      <c r="O10" s="9" t="s">
        <v>14</v>
      </c>
      <c r="P10" s="7">
        <v>0.1</v>
      </c>
      <c r="Q10" s="11">
        <v>0</v>
      </c>
      <c r="R10" s="11">
        <v>0</v>
      </c>
      <c r="S10" s="9"/>
      <c r="T10" s="9"/>
      <c r="U10" s="6">
        <v>1</v>
      </c>
      <c r="V10" s="6">
        <v>1</v>
      </c>
      <c r="W10" s="9"/>
      <c r="X10" s="6">
        <v>5</v>
      </c>
      <c r="Y10" s="6">
        <v>2</v>
      </c>
      <c r="Z10" s="6">
        <v>200</v>
      </c>
      <c r="AA10" s="6">
        <v>1</v>
      </c>
      <c r="AB10" s="7">
        <v>0.8</v>
      </c>
      <c r="AC10" s="9"/>
      <c r="AD10" s="9" t="s">
        <v>128</v>
      </c>
      <c r="AE10" s="9" t="s">
        <v>102</v>
      </c>
      <c r="AF10" s="9" t="s">
        <v>129</v>
      </c>
      <c r="AG10" s="9"/>
      <c r="AH10" s="9"/>
      <c r="AI10" s="9"/>
      <c r="AJ10" s="9"/>
    </row>
    <row r="11" spans="1:36" ht="20" customHeight="1">
      <c r="A11" s="9">
        <v>10</v>
      </c>
      <c r="B11" s="9" t="s">
        <v>63</v>
      </c>
      <c r="C11" s="9" t="s">
        <v>104</v>
      </c>
      <c r="D11" s="9" t="s">
        <v>29</v>
      </c>
      <c r="E11" s="9" t="s">
        <v>130</v>
      </c>
      <c r="F11" s="9" t="s">
        <v>25</v>
      </c>
      <c r="G11" s="9" t="s">
        <v>42</v>
      </c>
      <c r="H11" s="9" t="s">
        <v>56</v>
      </c>
      <c r="I11" s="9" t="s">
        <v>37</v>
      </c>
      <c r="J11" s="10">
        <v>46065</v>
      </c>
      <c r="K11" s="10">
        <v>46068</v>
      </c>
      <c r="L11" s="9"/>
      <c r="M11" s="9"/>
      <c r="N11" s="9"/>
      <c r="O11" s="9" t="s">
        <v>15</v>
      </c>
      <c r="P11" s="7">
        <v>0.5</v>
      </c>
      <c r="Q11" s="11">
        <v>500</v>
      </c>
      <c r="R11" s="11">
        <v>0</v>
      </c>
      <c r="S11" s="9"/>
      <c r="T11" s="9"/>
      <c r="U11" s="6">
        <v>4</v>
      </c>
      <c r="V11" s="6">
        <v>4</v>
      </c>
      <c r="W11" s="9"/>
      <c r="X11" s="6">
        <v>4</v>
      </c>
      <c r="Y11" s="6">
        <v>5</v>
      </c>
      <c r="Z11" s="6">
        <v>50</v>
      </c>
      <c r="AA11" s="6">
        <v>1</v>
      </c>
      <c r="AB11" s="7">
        <v>0.7</v>
      </c>
      <c r="AC11" s="9"/>
      <c r="AD11" s="9" t="s">
        <v>131</v>
      </c>
      <c r="AE11" s="9" t="s">
        <v>102</v>
      </c>
      <c r="AF11" s="9" t="s">
        <v>132</v>
      </c>
      <c r="AG11" s="9"/>
      <c r="AH11" s="9"/>
      <c r="AI11" s="9"/>
      <c r="AJ11" s="9"/>
    </row>
    <row r="12" spans="1:36" ht="20" customHeight="1">
      <c r="A12" s="9">
        <v>11</v>
      </c>
      <c r="B12" s="9" t="s">
        <v>59</v>
      </c>
      <c r="C12" s="9" t="s">
        <v>118</v>
      </c>
      <c r="D12" s="9" t="s">
        <v>27</v>
      </c>
      <c r="E12" s="9" t="s">
        <v>133</v>
      </c>
      <c r="F12" s="9" t="s">
        <v>23</v>
      </c>
      <c r="G12" s="9" t="s">
        <v>47</v>
      </c>
      <c r="H12" s="9" t="s">
        <v>57</v>
      </c>
      <c r="I12" s="9" t="s">
        <v>36</v>
      </c>
      <c r="J12" s="10">
        <v>46070</v>
      </c>
      <c r="K12" s="10">
        <v>46070</v>
      </c>
      <c r="L12" s="9"/>
      <c r="M12" s="9"/>
      <c r="N12" s="9"/>
      <c r="O12" s="9" t="s">
        <v>14</v>
      </c>
      <c r="P12" s="7">
        <v>0.1</v>
      </c>
      <c r="Q12" s="11">
        <v>800</v>
      </c>
      <c r="R12" s="11">
        <v>0</v>
      </c>
      <c r="S12" s="9"/>
      <c r="T12" s="9"/>
      <c r="U12" s="6">
        <v>5</v>
      </c>
      <c r="V12" s="6">
        <v>1</v>
      </c>
      <c r="W12" s="9"/>
      <c r="X12" s="6">
        <v>5</v>
      </c>
      <c r="Y12" s="6">
        <v>3</v>
      </c>
      <c r="Z12" s="6">
        <v>10</v>
      </c>
      <c r="AA12" s="6">
        <v>3</v>
      </c>
      <c r="AB12" s="7">
        <v>1</v>
      </c>
      <c r="AC12" s="9"/>
      <c r="AD12" s="9" t="s">
        <v>134</v>
      </c>
      <c r="AE12" s="9" t="s">
        <v>102</v>
      </c>
      <c r="AF12" s="9" t="s">
        <v>135</v>
      </c>
      <c r="AG12" s="9"/>
      <c r="AH12" s="9"/>
      <c r="AI12" s="9"/>
      <c r="AJ12" s="9"/>
    </row>
    <row r="13" spans="1:36" ht="20" customHeight="1">
      <c r="A13" s="9">
        <v>12</v>
      </c>
      <c r="B13" s="9" t="s">
        <v>61</v>
      </c>
      <c r="C13" s="9" t="s">
        <v>99</v>
      </c>
      <c r="D13" s="9" t="s">
        <v>27</v>
      </c>
      <c r="E13" s="9" t="s">
        <v>130</v>
      </c>
      <c r="F13" s="9" t="s">
        <v>27</v>
      </c>
      <c r="G13" s="9" t="s">
        <v>48</v>
      </c>
      <c r="H13" s="9" t="s">
        <v>57</v>
      </c>
      <c r="I13" s="9" t="s">
        <v>37</v>
      </c>
      <c r="J13" s="10">
        <v>46074</v>
      </c>
      <c r="K13" s="10">
        <v>46075</v>
      </c>
      <c r="L13" s="10">
        <v>46075</v>
      </c>
      <c r="M13" s="9"/>
      <c r="N13" s="9"/>
      <c r="O13" s="9" t="s">
        <v>17</v>
      </c>
      <c r="P13" s="7">
        <v>1</v>
      </c>
      <c r="Q13" s="11">
        <v>1200</v>
      </c>
      <c r="R13" s="11">
        <v>1103</v>
      </c>
      <c r="S13" s="9"/>
      <c r="T13" s="9"/>
      <c r="U13" s="6">
        <v>4</v>
      </c>
      <c r="V13" s="6">
        <v>3</v>
      </c>
      <c r="W13" s="9"/>
      <c r="X13" s="6">
        <v>1</v>
      </c>
      <c r="Y13" s="6">
        <v>1</v>
      </c>
      <c r="Z13" s="6">
        <v>50</v>
      </c>
      <c r="AA13" s="6">
        <v>4</v>
      </c>
      <c r="AB13" s="7">
        <v>0.8</v>
      </c>
      <c r="AC13" s="9"/>
      <c r="AD13" s="9" t="s">
        <v>136</v>
      </c>
      <c r="AE13" s="9" t="s">
        <v>102</v>
      </c>
      <c r="AF13" s="9" t="s">
        <v>137</v>
      </c>
      <c r="AG13" s="9"/>
      <c r="AH13" s="9"/>
      <c r="AI13" s="9"/>
      <c r="AJ13" s="9"/>
    </row>
    <row r="14" spans="1:36" ht="20" customHeight="1">
      <c r="A14" s="9">
        <v>13</v>
      </c>
      <c r="B14" s="9" t="s">
        <v>60</v>
      </c>
      <c r="C14" s="9" t="s">
        <v>118</v>
      </c>
      <c r="D14" s="9" t="s">
        <v>31</v>
      </c>
      <c r="E14" s="9" t="s">
        <v>138</v>
      </c>
      <c r="F14" s="9" t="s">
        <v>26</v>
      </c>
      <c r="G14" s="9" t="s">
        <v>45</v>
      </c>
      <c r="H14" s="9" t="s">
        <v>53</v>
      </c>
      <c r="I14" s="9" t="s">
        <v>35</v>
      </c>
      <c r="J14" s="10">
        <v>46061</v>
      </c>
      <c r="K14" s="10">
        <v>46061</v>
      </c>
      <c r="L14" s="9"/>
      <c r="M14" s="9"/>
      <c r="N14" s="9"/>
      <c r="O14" s="9" t="s">
        <v>14</v>
      </c>
      <c r="P14" s="7">
        <v>0.1</v>
      </c>
      <c r="Q14" s="11">
        <v>600</v>
      </c>
      <c r="R14" s="11">
        <v>0</v>
      </c>
      <c r="S14" s="9"/>
      <c r="T14" s="9"/>
      <c r="U14" s="6">
        <v>2</v>
      </c>
      <c r="V14" s="6">
        <v>4</v>
      </c>
      <c r="W14" s="9"/>
      <c r="X14" s="6">
        <v>5</v>
      </c>
      <c r="Y14" s="6">
        <v>8</v>
      </c>
      <c r="Z14" s="6">
        <v>10</v>
      </c>
      <c r="AA14" s="6">
        <v>4</v>
      </c>
      <c r="AB14" s="7">
        <v>0.8</v>
      </c>
      <c r="AC14" s="9"/>
      <c r="AD14" s="9" t="s">
        <v>139</v>
      </c>
      <c r="AE14" s="9" t="s">
        <v>102</v>
      </c>
      <c r="AF14" s="9" t="s">
        <v>140</v>
      </c>
      <c r="AG14" s="9"/>
      <c r="AH14" s="9"/>
      <c r="AI14" s="9"/>
      <c r="AJ14" s="9"/>
    </row>
    <row r="15" spans="1:36" ht="20" customHeight="1">
      <c r="A15" s="9">
        <v>14</v>
      </c>
      <c r="B15" s="9" t="s">
        <v>59</v>
      </c>
      <c r="C15" s="9" t="s">
        <v>122</v>
      </c>
      <c r="D15" s="9" t="s">
        <v>32</v>
      </c>
      <c r="E15" s="9" t="s">
        <v>123</v>
      </c>
      <c r="F15" s="9" t="s">
        <v>25</v>
      </c>
      <c r="G15" s="9" t="s">
        <v>43</v>
      </c>
      <c r="H15" s="9" t="s">
        <v>54</v>
      </c>
      <c r="I15" s="9" t="s">
        <v>36</v>
      </c>
      <c r="J15" s="10">
        <v>46067</v>
      </c>
      <c r="K15" s="10">
        <v>46071</v>
      </c>
      <c r="L15" s="9"/>
      <c r="M15" s="9"/>
      <c r="N15" s="9"/>
      <c r="O15" s="9" t="s">
        <v>15</v>
      </c>
      <c r="P15" s="7">
        <v>0.3</v>
      </c>
      <c r="Q15" s="11">
        <v>1800</v>
      </c>
      <c r="R15" s="11">
        <v>0</v>
      </c>
      <c r="S15" s="9"/>
      <c r="T15" s="9"/>
      <c r="U15" s="6">
        <v>4</v>
      </c>
      <c r="V15" s="6">
        <v>4</v>
      </c>
      <c r="W15" s="9"/>
      <c r="X15" s="6">
        <v>1</v>
      </c>
      <c r="Y15" s="6">
        <v>2</v>
      </c>
      <c r="Z15" s="6">
        <v>25</v>
      </c>
      <c r="AA15" s="6">
        <v>2</v>
      </c>
      <c r="AB15" s="7">
        <v>0.6</v>
      </c>
      <c r="AC15" s="9"/>
      <c r="AD15" s="9" t="s">
        <v>141</v>
      </c>
      <c r="AE15" s="9" t="s">
        <v>102</v>
      </c>
      <c r="AF15" s="9" t="s">
        <v>142</v>
      </c>
      <c r="AG15" s="9"/>
      <c r="AH15" s="9"/>
      <c r="AI15" s="9"/>
      <c r="AJ15" s="9"/>
    </row>
    <row r="16" spans="1:36" ht="20" customHeight="1">
      <c r="A16" s="9">
        <v>15</v>
      </c>
      <c r="B16" s="9" t="s">
        <v>60</v>
      </c>
      <c r="C16" s="9" t="s">
        <v>143</v>
      </c>
      <c r="D16" s="9" t="s">
        <v>22</v>
      </c>
      <c r="E16" s="9" t="s">
        <v>100</v>
      </c>
      <c r="F16" s="9" t="s">
        <v>21</v>
      </c>
      <c r="G16" s="9" t="s">
        <v>49</v>
      </c>
      <c r="H16" s="9" t="s">
        <v>57</v>
      </c>
      <c r="I16" s="9" t="s">
        <v>38</v>
      </c>
      <c r="J16" s="10">
        <v>46075</v>
      </c>
      <c r="K16" s="10">
        <v>46077</v>
      </c>
      <c r="L16" s="9"/>
      <c r="M16" s="9"/>
      <c r="N16" s="9"/>
      <c r="O16" s="9" t="s">
        <v>14</v>
      </c>
      <c r="P16" s="7">
        <v>0.1</v>
      </c>
      <c r="Q16" s="11">
        <v>800</v>
      </c>
      <c r="R16" s="11">
        <v>0</v>
      </c>
      <c r="S16" s="9"/>
      <c r="T16" s="9"/>
      <c r="U16" s="6">
        <v>1</v>
      </c>
      <c r="V16" s="6">
        <v>1</v>
      </c>
      <c r="W16" s="9"/>
      <c r="X16" s="6">
        <v>1</v>
      </c>
      <c r="Y16" s="6">
        <v>8</v>
      </c>
      <c r="Z16" s="6">
        <v>25</v>
      </c>
      <c r="AA16" s="6">
        <v>4</v>
      </c>
      <c r="AB16" s="7">
        <v>0.7</v>
      </c>
      <c r="AC16" s="9"/>
      <c r="AD16" s="9" t="s">
        <v>144</v>
      </c>
      <c r="AE16" s="9" t="s">
        <v>102</v>
      </c>
      <c r="AF16" s="9" t="s">
        <v>145</v>
      </c>
      <c r="AG16" s="9"/>
      <c r="AH16" s="9"/>
      <c r="AI16" s="9"/>
      <c r="AJ16" s="9"/>
    </row>
    <row r="17" spans="1:36" ht="20" customHeight="1">
      <c r="A17" s="9">
        <v>16</v>
      </c>
      <c r="B17" s="9" t="s">
        <v>60</v>
      </c>
      <c r="C17" s="9" t="s">
        <v>104</v>
      </c>
      <c r="D17" s="9" t="s">
        <v>27</v>
      </c>
      <c r="E17" s="9" t="s">
        <v>130</v>
      </c>
      <c r="F17" s="9" t="s">
        <v>23</v>
      </c>
      <c r="G17" s="9" t="s">
        <v>48</v>
      </c>
      <c r="H17" s="9" t="s">
        <v>52</v>
      </c>
      <c r="I17" s="9" t="s">
        <v>37</v>
      </c>
      <c r="J17" s="10">
        <v>46062</v>
      </c>
      <c r="K17" s="10">
        <v>46065</v>
      </c>
      <c r="L17" s="9"/>
      <c r="M17" s="9"/>
      <c r="N17" s="9"/>
      <c r="O17" s="9" t="s">
        <v>16</v>
      </c>
      <c r="P17" s="7">
        <v>0.2</v>
      </c>
      <c r="Q17" s="11">
        <v>600</v>
      </c>
      <c r="R17" s="11">
        <v>0</v>
      </c>
      <c r="S17" s="9"/>
      <c r="T17" s="9"/>
      <c r="U17" s="6">
        <v>4</v>
      </c>
      <c r="V17" s="6">
        <v>5</v>
      </c>
      <c r="W17" s="9"/>
      <c r="X17" s="6">
        <v>5</v>
      </c>
      <c r="Y17" s="6">
        <v>5</v>
      </c>
      <c r="Z17" s="6">
        <v>200</v>
      </c>
      <c r="AA17" s="6">
        <v>2</v>
      </c>
      <c r="AB17" s="7">
        <v>1</v>
      </c>
      <c r="AC17" s="9"/>
      <c r="AD17" s="9" t="s">
        <v>146</v>
      </c>
      <c r="AE17" s="9" t="s">
        <v>102</v>
      </c>
      <c r="AF17" s="9" t="s">
        <v>147</v>
      </c>
      <c r="AG17" s="9"/>
      <c r="AH17" s="9"/>
      <c r="AI17" s="9"/>
      <c r="AJ17" s="9"/>
    </row>
    <row r="18" spans="1:36" ht="20" customHeight="1">
      <c r="A18" s="9">
        <v>17</v>
      </c>
      <c r="B18" s="9" t="s">
        <v>60</v>
      </c>
      <c r="C18" s="9" t="s">
        <v>143</v>
      </c>
      <c r="D18" s="9" t="s">
        <v>31</v>
      </c>
      <c r="E18" s="9" t="s">
        <v>115</v>
      </c>
      <c r="F18" s="9" t="s">
        <v>26</v>
      </c>
      <c r="G18" s="9" t="s">
        <v>42</v>
      </c>
      <c r="H18" s="9" t="s">
        <v>55</v>
      </c>
      <c r="I18" s="9" t="s">
        <v>35</v>
      </c>
      <c r="J18" s="10">
        <v>46086</v>
      </c>
      <c r="K18" s="10">
        <v>46087</v>
      </c>
      <c r="L18" s="9"/>
      <c r="M18" s="9"/>
      <c r="N18" s="9"/>
      <c r="O18" s="9" t="s">
        <v>14</v>
      </c>
      <c r="P18" s="7">
        <v>0.1</v>
      </c>
      <c r="Q18" s="11">
        <v>500</v>
      </c>
      <c r="R18" s="11">
        <v>0</v>
      </c>
      <c r="S18" s="9"/>
      <c r="T18" s="9"/>
      <c r="U18" s="6">
        <v>5</v>
      </c>
      <c r="V18" s="6">
        <v>1</v>
      </c>
      <c r="W18" s="9"/>
      <c r="X18" s="6">
        <v>3</v>
      </c>
      <c r="Y18" s="6">
        <v>8</v>
      </c>
      <c r="Z18" s="6">
        <v>200</v>
      </c>
      <c r="AA18" s="6">
        <v>5</v>
      </c>
      <c r="AB18" s="7">
        <v>0.9</v>
      </c>
      <c r="AC18" s="9"/>
      <c r="AD18" s="9" t="s">
        <v>148</v>
      </c>
      <c r="AE18" s="9" t="s">
        <v>102</v>
      </c>
      <c r="AF18" s="9" t="s">
        <v>149</v>
      </c>
      <c r="AG18" s="9"/>
      <c r="AH18" s="9"/>
      <c r="AI18" s="9"/>
      <c r="AJ18" s="9"/>
    </row>
    <row r="19" spans="1:36" ht="20" customHeight="1">
      <c r="A19" s="9">
        <v>18</v>
      </c>
      <c r="B19" s="9" t="s">
        <v>59</v>
      </c>
      <c r="C19" s="9" t="s">
        <v>143</v>
      </c>
      <c r="D19" s="9" t="s">
        <v>29</v>
      </c>
      <c r="E19" s="9" t="s">
        <v>130</v>
      </c>
      <c r="F19" s="9" t="s">
        <v>22</v>
      </c>
      <c r="G19" s="9" t="s">
        <v>44</v>
      </c>
      <c r="H19" s="9" t="s">
        <v>51</v>
      </c>
      <c r="I19" s="9" t="s">
        <v>35</v>
      </c>
      <c r="J19" s="10">
        <v>46098</v>
      </c>
      <c r="K19" s="10">
        <v>46100</v>
      </c>
      <c r="L19" s="10">
        <v>46099</v>
      </c>
      <c r="M19" s="9"/>
      <c r="N19" s="9"/>
      <c r="O19" s="9" t="s">
        <v>17</v>
      </c>
      <c r="P19" s="7">
        <v>1</v>
      </c>
      <c r="Q19" s="11">
        <v>600</v>
      </c>
      <c r="R19" s="11">
        <v>638</v>
      </c>
      <c r="S19" s="9"/>
      <c r="T19" s="9"/>
      <c r="U19" s="6">
        <v>5</v>
      </c>
      <c r="V19" s="6">
        <v>5</v>
      </c>
      <c r="W19" s="9"/>
      <c r="X19" s="6">
        <v>5</v>
      </c>
      <c r="Y19" s="6">
        <v>2</v>
      </c>
      <c r="Z19" s="6">
        <v>50</v>
      </c>
      <c r="AA19" s="6">
        <v>4</v>
      </c>
      <c r="AB19" s="7">
        <v>1</v>
      </c>
      <c r="AC19" s="9"/>
      <c r="AD19" s="9" t="s">
        <v>150</v>
      </c>
      <c r="AE19" s="9" t="s">
        <v>102</v>
      </c>
      <c r="AF19" s="9" t="s">
        <v>151</v>
      </c>
      <c r="AG19" s="9"/>
      <c r="AH19" s="9"/>
      <c r="AI19" s="9"/>
      <c r="AJ19" s="9"/>
    </row>
    <row r="20" spans="1:36" ht="20" customHeight="1">
      <c r="A20" s="9">
        <v>19</v>
      </c>
      <c r="B20" s="9" t="s">
        <v>63</v>
      </c>
      <c r="C20" s="9" t="s">
        <v>122</v>
      </c>
      <c r="D20" s="9" t="s">
        <v>22</v>
      </c>
      <c r="E20" s="9" t="s">
        <v>152</v>
      </c>
      <c r="F20" s="9" t="s">
        <v>22</v>
      </c>
      <c r="G20" s="9" t="s">
        <v>48</v>
      </c>
      <c r="H20" s="9" t="s">
        <v>53</v>
      </c>
      <c r="I20" s="9" t="s">
        <v>36</v>
      </c>
      <c r="J20" s="10">
        <v>46096</v>
      </c>
      <c r="K20" s="10">
        <v>46097</v>
      </c>
      <c r="L20" s="9"/>
      <c r="M20" s="9"/>
      <c r="N20" s="9"/>
      <c r="O20" s="9" t="s">
        <v>16</v>
      </c>
      <c r="P20" s="7">
        <v>0.4</v>
      </c>
      <c r="Q20" s="11">
        <v>3000</v>
      </c>
      <c r="R20" s="11">
        <v>0</v>
      </c>
      <c r="S20" s="9"/>
      <c r="T20" s="9"/>
      <c r="U20" s="6">
        <v>3</v>
      </c>
      <c r="V20" s="6">
        <v>1</v>
      </c>
      <c r="W20" s="9"/>
      <c r="X20" s="6">
        <v>2</v>
      </c>
      <c r="Y20" s="6">
        <v>5</v>
      </c>
      <c r="Z20" s="6">
        <v>10</v>
      </c>
      <c r="AA20" s="6">
        <v>2</v>
      </c>
      <c r="AB20" s="7">
        <v>0.8</v>
      </c>
      <c r="AC20" s="9"/>
      <c r="AD20" s="9" t="s">
        <v>153</v>
      </c>
      <c r="AE20" s="9" t="s">
        <v>102</v>
      </c>
      <c r="AF20" s="9" t="s">
        <v>154</v>
      </c>
      <c r="AG20" s="9"/>
      <c r="AH20" s="9"/>
      <c r="AI20" s="9"/>
      <c r="AJ20" s="9"/>
    </row>
    <row r="21" spans="1:36" ht="20" customHeight="1">
      <c r="A21" s="9">
        <v>20</v>
      </c>
      <c r="B21" s="9" t="s">
        <v>59</v>
      </c>
      <c r="C21" s="9" t="s">
        <v>122</v>
      </c>
      <c r="D21" s="9" t="s">
        <v>30</v>
      </c>
      <c r="E21" s="9" t="s">
        <v>133</v>
      </c>
      <c r="F21" s="9" t="s">
        <v>24</v>
      </c>
      <c r="G21" s="9" t="s">
        <v>42</v>
      </c>
      <c r="H21" s="9" t="s">
        <v>53</v>
      </c>
      <c r="I21" s="9" t="s">
        <v>36</v>
      </c>
      <c r="J21" s="10">
        <v>46096</v>
      </c>
      <c r="K21" s="10">
        <v>46097</v>
      </c>
      <c r="L21" s="9"/>
      <c r="M21" s="9"/>
      <c r="N21" s="9"/>
      <c r="O21" s="9" t="s">
        <v>13</v>
      </c>
      <c r="P21" s="7">
        <v>0</v>
      </c>
      <c r="Q21" s="11">
        <v>800</v>
      </c>
      <c r="R21" s="11">
        <v>0</v>
      </c>
      <c r="S21" s="9"/>
      <c r="T21" s="9"/>
      <c r="U21" s="6">
        <v>2</v>
      </c>
      <c r="V21" s="6">
        <v>2</v>
      </c>
      <c r="W21" s="9"/>
      <c r="X21" s="6">
        <v>4</v>
      </c>
      <c r="Y21" s="6">
        <v>8</v>
      </c>
      <c r="Z21" s="6">
        <v>100</v>
      </c>
      <c r="AA21" s="6">
        <v>3</v>
      </c>
      <c r="AB21" s="7">
        <v>0.9</v>
      </c>
      <c r="AC21" s="9"/>
      <c r="AD21" s="9" t="s">
        <v>155</v>
      </c>
      <c r="AE21" s="9" t="s">
        <v>102</v>
      </c>
      <c r="AF21" s="9" t="s">
        <v>156</v>
      </c>
      <c r="AG21" s="9"/>
      <c r="AH21" s="9"/>
      <c r="AI21" s="9"/>
      <c r="AJ21" s="9"/>
    </row>
    <row r="22" spans="1:36" ht="20" customHeight="1">
      <c r="A22" s="9">
        <v>21</v>
      </c>
      <c r="B22" s="9" t="s">
        <v>60</v>
      </c>
      <c r="C22" s="9" t="s">
        <v>108</v>
      </c>
      <c r="D22" s="9" t="s">
        <v>27</v>
      </c>
      <c r="E22" s="9" t="s">
        <v>123</v>
      </c>
      <c r="F22" s="9" t="s">
        <v>24</v>
      </c>
      <c r="G22" s="9" t="s">
        <v>40</v>
      </c>
      <c r="H22" s="9" t="s">
        <v>53</v>
      </c>
      <c r="I22" s="9" t="s">
        <v>38</v>
      </c>
      <c r="J22" s="10">
        <v>46096</v>
      </c>
      <c r="K22" s="10">
        <v>46100</v>
      </c>
      <c r="L22" s="9"/>
      <c r="M22" s="9"/>
      <c r="N22" s="9"/>
      <c r="O22" s="9" t="s">
        <v>13</v>
      </c>
      <c r="P22" s="7">
        <v>0</v>
      </c>
      <c r="Q22" s="11">
        <v>2500</v>
      </c>
      <c r="R22" s="11">
        <v>0</v>
      </c>
      <c r="S22" s="9"/>
      <c r="T22" s="9"/>
      <c r="U22" s="6">
        <v>5</v>
      </c>
      <c r="V22" s="6">
        <v>1</v>
      </c>
      <c r="W22" s="9"/>
      <c r="X22" s="6">
        <v>1</v>
      </c>
      <c r="Y22" s="6">
        <v>2</v>
      </c>
      <c r="Z22" s="6">
        <v>10</v>
      </c>
      <c r="AA22" s="6">
        <v>1</v>
      </c>
      <c r="AB22" s="7">
        <v>0.8</v>
      </c>
      <c r="AC22" s="9"/>
      <c r="AD22" s="9" t="s">
        <v>157</v>
      </c>
      <c r="AE22" s="9" t="s">
        <v>102</v>
      </c>
      <c r="AF22" s="9" t="s">
        <v>156</v>
      </c>
      <c r="AG22" s="9"/>
      <c r="AH22" s="9"/>
      <c r="AI22" s="9"/>
      <c r="AJ22" s="9"/>
    </row>
    <row r="23" spans="1:36" ht="20" customHeight="1">
      <c r="A23" s="9">
        <v>22</v>
      </c>
      <c r="B23" s="9" t="s">
        <v>61</v>
      </c>
      <c r="C23" s="9" t="s">
        <v>104</v>
      </c>
      <c r="D23" s="9" t="s">
        <v>33</v>
      </c>
      <c r="E23" s="9" t="s">
        <v>111</v>
      </c>
      <c r="F23" s="9" t="s">
        <v>23</v>
      </c>
      <c r="G23" s="9" t="s">
        <v>42</v>
      </c>
      <c r="H23" s="9" t="s">
        <v>57</v>
      </c>
      <c r="I23" s="9" t="s">
        <v>38</v>
      </c>
      <c r="J23" s="10">
        <v>46103</v>
      </c>
      <c r="K23" s="10">
        <v>46105</v>
      </c>
      <c r="L23" s="9"/>
      <c r="M23" s="9"/>
      <c r="N23" s="9"/>
      <c r="O23" s="9" t="s">
        <v>16</v>
      </c>
      <c r="P23" s="7">
        <v>0.6</v>
      </c>
      <c r="Q23" s="11">
        <v>3000</v>
      </c>
      <c r="R23" s="11">
        <v>0</v>
      </c>
      <c r="S23" s="9"/>
      <c r="T23" s="9"/>
      <c r="U23" s="6">
        <v>3</v>
      </c>
      <c r="V23" s="6">
        <v>1</v>
      </c>
      <c r="W23" s="9"/>
      <c r="X23" s="6">
        <v>3</v>
      </c>
      <c r="Y23" s="6">
        <v>1</v>
      </c>
      <c r="Z23" s="6">
        <v>25</v>
      </c>
      <c r="AA23" s="6">
        <v>4</v>
      </c>
      <c r="AB23" s="7">
        <v>0.6</v>
      </c>
      <c r="AC23" s="9"/>
      <c r="AD23" s="9" t="s">
        <v>112</v>
      </c>
      <c r="AE23" s="9" t="s">
        <v>102</v>
      </c>
      <c r="AF23" s="9" t="s">
        <v>135</v>
      </c>
      <c r="AG23" s="9"/>
      <c r="AH23" s="9"/>
      <c r="AI23" s="9"/>
      <c r="AJ23" s="9"/>
    </row>
    <row r="24" spans="1:36" ht="20" customHeight="1">
      <c r="A24" s="9">
        <v>23</v>
      </c>
      <c r="B24" s="9" t="s">
        <v>61</v>
      </c>
      <c r="C24" s="9" t="s">
        <v>104</v>
      </c>
      <c r="D24" s="9" t="s">
        <v>32</v>
      </c>
      <c r="E24" s="9" t="s">
        <v>123</v>
      </c>
      <c r="F24" s="9" t="s">
        <v>23</v>
      </c>
      <c r="G24" s="9" t="s">
        <v>41</v>
      </c>
      <c r="H24" s="9" t="s">
        <v>55</v>
      </c>
      <c r="I24" s="9" t="s">
        <v>36</v>
      </c>
      <c r="J24" s="10">
        <v>46084</v>
      </c>
      <c r="K24" s="10">
        <v>46086</v>
      </c>
      <c r="L24" s="9"/>
      <c r="M24" s="9"/>
      <c r="N24" s="9"/>
      <c r="O24" s="9" t="s">
        <v>13</v>
      </c>
      <c r="P24" s="7">
        <v>0</v>
      </c>
      <c r="Q24" s="11">
        <v>600</v>
      </c>
      <c r="R24" s="11">
        <v>0</v>
      </c>
      <c r="S24" s="9"/>
      <c r="T24" s="9"/>
      <c r="U24" s="6">
        <v>5</v>
      </c>
      <c r="V24" s="6">
        <v>4</v>
      </c>
      <c r="W24" s="9"/>
      <c r="X24" s="6">
        <v>3</v>
      </c>
      <c r="Y24" s="6">
        <v>8</v>
      </c>
      <c r="Z24" s="6">
        <v>25</v>
      </c>
      <c r="AA24" s="6">
        <v>1</v>
      </c>
      <c r="AB24" s="7">
        <v>1</v>
      </c>
      <c r="AC24" s="9"/>
      <c r="AD24" s="9" t="s">
        <v>158</v>
      </c>
      <c r="AE24" s="9" t="s">
        <v>102</v>
      </c>
      <c r="AF24" s="9" t="s">
        <v>159</v>
      </c>
      <c r="AG24" s="9"/>
      <c r="AH24" s="9"/>
      <c r="AI24" s="9"/>
      <c r="AJ24" s="9"/>
    </row>
    <row r="25" spans="1:36" ht="20" customHeight="1">
      <c r="A25" s="9">
        <v>24</v>
      </c>
      <c r="B25" s="9" t="s">
        <v>60</v>
      </c>
      <c r="C25" s="9" t="s">
        <v>104</v>
      </c>
      <c r="D25" s="9" t="s">
        <v>30</v>
      </c>
      <c r="E25" s="9" t="s">
        <v>160</v>
      </c>
      <c r="F25" s="9" t="s">
        <v>19</v>
      </c>
      <c r="G25" s="9" t="s">
        <v>42</v>
      </c>
      <c r="H25" s="9" t="s">
        <v>52</v>
      </c>
      <c r="I25" s="9" t="s">
        <v>37</v>
      </c>
      <c r="J25" s="10">
        <v>46102</v>
      </c>
      <c r="K25" s="10">
        <v>46104</v>
      </c>
      <c r="L25" s="10">
        <v>46104</v>
      </c>
      <c r="M25" s="9"/>
      <c r="N25" s="9"/>
      <c r="O25" s="9" t="s">
        <v>17</v>
      </c>
      <c r="P25" s="7">
        <v>1</v>
      </c>
      <c r="Q25" s="11">
        <v>800</v>
      </c>
      <c r="R25" s="11">
        <v>755</v>
      </c>
      <c r="S25" s="9"/>
      <c r="T25" s="9"/>
      <c r="U25" s="6">
        <v>1</v>
      </c>
      <c r="V25" s="6">
        <v>3</v>
      </c>
      <c r="W25" s="9"/>
      <c r="X25" s="6">
        <v>1</v>
      </c>
      <c r="Y25" s="6">
        <v>1</v>
      </c>
      <c r="Z25" s="6">
        <v>10</v>
      </c>
      <c r="AA25" s="6">
        <v>5</v>
      </c>
      <c r="AB25" s="7">
        <v>1</v>
      </c>
      <c r="AC25" s="9"/>
      <c r="AD25" s="9" t="s">
        <v>161</v>
      </c>
      <c r="AE25" s="9" t="s">
        <v>102</v>
      </c>
      <c r="AF25" s="9" t="s">
        <v>162</v>
      </c>
      <c r="AG25" s="9"/>
      <c r="AH25" s="9"/>
      <c r="AI25" s="9"/>
      <c r="AJ25" s="9"/>
    </row>
    <row r="26" spans="1:36" ht="20" customHeight="1">
      <c r="A26" s="9">
        <v>25</v>
      </c>
      <c r="B26" s="9" t="s">
        <v>60</v>
      </c>
      <c r="C26" s="9" t="s">
        <v>143</v>
      </c>
      <c r="D26" s="9" t="s">
        <v>22</v>
      </c>
      <c r="E26" s="9" t="s">
        <v>130</v>
      </c>
      <c r="F26" s="9" t="s">
        <v>26</v>
      </c>
      <c r="G26" s="9" t="s">
        <v>41</v>
      </c>
      <c r="H26" s="9" t="s">
        <v>56</v>
      </c>
      <c r="I26" s="9" t="s">
        <v>38</v>
      </c>
      <c r="J26" s="10">
        <v>46134</v>
      </c>
      <c r="K26" s="10">
        <v>46136</v>
      </c>
      <c r="L26" s="10">
        <v>46137</v>
      </c>
      <c r="M26" s="9"/>
      <c r="N26" s="9"/>
      <c r="O26" s="9" t="s">
        <v>17</v>
      </c>
      <c r="P26" s="7">
        <v>1</v>
      </c>
      <c r="Q26" s="11">
        <v>1200</v>
      </c>
      <c r="R26" s="11">
        <v>1432</v>
      </c>
      <c r="S26" s="9"/>
      <c r="T26" s="9"/>
      <c r="U26" s="6">
        <v>3</v>
      </c>
      <c r="V26" s="6">
        <v>2</v>
      </c>
      <c r="W26" s="9"/>
      <c r="X26" s="6">
        <v>2</v>
      </c>
      <c r="Y26" s="6">
        <v>5</v>
      </c>
      <c r="Z26" s="6">
        <v>50</v>
      </c>
      <c r="AA26" s="6">
        <v>1</v>
      </c>
      <c r="AB26" s="7">
        <v>0.7</v>
      </c>
      <c r="AC26" s="9"/>
      <c r="AD26" s="9" t="s">
        <v>163</v>
      </c>
      <c r="AE26" s="9" t="s">
        <v>102</v>
      </c>
      <c r="AF26" s="9" t="s">
        <v>164</v>
      </c>
      <c r="AG26" s="9"/>
      <c r="AH26" s="9"/>
      <c r="AI26" s="9"/>
      <c r="AJ26" s="9"/>
    </row>
    <row r="27" spans="1:36" ht="20" customHeight="1">
      <c r="A27" s="9">
        <v>26</v>
      </c>
      <c r="B27" s="9" t="s">
        <v>59</v>
      </c>
      <c r="C27" s="9" t="s">
        <v>104</v>
      </c>
      <c r="D27" s="9" t="s">
        <v>32</v>
      </c>
      <c r="E27" s="9" t="s">
        <v>133</v>
      </c>
      <c r="F27" s="9" t="s">
        <v>23</v>
      </c>
      <c r="G27" s="9" t="s">
        <v>46</v>
      </c>
      <c r="H27" s="9" t="s">
        <v>52</v>
      </c>
      <c r="I27" s="9" t="s">
        <v>35</v>
      </c>
      <c r="J27" s="10">
        <v>46115</v>
      </c>
      <c r="K27" s="10">
        <v>46119</v>
      </c>
      <c r="L27" s="9"/>
      <c r="M27" s="9"/>
      <c r="N27" s="9"/>
      <c r="O27" s="9" t="s">
        <v>16</v>
      </c>
      <c r="P27" s="7">
        <v>0.6</v>
      </c>
      <c r="Q27" s="11">
        <v>2500</v>
      </c>
      <c r="R27" s="11">
        <v>0</v>
      </c>
      <c r="S27" s="9"/>
      <c r="T27" s="9"/>
      <c r="U27" s="6">
        <v>5</v>
      </c>
      <c r="V27" s="6">
        <v>2</v>
      </c>
      <c r="W27" s="9"/>
      <c r="X27" s="6">
        <v>3</v>
      </c>
      <c r="Y27" s="6">
        <v>1</v>
      </c>
      <c r="Z27" s="6">
        <v>100</v>
      </c>
      <c r="AA27" s="6">
        <v>2</v>
      </c>
      <c r="AB27" s="7">
        <v>0.7</v>
      </c>
      <c r="AC27" s="9"/>
      <c r="AD27" s="9" t="s">
        <v>165</v>
      </c>
      <c r="AE27" s="9" t="s">
        <v>102</v>
      </c>
      <c r="AF27" s="9" t="s">
        <v>147</v>
      </c>
      <c r="AG27" s="9"/>
      <c r="AH27" s="9"/>
      <c r="AI27" s="9"/>
      <c r="AJ27" s="9"/>
    </row>
    <row r="28" spans="1:36" ht="20" customHeight="1">
      <c r="A28" s="9">
        <v>27</v>
      </c>
      <c r="B28" s="9" t="s">
        <v>61</v>
      </c>
      <c r="C28" s="9" t="s">
        <v>114</v>
      </c>
      <c r="D28" s="9" t="s">
        <v>29</v>
      </c>
      <c r="E28" s="9" t="s">
        <v>160</v>
      </c>
      <c r="F28" s="9" t="s">
        <v>24</v>
      </c>
      <c r="G28" s="9" t="s">
        <v>45</v>
      </c>
      <c r="H28" s="9" t="s">
        <v>55</v>
      </c>
      <c r="I28" s="9" t="s">
        <v>37</v>
      </c>
      <c r="J28" s="10">
        <v>46120</v>
      </c>
      <c r="K28" s="10">
        <v>46120</v>
      </c>
      <c r="L28" s="9"/>
      <c r="M28" s="9"/>
      <c r="N28" s="9"/>
      <c r="O28" s="9" t="s">
        <v>15</v>
      </c>
      <c r="P28" s="7">
        <v>0.3</v>
      </c>
      <c r="Q28" s="11">
        <v>800</v>
      </c>
      <c r="R28" s="11">
        <v>0</v>
      </c>
      <c r="S28" s="9"/>
      <c r="T28" s="9"/>
      <c r="U28" s="6">
        <v>1</v>
      </c>
      <c r="V28" s="6">
        <v>3</v>
      </c>
      <c r="W28" s="9"/>
      <c r="X28" s="6">
        <v>4</v>
      </c>
      <c r="Y28" s="6">
        <v>1</v>
      </c>
      <c r="Z28" s="6">
        <v>100</v>
      </c>
      <c r="AA28" s="6">
        <v>3</v>
      </c>
      <c r="AB28" s="7">
        <v>1</v>
      </c>
      <c r="AC28" s="9"/>
      <c r="AD28" s="9" t="s">
        <v>166</v>
      </c>
      <c r="AE28" s="9" t="s">
        <v>102</v>
      </c>
      <c r="AF28" s="9" t="s">
        <v>167</v>
      </c>
      <c r="AG28" s="9"/>
      <c r="AH28" s="9"/>
      <c r="AI28" s="9"/>
      <c r="AJ28" s="9"/>
    </row>
    <row r="29" spans="1:36" ht="20" customHeight="1">
      <c r="A29" s="9">
        <v>28</v>
      </c>
      <c r="B29" s="9" t="s">
        <v>60</v>
      </c>
      <c r="C29" s="9" t="s">
        <v>99</v>
      </c>
      <c r="D29" s="9" t="s">
        <v>31</v>
      </c>
      <c r="E29" s="9" t="s">
        <v>115</v>
      </c>
      <c r="F29" s="9" t="s">
        <v>20</v>
      </c>
      <c r="G29" s="9" t="s">
        <v>44</v>
      </c>
      <c r="H29" s="9" t="s">
        <v>57</v>
      </c>
      <c r="I29" s="9" t="s">
        <v>35</v>
      </c>
      <c r="J29" s="10">
        <v>46117</v>
      </c>
      <c r="K29" s="10">
        <v>46119</v>
      </c>
      <c r="L29" s="10">
        <v>46118</v>
      </c>
      <c r="M29" s="9"/>
      <c r="N29" s="9"/>
      <c r="O29" s="9" t="s">
        <v>17</v>
      </c>
      <c r="P29" s="7">
        <v>1</v>
      </c>
      <c r="Q29" s="11">
        <v>2500</v>
      </c>
      <c r="R29" s="11">
        <v>2391</v>
      </c>
      <c r="S29" s="9"/>
      <c r="T29" s="9"/>
      <c r="U29" s="6">
        <v>2</v>
      </c>
      <c r="V29" s="6">
        <v>1</v>
      </c>
      <c r="W29" s="9"/>
      <c r="X29" s="6">
        <v>5</v>
      </c>
      <c r="Y29" s="6">
        <v>8</v>
      </c>
      <c r="Z29" s="6">
        <v>25</v>
      </c>
      <c r="AA29" s="6">
        <v>5</v>
      </c>
      <c r="AB29" s="7">
        <v>0.9</v>
      </c>
      <c r="AC29" s="9"/>
      <c r="AD29" s="9" t="s">
        <v>148</v>
      </c>
      <c r="AE29" s="9" t="s">
        <v>102</v>
      </c>
      <c r="AF29" s="9" t="s">
        <v>168</v>
      </c>
      <c r="AG29" s="9"/>
      <c r="AH29" s="9"/>
      <c r="AI29" s="9"/>
      <c r="AJ29" s="9"/>
    </row>
    <row r="30" spans="1:36" ht="20" customHeight="1">
      <c r="A30" s="9">
        <v>29</v>
      </c>
      <c r="B30" s="9" t="s">
        <v>61</v>
      </c>
      <c r="C30" s="9" t="s">
        <v>118</v>
      </c>
      <c r="D30" s="9" t="s">
        <v>22</v>
      </c>
      <c r="E30" s="9" t="s">
        <v>111</v>
      </c>
      <c r="F30" s="9" t="s">
        <v>23</v>
      </c>
      <c r="G30" s="9" t="s">
        <v>49</v>
      </c>
      <c r="H30" s="9" t="s">
        <v>56</v>
      </c>
      <c r="I30" s="9" t="s">
        <v>36</v>
      </c>
      <c r="J30" s="10">
        <v>46114</v>
      </c>
      <c r="K30" s="10">
        <v>46118</v>
      </c>
      <c r="L30" s="10">
        <v>46119</v>
      </c>
      <c r="M30" s="9"/>
      <c r="N30" s="9"/>
      <c r="O30" s="9" t="s">
        <v>17</v>
      </c>
      <c r="P30" s="7">
        <v>1</v>
      </c>
      <c r="Q30" s="11">
        <v>800</v>
      </c>
      <c r="R30" s="11">
        <v>934</v>
      </c>
      <c r="S30" s="9"/>
      <c r="T30" s="9"/>
      <c r="U30" s="6">
        <v>5</v>
      </c>
      <c r="V30" s="6">
        <v>5</v>
      </c>
      <c r="W30" s="9"/>
      <c r="X30" s="6">
        <v>1</v>
      </c>
      <c r="Y30" s="6">
        <v>8</v>
      </c>
      <c r="Z30" s="6">
        <v>25</v>
      </c>
      <c r="AA30" s="6">
        <v>1</v>
      </c>
      <c r="AB30" s="7">
        <v>0.6</v>
      </c>
      <c r="AC30" s="9"/>
      <c r="AD30" s="9" t="s">
        <v>169</v>
      </c>
      <c r="AE30" s="9" t="s">
        <v>102</v>
      </c>
      <c r="AF30" s="9" t="s">
        <v>121</v>
      </c>
      <c r="AG30" s="9"/>
      <c r="AH30" s="9"/>
      <c r="AI30" s="9"/>
      <c r="AJ30" s="9"/>
    </row>
    <row r="31" spans="1:36" ht="20" customHeight="1">
      <c r="A31" s="9">
        <v>30</v>
      </c>
      <c r="B31" s="9" t="s">
        <v>59</v>
      </c>
      <c r="C31" s="9" t="s">
        <v>99</v>
      </c>
      <c r="D31" s="9" t="s">
        <v>32</v>
      </c>
      <c r="E31" s="9" t="s">
        <v>138</v>
      </c>
      <c r="F31" s="9" t="s">
        <v>20</v>
      </c>
      <c r="G31" s="9" t="s">
        <v>46</v>
      </c>
      <c r="H31" s="9" t="s">
        <v>57</v>
      </c>
      <c r="I31" s="9" t="s">
        <v>38</v>
      </c>
      <c r="J31" s="10">
        <v>46130</v>
      </c>
      <c r="K31" s="10">
        <v>46130</v>
      </c>
      <c r="L31" s="9"/>
      <c r="M31" s="9"/>
      <c r="N31" s="9"/>
      <c r="O31" s="9" t="s">
        <v>13</v>
      </c>
      <c r="P31" s="7">
        <v>0</v>
      </c>
      <c r="Q31" s="11">
        <v>1200</v>
      </c>
      <c r="R31" s="11">
        <v>0</v>
      </c>
      <c r="S31" s="9"/>
      <c r="T31" s="9"/>
      <c r="U31" s="6">
        <v>4</v>
      </c>
      <c r="V31" s="6">
        <v>3</v>
      </c>
      <c r="W31" s="9"/>
      <c r="X31" s="6">
        <v>1</v>
      </c>
      <c r="Y31" s="6">
        <v>5</v>
      </c>
      <c r="Z31" s="6">
        <v>10</v>
      </c>
      <c r="AA31" s="6">
        <v>5</v>
      </c>
      <c r="AB31" s="7">
        <v>1</v>
      </c>
      <c r="AC31" s="9"/>
      <c r="AD31" s="9" t="s">
        <v>170</v>
      </c>
      <c r="AE31" s="9" t="s">
        <v>102</v>
      </c>
      <c r="AF31" s="9" t="s">
        <v>168</v>
      </c>
      <c r="AG31" s="9"/>
      <c r="AH31" s="9"/>
      <c r="AI31" s="9"/>
      <c r="AJ31" s="9"/>
    </row>
    <row r="32" spans="1:36" ht="20" customHeight="1">
      <c r="A32" s="9">
        <v>31</v>
      </c>
      <c r="B32" s="9" t="s">
        <v>59</v>
      </c>
      <c r="C32" s="9" t="s">
        <v>118</v>
      </c>
      <c r="D32" s="9" t="s">
        <v>31</v>
      </c>
      <c r="E32" s="9" t="s">
        <v>123</v>
      </c>
      <c r="F32" s="9" t="s">
        <v>26</v>
      </c>
      <c r="G32" s="9" t="s">
        <v>44</v>
      </c>
      <c r="H32" s="9" t="s">
        <v>57</v>
      </c>
      <c r="I32" s="9" t="s">
        <v>35</v>
      </c>
      <c r="J32" s="10">
        <v>46121</v>
      </c>
      <c r="K32" s="10">
        <v>46122</v>
      </c>
      <c r="L32" s="9"/>
      <c r="M32" s="9"/>
      <c r="N32" s="9"/>
      <c r="O32" s="9" t="s">
        <v>14</v>
      </c>
      <c r="P32" s="7">
        <v>0.1</v>
      </c>
      <c r="Q32" s="11">
        <v>3000</v>
      </c>
      <c r="R32" s="11">
        <v>0</v>
      </c>
      <c r="S32" s="9"/>
      <c r="T32" s="9"/>
      <c r="U32" s="6">
        <v>4</v>
      </c>
      <c r="V32" s="6">
        <v>4</v>
      </c>
      <c r="W32" s="9"/>
      <c r="X32" s="6">
        <v>1</v>
      </c>
      <c r="Y32" s="6">
        <v>5</v>
      </c>
      <c r="Z32" s="6">
        <v>50</v>
      </c>
      <c r="AA32" s="6">
        <v>1</v>
      </c>
      <c r="AB32" s="7">
        <v>1</v>
      </c>
      <c r="AC32" s="9"/>
      <c r="AD32" s="9" t="s">
        <v>171</v>
      </c>
      <c r="AE32" s="9" t="s">
        <v>102</v>
      </c>
      <c r="AF32" s="9" t="s">
        <v>172</v>
      </c>
      <c r="AG32" s="9"/>
      <c r="AH32" s="9"/>
      <c r="AI32" s="9"/>
      <c r="AJ32" s="9"/>
    </row>
    <row r="33" spans="1:36" ht="20" customHeight="1">
      <c r="A33" s="9">
        <v>32</v>
      </c>
      <c r="B33" s="9" t="s">
        <v>60</v>
      </c>
      <c r="C33" s="9" t="s">
        <v>104</v>
      </c>
      <c r="D33" s="9" t="s">
        <v>31</v>
      </c>
      <c r="E33" s="9" t="s">
        <v>111</v>
      </c>
      <c r="F33" s="9" t="s">
        <v>24</v>
      </c>
      <c r="G33" s="9" t="s">
        <v>44</v>
      </c>
      <c r="H33" s="9" t="s">
        <v>56</v>
      </c>
      <c r="I33" s="9" t="s">
        <v>37</v>
      </c>
      <c r="J33" s="10">
        <v>46132</v>
      </c>
      <c r="K33" s="10">
        <v>46135</v>
      </c>
      <c r="L33" s="9"/>
      <c r="M33" s="9"/>
      <c r="N33" s="9"/>
      <c r="O33" s="9" t="s">
        <v>14</v>
      </c>
      <c r="P33" s="7">
        <v>0.1</v>
      </c>
      <c r="Q33" s="11">
        <v>0</v>
      </c>
      <c r="R33" s="11">
        <v>0</v>
      </c>
      <c r="S33" s="9"/>
      <c r="T33" s="9"/>
      <c r="U33" s="6">
        <v>4</v>
      </c>
      <c r="V33" s="6">
        <v>3</v>
      </c>
      <c r="W33" s="9"/>
      <c r="X33" s="6">
        <v>1</v>
      </c>
      <c r="Y33" s="6">
        <v>2</v>
      </c>
      <c r="Z33" s="6">
        <v>100</v>
      </c>
      <c r="AA33" s="6">
        <v>3</v>
      </c>
      <c r="AB33" s="7">
        <v>1</v>
      </c>
      <c r="AC33" s="9"/>
      <c r="AD33" s="9" t="s">
        <v>173</v>
      </c>
      <c r="AE33" s="9" t="s">
        <v>102</v>
      </c>
      <c r="AF33" s="9" t="s">
        <v>174</v>
      </c>
      <c r="AG33" s="9"/>
      <c r="AH33" s="9"/>
      <c r="AI33" s="9"/>
      <c r="AJ33" s="9"/>
    </row>
    <row r="34" spans="1:36" ht="20" customHeight="1">
      <c r="A34" s="9">
        <v>33</v>
      </c>
      <c r="B34" s="9" t="s">
        <v>61</v>
      </c>
      <c r="C34" s="9" t="s">
        <v>114</v>
      </c>
      <c r="D34" s="9" t="s">
        <v>22</v>
      </c>
      <c r="E34" s="9" t="s">
        <v>119</v>
      </c>
      <c r="F34" s="9" t="s">
        <v>20</v>
      </c>
      <c r="G34" s="9" t="s">
        <v>48</v>
      </c>
      <c r="H34" s="9" t="s">
        <v>52</v>
      </c>
      <c r="I34" s="9" t="s">
        <v>37</v>
      </c>
      <c r="J34" s="10">
        <v>46145</v>
      </c>
      <c r="K34" s="10">
        <v>46147</v>
      </c>
      <c r="L34" s="9"/>
      <c r="M34" s="9"/>
      <c r="N34" s="9"/>
      <c r="O34" s="9" t="s">
        <v>13</v>
      </c>
      <c r="P34" s="7">
        <v>0</v>
      </c>
      <c r="Q34" s="11">
        <v>500</v>
      </c>
      <c r="R34" s="11">
        <v>0</v>
      </c>
      <c r="S34" s="9"/>
      <c r="T34" s="9"/>
      <c r="U34" s="6">
        <v>5</v>
      </c>
      <c r="V34" s="6">
        <v>4</v>
      </c>
      <c r="W34" s="9"/>
      <c r="X34" s="6">
        <v>3</v>
      </c>
      <c r="Y34" s="6">
        <v>5</v>
      </c>
      <c r="Z34" s="6">
        <v>25</v>
      </c>
      <c r="AA34" s="6">
        <v>2</v>
      </c>
      <c r="AB34" s="7">
        <v>0.6</v>
      </c>
      <c r="AC34" s="9"/>
      <c r="AD34" s="9" t="s">
        <v>175</v>
      </c>
      <c r="AE34" s="9" t="s">
        <v>102</v>
      </c>
      <c r="AF34" s="9" t="s">
        <v>176</v>
      </c>
      <c r="AG34" s="9"/>
      <c r="AH34" s="9"/>
      <c r="AI34" s="9"/>
      <c r="AJ34" s="9"/>
    </row>
    <row r="35" spans="1:36" ht="20" customHeight="1">
      <c r="A35" s="9">
        <v>34</v>
      </c>
      <c r="B35" s="9" t="s">
        <v>63</v>
      </c>
      <c r="C35" s="9" t="s">
        <v>104</v>
      </c>
      <c r="D35" s="9" t="s">
        <v>30</v>
      </c>
      <c r="E35" s="9" t="s">
        <v>133</v>
      </c>
      <c r="F35" s="9" t="s">
        <v>27</v>
      </c>
      <c r="G35" s="9" t="s">
        <v>44</v>
      </c>
      <c r="H35" s="9" t="s">
        <v>53</v>
      </c>
      <c r="I35" s="9" t="s">
        <v>36</v>
      </c>
      <c r="J35" s="10">
        <v>46162</v>
      </c>
      <c r="K35" s="10">
        <v>46166</v>
      </c>
      <c r="L35" s="10">
        <v>46166</v>
      </c>
      <c r="M35" s="9"/>
      <c r="N35" s="9"/>
      <c r="O35" s="9" t="s">
        <v>17</v>
      </c>
      <c r="P35" s="7">
        <v>1</v>
      </c>
      <c r="Q35" s="11">
        <v>600</v>
      </c>
      <c r="R35" s="11">
        <v>558</v>
      </c>
      <c r="S35" s="9"/>
      <c r="T35" s="9"/>
      <c r="U35" s="6">
        <v>4</v>
      </c>
      <c r="V35" s="6">
        <v>4</v>
      </c>
      <c r="W35" s="9"/>
      <c r="X35" s="6">
        <v>1</v>
      </c>
      <c r="Y35" s="6">
        <v>2</v>
      </c>
      <c r="Z35" s="6">
        <v>10</v>
      </c>
      <c r="AA35" s="6">
        <v>4</v>
      </c>
      <c r="AB35" s="7">
        <v>0.9</v>
      </c>
      <c r="AC35" s="9"/>
      <c r="AD35" s="9" t="s">
        <v>177</v>
      </c>
      <c r="AE35" s="9" t="s">
        <v>102</v>
      </c>
      <c r="AF35" s="9" t="s">
        <v>178</v>
      </c>
      <c r="AG35" s="9"/>
      <c r="AH35" s="9"/>
      <c r="AI35" s="9"/>
      <c r="AJ35" s="9"/>
    </row>
    <row r="36" spans="1:36" ht="20" customHeight="1">
      <c r="A36" s="9">
        <v>35</v>
      </c>
      <c r="B36" s="9" t="s">
        <v>62</v>
      </c>
      <c r="C36" s="9" t="s">
        <v>108</v>
      </c>
      <c r="D36" s="9" t="s">
        <v>32</v>
      </c>
      <c r="E36" s="9" t="s">
        <v>111</v>
      </c>
      <c r="F36" s="9" t="s">
        <v>25</v>
      </c>
      <c r="G36" s="9" t="s">
        <v>45</v>
      </c>
      <c r="H36" s="9" t="s">
        <v>54</v>
      </c>
      <c r="I36" s="9" t="s">
        <v>37</v>
      </c>
      <c r="J36" s="10">
        <v>46146</v>
      </c>
      <c r="K36" s="10">
        <v>46148</v>
      </c>
      <c r="L36" s="9"/>
      <c r="M36" s="9"/>
      <c r="N36" s="9"/>
      <c r="O36" s="9" t="s">
        <v>13</v>
      </c>
      <c r="P36" s="7">
        <v>0</v>
      </c>
      <c r="Q36" s="11">
        <v>1800</v>
      </c>
      <c r="R36" s="11">
        <v>0</v>
      </c>
      <c r="S36" s="9"/>
      <c r="T36" s="9"/>
      <c r="U36" s="6">
        <v>1</v>
      </c>
      <c r="V36" s="6">
        <v>2</v>
      </c>
      <c r="W36" s="9"/>
      <c r="X36" s="6">
        <v>1</v>
      </c>
      <c r="Y36" s="6">
        <v>3</v>
      </c>
      <c r="Z36" s="6">
        <v>50</v>
      </c>
      <c r="AA36" s="6">
        <v>3</v>
      </c>
      <c r="AB36" s="7">
        <v>0.6</v>
      </c>
      <c r="AC36" s="9"/>
      <c r="AD36" s="9" t="s">
        <v>179</v>
      </c>
      <c r="AE36" s="9" t="s">
        <v>102</v>
      </c>
      <c r="AF36" s="9" t="s">
        <v>142</v>
      </c>
      <c r="AG36" s="9"/>
      <c r="AH36" s="9"/>
      <c r="AI36" s="9"/>
      <c r="AJ36" s="9"/>
    </row>
    <row r="37" spans="1:36" ht="20" customHeight="1">
      <c r="A37" s="9">
        <v>36</v>
      </c>
      <c r="B37" s="9" t="s">
        <v>62</v>
      </c>
      <c r="C37" s="9" t="s">
        <v>114</v>
      </c>
      <c r="D37" s="9" t="s">
        <v>33</v>
      </c>
      <c r="E37" s="9" t="s">
        <v>105</v>
      </c>
      <c r="F37" s="9" t="s">
        <v>20</v>
      </c>
      <c r="G37" s="9" t="s">
        <v>45</v>
      </c>
      <c r="H37" s="9" t="s">
        <v>54</v>
      </c>
      <c r="I37" s="9" t="s">
        <v>37</v>
      </c>
      <c r="J37" s="10">
        <v>46144</v>
      </c>
      <c r="K37" s="10">
        <v>46146</v>
      </c>
      <c r="L37" s="9"/>
      <c r="M37" s="9"/>
      <c r="N37" s="9"/>
      <c r="O37" s="9" t="s">
        <v>13</v>
      </c>
      <c r="P37" s="7">
        <v>0</v>
      </c>
      <c r="Q37" s="11">
        <v>2500</v>
      </c>
      <c r="R37" s="11">
        <v>0</v>
      </c>
      <c r="S37" s="9"/>
      <c r="T37" s="9"/>
      <c r="U37" s="6">
        <v>2</v>
      </c>
      <c r="V37" s="6">
        <v>2</v>
      </c>
      <c r="W37" s="9"/>
      <c r="X37" s="6">
        <v>3</v>
      </c>
      <c r="Y37" s="6">
        <v>5</v>
      </c>
      <c r="Z37" s="6">
        <v>200</v>
      </c>
      <c r="AA37" s="6">
        <v>3</v>
      </c>
      <c r="AB37" s="7">
        <v>0.7</v>
      </c>
      <c r="AC37" s="9"/>
      <c r="AD37" s="9" t="s">
        <v>106</v>
      </c>
      <c r="AE37" s="9" t="s">
        <v>102</v>
      </c>
      <c r="AF37" s="9" t="s">
        <v>180</v>
      </c>
      <c r="AG37" s="9"/>
      <c r="AH37" s="9"/>
      <c r="AI37" s="9"/>
      <c r="AJ37" s="9"/>
    </row>
    <row r="38" spans="1:36" ht="20" customHeight="1">
      <c r="A38" s="9">
        <v>37</v>
      </c>
      <c r="B38" s="9" t="s">
        <v>61</v>
      </c>
      <c r="C38" s="9" t="s">
        <v>122</v>
      </c>
      <c r="D38" s="9" t="s">
        <v>22</v>
      </c>
      <c r="E38" s="9" t="s">
        <v>115</v>
      </c>
      <c r="F38" s="9" t="s">
        <v>25</v>
      </c>
      <c r="G38" s="9" t="s">
        <v>48</v>
      </c>
      <c r="H38" s="9" t="s">
        <v>55</v>
      </c>
      <c r="I38" s="9" t="s">
        <v>36</v>
      </c>
      <c r="J38" s="10">
        <v>46145</v>
      </c>
      <c r="K38" s="10">
        <v>46145</v>
      </c>
      <c r="L38" s="9"/>
      <c r="M38" s="9"/>
      <c r="N38" s="9"/>
      <c r="O38" s="9" t="s">
        <v>16</v>
      </c>
      <c r="P38" s="7">
        <v>0.6</v>
      </c>
      <c r="Q38" s="11">
        <v>800</v>
      </c>
      <c r="R38" s="11">
        <v>0</v>
      </c>
      <c r="S38" s="9"/>
      <c r="T38" s="9"/>
      <c r="U38" s="6">
        <v>3</v>
      </c>
      <c r="V38" s="6">
        <v>4</v>
      </c>
      <c r="W38" s="9"/>
      <c r="X38" s="6">
        <v>1</v>
      </c>
      <c r="Y38" s="6">
        <v>8</v>
      </c>
      <c r="Z38" s="6">
        <v>25</v>
      </c>
      <c r="AA38" s="6">
        <v>2</v>
      </c>
      <c r="AB38" s="7">
        <v>0.9</v>
      </c>
      <c r="AC38" s="9"/>
      <c r="AD38" s="9" t="s">
        <v>181</v>
      </c>
      <c r="AE38" s="9" t="s">
        <v>102</v>
      </c>
      <c r="AF38" s="9" t="s">
        <v>182</v>
      </c>
      <c r="AG38" s="9"/>
      <c r="AH38" s="9"/>
      <c r="AI38" s="9"/>
      <c r="AJ38" s="9"/>
    </row>
    <row r="39" spans="1:36" ht="20" customHeight="1">
      <c r="A39" s="9">
        <v>38</v>
      </c>
      <c r="B39" s="9" t="s">
        <v>62</v>
      </c>
      <c r="C39" s="9" t="s">
        <v>108</v>
      </c>
      <c r="D39" s="9" t="s">
        <v>27</v>
      </c>
      <c r="E39" s="9" t="s">
        <v>160</v>
      </c>
      <c r="F39" s="9" t="s">
        <v>23</v>
      </c>
      <c r="G39" s="9" t="s">
        <v>44</v>
      </c>
      <c r="H39" s="9" t="s">
        <v>54</v>
      </c>
      <c r="I39" s="9" t="s">
        <v>36</v>
      </c>
      <c r="J39" s="10">
        <v>46152</v>
      </c>
      <c r="K39" s="10">
        <v>46154</v>
      </c>
      <c r="L39" s="10">
        <v>46155</v>
      </c>
      <c r="M39" s="9"/>
      <c r="N39" s="9"/>
      <c r="O39" s="9" t="s">
        <v>17</v>
      </c>
      <c r="P39" s="7">
        <v>1</v>
      </c>
      <c r="Q39" s="11">
        <v>800</v>
      </c>
      <c r="R39" s="11">
        <v>701</v>
      </c>
      <c r="S39" s="9"/>
      <c r="T39" s="9"/>
      <c r="U39" s="6">
        <v>5</v>
      </c>
      <c r="V39" s="6">
        <v>4</v>
      </c>
      <c r="W39" s="9"/>
      <c r="X39" s="6">
        <v>5</v>
      </c>
      <c r="Y39" s="6">
        <v>2</v>
      </c>
      <c r="Z39" s="6">
        <v>100</v>
      </c>
      <c r="AA39" s="6">
        <v>3</v>
      </c>
      <c r="AB39" s="7">
        <v>0.9</v>
      </c>
      <c r="AC39" s="9"/>
      <c r="AD39" s="9" t="s">
        <v>183</v>
      </c>
      <c r="AE39" s="9" t="s">
        <v>102</v>
      </c>
      <c r="AF39" s="9" t="s">
        <v>184</v>
      </c>
      <c r="AG39" s="9"/>
      <c r="AH39" s="9"/>
      <c r="AI39" s="9"/>
      <c r="AJ39" s="9"/>
    </row>
    <row r="40" spans="1:36" ht="20" customHeight="1">
      <c r="A40" s="9">
        <v>39</v>
      </c>
      <c r="B40" s="9" t="s">
        <v>62</v>
      </c>
      <c r="C40" s="9" t="s">
        <v>99</v>
      </c>
      <c r="D40" s="9" t="s">
        <v>31</v>
      </c>
      <c r="E40" s="9" t="s">
        <v>130</v>
      </c>
      <c r="F40" s="9" t="s">
        <v>22</v>
      </c>
      <c r="G40" s="9" t="s">
        <v>41</v>
      </c>
      <c r="H40" s="9" t="s">
        <v>52</v>
      </c>
      <c r="I40" s="9" t="s">
        <v>37</v>
      </c>
      <c r="J40" s="10">
        <v>46160</v>
      </c>
      <c r="K40" s="10">
        <v>46160</v>
      </c>
      <c r="L40" s="9"/>
      <c r="M40" s="9"/>
      <c r="N40" s="9"/>
      <c r="O40" s="9" t="s">
        <v>15</v>
      </c>
      <c r="P40" s="7">
        <v>0.3</v>
      </c>
      <c r="Q40" s="11">
        <v>2500</v>
      </c>
      <c r="R40" s="11">
        <v>0</v>
      </c>
      <c r="S40" s="9"/>
      <c r="T40" s="9"/>
      <c r="U40" s="6">
        <v>5</v>
      </c>
      <c r="V40" s="6">
        <v>2</v>
      </c>
      <c r="W40" s="9"/>
      <c r="X40" s="6">
        <v>1</v>
      </c>
      <c r="Y40" s="6">
        <v>5</v>
      </c>
      <c r="Z40" s="6">
        <v>100</v>
      </c>
      <c r="AA40" s="6">
        <v>4</v>
      </c>
      <c r="AB40" s="7">
        <v>1</v>
      </c>
      <c r="AC40" s="9"/>
      <c r="AD40" s="9" t="s">
        <v>185</v>
      </c>
      <c r="AE40" s="9" t="s">
        <v>102</v>
      </c>
      <c r="AF40" s="9" t="s">
        <v>186</v>
      </c>
      <c r="AG40" s="9"/>
      <c r="AH40" s="9"/>
      <c r="AI40" s="9"/>
      <c r="AJ40" s="9"/>
    </row>
    <row r="41" spans="1:36" ht="20" customHeight="1">
      <c r="A41" s="9">
        <v>40</v>
      </c>
      <c r="B41" s="9" t="s">
        <v>60</v>
      </c>
      <c r="C41" s="9" t="s">
        <v>114</v>
      </c>
      <c r="D41" s="9" t="s">
        <v>27</v>
      </c>
      <c r="E41" s="9" t="s">
        <v>138</v>
      </c>
      <c r="F41" s="9" t="s">
        <v>19</v>
      </c>
      <c r="G41" s="9" t="s">
        <v>47</v>
      </c>
      <c r="H41" s="9" t="s">
        <v>53</v>
      </c>
      <c r="I41" s="9" t="s">
        <v>37</v>
      </c>
      <c r="J41" s="10">
        <v>46147</v>
      </c>
      <c r="K41" s="10">
        <v>46151</v>
      </c>
      <c r="L41" s="10">
        <v>46151</v>
      </c>
      <c r="M41" s="9"/>
      <c r="N41" s="9"/>
      <c r="O41" s="9" t="s">
        <v>17</v>
      </c>
      <c r="P41" s="7">
        <v>1</v>
      </c>
      <c r="Q41" s="11">
        <v>1200</v>
      </c>
      <c r="R41" s="11">
        <v>1181</v>
      </c>
      <c r="S41" s="9"/>
      <c r="T41" s="9"/>
      <c r="U41" s="6">
        <v>4</v>
      </c>
      <c r="V41" s="6">
        <v>4</v>
      </c>
      <c r="W41" s="9"/>
      <c r="X41" s="6">
        <v>3</v>
      </c>
      <c r="Y41" s="6">
        <v>1</v>
      </c>
      <c r="Z41" s="6">
        <v>25</v>
      </c>
      <c r="AA41" s="6">
        <v>1</v>
      </c>
      <c r="AB41" s="7">
        <v>0.9</v>
      </c>
      <c r="AC41" s="9"/>
      <c r="AD41" s="9" t="s">
        <v>187</v>
      </c>
      <c r="AE41" s="9" t="s">
        <v>102</v>
      </c>
      <c r="AF41" s="9" t="s">
        <v>188</v>
      </c>
      <c r="AG41" s="9"/>
      <c r="AH41" s="9"/>
      <c r="AI41" s="9"/>
      <c r="AJ41" s="9"/>
    </row>
    <row r="42" spans="1:36" ht="20" customHeight="1">
      <c r="A42" s="9">
        <v>41</v>
      </c>
      <c r="B42" s="9" t="s">
        <v>62</v>
      </c>
      <c r="C42" s="9" t="s">
        <v>143</v>
      </c>
      <c r="D42" s="9" t="s">
        <v>22</v>
      </c>
      <c r="E42" s="9" t="s">
        <v>115</v>
      </c>
      <c r="F42" s="9" t="s">
        <v>20</v>
      </c>
      <c r="G42" s="9" t="s">
        <v>46</v>
      </c>
      <c r="H42" s="9" t="s">
        <v>57</v>
      </c>
      <c r="I42" s="9" t="s">
        <v>38</v>
      </c>
      <c r="J42" s="10">
        <v>46188</v>
      </c>
      <c r="K42" s="10">
        <v>46189</v>
      </c>
      <c r="L42" s="9"/>
      <c r="M42" s="9"/>
      <c r="N42" s="9"/>
      <c r="O42" s="9" t="s">
        <v>13</v>
      </c>
      <c r="P42" s="7">
        <v>0</v>
      </c>
      <c r="Q42" s="11">
        <v>800</v>
      </c>
      <c r="R42" s="11">
        <v>0</v>
      </c>
      <c r="S42" s="9"/>
      <c r="T42" s="9"/>
      <c r="U42" s="6">
        <v>5</v>
      </c>
      <c r="V42" s="6">
        <v>1</v>
      </c>
      <c r="W42" s="9"/>
      <c r="X42" s="6">
        <v>4</v>
      </c>
      <c r="Y42" s="6">
        <v>1</v>
      </c>
      <c r="Z42" s="6">
        <v>200</v>
      </c>
      <c r="AA42" s="6">
        <v>1</v>
      </c>
      <c r="AB42" s="7">
        <v>0.6</v>
      </c>
      <c r="AC42" s="9"/>
      <c r="AD42" s="9" t="s">
        <v>189</v>
      </c>
      <c r="AE42" s="9" t="s">
        <v>102</v>
      </c>
      <c r="AF42" s="9" t="s">
        <v>168</v>
      </c>
      <c r="AG42" s="9"/>
      <c r="AH42" s="9"/>
      <c r="AI42" s="9"/>
      <c r="AJ42" s="9"/>
    </row>
    <row r="43" spans="1:36" ht="20" customHeight="1">
      <c r="A43" s="9">
        <v>42</v>
      </c>
      <c r="B43" s="9" t="s">
        <v>60</v>
      </c>
      <c r="C43" s="9" t="s">
        <v>99</v>
      </c>
      <c r="D43" s="9" t="s">
        <v>31</v>
      </c>
      <c r="E43" s="9" t="s">
        <v>115</v>
      </c>
      <c r="F43" s="9" t="s">
        <v>23</v>
      </c>
      <c r="G43" s="9" t="s">
        <v>42</v>
      </c>
      <c r="H43" s="9" t="s">
        <v>56</v>
      </c>
      <c r="I43" s="9" t="s">
        <v>37</v>
      </c>
      <c r="J43" s="10">
        <v>46190</v>
      </c>
      <c r="K43" s="10">
        <v>46194</v>
      </c>
      <c r="L43" s="9"/>
      <c r="M43" s="9"/>
      <c r="N43" s="9"/>
      <c r="O43" s="9" t="s">
        <v>16</v>
      </c>
      <c r="P43" s="7">
        <v>0.2</v>
      </c>
      <c r="Q43" s="11">
        <v>500</v>
      </c>
      <c r="R43" s="11">
        <v>0</v>
      </c>
      <c r="S43" s="9"/>
      <c r="T43" s="9"/>
      <c r="U43" s="6">
        <v>1</v>
      </c>
      <c r="V43" s="6">
        <v>3</v>
      </c>
      <c r="W43" s="9"/>
      <c r="X43" s="6">
        <v>5</v>
      </c>
      <c r="Y43" s="6">
        <v>8</v>
      </c>
      <c r="Z43" s="6">
        <v>25</v>
      </c>
      <c r="AA43" s="6">
        <v>4</v>
      </c>
      <c r="AB43" s="7">
        <v>0.8</v>
      </c>
      <c r="AC43" s="9"/>
      <c r="AD43" s="9" t="s">
        <v>148</v>
      </c>
      <c r="AE43" s="9" t="s">
        <v>102</v>
      </c>
      <c r="AF43" s="9" t="s">
        <v>121</v>
      </c>
      <c r="AG43" s="9"/>
      <c r="AH43" s="9"/>
      <c r="AI43" s="9"/>
      <c r="AJ43" s="9"/>
    </row>
    <row r="44" spans="1:36" ht="20" customHeight="1">
      <c r="A44" s="9">
        <v>43</v>
      </c>
      <c r="B44" s="9" t="s">
        <v>60</v>
      </c>
      <c r="C44" s="9" t="s">
        <v>122</v>
      </c>
      <c r="D44" s="9" t="s">
        <v>31</v>
      </c>
      <c r="E44" s="9" t="s">
        <v>115</v>
      </c>
      <c r="F44" s="9" t="s">
        <v>19</v>
      </c>
      <c r="G44" s="9" t="s">
        <v>48</v>
      </c>
      <c r="H44" s="9" t="s">
        <v>53</v>
      </c>
      <c r="I44" s="9" t="s">
        <v>38</v>
      </c>
      <c r="J44" s="10">
        <v>46182</v>
      </c>
      <c r="K44" s="10">
        <v>46184</v>
      </c>
      <c r="L44" s="9"/>
      <c r="M44" s="9"/>
      <c r="N44" s="9"/>
      <c r="O44" s="9" t="s">
        <v>14</v>
      </c>
      <c r="P44" s="7">
        <v>0.1</v>
      </c>
      <c r="Q44" s="11">
        <v>1200</v>
      </c>
      <c r="R44" s="11">
        <v>0</v>
      </c>
      <c r="S44" s="9"/>
      <c r="T44" s="9"/>
      <c r="U44" s="6">
        <v>5</v>
      </c>
      <c r="V44" s="6">
        <v>2</v>
      </c>
      <c r="W44" s="9"/>
      <c r="X44" s="6">
        <v>1</v>
      </c>
      <c r="Y44" s="6">
        <v>5</v>
      </c>
      <c r="Z44" s="6">
        <v>50</v>
      </c>
      <c r="AA44" s="6">
        <v>1</v>
      </c>
      <c r="AB44" s="7">
        <v>0.6</v>
      </c>
      <c r="AC44" s="9"/>
      <c r="AD44" s="9" t="s">
        <v>148</v>
      </c>
      <c r="AE44" s="9" t="s">
        <v>102</v>
      </c>
      <c r="AF44" s="9" t="s">
        <v>188</v>
      </c>
      <c r="AG44" s="9"/>
      <c r="AH44" s="9"/>
      <c r="AI44" s="9"/>
      <c r="AJ44" s="9"/>
    </row>
    <row r="45" spans="1:36" ht="20" customHeight="1">
      <c r="A45" s="9">
        <v>44</v>
      </c>
      <c r="B45" s="9" t="s">
        <v>60</v>
      </c>
      <c r="C45" s="9" t="s">
        <v>114</v>
      </c>
      <c r="D45" s="9" t="s">
        <v>32</v>
      </c>
      <c r="E45" s="9" t="s">
        <v>100</v>
      </c>
      <c r="F45" s="9" t="s">
        <v>25</v>
      </c>
      <c r="G45" s="9" t="s">
        <v>41</v>
      </c>
      <c r="H45" s="9" t="s">
        <v>53</v>
      </c>
      <c r="I45" s="9" t="s">
        <v>36</v>
      </c>
      <c r="J45" s="10">
        <v>46195</v>
      </c>
      <c r="K45" s="10">
        <v>46197</v>
      </c>
      <c r="L45" s="9"/>
      <c r="M45" s="9"/>
      <c r="N45" s="9"/>
      <c r="O45" s="9" t="s">
        <v>15</v>
      </c>
      <c r="P45" s="7">
        <v>0.3</v>
      </c>
      <c r="Q45" s="11">
        <v>0</v>
      </c>
      <c r="R45" s="11">
        <v>0</v>
      </c>
      <c r="S45" s="9"/>
      <c r="T45" s="9"/>
      <c r="U45" s="6">
        <v>3</v>
      </c>
      <c r="V45" s="6">
        <v>4</v>
      </c>
      <c r="W45" s="9"/>
      <c r="X45" s="6">
        <v>3</v>
      </c>
      <c r="Y45" s="6">
        <v>5</v>
      </c>
      <c r="Z45" s="6">
        <v>25</v>
      </c>
      <c r="AA45" s="6">
        <v>1</v>
      </c>
      <c r="AB45" s="7">
        <v>0.8</v>
      </c>
      <c r="AC45" s="9"/>
      <c r="AD45" s="9" t="s">
        <v>190</v>
      </c>
      <c r="AE45" s="9" t="s">
        <v>102</v>
      </c>
      <c r="AF45" s="9" t="s">
        <v>191</v>
      </c>
      <c r="AG45" s="9"/>
      <c r="AH45" s="9"/>
      <c r="AI45" s="9"/>
      <c r="AJ45" s="9"/>
    </row>
    <row r="46" spans="1:36" ht="20" customHeight="1">
      <c r="A46" s="9">
        <v>45</v>
      </c>
      <c r="B46" s="9" t="s">
        <v>63</v>
      </c>
      <c r="C46" s="9" t="s">
        <v>104</v>
      </c>
      <c r="D46" s="9" t="s">
        <v>30</v>
      </c>
      <c r="E46" s="9" t="s">
        <v>119</v>
      </c>
      <c r="F46" s="9" t="s">
        <v>22</v>
      </c>
      <c r="G46" s="9" t="s">
        <v>44</v>
      </c>
      <c r="H46" s="9" t="s">
        <v>57</v>
      </c>
      <c r="I46" s="9" t="s">
        <v>36</v>
      </c>
      <c r="J46" s="10">
        <v>46181</v>
      </c>
      <c r="K46" s="10">
        <v>46183</v>
      </c>
      <c r="L46" s="9"/>
      <c r="M46" s="9"/>
      <c r="N46" s="9"/>
      <c r="O46" s="9" t="s">
        <v>14</v>
      </c>
      <c r="P46" s="7">
        <v>0.1</v>
      </c>
      <c r="Q46" s="11">
        <v>500</v>
      </c>
      <c r="R46" s="11">
        <v>0</v>
      </c>
      <c r="S46" s="9"/>
      <c r="T46" s="9"/>
      <c r="U46" s="6">
        <v>5</v>
      </c>
      <c r="V46" s="6">
        <v>4</v>
      </c>
      <c r="W46" s="9"/>
      <c r="X46" s="6">
        <v>5</v>
      </c>
      <c r="Y46" s="6">
        <v>2</v>
      </c>
      <c r="Z46" s="6">
        <v>25</v>
      </c>
      <c r="AA46" s="6">
        <v>4</v>
      </c>
      <c r="AB46" s="7">
        <v>0.9</v>
      </c>
      <c r="AC46" s="9"/>
      <c r="AD46" s="9" t="s">
        <v>192</v>
      </c>
      <c r="AE46" s="9" t="s">
        <v>102</v>
      </c>
      <c r="AF46" s="9" t="s">
        <v>193</v>
      </c>
      <c r="AG46" s="9"/>
      <c r="AH46" s="9"/>
      <c r="AI46" s="9"/>
      <c r="AJ46" s="9"/>
    </row>
    <row r="47" spans="1:36" ht="20" customHeight="1">
      <c r="A47" s="9">
        <v>46</v>
      </c>
      <c r="B47" s="9" t="s">
        <v>59</v>
      </c>
      <c r="C47" s="9" t="s">
        <v>143</v>
      </c>
      <c r="D47" s="9" t="s">
        <v>30</v>
      </c>
      <c r="E47" s="9" t="s">
        <v>194</v>
      </c>
      <c r="F47" s="9" t="s">
        <v>19</v>
      </c>
      <c r="G47" s="9" t="s">
        <v>43</v>
      </c>
      <c r="H47" s="9" t="s">
        <v>51</v>
      </c>
      <c r="I47" s="9" t="s">
        <v>36</v>
      </c>
      <c r="J47" s="10">
        <v>46187</v>
      </c>
      <c r="K47" s="10">
        <v>46187</v>
      </c>
      <c r="L47" s="9"/>
      <c r="M47" s="9"/>
      <c r="N47" s="9"/>
      <c r="O47" s="9" t="s">
        <v>13</v>
      </c>
      <c r="P47" s="7">
        <v>0</v>
      </c>
      <c r="Q47" s="11">
        <v>3000</v>
      </c>
      <c r="R47" s="11">
        <v>0</v>
      </c>
      <c r="S47" s="9"/>
      <c r="T47" s="9"/>
      <c r="U47" s="6">
        <v>3</v>
      </c>
      <c r="V47" s="6">
        <v>1</v>
      </c>
      <c r="W47" s="9"/>
      <c r="X47" s="6">
        <v>1</v>
      </c>
      <c r="Y47" s="6">
        <v>2</v>
      </c>
      <c r="Z47" s="6">
        <v>50</v>
      </c>
      <c r="AA47" s="6">
        <v>2</v>
      </c>
      <c r="AB47" s="7">
        <v>0.7</v>
      </c>
      <c r="AC47" s="9"/>
      <c r="AD47" s="9" t="s">
        <v>195</v>
      </c>
      <c r="AE47" s="9" t="s">
        <v>102</v>
      </c>
      <c r="AF47" s="9" t="s">
        <v>196</v>
      </c>
      <c r="AG47" s="9"/>
      <c r="AH47" s="9"/>
      <c r="AI47" s="9"/>
      <c r="AJ47" s="9"/>
    </row>
    <row r="48" spans="1:36" ht="20" customHeight="1">
      <c r="A48" s="9">
        <v>47</v>
      </c>
      <c r="B48" s="9" t="s">
        <v>63</v>
      </c>
      <c r="C48" s="9" t="s">
        <v>118</v>
      </c>
      <c r="D48" s="9" t="s">
        <v>22</v>
      </c>
      <c r="E48" s="9" t="s">
        <v>115</v>
      </c>
      <c r="F48" s="9" t="s">
        <v>23</v>
      </c>
      <c r="G48" s="9" t="s">
        <v>46</v>
      </c>
      <c r="H48" s="9" t="s">
        <v>57</v>
      </c>
      <c r="I48" s="9" t="s">
        <v>37</v>
      </c>
      <c r="J48" s="10">
        <v>46184</v>
      </c>
      <c r="K48" s="10">
        <v>46186</v>
      </c>
      <c r="L48" s="9"/>
      <c r="M48" s="9"/>
      <c r="N48" s="9"/>
      <c r="O48" s="9" t="s">
        <v>14</v>
      </c>
      <c r="P48" s="7">
        <v>0.1</v>
      </c>
      <c r="Q48" s="11">
        <v>500</v>
      </c>
      <c r="R48" s="11">
        <v>0</v>
      </c>
      <c r="S48" s="9"/>
      <c r="T48" s="9"/>
      <c r="U48" s="6">
        <v>3</v>
      </c>
      <c r="V48" s="6">
        <v>1</v>
      </c>
      <c r="W48" s="9"/>
      <c r="X48" s="6">
        <v>3</v>
      </c>
      <c r="Y48" s="6">
        <v>5</v>
      </c>
      <c r="Z48" s="6">
        <v>10</v>
      </c>
      <c r="AA48" s="6">
        <v>5</v>
      </c>
      <c r="AB48" s="7">
        <v>0.7</v>
      </c>
      <c r="AC48" s="9"/>
      <c r="AD48" s="9" t="s">
        <v>197</v>
      </c>
      <c r="AE48" s="9" t="s">
        <v>102</v>
      </c>
      <c r="AF48" s="9" t="s">
        <v>135</v>
      </c>
      <c r="AG48" s="9"/>
      <c r="AH48" s="9"/>
      <c r="AI48" s="9"/>
      <c r="AJ48" s="9"/>
    </row>
    <row r="49" spans="1:36" ht="20" customHeight="1">
      <c r="A49" s="9">
        <v>48</v>
      </c>
      <c r="B49" s="9" t="s">
        <v>62</v>
      </c>
      <c r="C49" s="9" t="s">
        <v>108</v>
      </c>
      <c r="D49" s="9" t="s">
        <v>33</v>
      </c>
      <c r="E49" s="9" t="s">
        <v>160</v>
      </c>
      <c r="F49" s="9" t="s">
        <v>25</v>
      </c>
      <c r="G49" s="9" t="s">
        <v>41</v>
      </c>
      <c r="H49" s="9" t="s">
        <v>51</v>
      </c>
      <c r="I49" s="9" t="s">
        <v>38</v>
      </c>
      <c r="J49" s="10">
        <v>46180</v>
      </c>
      <c r="K49" s="10">
        <v>46182</v>
      </c>
      <c r="L49" s="10">
        <v>46183</v>
      </c>
      <c r="M49" s="9"/>
      <c r="N49" s="9"/>
      <c r="O49" s="9" t="s">
        <v>17</v>
      </c>
      <c r="P49" s="7">
        <v>1</v>
      </c>
      <c r="Q49" s="11">
        <v>600</v>
      </c>
      <c r="R49" s="11">
        <v>664</v>
      </c>
      <c r="S49" s="9"/>
      <c r="T49" s="9"/>
      <c r="U49" s="6">
        <v>4</v>
      </c>
      <c r="V49" s="6">
        <v>1</v>
      </c>
      <c r="W49" s="9"/>
      <c r="X49" s="6">
        <v>4</v>
      </c>
      <c r="Y49" s="6">
        <v>2</v>
      </c>
      <c r="Z49" s="6">
        <v>100</v>
      </c>
      <c r="AA49" s="6">
        <v>1</v>
      </c>
      <c r="AB49" s="7">
        <v>0.9</v>
      </c>
      <c r="AC49" s="9"/>
      <c r="AD49" s="9" t="s">
        <v>198</v>
      </c>
      <c r="AE49" s="9" t="s">
        <v>102</v>
      </c>
      <c r="AF49" s="9" t="s">
        <v>199</v>
      </c>
      <c r="AG49" s="9"/>
      <c r="AH49" s="9"/>
      <c r="AI49" s="9"/>
      <c r="AJ49" s="9"/>
    </row>
    <row r="50" spans="1:36" ht="20" customHeight="1">
      <c r="A50" s="9">
        <v>49</v>
      </c>
      <c r="B50" s="9" t="s">
        <v>59</v>
      </c>
      <c r="C50" s="9" t="s">
        <v>114</v>
      </c>
      <c r="D50" s="9" t="s">
        <v>29</v>
      </c>
      <c r="E50" s="9" t="s">
        <v>115</v>
      </c>
      <c r="F50" s="9" t="s">
        <v>23</v>
      </c>
      <c r="G50" s="9" t="s">
        <v>43</v>
      </c>
      <c r="H50" s="9" t="s">
        <v>56</v>
      </c>
      <c r="I50" s="9" t="s">
        <v>35</v>
      </c>
      <c r="J50" s="10">
        <v>46223</v>
      </c>
      <c r="K50" s="10">
        <v>46225</v>
      </c>
      <c r="L50" s="9"/>
      <c r="M50" s="9"/>
      <c r="N50" s="9"/>
      <c r="O50" s="9" t="s">
        <v>15</v>
      </c>
      <c r="P50" s="7">
        <v>0.5</v>
      </c>
      <c r="Q50" s="11">
        <v>0</v>
      </c>
      <c r="R50" s="11">
        <v>0</v>
      </c>
      <c r="S50" s="9"/>
      <c r="T50" s="9"/>
      <c r="U50" s="6">
        <v>3</v>
      </c>
      <c r="V50" s="6">
        <v>3</v>
      </c>
      <c r="W50" s="9"/>
      <c r="X50" s="6">
        <v>3</v>
      </c>
      <c r="Y50" s="6">
        <v>3</v>
      </c>
      <c r="Z50" s="6">
        <v>10</v>
      </c>
      <c r="AA50" s="6">
        <v>5</v>
      </c>
      <c r="AB50" s="7">
        <v>0.6</v>
      </c>
      <c r="AC50" s="9"/>
      <c r="AD50" s="9" t="s">
        <v>200</v>
      </c>
      <c r="AE50" s="9" t="s">
        <v>102</v>
      </c>
      <c r="AF50" s="9" t="s">
        <v>121</v>
      </c>
      <c r="AG50" s="9"/>
      <c r="AH50" s="9"/>
      <c r="AI50" s="9"/>
      <c r="AJ50" s="9"/>
    </row>
    <row r="51" spans="1:36" ht="20" customHeight="1">
      <c r="A51" s="9">
        <v>50</v>
      </c>
      <c r="B51" s="9" t="s">
        <v>59</v>
      </c>
      <c r="C51" s="9" t="s">
        <v>122</v>
      </c>
      <c r="D51" s="9" t="s">
        <v>30</v>
      </c>
      <c r="E51" s="9" t="s">
        <v>123</v>
      </c>
      <c r="F51" s="9" t="s">
        <v>26</v>
      </c>
      <c r="G51" s="9" t="s">
        <v>47</v>
      </c>
      <c r="H51" s="9" t="s">
        <v>57</v>
      </c>
      <c r="I51" s="9" t="s">
        <v>38</v>
      </c>
      <c r="J51" s="10">
        <v>46212</v>
      </c>
      <c r="K51" s="10">
        <v>46214</v>
      </c>
      <c r="L51" s="9"/>
      <c r="M51" s="9"/>
      <c r="N51" s="9"/>
      <c r="O51" s="9" t="s">
        <v>16</v>
      </c>
      <c r="P51" s="7">
        <v>0.4</v>
      </c>
      <c r="Q51" s="11">
        <v>800</v>
      </c>
      <c r="R51" s="11">
        <v>0</v>
      </c>
      <c r="S51" s="9"/>
      <c r="T51" s="9"/>
      <c r="U51" s="6">
        <v>1</v>
      </c>
      <c r="V51" s="6">
        <v>3</v>
      </c>
      <c r="W51" s="9"/>
      <c r="X51" s="6">
        <v>2</v>
      </c>
      <c r="Y51" s="6">
        <v>8</v>
      </c>
      <c r="Z51" s="6">
        <v>25</v>
      </c>
      <c r="AA51" s="6">
        <v>3</v>
      </c>
      <c r="AB51" s="7">
        <v>0.8</v>
      </c>
      <c r="AC51" s="9"/>
      <c r="AD51" s="9" t="s">
        <v>201</v>
      </c>
      <c r="AE51" s="9" t="s">
        <v>102</v>
      </c>
      <c r="AF51" s="9" t="s">
        <v>172</v>
      </c>
      <c r="AG51" s="9"/>
      <c r="AH51" s="9"/>
      <c r="AI51" s="9"/>
      <c r="AJ51" s="9"/>
    </row>
    <row r="52" spans="1:36" ht="20" customHeight="1">
      <c r="A52" s="9">
        <v>51</v>
      </c>
      <c r="B52" s="9" t="s">
        <v>62</v>
      </c>
      <c r="C52" s="9" t="s">
        <v>108</v>
      </c>
      <c r="D52" s="9" t="s">
        <v>33</v>
      </c>
      <c r="E52" s="9" t="s">
        <v>105</v>
      </c>
      <c r="F52" s="9" t="s">
        <v>20</v>
      </c>
      <c r="G52" s="9" t="s">
        <v>48</v>
      </c>
      <c r="H52" s="9" t="s">
        <v>52</v>
      </c>
      <c r="I52" s="9" t="s">
        <v>38</v>
      </c>
      <c r="J52" s="10">
        <v>46209</v>
      </c>
      <c r="K52" s="10">
        <v>46210</v>
      </c>
      <c r="L52" s="9"/>
      <c r="M52" s="9"/>
      <c r="N52" s="9"/>
      <c r="O52" s="9" t="s">
        <v>16</v>
      </c>
      <c r="P52" s="7">
        <v>0.6</v>
      </c>
      <c r="Q52" s="11">
        <v>0</v>
      </c>
      <c r="R52" s="11">
        <v>0</v>
      </c>
      <c r="S52" s="9"/>
      <c r="T52" s="9"/>
      <c r="U52" s="6">
        <v>4</v>
      </c>
      <c r="V52" s="6">
        <v>5</v>
      </c>
      <c r="W52" s="9"/>
      <c r="X52" s="6">
        <v>5</v>
      </c>
      <c r="Y52" s="6">
        <v>3</v>
      </c>
      <c r="Z52" s="6">
        <v>25</v>
      </c>
      <c r="AA52" s="6">
        <v>4</v>
      </c>
      <c r="AB52" s="7">
        <v>0.6</v>
      </c>
      <c r="AC52" s="9"/>
      <c r="AD52" s="9" t="s">
        <v>106</v>
      </c>
      <c r="AE52" s="9" t="s">
        <v>102</v>
      </c>
      <c r="AF52" s="9" t="s">
        <v>176</v>
      </c>
      <c r="AG52" s="9"/>
      <c r="AH52" s="9"/>
      <c r="AI52" s="9"/>
      <c r="AJ52" s="9"/>
    </row>
    <row r="53" spans="1:36" ht="20" customHeight="1">
      <c r="A53" s="9">
        <v>52</v>
      </c>
      <c r="B53" s="9" t="s">
        <v>59</v>
      </c>
      <c r="C53" s="9" t="s">
        <v>108</v>
      </c>
      <c r="D53" s="9" t="s">
        <v>31</v>
      </c>
      <c r="E53" s="9" t="s">
        <v>123</v>
      </c>
      <c r="F53" s="9" t="s">
        <v>22</v>
      </c>
      <c r="G53" s="9" t="s">
        <v>41</v>
      </c>
      <c r="H53" s="9" t="s">
        <v>54</v>
      </c>
      <c r="I53" s="9" t="s">
        <v>38</v>
      </c>
      <c r="J53" s="10">
        <v>46218</v>
      </c>
      <c r="K53" s="10">
        <v>46219</v>
      </c>
      <c r="L53" s="9"/>
      <c r="M53" s="9"/>
      <c r="N53" s="9"/>
      <c r="O53" s="9" t="s">
        <v>14</v>
      </c>
      <c r="P53" s="7">
        <v>0.1</v>
      </c>
      <c r="Q53" s="11">
        <v>3000</v>
      </c>
      <c r="R53" s="11">
        <v>0</v>
      </c>
      <c r="S53" s="9"/>
      <c r="T53" s="9"/>
      <c r="U53" s="6">
        <v>5</v>
      </c>
      <c r="V53" s="6">
        <v>2</v>
      </c>
      <c r="W53" s="9"/>
      <c r="X53" s="6">
        <v>5</v>
      </c>
      <c r="Y53" s="6">
        <v>1</v>
      </c>
      <c r="Z53" s="6">
        <v>50</v>
      </c>
      <c r="AA53" s="6">
        <v>3</v>
      </c>
      <c r="AB53" s="7">
        <v>0.8</v>
      </c>
      <c r="AC53" s="9"/>
      <c r="AD53" s="9" t="s">
        <v>171</v>
      </c>
      <c r="AE53" s="9" t="s">
        <v>102</v>
      </c>
      <c r="AF53" s="9" t="s">
        <v>202</v>
      </c>
      <c r="AG53" s="9"/>
      <c r="AH53" s="9"/>
      <c r="AI53" s="9"/>
      <c r="AJ53" s="9"/>
    </row>
    <row r="54" spans="1:36" ht="20" customHeight="1">
      <c r="A54" s="9">
        <v>53</v>
      </c>
      <c r="B54" s="9" t="s">
        <v>63</v>
      </c>
      <c r="C54" s="9" t="s">
        <v>108</v>
      </c>
      <c r="D54" s="9" t="s">
        <v>27</v>
      </c>
      <c r="E54" s="9" t="s">
        <v>160</v>
      </c>
      <c r="F54" s="9" t="s">
        <v>23</v>
      </c>
      <c r="G54" s="9" t="s">
        <v>43</v>
      </c>
      <c r="H54" s="9" t="s">
        <v>54</v>
      </c>
      <c r="I54" s="9" t="s">
        <v>36</v>
      </c>
      <c r="J54" s="10">
        <v>46209</v>
      </c>
      <c r="K54" s="10">
        <v>46210</v>
      </c>
      <c r="L54" s="9"/>
      <c r="M54" s="9"/>
      <c r="N54" s="9"/>
      <c r="O54" s="9" t="s">
        <v>14</v>
      </c>
      <c r="P54" s="7">
        <v>0.1</v>
      </c>
      <c r="Q54" s="11">
        <v>1200</v>
      </c>
      <c r="R54" s="11">
        <v>0</v>
      </c>
      <c r="S54" s="9"/>
      <c r="T54" s="9"/>
      <c r="U54" s="6">
        <v>3</v>
      </c>
      <c r="V54" s="6">
        <v>1</v>
      </c>
      <c r="W54" s="9"/>
      <c r="X54" s="6">
        <v>4</v>
      </c>
      <c r="Y54" s="6">
        <v>3</v>
      </c>
      <c r="Z54" s="6">
        <v>25</v>
      </c>
      <c r="AA54" s="6">
        <v>5</v>
      </c>
      <c r="AB54" s="7">
        <v>1</v>
      </c>
      <c r="AC54" s="9"/>
      <c r="AD54" s="9" t="s">
        <v>203</v>
      </c>
      <c r="AE54" s="9" t="s">
        <v>102</v>
      </c>
      <c r="AF54" s="9" t="s">
        <v>184</v>
      </c>
      <c r="AG54" s="9"/>
      <c r="AH54" s="9"/>
      <c r="AI54" s="9"/>
      <c r="AJ54" s="9"/>
    </row>
    <row r="55" spans="1:36" ht="20" customHeight="1">
      <c r="A55" s="9">
        <v>54</v>
      </c>
      <c r="B55" s="9" t="s">
        <v>60</v>
      </c>
      <c r="C55" s="9" t="s">
        <v>118</v>
      </c>
      <c r="D55" s="9" t="s">
        <v>33</v>
      </c>
      <c r="E55" s="9" t="s">
        <v>123</v>
      </c>
      <c r="F55" s="9" t="s">
        <v>26</v>
      </c>
      <c r="G55" s="9" t="s">
        <v>40</v>
      </c>
      <c r="H55" s="9" t="s">
        <v>51</v>
      </c>
      <c r="I55" s="9" t="s">
        <v>35</v>
      </c>
      <c r="J55" s="10">
        <v>46219</v>
      </c>
      <c r="K55" s="10">
        <v>46220</v>
      </c>
      <c r="L55" s="9"/>
      <c r="M55" s="9"/>
      <c r="N55" s="9"/>
      <c r="O55" s="9" t="s">
        <v>16</v>
      </c>
      <c r="P55" s="7">
        <v>0.2</v>
      </c>
      <c r="Q55" s="11">
        <v>2500</v>
      </c>
      <c r="R55" s="11">
        <v>0</v>
      </c>
      <c r="S55" s="9"/>
      <c r="T55" s="9"/>
      <c r="U55" s="6">
        <v>2</v>
      </c>
      <c r="V55" s="6">
        <v>1</v>
      </c>
      <c r="W55" s="9"/>
      <c r="X55" s="6">
        <v>1</v>
      </c>
      <c r="Y55" s="6">
        <v>2</v>
      </c>
      <c r="Z55" s="6">
        <v>200</v>
      </c>
      <c r="AA55" s="6">
        <v>5</v>
      </c>
      <c r="AB55" s="7">
        <v>0.7</v>
      </c>
      <c r="AC55" s="9"/>
      <c r="AD55" s="9" t="s">
        <v>204</v>
      </c>
      <c r="AE55" s="9" t="s">
        <v>102</v>
      </c>
      <c r="AF55" s="9" t="s">
        <v>205</v>
      </c>
      <c r="AG55" s="9"/>
      <c r="AH55" s="9"/>
      <c r="AI55" s="9"/>
      <c r="AJ55" s="9"/>
    </row>
    <row r="56" spans="1:36" ht="20" customHeight="1">
      <c r="A56" s="9">
        <v>55</v>
      </c>
      <c r="B56" s="9" t="s">
        <v>59</v>
      </c>
      <c r="C56" s="9" t="s">
        <v>108</v>
      </c>
      <c r="D56" s="9" t="s">
        <v>31</v>
      </c>
      <c r="E56" s="9" t="s">
        <v>111</v>
      </c>
      <c r="F56" s="9" t="s">
        <v>26</v>
      </c>
      <c r="G56" s="9" t="s">
        <v>49</v>
      </c>
      <c r="H56" s="9" t="s">
        <v>53</v>
      </c>
      <c r="I56" s="9" t="s">
        <v>35</v>
      </c>
      <c r="J56" s="10">
        <v>46207</v>
      </c>
      <c r="K56" s="10">
        <v>46211</v>
      </c>
      <c r="L56" s="10">
        <v>46211</v>
      </c>
      <c r="M56" s="9"/>
      <c r="N56" s="9"/>
      <c r="O56" s="9" t="s">
        <v>17</v>
      </c>
      <c r="P56" s="7">
        <v>1</v>
      </c>
      <c r="Q56" s="11">
        <v>600</v>
      </c>
      <c r="R56" s="11">
        <v>581</v>
      </c>
      <c r="S56" s="9"/>
      <c r="T56" s="9"/>
      <c r="U56" s="6">
        <v>1</v>
      </c>
      <c r="V56" s="6">
        <v>2</v>
      </c>
      <c r="W56" s="9"/>
      <c r="X56" s="6">
        <v>3</v>
      </c>
      <c r="Y56" s="6">
        <v>1</v>
      </c>
      <c r="Z56" s="6">
        <v>200</v>
      </c>
      <c r="AA56" s="6">
        <v>2</v>
      </c>
      <c r="AB56" s="7">
        <v>0.6</v>
      </c>
      <c r="AC56" s="9"/>
      <c r="AD56" s="9" t="s">
        <v>206</v>
      </c>
      <c r="AE56" s="9" t="s">
        <v>102</v>
      </c>
      <c r="AF56" s="9" t="s">
        <v>140</v>
      </c>
      <c r="AG56" s="9"/>
      <c r="AH56" s="9"/>
      <c r="AI56" s="9"/>
      <c r="AJ56" s="9"/>
    </row>
    <row r="57" spans="1:36" ht="20" customHeight="1">
      <c r="A57" s="9">
        <v>56</v>
      </c>
      <c r="B57" s="9" t="s">
        <v>61</v>
      </c>
      <c r="C57" s="9" t="s">
        <v>114</v>
      </c>
      <c r="D57" s="9" t="s">
        <v>32</v>
      </c>
      <c r="E57" s="9" t="s">
        <v>138</v>
      </c>
      <c r="F57" s="9" t="s">
        <v>21</v>
      </c>
      <c r="G57" s="9" t="s">
        <v>49</v>
      </c>
      <c r="H57" s="9" t="s">
        <v>53</v>
      </c>
      <c r="I57" s="9" t="s">
        <v>35</v>
      </c>
      <c r="J57" s="10">
        <v>46210</v>
      </c>
      <c r="K57" s="10">
        <v>46210</v>
      </c>
      <c r="L57" s="9"/>
      <c r="M57" s="9"/>
      <c r="N57" s="9"/>
      <c r="O57" s="9" t="s">
        <v>16</v>
      </c>
      <c r="P57" s="7">
        <v>0.4</v>
      </c>
      <c r="Q57" s="11">
        <v>500</v>
      </c>
      <c r="R57" s="11">
        <v>0</v>
      </c>
      <c r="S57" s="9"/>
      <c r="T57" s="9"/>
      <c r="U57" s="6">
        <v>4</v>
      </c>
      <c r="V57" s="6">
        <v>1</v>
      </c>
      <c r="W57" s="9"/>
      <c r="X57" s="6">
        <v>4</v>
      </c>
      <c r="Y57" s="6">
        <v>8</v>
      </c>
      <c r="Z57" s="6">
        <v>25</v>
      </c>
      <c r="AA57" s="6">
        <v>5</v>
      </c>
      <c r="AB57" s="7">
        <v>0.6</v>
      </c>
      <c r="AC57" s="9"/>
      <c r="AD57" s="9" t="s">
        <v>207</v>
      </c>
      <c r="AE57" s="9" t="s">
        <v>102</v>
      </c>
      <c r="AF57" s="9" t="s">
        <v>127</v>
      </c>
      <c r="AG57" s="9"/>
      <c r="AH57" s="9"/>
      <c r="AI57" s="9"/>
      <c r="AJ57" s="9"/>
    </row>
    <row r="58" spans="1:36" ht="20" customHeight="1">
      <c r="A58" s="9">
        <v>57</v>
      </c>
      <c r="B58" s="9" t="s">
        <v>60</v>
      </c>
      <c r="C58" s="9" t="s">
        <v>114</v>
      </c>
      <c r="D58" s="9" t="s">
        <v>32</v>
      </c>
      <c r="E58" s="9" t="s">
        <v>160</v>
      </c>
      <c r="F58" s="9" t="s">
        <v>25</v>
      </c>
      <c r="G58" s="9" t="s">
        <v>44</v>
      </c>
      <c r="H58" s="9" t="s">
        <v>56</v>
      </c>
      <c r="I58" s="9" t="s">
        <v>37</v>
      </c>
      <c r="J58" s="10">
        <v>46248</v>
      </c>
      <c r="K58" s="10">
        <v>46248</v>
      </c>
      <c r="L58" s="9"/>
      <c r="M58" s="9"/>
      <c r="N58" s="9"/>
      <c r="O58" s="9" t="s">
        <v>15</v>
      </c>
      <c r="P58" s="7">
        <v>0.7</v>
      </c>
      <c r="Q58" s="11">
        <v>600</v>
      </c>
      <c r="R58" s="11">
        <v>0</v>
      </c>
      <c r="S58" s="9"/>
      <c r="T58" s="9"/>
      <c r="U58" s="6">
        <v>4</v>
      </c>
      <c r="V58" s="6">
        <v>4</v>
      </c>
      <c r="W58" s="9"/>
      <c r="X58" s="6">
        <v>1</v>
      </c>
      <c r="Y58" s="6">
        <v>3</v>
      </c>
      <c r="Z58" s="6">
        <v>25</v>
      </c>
      <c r="AA58" s="6">
        <v>4</v>
      </c>
      <c r="AB58" s="7">
        <v>0.9</v>
      </c>
      <c r="AC58" s="9"/>
      <c r="AD58" s="9" t="s">
        <v>208</v>
      </c>
      <c r="AE58" s="9" t="s">
        <v>102</v>
      </c>
      <c r="AF58" s="9" t="s">
        <v>132</v>
      </c>
      <c r="AG58" s="9"/>
      <c r="AH58" s="9"/>
      <c r="AI58" s="9"/>
      <c r="AJ58" s="9"/>
    </row>
    <row r="59" spans="1:36" ht="20" customHeight="1">
      <c r="A59" s="9">
        <v>58</v>
      </c>
      <c r="B59" s="9" t="s">
        <v>60</v>
      </c>
      <c r="C59" s="9" t="s">
        <v>104</v>
      </c>
      <c r="D59" s="9" t="s">
        <v>22</v>
      </c>
      <c r="E59" s="9" t="s">
        <v>111</v>
      </c>
      <c r="F59" s="9" t="s">
        <v>25</v>
      </c>
      <c r="G59" s="9" t="s">
        <v>41</v>
      </c>
      <c r="H59" s="9" t="s">
        <v>57</v>
      </c>
      <c r="I59" s="9" t="s">
        <v>35</v>
      </c>
      <c r="J59" s="10">
        <v>46247</v>
      </c>
      <c r="K59" s="10">
        <v>46250</v>
      </c>
      <c r="L59" s="9"/>
      <c r="M59" s="9"/>
      <c r="N59" s="9"/>
      <c r="O59" s="9" t="s">
        <v>15</v>
      </c>
      <c r="P59" s="7">
        <v>0.5</v>
      </c>
      <c r="Q59" s="11">
        <v>800</v>
      </c>
      <c r="R59" s="11">
        <v>0</v>
      </c>
      <c r="S59" s="9"/>
      <c r="T59" s="9"/>
      <c r="U59" s="6">
        <v>1</v>
      </c>
      <c r="V59" s="6">
        <v>1</v>
      </c>
      <c r="W59" s="9"/>
      <c r="X59" s="6">
        <v>5</v>
      </c>
      <c r="Y59" s="6">
        <v>2</v>
      </c>
      <c r="Z59" s="6">
        <v>100</v>
      </c>
      <c r="AA59" s="6">
        <v>1</v>
      </c>
      <c r="AB59" s="7">
        <v>1</v>
      </c>
      <c r="AC59" s="9"/>
      <c r="AD59" s="9" t="s">
        <v>209</v>
      </c>
      <c r="AE59" s="9" t="s">
        <v>102</v>
      </c>
      <c r="AF59" s="9" t="s">
        <v>210</v>
      </c>
      <c r="AG59" s="9"/>
      <c r="AH59" s="9"/>
      <c r="AI59" s="9"/>
      <c r="AJ59" s="9"/>
    </row>
    <row r="60" spans="1:36" ht="20" customHeight="1">
      <c r="A60" s="9">
        <v>59</v>
      </c>
      <c r="B60" s="9" t="s">
        <v>63</v>
      </c>
      <c r="C60" s="9" t="s">
        <v>108</v>
      </c>
      <c r="D60" s="9" t="s">
        <v>32</v>
      </c>
      <c r="E60" s="9" t="s">
        <v>152</v>
      </c>
      <c r="F60" s="9" t="s">
        <v>21</v>
      </c>
      <c r="G60" s="9" t="s">
        <v>42</v>
      </c>
      <c r="H60" s="9" t="s">
        <v>53</v>
      </c>
      <c r="I60" s="9" t="s">
        <v>37</v>
      </c>
      <c r="J60" s="10">
        <v>46240</v>
      </c>
      <c r="K60" s="10">
        <v>46243</v>
      </c>
      <c r="L60" s="9"/>
      <c r="M60" s="9"/>
      <c r="N60" s="9"/>
      <c r="O60" s="9" t="s">
        <v>14</v>
      </c>
      <c r="P60" s="7">
        <v>0.1</v>
      </c>
      <c r="Q60" s="11">
        <v>1800</v>
      </c>
      <c r="R60" s="11">
        <v>0</v>
      </c>
      <c r="S60" s="9"/>
      <c r="T60" s="9"/>
      <c r="U60" s="6">
        <v>4</v>
      </c>
      <c r="V60" s="6">
        <v>2</v>
      </c>
      <c r="W60" s="9"/>
      <c r="X60" s="6">
        <v>3</v>
      </c>
      <c r="Y60" s="6">
        <v>2</v>
      </c>
      <c r="Z60" s="6">
        <v>10</v>
      </c>
      <c r="AA60" s="6">
        <v>4</v>
      </c>
      <c r="AB60" s="7">
        <v>0.8</v>
      </c>
      <c r="AC60" s="9"/>
      <c r="AD60" s="9" t="s">
        <v>211</v>
      </c>
      <c r="AE60" s="9" t="s">
        <v>102</v>
      </c>
      <c r="AF60" s="9" t="s">
        <v>127</v>
      </c>
      <c r="AG60" s="9"/>
      <c r="AH60" s="9"/>
      <c r="AI60" s="9"/>
      <c r="AJ60" s="9"/>
    </row>
    <row r="61" spans="1:36" ht="20" customHeight="1">
      <c r="A61" s="9">
        <v>60</v>
      </c>
      <c r="B61" s="9" t="s">
        <v>59</v>
      </c>
      <c r="C61" s="9" t="s">
        <v>143</v>
      </c>
      <c r="D61" s="9" t="s">
        <v>32</v>
      </c>
      <c r="E61" s="9" t="s">
        <v>194</v>
      </c>
      <c r="F61" s="9" t="s">
        <v>20</v>
      </c>
      <c r="G61" s="9" t="s">
        <v>49</v>
      </c>
      <c r="H61" s="9" t="s">
        <v>56</v>
      </c>
      <c r="I61" s="9" t="s">
        <v>36</v>
      </c>
      <c r="J61" s="10">
        <v>46255</v>
      </c>
      <c r="K61" s="10">
        <v>46256</v>
      </c>
      <c r="L61" s="10">
        <v>46257</v>
      </c>
      <c r="M61" s="9"/>
      <c r="N61" s="9"/>
      <c r="O61" s="9" t="s">
        <v>17</v>
      </c>
      <c r="P61" s="7">
        <v>1</v>
      </c>
      <c r="Q61" s="11">
        <v>3000</v>
      </c>
      <c r="R61" s="11">
        <v>2742</v>
      </c>
      <c r="S61" s="9"/>
      <c r="T61" s="9"/>
      <c r="U61" s="6">
        <v>2</v>
      </c>
      <c r="V61" s="6">
        <v>1</v>
      </c>
      <c r="W61" s="9"/>
      <c r="X61" s="6">
        <v>4</v>
      </c>
      <c r="Y61" s="6">
        <v>8</v>
      </c>
      <c r="Z61" s="6">
        <v>25</v>
      </c>
      <c r="AA61" s="6">
        <v>4</v>
      </c>
      <c r="AB61" s="7">
        <v>0.8</v>
      </c>
      <c r="AC61" s="9"/>
      <c r="AD61" s="9" t="s">
        <v>212</v>
      </c>
      <c r="AE61" s="9" t="s">
        <v>102</v>
      </c>
      <c r="AF61" s="9" t="s">
        <v>107</v>
      </c>
      <c r="AG61" s="9"/>
      <c r="AH61" s="9"/>
      <c r="AI61" s="9"/>
      <c r="AJ61" s="9"/>
    </row>
    <row r="62" spans="1:36" ht="20" customHeight="1">
      <c r="A62" s="9">
        <v>61</v>
      </c>
      <c r="B62" s="9" t="s">
        <v>59</v>
      </c>
      <c r="C62" s="9" t="s">
        <v>99</v>
      </c>
      <c r="D62" s="9" t="s">
        <v>30</v>
      </c>
      <c r="E62" s="9" t="s">
        <v>133</v>
      </c>
      <c r="F62" s="9" t="s">
        <v>22</v>
      </c>
      <c r="G62" s="9" t="s">
        <v>40</v>
      </c>
      <c r="H62" s="9" t="s">
        <v>55</v>
      </c>
      <c r="I62" s="9" t="s">
        <v>35</v>
      </c>
      <c r="J62" s="10">
        <v>46256</v>
      </c>
      <c r="K62" s="10">
        <v>46258</v>
      </c>
      <c r="L62" s="9"/>
      <c r="M62" s="9"/>
      <c r="N62" s="9"/>
      <c r="O62" s="9" t="s">
        <v>13</v>
      </c>
      <c r="P62" s="7">
        <v>0</v>
      </c>
      <c r="Q62" s="11">
        <v>3000</v>
      </c>
      <c r="R62" s="11">
        <v>0</v>
      </c>
      <c r="S62" s="9"/>
      <c r="T62" s="9"/>
      <c r="U62" s="6">
        <v>5</v>
      </c>
      <c r="V62" s="6">
        <v>3</v>
      </c>
      <c r="W62" s="9"/>
      <c r="X62" s="6">
        <v>4</v>
      </c>
      <c r="Y62" s="6">
        <v>3</v>
      </c>
      <c r="Z62" s="6">
        <v>200</v>
      </c>
      <c r="AA62" s="6">
        <v>2</v>
      </c>
      <c r="AB62" s="7">
        <v>0.9</v>
      </c>
      <c r="AC62" s="9"/>
      <c r="AD62" s="9" t="s">
        <v>155</v>
      </c>
      <c r="AE62" s="9" t="s">
        <v>102</v>
      </c>
      <c r="AF62" s="9" t="s">
        <v>113</v>
      </c>
      <c r="AG62" s="9"/>
      <c r="AH62" s="9"/>
      <c r="AI62" s="9"/>
      <c r="AJ62" s="9"/>
    </row>
    <row r="63" spans="1:36" ht="20" customHeight="1">
      <c r="A63" s="9">
        <v>62</v>
      </c>
      <c r="B63" s="9" t="s">
        <v>62</v>
      </c>
      <c r="C63" s="9" t="s">
        <v>118</v>
      </c>
      <c r="D63" s="9" t="s">
        <v>27</v>
      </c>
      <c r="E63" s="9" t="s">
        <v>119</v>
      </c>
      <c r="F63" s="9" t="s">
        <v>27</v>
      </c>
      <c r="G63" s="9" t="s">
        <v>47</v>
      </c>
      <c r="H63" s="9" t="s">
        <v>52</v>
      </c>
      <c r="I63" s="9" t="s">
        <v>35</v>
      </c>
      <c r="J63" s="10">
        <v>46235</v>
      </c>
      <c r="K63" s="10">
        <v>46238</v>
      </c>
      <c r="L63" s="9"/>
      <c r="M63" s="9"/>
      <c r="N63" s="9"/>
      <c r="O63" s="9" t="s">
        <v>16</v>
      </c>
      <c r="P63" s="7">
        <v>0.2</v>
      </c>
      <c r="Q63" s="11">
        <v>3000</v>
      </c>
      <c r="R63" s="11">
        <v>0</v>
      </c>
      <c r="S63" s="9"/>
      <c r="T63" s="9"/>
      <c r="U63" s="6">
        <v>5</v>
      </c>
      <c r="V63" s="6">
        <v>4</v>
      </c>
      <c r="W63" s="9"/>
      <c r="X63" s="6">
        <v>2</v>
      </c>
      <c r="Y63" s="6">
        <v>5</v>
      </c>
      <c r="Z63" s="6">
        <v>100</v>
      </c>
      <c r="AA63" s="6">
        <v>1</v>
      </c>
      <c r="AB63" s="7">
        <v>0.6</v>
      </c>
      <c r="AC63" s="9"/>
      <c r="AD63" s="9" t="s">
        <v>213</v>
      </c>
      <c r="AE63" s="9" t="s">
        <v>102</v>
      </c>
      <c r="AF63" s="9" t="s">
        <v>214</v>
      </c>
      <c r="AG63" s="9"/>
      <c r="AH63" s="9"/>
      <c r="AI63" s="9"/>
      <c r="AJ63" s="9"/>
    </row>
    <row r="64" spans="1:36" ht="20" customHeight="1">
      <c r="A64" s="9">
        <v>63</v>
      </c>
      <c r="B64" s="9" t="s">
        <v>60</v>
      </c>
      <c r="C64" s="9" t="s">
        <v>108</v>
      </c>
      <c r="D64" s="9" t="s">
        <v>22</v>
      </c>
      <c r="E64" s="9" t="s">
        <v>138</v>
      </c>
      <c r="F64" s="9" t="s">
        <v>20</v>
      </c>
      <c r="G64" s="9" t="s">
        <v>47</v>
      </c>
      <c r="H64" s="9" t="s">
        <v>55</v>
      </c>
      <c r="I64" s="9" t="s">
        <v>35</v>
      </c>
      <c r="J64" s="10">
        <v>46236</v>
      </c>
      <c r="K64" s="10">
        <v>46240</v>
      </c>
      <c r="L64" s="9"/>
      <c r="M64" s="9"/>
      <c r="N64" s="9"/>
      <c r="O64" s="9" t="s">
        <v>14</v>
      </c>
      <c r="P64" s="7">
        <v>0.1</v>
      </c>
      <c r="Q64" s="11">
        <v>600</v>
      </c>
      <c r="R64" s="11">
        <v>0</v>
      </c>
      <c r="S64" s="9"/>
      <c r="T64" s="9"/>
      <c r="U64" s="6">
        <v>5</v>
      </c>
      <c r="V64" s="6">
        <v>1</v>
      </c>
      <c r="W64" s="9"/>
      <c r="X64" s="6">
        <v>1</v>
      </c>
      <c r="Y64" s="6">
        <v>8</v>
      </c>
      <c r="Z64" s="6">
        <v>100</v>
      </c>
      <c r="AA64" s="6">
        <v>2</v>
      </c>
      <c r="AB64" s="7">
        <v>0.6</v>
      </c>
      <c r="AC64" s="9"/>
      <c r="AD64" s="9" t="s">
        <v>215</v>
      </c>
      <c r="AE64" s="9" t="s">
        <v>102</v>
      </c>
      <c r="AF64" s="9" t="s">
        <v>117</v>
      </c>
      <c r="AG64" s="9"/>
      <c r="AH64" s="9"/>
      <c r="AI64" s="9"/>
      <c r="AJ64" s="9"/>
    </row>
    <row r="65" spans="1:36" ht="20" customHeight="1">
      <c r="A65" s="9">
        <v>64</v>
      </c>
      <c r="B65" s="9" t="s">
        <v>59</v>
      </c>
      <c r="C65" s="9" t="s">
        <v>143</v>
      </c>
      <c r="D65" s="9" t="s">
        <v>32</v>
      </c>
      <c r="E65" s="9" t="s">
        <v>133</v>
      </c>
      <c r="F65" s="9" t="s">
        <v>20</v>
      </c>
      <c r="G65" s="9" t="s">
        <v>43</v>
      </c>
      <c r="H65" s="9" t="s">
        <v>52</v>
      </c>
      <c r="I65" s="9" t="s">
        <v>38</v>
      </c>
      <c r="J65" s="10">
        <v>46244</v>
      </c>
      <c r="K65" s="10">
        <v>46245</v>
      </c>
      <c r="L65" s="9"/>
      <c r="M65" s="9"/>
      <c r="N65" s="9"/>
      <c r="O65" s="9" t="s">
        <v>14</v>
      </c>
      <c r="P65" s="7">
        <v>0.1</v>
      </c>
      <c r="Q65" s="11">
        <v>2500</v>
      </c>
      <c r="R65" s="11">
        <v>0</v>
      </c>
      <c r="S65" s="9"/>
      <c r="T65" s="9"/>
      <c r="U65" s="6">
        <v>2</v>
      </c>
      <c r="V65" s="6">
        <v>3</v>
      </c>
      <c r="W65" s="9"/>
      <c r="X65" s="6">
        <v>5</v>
      </c>
      <c r="Y65" s="6">
        <v>3</v>
      </c>
      <c r="Z65" s="6">
        <v>100</v>
      </c>
      <c r="AA65" s="6">
        <v>2</v>
      </c>
      <c r="AB65" s="7">
        <v>0.8</v>
      </c>
      <c r="AC65" s="9"/>
      <c r="AD65" s="9" t="s">
        <v>165</v>
      </c>
      <c r="AE65" s="9" t="s">
        <v>102</v>
      </c>
      <c r="AF65" s="9" t="s">
        <v>176</v>
      </c>
      <c r="AG65" s="9"/>
      <c r="AH65" s="9"/>
      <c r="AI65" s="9"/>
      <c r="AJ65" s="9"/>
    </row>
    <row r="66" spans="1:36" ht="20" customHeight="1">
      <c r="A66" s="9">
        <v>65</v>
      </c>
      <c r="B66" s="9" t="s">
        <v>63</v>
      </c>
      <c r="C66" s="9" t="s">
        <v>114</v>
      </c>
      <c r="D66" s="9" t="s">
        <v>30</v>
      </c>
      <c r="E66" s="9" t="s">
        <v>105</v>
      </c>
      <c r="F66" s="9" t="s">
        <v>23</v>
      </c>
      <c r="G66" s="9" t="s">
        <v>49</v>
      </c>
      <c r="H66" s="9" t="s">
        <v>55</v>
      </c>
      <c r="I66" s="9" t="s">
        <v>36</v>
      </c>
      <c r="J66" s="10">
        <v>46276</v>
      </c>
      <c r="K66" s="10">
        <v>46278</v>
      </c>
      <c r="L66" s="9"/>
      <c r="M66" s="9"/>
      <c r="N66" s="9"/>
      <c r="O66" s="9" t="s">
        <v>13</v>
      </c>
      <c r="P66" s="7">
        <v>0</v>
      </c>
      <c r="Q66" s="11">
        <v>1800</v>
      </c>
      <c r="R66" s="11">
        <v>0</v>
      </c>
      <c r="S66" s="9"/>
      <c r="T66" s="9"/>
      <c r="U66" s="6">
        <v>2</v>
      </c>
      <c r="V66" s="6">
        <v>3</v>
      </c>
      <c r="W66" s="9"/>
      <c r="X66" s="6">
        <v>3</v>
      </c>
      <c r="Y66" s="6">
        <v>5</v>
      </c>
      <c r="Z66" s="6">
        <v>25</v>
      </c>
      <c r="AA66" s="6">
        <v>3</v>
      </c>
      <c r="AB66" s="7">
        <v>0.6</v>
      </c>
      <c r="AC66" s="9"/>
      <c r="AD66" s="9" t="s">
        <v>216</v>
      </c>
      <c r="AE66" s="9" t="s">
        <v>102</v>
      </c>
      <c r="AF66" s="9" t="s">
        <v>159</v>
      </c>
      <c r="AG66" s="9"/>
      <c r="AH66" s="9"/>
      <c r="AI66" s="9"/>
      <c r="AJ66" s="9"/>
    </row>
    <row r="67" spans="1:36" ht="20" customHeight="1">
      <c r="A67" s="9">
        <v>66</v>
      </c>
      <c r="B67" s="9" t="s">
        <v>63</v>
      </c>
      <c r="C67" s="9" t="s">
        <v>104</v>
      </c>
      <c r="D67" s="9" t="s">
        <v>32</v>
      </c>
      <c r="E67" s="9" t="s">
        <v>138</v>
      </c>
      <c r="F67" s="9" t="s">
        <v>26</v>
      </c>
      <c r="G67" s="9" t="s">
        <v>48</v>
      </c>
      <c r="H67" s="9" t="s">
        <v>55</v>
      </c>
      <c r="I67" s="9" t="s">
        <v>35</v>
      </c>
      <c r="J67" s="10">
        <v>46274</v>
      </c>
      <c r="K67" s="10">
        <v>46277</v>
      </c>
      <c r="L67" s="9"/>
      <c r="M67" s="9"/>
      <c r="N67" s="9"/>
      <c r="O67" s="9" t="s">
        <v>16</v>
      </c>
      <c r="P67" s="7">
        <v>0.4</v>
      </c>
      <c r="Q67" s="11">
        <v>2500</v>
      </c>
      <c r="R67" s="11">
        <v>0</v>
      </c>
      <c r="S67" s="9"/>
      <c r="T67" s="9"/>
      <c r="U67" s="6">
        <v>4</v>
      </c>
      <c r="V67" s="6">
        <v>3</v>
      </c>
      <c r="W67" s="9"/>
      <c r="X67" s="6">
        <v>5</v>
      </c>
      <c r="Y67" s="6">
        <v>2</v>
      </c>
      <c r="Z67" s="6">
        <v>50</v>
      </c>
      <c r="AA67" s="6">
        <v>3</v>
      </c>
      <c r="AB67" s="7">
        <v>0.6</v>
      </c>
      <c r="AC67" s="9"/>
      <c r="AD67" s="9" t="s">
        <v>217</v>
      </c>
      <c r="AE67" s="9" t="s">
        <v>102</v>
      </c>
      <c r="AF67" s="9" t="s">
        <v>149</v>
      </c>
      <c r="AG67" s="9"/>
      <c r="AH67" s="9"/>
      <c r="AI67" s="9"/>
      <c r="AJ67" s="9"/>
    </row>
    <row r="68" spans="1:36" ht="20" customHeight="1">
      <c r="A68" s="9">
        <v>67</v>
      </c>
      <c r="B68" s="9" t="s">
        <v>62</v>
      </c>
      <c r="C68" s="9" t="s">
        <v>99</v>
      </c>
      <c r="D68" s="9" t="s">
        <v>30</v>
      </c>
      <c r="E68" s="9" t="s">
        <v>105</v>
      </c>
      <c r="F68" s="9" t="s">
        <v>19</v>
      </c>
      <c r="G68" s="9" t="s">
        <v>44</v>
      </c>
      <c r="H68" s="9" t="s">
        <v>57</v>
      </c>
      <c r="I68" s="9" t="s">
        <v>37</v>
      </c>
      <c r="J68" s="10">
        <v>46275</v>
      </c>
      <c r="K68" s="10">
        <v>46279</v>
      </c>
      <c r="L68" s="10">
        <v>46279</v>
      </c>
      <c r="M68" s="9"/>
      <c r="N68" s="9"/>
      <c r="O68" s="9" t="s">
        <v>17</v>
      </c>
      <c r="P68" s="7">
        <v>1</v>
      </c>
      <c r="Q68" s="11">
        <v>0</v>
      </c>
      <c r="R68" s="11">
        <v>0</v>
      </c>
      <c r="S68" s="9"/>
      <c r="T68" s="9"/>
      <c r="U68" s="6">
        <v>3</v>
      </c>
      <c r="V68" s="6">
        <v>5</v>
      </c>
      <c r="W68" s="9"/>
      <c r="X68" s="6">
        <v>4</v>
      </c>
      <c r="Y68" s="6">
        <v>5</v>
      </c>
      <c r="Z68" s="6">
        <v>200</v>
      </c>
      <c r="AA68" s="6">
        <v>3</v>
      </c>
      <c r="AB68" s="7">
        <v>0.6</v>
      </c>
      <c r="AC68" s="9"/>
      <c r="AD68" s="9" t="s">
        <v>218</v>
      </c>
      <c r="AE68" s="9" t="s">
        <v>102</v>
      </c>
      <c r="AF68" s="9" t="s">
        <v>103</v>
      </c>
      <c r="AG68" s="9"/>
      <c r="AH68" s="9"/>
      <c r="AI68" s="9"/>
      <c r="AJ68" s="9"/>
    </row>
    <row r="69" spans="1:36" ht="20" customHeight="1">
      <c r="A69" s="9">
        <v>68</v>
      </c>
      <c r="B69" s="9" t="s">
        <v>60</v>
      </c>
      <c r="C69" s="9" t="s">
        <v>114</v>
      </c>
      <c r="D69" s="9" t="s">
        <v>30</v>
      </c>
      <c r="E69" s="9" t="s">
        <v>105</v>
      </c>
      <c r="F69" s="9" t="s">
        <v>19</v>
      </c>
      <c r="G69" s="9" t="s">
        <v>40</v>
      </c>
      <c r="H69" s="9" t="s">
        <v>51</v>
      </c>
      <c r="I69" s="9" t="s">
        <v>35</v>
      </c>
      <c r="J69" s="10">
        <v>46284</v>
      </c>
      <c r="K69" s="10">
        <v>46286</v>
      </c>
      <c r="L69" s="9"/>
      <c r="M69" s="9"/>
      <c r="N69" s="9"/>
      <c r="O69" s="9" t="s">
        <v>15</v>
      </c>
      <c r="P69" s="7">
        <v>0.3</v>
      </c>
      <c r="Q69" s="11">
        <v>600</v>
      </c>
      <c r="R69" s="11">
        <v>0</v>
      </c>
      <c r="S69" s="9"/>
      <c r="T69" s="9"/>
      <c r="U69" s="6">
        <v>5</v>
      </c>
      <c r="V69" s="6">
        <v>2</v>
      </c>
      <c r="W69" s="9"/>
      <c r="X69" s="6">
        <v>4</v>
      </c>
      <c r="Y69" s="6">
        <v>8</v>
      </c>
      <c r="Z69" s="6">
        <v>50</v>
      </c>
      <c r="AA69" s="6">
        <v>5</v>
      </c>
      <c r="AB69" s="7">
        <v>0.7</v>
      </c>
      <c r="AC69" s="9"/>
      <c r="AD69" s="9" t="s">
        <v>219</v>
      </c>
      <c r="AE69" s="9" t="s">
        <v>102</v>
      </c>
      <c r="AF69" s="9" t="s">
        <v>196</v>
      </c>
      <c r="AG69" s="9"/>
      <c r="AH69" s="9"/>
      <c r="AI69" s="9"/>
      <c r="AJ69" s="9"/>
    </row>
    <row r="70" spans="1:36" ht="20" customHeight="1">
      <c r="A70" s="9">
        <v>69</v>
      </c>
      <c r="B70" s="9" t="s">
        <v>60</v>
      </c>
      <c r="C70" s="9" t="s">
        <v>108</v>
      </c>
      <c r="D70" s="9" t="s">
        <v>31</v>
      </c>
      <c r="E70" s="9" t="s">
        <v>119</v>
      </c>
      <c r="F70" s="9" t="s">
        <v>21</v>
      </c>
      <c r="G70" s="9" t="s">
        <v>42</v>
      </c>
      <c r="H70" s="9" t="s">
        <v>51</v>
      </c>
      <c r="I70" s="9" t="s">
        <v>36</v>
      </c>
      <c r="J70" s="10">
        <v>46270</v>
      </c>
      <c r="K70" s="10">
        <v>46272</v>
      </c>
      <c r="L70" s="9"/>
      <c r="M70" s="9"/>
      <c r="N70" s="9"/>
      <c r="O70" s="9" t="s">
        <v>13</v>
      </c>
      <c r="P70" s="7">
        <v>0</v>
      </c>
      <c r="Q70" s="11">
        <v>800</v>
      </c>
      <c r="R70" s="11">
        <v>0</v>
      </c>
      <c r="S70" s="9"/>
      <c r="T70" s="9"/>
      <c r="U70" s="6">
        <v>3</v>
      </c>
      <c r="V70" s="6">
        <v>4</v>
      </c>
      <c r="W70" s="9"/>
      <c r="X70" s="6">
        <v>3</v>
      </c>
      <c r="Y70" s="6">
        <v>1</v>
      </c>
      <c r="Z70" s="6">
        <v>10</v>
      </c>
      <c r="AA70" s="6">
        <v>5</v>
      </c>
      <c r="AB70" s="7">
        <v>0.8</v>
      </c>
      <c r="AC70" s="9"/>
      <c r="AD70" s="9" t="s">
        <v>220</v>
      </c>
      <c r="AE70" s="9" t="s">
        <v>102</v>
      </c>
      <c r="AF70" s="9" t="s">
        <v>221</v>
      </c>
      <c r="AG70" s="9"/>
      <c r="AH70" s="9"/>
      <c r="AI70" s="9"/>
      <c r="AJ70" s="9"/>
    </row>
    <row r="71" spans="1:36" ht="20" customHeight="1">
      <c r="A71" s="9">
        <v>70</v>
      </c>
      <c r="B71" s="9" t="s">
        <v>63</v>
      </c>
      <c r="C71" s="9" t="s">
        <v>118</v>
      </c>
      <c r="D71" s="9" t="s">
        <v>31</v>
      </c>
      <c r="E71" s="9" t="s">
        <v>119</v>
      </c>
      <c r="F71" s="9" t="s">
        <v>27</v>
      </c>
      <c r="G71" s="9" t="s">
        <v>47</v>
      </c>
      <c r="H71" s="9" t="s">
        <v>52</v>
      </c>
      <c r="I71" s="9" t="s">
        <v>36</v>
      </c>
      <c r="J71" s="10">
        <v>46266</v>
      </c>
      <c r="K71" s="10">
        <v>46266</v>
      </c>
      <c r="L71" s="9"/>
      <c r="M71" s="9"/>
      <c r="N71" s="9"/>
      <c r="O71" s="9" t="s">
        <v>13</v>
      </c>
      <c r="P71" s="7">
        <v>0</v>
      </c>
      <c r="Q71" s="11">
        <v>1800</v>
      </c>
      <c r="R71" s="11">
        <v>0</v>
      </c>
      <c r="S71" s="9"/>
      <c r="T71" s="9"/>
      <c r="U71" s="6">
        <v>2</v>
      </c>
      <c r="V71" s="6">
        <v>2</v>
      </c>
      <c r="W71" s="9"/>
      <c r="X71" s="6">
        <v>2</v>
      </c>
      <c r="Y71" s="6">
        <v>1</v>
      </c>
      <c r="Z71" s="6">
        <v>10</v>
      </c>
      <c r="AA71" s="6">
        <v>1</v>
      </c>
      <c r="AB71" s="7">
        <v>1</v>
      </c>
      <c r="AC71" s="9"/>
      <c r="AD71" s="9" t="s">
        <v>222</v>
      </c>
      <c r="AE71" s="9" t="s">
        <v>102</v>
      </c>
      <c r="AF71" s="9" t="s">
        <v>214</v>
      </c>
      <c r="AG71" s="9"/>
      <c r="AH71" s="9"/>
      <c r="AI71" s="9"/>
      <c r="AJ71" s="9"/>
    </row>
    <row r="72" spans="1:36" ht="20" customHeight="1">
      <c r="A72" s="9">
        <v>71</v>
      </c>
      <c r="B72" s="9" t="s">
        <v>63</v>
      </c>
      <c r="C72" s="9" t="s">
        <v>118</v>
      </c>
      <c r="D72" s="9" t="s">
        <v>30</v>
      </c>
      <c r="E72" s="9" t="s">
        <v>111</v>
      </c>
      <c r="F72" s="9" t="s">
        <v>25</v>
      </c>
      <c r="G72" s="9" t="s">
        <v>43</v>
      </c>
      <c r="H72" s="9" t="s">
        <v>55</v>
      </c>
      <c r="I72" s="9" t="s">
        <v>38</v>
      </c>
      <c r="J72" s="10">
        <v>46285</v>
      </c>
      <c r="K72" s="10">
        <v>46286</v>
      </c>
      <c r="L72" s="10">
        <v>46286</v>
      </c>
      <c r="M72" s="9"/>
      <c r="N72" s="9"/>
      <c r="O72" s="9" t="s">
        <v>17</v>
      </c>
      <c r="P72" s="7">
        <v>1</v>
      </c>
      <c r="Q72" s="11">
        <v>0</v>
      </c>
      <c r="R72" s="11">
        <v>0</v>
      </c>
      <c r="S72" s="9"/>
      <c r="T72" s="9"/>
      <c r="U72" s="6">
        <v>4</v>
      </c>
      <c r="V72" s="6">
        <v>5</v>
      </c>
      <c r="W72" s="9"/>
      <c r="X72" s="6">
        <v>1</v>
      </c>
      <c r="Y72" s="6">
        <v>5</v>
      </c>
      <c r="Z72" s="6">
        <v>100</v>
      </c>
      <c r="AA72" s="6">
        <v>4</v>
      </c>
      <c r="AB72" s="7">
        <v>0.6</v>
      </c>
      <c r="AC72" s="9"/>
      <c r="AD72" s="9" t="s">
        <v>223</v>
      </c>
      <c r="AE72" s="9" t="s">
        <v>102</v>
      </c>
      <c r="AF72" s="9" t="s">
        <v>182</v>
      </c>
      <c r="AG72" s="9"/>
      <c r="AH72" s="9"/>
      <c r="AI72" s="9"/>
      <c r="AJ72" s="9"/>
    </row>
    <row r="73" spans="1:36" ht="20" customHeight="1">
      <c r="A73" s="9">
        <v>72</v>
      </c>
      <c r="B73" s="9" t="s">
        <v>62</v>
      </c>
      <c r="C73" s="9" t="s">
        <v>99</v>
      </c>
      <c r="D73" s="9" t="s">
        <v>30</v>
      </c>
      <c r="E73" s="9" t="s">
        <v>123</v>
      </c>
      <c r="F73" s="9" t="s">
        <v>23</v>
      </c>
      <c r="G73" s="9" t="s">
        <v>43</v>
      </c>
      <c r="H73" s="9" t="s">
        <v>56</v>
      </c>
      <c r="I73" s="9" t="s">
        <v>35</v>
      </c>
      <c r="J73" s="10">
        <v>46269</v>
      </c>
      <c r="K73" s="10">
        <v>46271</v>
      </c>
      <c r="L73" s="9"/>
      <c r="M73" s="9"/>
      <c r="N73" s="9"/>
      <c r="O73" s="9" t="s">
        <v>15</v>
      </c>
      <c r="P73" s="7">
        <v>0.7</v>
      </c>
      <c r="Q73" s="11">
        <v>2500</v>
      </c>
      <c r="R73" s="11">
        <v>0</v>
      </c>
      <c r="S73" s="9"/>
      <c r="T73" s="9"/>
      <c r="U73" s="6">
        <v>5</v>
      </c>
      <c r="V73" s="6">
        <v>4</v>
      </c>
      <c r="W73" s="9"/>
      <c r="X73" s="6">
        <v>5</v>
      </c>
      <c r="Y73" s="6">
        <v>3</v>
      </c>
      <c r="Z73" s="6">
        <v>50</v>
      </c>
      <c r="AA73" s="6">
        <v>2</v>
      </c>
      <c r="AB73" s="7">
        <v>0.6</v>
      </c>
      <c r="AC73" s="9"/>
      <c r="AD73" s="9" t="s">
        <v>224</v>
      </c>
      <c r="AE73" s="9" t="s">
        <v>102</v>
      </c>
      <c r="AF73" s="9" t="s">
        <v>121</v>
      </c>
      <c r="AG73" s="9"/>
      <c r="AH73" s="9"/>
      <c r="AI73" s="9"/>
      <c r="AJ73" s="9"/>
    </row>
    <row r="74" spans="1:36" ht="20" customHeight="1">
      <c r="A74" s="9">
        <v>73</v>
      </c>
      <c r="B74" s="9" t="s">
        <v>63</v>
      </c>
      <c r="C74" s="9" t="s">
        <v>104</v>
      </c>
      <c r="D74" s="9" t="s">
        <v>30</v>
      </c>
      <c r="E74" s="9" t="s">
        <v>160</v>
      </c>
      <c r="F74" s="9" t="s">
        <v>22</v>
      </c>
      <c r="G74" s="9" t="s">
        <v>43</v>
      </c>
      <c r="H74" s="9" t="s">
        <v>52</v>
      </c>
      <c r="I74" s="9" t="s">
        <v>37</v>
      </c>
      <c r="J74" s="10">
        <v>46302</v>
      </c>
      <c r="K74" s="10">
        <v>46304</v>
      </c>
      <c r="L74" s="9"/>
      <c r="M74" s="9"/>
      <c r="N74" s="9"/>
      <c r="O74" s="9" t="s">
        <v>15</v>
      </c>
      <c r="P74" s="7">
        <v>0.7</v>
      </c>
      <c r="Q74" s="11">
        <v>1800</v>
      </c>
      <c r="R74" s="11">
        <v>0</v>
      </c>
      <c r="S74" s="9"/>
      <c r="T74" s="9"/>
      <c r="U74" s="6">
        <v>5</v>
      </c>
      <c r="V74" s="6">
        <v>4</v>
      </c>
      <c r="W74" s="9"/>
      <c r="X74" s="6">
        <v>4</v>
      </c>
      <c r="Y74" s="6">
        <v>8</v>
      </c>
      <c r="Z74" s="6">
        <v>10</v>
      </c>
      <c r="AA74" s="6">
        <v>1</v>
      </c>
      <c r="AB74" s="7">
        <v>0.9</v>
      </c>
      <c r="AC74" s="9"/>
      <c r="AD74" s="9" t="s">
        <v>225</v>
      </c>
      <c r="AE74" s="9" t="s">
        <v>102</v>
      </c>
      <c r="AF74" s="9" t="s">
        <v>186</v>
      </c>
      <c r="AG74" s="9"/>
      <c r="AH74" s="9"/>
      <c r="AI74" s="9"/>
      <c r="AJ74" s="9"/>
    </row>
    <row r="75" spans="1:36" ht="20" customHeight="1">
      <c r="A75" s="9">
        <v>74</v>
      </c>
      <c r="B75" s="9" t="s">
        <v>60</v>
      </c>
      <c r="C75" s="9" t="s">
        <v>143</v>
      </c>
      <c r="D75" s="9" t="s">
        <v>27</v>
      </c>
      <c r="E75" s="9" t="s">
        <v>130</v>
      </c>
      <c r="F75" s="9" t="s">
        <v>25</v>
      </c>
      <c r="G75" s="9" t="s">
        <v>49</v>
      </c>
      <c r="H75" s="9" t="s">
        <v>55</v>
      </c>
      <c r="I75" s="9" t="s">
        <v>35</v>
      </c>
      <c r="J75" s="10">
        <v>46314</v>
      </c>
      <c r="K75" s="10">
        <v>46315</v>
      </c>
      <c r="L75" s="9"/>
      <c r="M75" s="9"/>
      <c r="N75" s="9"/>
      <c r="O75" s="9" t="s">
        <v>14</v>
      </c>
      <c r="P75" s="7">
        <v>0.1</v>
      </c>
      <c r="Q75" s="11">
        <v>500</v>
      </c>
      <c r="R75" s="11">
        <v>0</v>
      </c>
      <c r="S75" s="9"/>
      <c r="T75" s="9"/>
      <c r="U75" s="6">
        <v>1</v>
      </c>
      <c r="V75" s="6">
        <v>5</v>
      </c>
      <c r="W75" s="9"/>
      <c r="X75" s="6">
        <v>2</v>
      </c>
      <c r="Y75" s="6">
        <v>3</v>
      </c>
      <c r="Z75" s="6">
        <v>25</v>
      </c>
      <c r="AA75" s="6">
        <v>1</v>
      </c>
      <c r="AB75" s="7">
        <v>0.6</v>
      </c>
      <c r="AC75" s="9"/>
      <c r="AD75" s="9" t="s">
        <v>146</v>
      </c>
      <c r="AE75" s="9" t="s">
        <v>102</v>
      </c>
      <c r="AF75" s="9" t="s">
        <v>182</v>
      </c>
      <c r="AG75" s="9"/>
      <c r="AH75" s="9"/>
      <c r="AI75" s="9"/>
      <c r="AJ75" s="9"/>
    </row>
    <row r="76" spans="1:36" ht="20" customHeight="1">
      <c r="A76" s="9">
        <v>75</v>
      </c>
      <c r="B76" s="9" t="s">
        <v>59</v>
      </c>
      <c r="C76" s="9" t="s">
        <v>99</v>
      </c>
      <c r="D76" s="9" t="s">
        <v>32</v>
      </c>
      <c r="E76" s="9" t="s">
        <v>100</v>
      </c>
      <c r="F76" s="9" t="s">
        <v>19</v>
      </c>
      <c r="G76" s="9" t="s">
        <v>41</v>
      </c>
      <c r="H76" s="9" t="s">
        <v>56</v>
      </c>
      <c r="I76" s="9" t="s">
        <v>35</v>
      </c>
      <c r="J76" s="10">
        <v>46298</v>
      </c>
      <c r="K76" s="10">
        <v>46301</v>
      </c>
      <c r="L76" s="9"/>
      <c r="M76" s="9"/>
      <c r="N76" s="9"/>
      <c r="O76" s="9" t="s">
        <v>15</v>
      </c>
      <c r="P76" s="7">
        <v>0.3</v>
      </c>
      <c r="Q76" s="11">
        <v>500</v>
      </c>
      <c r="R76" s="11">
        <v>0</v>
      </c>
      <c r="S76" s="9"/>
      <c r="T76" s="9"/>
      <c r="U76" s="6">
        <v>4</v>
      </c>
      <c r="V76" s="6">
        <v>1</v>
      </c>
      <c r="W76" s="9"/>
      <c r="X76" s="6">
        <v>2</v>
      </c>
      <c r="Y76" s="6">
        <v>2</v>
      </c>
      <c r="Z76" s="6">
        <v>25</v>
      </c>
      <c r="AA76" s="6">
        <v>1</v>
      </c>
      <c r="AB76" s="7">
        <v>0.6</v>
      </c>
      <c r="AC76" s="9"/>
      <c r="AD76" s="9" t="s">
        <v>226</v>
      </c>
      <c r="AE76" s="9" t="s">
        <v>102</v>
      </c>
      <c r="AF76" s="9" t="s">
        <v>227</v>
      </c>
      <c r="AG76" s="9"/>
      <c r="AH76" s="9"/>
      <c r="AI76" s="9"/>
      <c r="AJ76" s="9"/>
    </row>
    <row r="77" spans="1:36" ht="20" customHeight="1">
      <c r="A77" s="9">
        <v>76</v>
      </c>
      <c r="B77" s="9" t="s">
        <v>59</v>
      </c>
      <c r="C77" s="9" t="s">
        <v>122</v>
      </c>
      <c r="D77" s="9" t="s">
        <v>33</v>
      </c>
      <c r="E77" s="9" t="s">
        <v>100</v>
      </c>
      <c r="F77" s="9" t="s">
        <v>20</v>
      </c>
      <c r="G77" s="9" t="s">
        <v>44</v>
      </c>
      <c r="H77" s="9" t="s">
        <v>54</v>
      </c>
      <c r="I77" s="9" t="s">
        <v>35</v>
      </c>
      <c r="J77" s="10">
        <v>46300</v>
      </c>
      <c r="K77" s="10">
        <v>46300</v>
      </c>
      <c r="L77" s="9"/>
      <c r="M77" s="9"/>
      <c r="N77" s="9"/>
      <c r="O77" s="9" t="s">
        <v>14</v>
      </c>
      <c r="P77" s="7">
        <v>0.1</v>
      </c>
      <c r="Q77" s="11">
        <v>600</v>
      </c>
      <c r="R77" s="11">
        <v>0</v>
      </c>
      <c r="S77" s="9"/>
      <c r="T77" s="9"/>
      <c r="U77" s="6">
        <v>4</v>
      </c>
      <c r="V77" s="6">
        <v>3</v>
      </c>
      <c r="W77" s="9"/>
      <c r="X77" s="6">
        <v>1</v>
      </c>
      <c r="Y77" s="6">
        <v>3</v>
      </c>
      <c r="Z77" s="6">
        <v>50</v>
      </c>
      <c r="AA77" s="6">
        <v>3</v>
      </c>
      <c r="AB77" s="7">
        <v>0.6</v>
      </c>
      <c r="AC77" s="9"/>
      <c r="AD77" s="9" t="s">
        <v>228</v>
      </c>
      <c r="AE77" s="9" t="s">
        <v>102</v>
      </c>
      <c r="AF77" s="9" t="s">
        <v>180</v>
      </c>
      <c r="AG77" s="9"/>
      <c r="AH77" s="9"/>
      <c r="AI77" s="9"/>
      <c r="AJ77" s="9"/>
    </row>
    <row r="78" spans="1:36" ht="20" customHeight="1">
      <c r="A78" s="9">
        <v>77</v>
      </c>
      <c r="B78" s="9" t="s">
        <v>61</v>
      </c>
      <c r="C78" s="9" t="s">
        <v>108</v>
      </c>
      <c r="D78" s="9" t="s">
        <v>33</v>
      </c>
      <c r="E78" s="9" t="s">
        <v>105</v>
      </c>
      <c r="F78" s="9" t="s">
        <v>27</v>
      </c>
      <c r="G78" s="9" t="s">
        <v>47</v>
      </c>
      <c r="H78" s="9" t="s">
        <v>57</v>
      </c>
      <c r="I78" s="9" t="s">
        <v>37</v>
      </c>
      <c r="J78" s="10">
        <v>46315</v>
      </c>
      <c r="K78" s="10">
        <v>46319</v>
      </c>
      <c r="L78" s="9"/>
      <c r="M78" s="9"/>
      <c r="N78" s="9"/>
      <c r="O78" s="9" t="s">
        <v>13</v>
      </c>
      <c r="P78" s="7">
        <v>0</v>
      </c>
      <c r="Q78" s="11">
        <v>1800</v>
      </c>
      <c r="R78" s="11">
        <v>0</v>
      </c>
      <c r="S78" s="9"/>
      <c r="T78" s="9"/>
      <c r="U78" s="6">
        <v>5</v>
      </c>
      <c r="V78" s="6">
        <v>1</v>
      </c>
      <c r="W78" s="9"/>
      <c r="X78" s="6">
        <v>3</v>
      </c>
      <c r="Y78" s="6">
        <v>5</v>
      </c>
      <c r="Z78" s="6">
        <v>10</v>
      </c>
      <c r="AA78" s="6">
        <v>5</v>
      </c>
      <c r="AB78" s="7">
        <v>1</v>
      </c>
      <c r="AC78" s="9"/>
      <c r="AD78" s="9" t="s">
        <v>229</v>
      </c>
      <c r="AE78" s="9" t="s">
        <v>102</v>
      </c>
      <c r="AF78" s="9" t="s">
        <v>137</v>
      </c>
      <c r="AG78" s="9"/>
      <c r="AH78" s="9"/>
      <c r="AI78" s="9"/>
      <c r="AJ78" s="9"/>
    </row>
    <row r="79" spans="1:36" ht="20" customHeight="1">
      <c r="A79" s="9">
        <v>78</v>
      </c>
      <c r="B79" s="9" t="s">
        <v>60</v>
      </c>
      <c r="C79" s="9" t="s">
        <v>118</v>
      </c>
      <c r="D79" s="9" t="s">
        <v>33</v>
      </c>
      <c r="E79" s="9" t="s">
        <v>123</v>
      </c>
      <c r="F79" s="9" t="s">
        <v>23</v>
      </c>
      <c r="G79" s="9" t="s">
        <v>42</v>
      </c>
      <c r="H79" s="9" t="s">
        <v>54</v>
      </c>
      <c r="I79" s="9" t="s">
        <v>35</v>
      </c>
      <c r="J79" s="10">
        <v>46312</v>
      </c>
      <c r="K79" s="10">
        <v>46313</v>
      </c>
      <c r="L79" s="9"/>
      <c r="M79" s="9"/>
      <c r="N79" s="9"/>
      <c r="O79" s="9" t="s">
        <v>15</v>
      </c>
      <c r="P79" s="7">
        <v>0.3</v>
      </c>
      <c r="Q79" s="11">
        <v>600</v>
      </c>
      <c r="R79" s="11">
        <v>0</v>
      </c>
      <c r="S79" s="9"/>
      <c r="T79" s="9"/>
      <c r="U79" s="6">
        <v>4</v>
      </c>
      <c r="V79" s="6">
        <v>1</v>
      </c>
      <c r="W79" s="9"/>
      <c r="X79" s="6">
        <v>4</v>
      </c>
      <c r="Y79" s="6">
        <v>2</v>
      </c>
      <c r="Z79" s="6">
        <v>100</v>
      </c>
      <c r="AA79" s="6">
        <v>5</v>
      </c>
      <c r="AB79" s="7">
        <v>0.8</v>
      </c>
      <c r="AC79" s="9"/>
      <c r="AD79" s="9" t="s">
        <v>204</v>
      </c>
      <c r="AE79" s="9" t="s">
        <v>102</v>
      </c>
      <c r="AF79" s="9" t="s">
        <v>184</v>
      </c>
      <c r="AG79" s="9"/>
      <c r="AH79" s="9"/>
      <c r="AI79" s="9"/>
      <c r="AJ79" s="9"/>
    </row>
    <row r="80" spans="1:36" ht="20" customHeight="1">
      <c r="A80" s="9">
        <v>79</v>
      </c>
      <c r="B80" s="9" t="s">
        <v>63</v>
      </c>
      <c r="C80" s="9" t="s">
        <v>108</v>
      </c>
      <c r="D80" s="9" t="s">
        <v>31</v>
      </c>
      <c r="E80" s="9" t="s">
        <v>111</v>
      </c>
      <c r="F80" s="9" t="s">
        <v>23</v>
      </c>
      <c r="G80" s="9" t="s">
        <v>43</v>
      </c>
      <c r="H80" s="9" t="s">
        <v>56</v>
      </c>
      <c r="I80" s="9" t="s">
        <v>36</v>
      </c>
      <c r="J80" s="10">
        <v>46311</v>
      </c>
      <c r="K80" s="10">
        <v>46312</v>
      </c>
      <c r="L80" s="9"/>
      <c r="M80" s="9"/>
      <c r="N80" s="9"/>
      <c r="O80" s="9" t="s">
        <v>13</v>
      </c>
      <c r="P80" s="7">
        <v>0</v>
      </c>
      <c r="Q80" s="11">
        <v>3000</v>
      </c>
      <c r="R80" s="11">
        <v>0</v>
      </c>
      <c r="S80" s="9"/>
      <c r="T80" s="9"/>
      <c r="U80" s="6">
        <v>5</v>
      </c>
      <c r="V80" s="6">
        <v>1</v>
      </c>
      <c r="W80" s="9"/>
      <c r="X80" s="6">
        <v>3</v>
      </c>
      <c r="Y80" s="6">
        <v>3</v>
      </c>
      <c r="Z80" s="6">
        <v>10</v>
      </c>
      <c r="AA80" s="6">
        <v>4</v>
      </c>
      <c r="AB80" s="7">
        <v>0.9</v>
      </c>
      <c r="AC80" s="9"/>
      <c r="AD80" s="9" t="s">
        <v>230</v>
      </c>
      <c r="AE80" s="9" t="s">
        <v>102</v>
      </c>
      <c r="AF80" s="9" t="s">
        <v>121</v>
      </c>
      <c r="AG80" s="9"/>
      <c r="AH80" s="9"/>
      <c r="AI80" s="9"/>
      <c r="AJ80" s="9"/>
    </row>
    <row r="81" spans="1:36" ht="20" customHeight="1">
      <c r="A81" s="9">
        <v>80</v>
      </c>
      <c r="B81" s="9" t="s">
        <v>59</v>
      </c>
      <c r="C81" s="9" t="s">
        <v>114</v>
      </c>
      <c r="D81" s="9" t="s">
        <v>32</v>
      </c>
      <c r="E81" s="9" t="s">
        <v>115</v>
      </c>
      <c r="F81" s="9" t="s">
        <v>24</v>
      </c>
      <c r="G81" s="9" t="s">
        <v>43</v>
      </c>
      <c r="H81" s="9" t="s">
        <v>53</v>
      </c>
      <c r="I81" s="9" t="s">
        <v>37</v>
      </c>
      <c r="J81" s="10">
        <v>46309</v>
      </c>
      <c r="K81" s="10">
        <v>46312</v>
      </c>
      <c r="L81" s="10">
        <v>46312</v>
      </c>
      <c r="M81" s="9"/>
      <c r="N81" s="9"/>
      <c r="O81" s="9" t="s">
        <v>17</v>
      </c>
      <c r="P81" s="7">
        <v>1</v>
      </c>
      <c r="Q81" s="11">
        <v>1200</v>
      </c>
      <c r="R81" s="11">
        <v>1416</v>
      </c>
      <c r="S81" s="9"/>
      <c r="T81" s="9"/>
      <c r="U81" s="6">
        <v>2</v>
      </c>
      <c r="V81" s="6">
        <v>5</v>
      </c>
      <c r="W81" s="9"/>
      <c r="X81" s="6">
        <v>5</v>
      </c>
      <c r="Y81" s="6">
        <v>8</v>
      </c>
      <c r="Z81" s="6">
        <v>10</v>
      </c>
      <c r="AA81" s="6">
        <v>3</v>
      </c>
      <c r="AB81" s="7">
        <v>1</v>
      </c>
      <c r="AC81" s="9"/>
      <c r="AD81" s="9" t="s">
        <v>231</v>
      </c>
      <c r="AE81" s="9" t="s">
        <v>102</v>
      </c>
      <c r="AF81" s="9" t="s">
        <v>156</v>
      </c>
      <c r="AG81" s="9"/>
      <c r="AH81" s="9"/>
      <c r="AI81" s="9"/>
      <c r="AJ81" s="9"/>
    </row>
    <row r="82" spans="1:36" ht="20" customHeight="1">
      <c r="A82" s="9">
        <v>81</v>
      </c>
      <c r="B82" s="9" t="s">
        <v>61</v>
      </c>
      <c r="C82" s="9" t="s">
        <v>143</v>
      </c>
      <c r="D82" s="9" t="s">
        <v>30</v>
      </c>
      <c r="E82" s="9" t="s">
        <v>119</v>
      </c>
      <c r="F82" s="9" t="s">
        <v>27</v>
      </c>
      <c r="G82" s="9" t="s">
        <v>45</v>
      </c>
      <c r="H82" s="9" t="s">
        <v>52</v>
      </c>
      <c r="I82" s="9" t="s">
        <v>38</v>
      </c>
      <c r="J82" s="10">
        <v>46341</v>
      </c>
      <c r="K82" s="10">
        <v>46345</v>
      </c>
      <c r="L82" s="9"/>
      <c r="M82" s="9"/>
      <c r="N82" s="9"/>
      <c r="O82" s="9" t="s">
        <v>15</v>
      </c>
      <c r="P82" s="7">
        <v>0.7</v>
      </c>
      <c r="Q82" s="11">
        <v>800</v>
      </c>
      <c r="R82" s="11">
        <v>0</v>
      </c>
      <c r="S82" s="9"/>
      <c r="T82" s="9"/>
      <c r="U82" s="6">
        <v>3</v>
      </c>
      <c r="V82" s="6">
        <v>4</v>
      </c>
      <c r="W82" s="9"/>
      <c r="X82" s="6">
        <v>2</v>
      </c>
      <c r="Y82" s="6">
        <v>8</v>
      </c>
      <c r="Z82" s="6">
        <v>25</v>
      </c>
      <c r="AA82" s="6">
        <v>3</v>
      </c>
      <c r="AB82" s="7">
        <v>0.8</v>
      </c>
      <c r="AC82" s="9"/>
      <c r="AD82" s="9" t="s">
        <v>232</v>
      </c>
      <c r="AE82" s="9" t="s">
        <v>102</v>
      </c>
      <c r="AF82" s="9" t="s">
        <v>214</v>
      </c>
      <c r="AG82" s="9"/>
      <c r="AH82" s="9"/>
      <c r="AI82" s="9"/>
      <c r="AJ82" s="9"/>
    </row>
    <row r="83" spans="1:36" ht="20" customHeight="1">
      <c r="A83" s="9">
        <v>82</v>
      </c>
      <c r="B83" s="9" t="s">
        <v>63</v>
      </c>
      <c r="C83" s="9" t="s">
        <v>99</v>
      </c>
      <c r="D83" s="9" t="s">
        <v>32</v>
      </c>
      <c r="E83" s="9" t="s">
        <v>111</v>
      </c>
      <c r="F83" s="9" t="s">
        <v>22</v>
      </c>
      <c r="G83" s="9" t="s">
        <v>45</v>
      </c>
      <c r="H83" s="9" t="s">
        <v>55</v>
      </c>
      <c r="I83" s="9" t="s">
        <v>37</v>
      </c>
      <c r="J83" s="10">
        <v>46332</v>
      </c>
      <c r="K83" s="10">
        <v>46333</v>
      </c>
      <c r="L83" s="9"/>
      <c r="M83" s="9"/>
      <c r="N83" s="9"/>
      <c r="O83" s="9" t="s">
        <v>15</v>
      </c>
      <c r="P83" s="7">
        <v>0.3</v>
      </c>
      <c r="Q83" s="11">
        <v>500</v>
      </c>
      <c r="R83" s="11">
        <v>0</v>
      </c>
      <c r="S83" s="9"/>
      <c r="T83" s="9"/>
      <c r="U83" s="6">
        <v>2</v>
      </c>
      <c r="V83" s="6">
        <v>1</v>
      </c>
      <c r="W83" s="9"/>
      <c r="X83" s="6">
        <v>2</v>
      </c>
      <c r="Y83" s="6">
        <v>5</v>
      </c>
      <c r="Z83" s="6">
        <v>25</v>
      </c>
      <c r="AA83" s="6">
        <v>2</v>
      </c>
      <c r="AB83" s="7">
        <v>0.8</v>
      </c>
      <c r="AC83" s="9"/>
      <c r="AD83" s="9" t="s">
        <v>233</v>
      </c>
      <c r="AE83" s="9" t="s">
        <v>102</v>
      </c>
      <c r="AF83" s="9" t="s">
        <v>113</v>
      </c>
      <c r="AG83" s="9"/>
      <c r="AH83" s="9"/>
      <c r="AI83" s="9"/>
      <c r="AJ83" s="9"/>
    </row>
    <row r="84" spans="1:36" ht="20" customHeight="1">
      <c r="A84" s="9">
        <v>83</v>
      </c>
      <c r="B84" s="9" t="s">
        <v>61</v>
      </c>
      <c r="C84" s="9" t="s">
        <v>114</v>
      </c>
      <c r="D84" s="9" t="s">
        <v>27</v>
      </c>
      <c r="E84" s="9" t="s">
        <v>130</v>
      </c>
      <c r="F84" s="9" t="s">
        <v>20</v>
      </c>
      <c r="G84" s="9" t="s">
        <v>41</v>
      </c>
      <c r="H84" s="9" t="s">
        <v>53</v>
      </c>
      <c r="I84" s="9" t="s">
        <v>36</v>
      </c>
      <c r="J84" s="10">
        <v>46339</v>
      </c>
      <c r="K84" s="10">
        <v>46341</v>
      </c>
      <c r="L84" s="9"/>
      <c r="M84" s="9"/>
      <c r="N84" s="9"/>
      <c r="O84" s="9" t="s">
        <v>13</v>
      </c>
      <c r="P84" s="7">
        <v>0</v>
      </c>
      <c r="Q84" s="11">
        <v>1800</v>
      </c>
      <c r="R84" s="11">
        <v>0</v>
      </c>
      <c r="S84" s="9"/>
      <c r="T84" s="9"/>
      <c r="U84" s="6">
        <v>2</v>
      </c>
      <c r="V84" s="6">
        <v>5</v>
      </c>
      <c r="W84" s="9"/>
      <c r="X84" s="6">
        <v>3</v>
      </c>
      <c r="Y84" s="6">
        <v>5</v>
      </c>
      <c r="Z84" s="6">
        <v>10</v>
      </c>
      <c r="AA84" s="6">
        <v>2</v>
      </c>
      <c r="AB84" s="7">
        <v>0.8</v>
      </c>
      <c r="AC84" s="9"/>
      <c r="AD84" s="9" t="s">
        <v>136</v>
      </c>
      <c r="AE84" s="9" t="s">
        <v>102</v>
      </c>
      <c r="AF84" s="9" t="s">
        <v>234</v>
      </c>
      <c r="AG84" s="9"/>
      <c r="AH84" s="9"/>
      <c r="AI84" s="9"/>
      <c r="AJ84" s="9"/>
    </row>
    <row r="85" spans="1:36" ht="20" customHeight="1">
      <c r="A85" s="9">
        <v>84</v>
      </c>
      <c r="B85" s="9" t="s">
        <v>63</v>
      </c>
      <c r="C85" s="9" t="s">
        <v>118</v>
      </c>
      <c r="D85" s="9" t="s">
        <v>22</v>
      </c>
      <c r="E85" s="9" t="s">
        <v>115</v>
      </c>
      <c r="F85" s="9" t="s">
        <v>22</v>
      </c>
      <c r="G85" s="9" t="s">
        <v>46</v>
      </c>
      <c r="H85" s="9" t="s">
        <v>56</v>
      </c>
      <c r="I85" s="9" t="s">
        <v>38</v>
      </c>
      <c r="J85" s="10">
        <v>46334</v>
      </c>
      <c r="K85" s="10">
        <v>46338</v>
      </c>
      <c r="L85" s="10">
        <v>46338</v>
      </c>
      <c r="M85" s="9"/>
      <c r="N85" s="9"/>
      <c r="O85" s="9" t="s">
        <v>17</v>
      </c>
      <c r="P85" s="7">
        <v>1</v>
      </c>
      <c r="Q85" s="11">
        <v>500</v>
      </c>
      <c r="R85" s="11">
        <v>504</v>
      </c>
      <c r="S85" s="9"/>
      <c r="T85" s="9"/>
      <c r="U85" s="6">
        <v>3</v>
      </c>
      <c r="V85" s="6">
        <v>3</v>
      </c>
      <c r="W85" s="9"/>
      <c r="X85" s="6">
        <v>1</v>
      </c>
      <c r="Y85" s="6">
        <v>5</v>
      </c>
      <c r="Z85" s="6">
        <v>25</v>
      </c>
      <c r="AA85" s="6">
        <v>4</v>
      </c>
      <c r="AB85" s="7">
        <v>0.7</v>
      </c>
      <c r="AC85" s="9"/>
      <c r="AD85" s="9" t="s">
        <v>197</v>
      </c>
      <c r="AE85" s="9" t="s">
        <v>102</v>
      </c>
      <c r="AF85" s="9" t="s">
        <v>235</v>
      </c>
      <c r="AG85" s="9"/>
      <c r="AH85" s="9"/>
      <c r="AI85" s="9"/>
      <c r="AJ85" s="9"/>
    </row>
    <row r="86" spans="1:36" ht="20" customHeight="1">
      <c r="A86" s="9">
        <v>85</v>
      </c>
      <c r="B86" s="9" t="s">
        <v>61</v>
      </c>
      <c r="C86" s="9" t="s">
        <v>122</v>
      </c>
      <c r="D86" s="9" t="s">
        <v>22</v>
      </c>
      <c r="E86" s="9" t="s">
        <v>119</v>
      </c>
      <c r="F86" s="9" t="s">
        <v>26</v>
      </c>
      <c r="G86" s="9" t="s">
        <v>40</v>
      </c>
      <c r="H86" s="9" t="s">
        <v>55</v>
      </c>
      <c r="I86" s="9" t="s">
        <v>38</v>
      </c>
      <c r="J86" s="10">
        <v>46343</v>
      </c>
      <c r="K86" s="10">
        <v>46347</v>
      </c>
      <c r="L86" s="9"/>
      <c r="M86" s="9"/>
      <c r="N86" s="9"/>
      <c r="O86" s="9" t="s">
        <v>14</v>
      </c>
      <c r="P86" s="7">
        <v>0.1</v>
      </c>
      <c r="Q86" s="11">
        <v>0</v>
      </c>
      <c r="R86" s="11">
        <v>0</v>
      </c>
      <c r="S86" s="9"/>
      <c r="T86" s="9"/>
      <c r="U86" s="6">
        <v>4</v>
      </c>
      <c r="V86" s="6">
        <v>4</v>
      </c>
      <c r="W86" s="9"/>
      <c r="X86" s="6">
        <v>1</v>
      </c>
      <c r="Y86" s="6">
        <v>1</v>
      </c>
      <c r="Z86" s="6">
        <v>50</v>
      </c>
      <c r="AA86" s="6">
        <v>5</v>
      </c>
      <c r="AB86" s="7">
        <v>0.7</v>
      </c>
      <c r="AC86" s="9"/>
      <c r="AD86" s="9" t="s">
        <v>175</v>
      </c>
      <c r="AE86" s="9" t="s">
        <v>102</v>
      </c>
      <c r="AF86" s="9" t="s">
        <v>149</v>
      </c>
      <c r="AG86" s="9"/>
      <c r="AH86" s="9"/>
      <c r="AI86" s="9"/>
      <c r="AJ86" s="9"/>
    </row>
    <row r="87" spans="1:36" ht="20" customHeight="1">
      <c r="A87" s="9">
        <v>86</v>
      </c>
      <c r="B87" s="9" t="s">
        <v>60</v>
      </c>
      <c r="C87" s="9" t="s">
        <v>118</v>
      </c>
      <c r="D87" s="9" t="s">
        <v>33</v>
      </c>
      <c r="E87" s="9" t="s">
        <v>130</v>
      </c>
      <c r="F87" s="9" t="s">
        <v>27</v>
      </c>
      <c r="G87" s="9" t="s">
        <v>45</v>
      </c>
      <c r="H87" s="9" t="s">
        <v>51</v>
      </c>
      <c r="I87" s="9" t="s">
        <v>38</v>
      </c>
      <c r="J87" s="10">
        <v>46344</v>
      </c>
      <c r="K87" s="10">
        <v>46345</v>
      </c>
      <c r="L87" s="9"/>
      <c r="M87" s="9"/>
      <c r="N87" s="9"/>
      <c r="O87" s="9" t="s">
        <v>16</v>
      </c>
      <c r="P87" s="7">
        <v>0.2</v>
      </c>
      <c r="Q87" s="11">
        <v>600</v>
      </c>
      <c r="R87" s="11">
        <v>0</v>
      </c>
      <c r="S87" s="9"/>
      <c r="T87" s="9"/>
      <c r="U87" s="6">
        <v>5</v>
      </c>
      <c r="V87" s="6">
        <v>3</v>
      </c>
      <c r="W87" s="9"/>
      <c r="X87" s="6">
        <v>4</v>
      </c>
      <c r="Y87" s="6">
        <v>5</v>
      </c>
      <c r="Z87" s="6">
        <v>25</v>
      </c>
      <c r="AA87" s="6">
        <v>2</v>
      </c>
      <c r="AB87" s="7">
        <v>0.9</v>
      </c>
      <c r="AC87" s="9"/>
      <c r="AD87" s="9" t="s">
        <v>236</v>
      </c>
      <c r="AE87" s="9" t="s">
        <v>102</v>
      </c>
      <c r="AF87" s="9" t="s">
        <v>237</v>
      </c>
      <c r="AG87" s="9"/>
      <c r="AH87" s="9"/>
      <c r="AI87" s="9"/>
      <c r="AJ87" s="9"/>
    </row>
    <row r="88" spans="1:36" ht="20" customHeight="1">
      <c r="A88" s="9">
        <v>87</v>
      </c>
      <c r="B88" s="9" t="s">
        <v>63</v>
      </c>
      <c r="C88" s="9" t="s">
        <v>122</v>
      </c>
      <c r="D88" s="9" t="s">
        <v>29</v>
      </c>
      <c r="E88" s="9" t="s">
        <v>133</v>
      </c>
      <c r="F88" s="9" t="s">
        <v>24</v>
      </c>
      <c r="G88" s="9" t="s">
        <v>40</v>
      </c>
      <c r="H88" s="9" t="s">
        <v>53</v>
      </c>
      <c r="I88" s="9" t="s">
        <v>37</v>
      </c>
      <c r="J88" s="10">
        <v>46339</v>
      </c>
      <c r="K88" s="10">
        <v>46341</v>
      </c>
      <c r="L88" s="9"/>
      <c r="M88" s="9"/>
      <c r="N88" s="9"/>
      <c r="O88" s="9" t="s">
        <v>13</v>
      </c>
      <c r="P88" s="7">
        <v>0</v>
      </c>
      <c r="Q88" s="11">
        <v>1800</v>
      </c>
      <c r="R88" s="11">
        <v>0</v>
      </c>
      <c r="S88" s="9"/>
      <c r="T88" s="9"/>
      <c r="U88" s="6">
        <v>4</v>
      </c>
      <c r="V88" s="6">
        <v>3</v>
      </c>
      <c r="W88" s="9"/>
      <c r="X88" s="6">
        <v>5</v>
      </c>
      <c r="Y88" s="6">
        <v>3</v>
      </c>
      <c r="Z88" s="6">
        <v>10</v>
      </c>
      <c r="AA88" s="6">
        <v>2</v>
      </c>
      <c r="AB88" s="7">
        <v>0.8</v>
      </c>
      <c r="AC88" s="9"/>
      <c r="AD88" s="9" t="s">
        <v>238</v>
      </c>
      <c r="AE88" s="9" t="s">
        <v>102</v>
      </c>
      <c r="AF88" s="9" t="s">
        <v>156</v>
      </c>
      <c r="AG88" s="9"/>
      <c r="AH88" s="9"/>
      <c r="AI88" s="9"/>
      <c r="AJ88" s="9"/>
    </row>
    <row r="89" spans="1:36" ht="20" customHeight="1">
      <c r="A89" s="9">
        <v>88</v>
      </c>
      <c r="B89" s="9" t="s">
        <v>62</v>
      </c>
      <c r="C89" s="9" t="s">
        <v>143</v>
      </c>
      <c r="D89" s="9" t="s">
        <v>30</v>
      </c>
      <c r="E89" s="9" t="s">
        <v>194</v>
      </c>
      <c r="F89" s="9" t="s">
        <v>26</v>
      </c>
      <c r="G89" s="9" t="s">
        <v>43</v>
      </c>
      <c r="H89" s="9" t="s">
        <v>52</v>
      </c>
      <c r="I89" s="9" t="s">
        <v>36</v>
      </c>
      <c r="J89" s="10">
        <v>46329</v>
      </c>
      <c r="K89" s="10">
        <v>46333</v>
      </c>
      <c r="L89" s="9"/>
      <c r="M89" s="9"/>
      <c r="N89" s="9"/>
      <c r="O89" s="9" t="s">
        <v>14</v>
      </c>
      <c r="P89" s="7">
        <v>0.1</v>
      </c>
      <c r="Q89" s="11">
        <v>1200</v>
      </c>
      <c r="R89" s="11">
        <v>0</v>
      </c>
      <c r="S89" s="9"/>
      <c r="T89" s="9"/>
      <c r="U89" s="6">
        <v>2</v>
      </c>
      <c r="V89" s="6">
        <v>3</v>
      </c>
      <c r="W89" s="9"/>
      <c r="X89" s="6">
        <v>4</v>
      </c>
      <c r="Y89" s="6">
        <v>5</v>
      </c>
      <c r="Z89" s="6">
        <v>50</v>
      </c>
      <c r="AA89" s="6">
        <v>5</v>
      </c>
      <c r="AB89" s="7">
        <v>0.7</v>
      </c>
      <c r="AC89" s="9"/>
      <c r="AD89" s="9" t="s">
        <v>239</v>
      </c>
      <c r="AE89" s="9" t="s">
        <v>102</v>
      </c>
      <c r="AF89" s="9" t="s">
        <v>240</v>
      </c>
      <c r="AG89" s="9"/>
      <c r="AH89" s="9"/>
      <c r="AI89" s="9"/>
      <c r="AJ89" s="9"/>
    </row>
    <row r="90" spans="1:36" ht="20" customHeight="1">
      <c r="A90" s="9">
        <v>89</v>
      </c>
      <c r="B90" s="9" t="s">
        <v>62</v>
      </c>
      <c r="C90" s="9" t="s">
        <v>108</v>
      </c>
      <c r="D90" s="9" t="s">
        <v>33</v>
      </c>
      <c r="E90" s="9" t="s">
        <v>130</v>
      </c>
      <c r="F90" s="9" t="s">
        <v>23</v>
      </c>
      <c r="G90" s="9" t="s">
        <v>46</v>
      </c>
      <c r="H90" s="9" t="s">
        <v>56</v>
      </c>
      <c r="I90" s="9" t="s">
        <v>37</v>
      </c>
      <c r="J90" s="10">
        <v>46370</v>
      </c>
      <c r="K90" s="10">
        <v>46374</v>
      </c>
      <c r="L90" s="9"/>
      <c r="M90" s="9"/>
      <c r="N90" s="9"/>
      <c r="O90" s="9" t="s">
        <v>14</v>
      </c>
      <c r="P90" s="7">
        <v>0.1</v>
      </c>
      <c r="Q90" s="11">
        <v>2500</v>
      </c>
      <c r="R90" s="11">
        <v>0</v>
      </c>
      <c r="S90" s="9"/>
      <c r="T90" s="9"/>
      <c r="U90" s="6">
        <v>3</v>
      </c>
      <c r="V90" s="6">
        <v>2</v>
      </c>
      <c r="W90" s="9"/>
      <c r="X90" s="6">
        <v>3</v>
      </c>
      <c r="Y90" s="6">
        <v>3</v>
      </c>
      <c r="Z90" s="6">
        <v>100</v>
      </c>
      <c r="AA90" s="6">
        <v>4</v>
      </c>
      <c r="AB90" s="7">
        <v>0.9</v>
      </c>
      <c r="AC90" s="9"/>
      <c r="AD90" s="9" t="s">
        <v>241</v>
      </c>
      <c r="AE90" s="9" t="s">
        <v>102</v>
      </c>
      <c r="AF90" s="9" t="s">
        <v>121</v>
      </c>
      <c r="AG90" s="9"/>
      <c r="AH90" s="9"/>
      <c r="AI90" s="9"/>
      <c r="AJ90" s="9"/>
    </row>
    <row r="91" spans="1:36" ht="20" customHeight="1">
      <c r="A91" s="9">
        <v>90</v>
      </c>
      <c r="B91" s="9" t="s">
        <v>63</v>
      </c>
      <c r="C91" s="9" t="s">
        <v>118</v>
      </c>
      <c r="D91" s="9" t="s">
        <v>29</v>
      </c>
      <c r="E91" s="9" t="s">
        <v>100</v>
      </c>
      <c r="F91" s="9" t="s">
        <v>24</v>
      </c>
      <c r="G91" s="9" t="s">
        <v>42</v>
      </c>
      <c r="H91" s="9" t="s">
        <v>53</v>
      </c>
      <c r="I91" s="9" t="s">
        <v>38</v>
      </c>
      <c r="J91" s="10">
        <v>46358</v>
      </c>
      <c r="K91" s="10">
        <v>46358</v>
      </c>
      <c r="L91" s="10">
        <v>46358</v>
      </c>
      <c r="M91" s="9"/>
      <c r="N91" s="9"/>
      <c r="O91" s="9" t="s">
        <v>17</v>
      </c>
      <c r="P91" s="7">
        <v>1</v>
      </c>
      <c r="Q91" s="11">
        <v>600</v>
      </c>
      <c r="R91" s="11">
        <v>642</v>
      </c>
      <c r="S91" s="9"/>
      <c r="T91" s="9"/>
      <c r="U91" s="6">
        <v>1</v>
      </c>
      <c r="V91" s="6">
        <v>1</v>
      </c>
      <c r="W91" s="9"/>
      <c r="X91" s="6">
        <v>2</v>
      </c>
      <c r="Y91" s="6">
        <v>1</v>
      </c>
      <c r="Z91" s="6">
        <v>50</v>
      </c>
      <c r="AA91" s="6">
        <v>3</v>
      </c>
      <c r="AB91" s="7">
        <v>1</v>
      </c>
      <c r="AC91" s="9"/>
      <c r="AD91" s="9" t="s">
        <v>242</v>
      </c>
      <c r="AE91" s="9" t="s">
        <v>102</v>
      </c>
      <c r="AF91" s="9" t="s">
        <v>156</v>
      </c>
      <c r="AG91" s="9"/>
      <c r="AH91" s="9"/>
      <c r="AI91" s="9"/>
      <c r="AJ91" s="9"/>
    </row>
    <row r="92" spans="1:36" ht="20" customHeight="1">
      <c r="A92" s="9">
        <v>91</v>
      </c>
      <c r="B92" s="9" t="s">
        <v>59</v>
      </c>
      <c r="C92" s="9" t="s">
        <v>143</v>
      </c>
      <c r="D92" s="9" t="s">
        <v>30</v>
      </c>
      <c r="E92" s="9" t="s">
        <v>130</v>
      </c>
      <c r="F92" s="9" t="s">
        <v>21</v>
      </c>
      <c r="G92" s="9" t="s">
        <v>47</v>
      </c>
      <c r="H92" s="9" t="s">
        <v>53</v>
      </c>
      <c r="I92" s="9" t="s">
        <v>36</v>
      </c>
      <c r="J92" s="10">
        <v>46363</v>
      </c>
      <c r="K92" s="10">
        <v>46365</v>
      </c>
      <c r="L92" s="10">
        <v>46365</v>
      </c>
      <c r="M92" s="9"/>
      <c r="N92" s="9"/>
      <c r="O92" s="9" t="s">
        <v>17</v>
      </c>
      <c r="P92" s="7">
        <v>1</v>
      </c>
      <c r="Q92" s="11">
        <v>500</v>
      </c>
      <c r="R92" s="11">
        <v>541</v>
      </c>
      <c r="S92" s="9"/>
      <c r="T92" s="9"/>
      <c r="U92" s="6">
        <v>5</v>
      </c>
      <c r="V92" s="6">
        <v>3</v>
      </c>
      <c r="W92" s="9"/>
      <c r="X92" s="6">
        <v>2</v>
      </c>
      <c r="Y92" s="6">
        <v>5</v>
      </c>
      <c r="Z92" s="6">
        <v>25</v>
      </c>
      <c r="AA92" s="6">
        <v>5</v>
      </c>
      <c r="AB92" s="7">
        <v>0.6</v>
      </c>
      <c r="AC92" s="9"/>
      <c r="AD92" s="9" t="s">
        <v>243</v>
      </c>
      <c r="AE92" s="9" t="s">
        <v>102</v>
      </c>
      <c r="AF92" s="9" t="s">
        <v>127</v>
      </c>
      <c r="AG92" s="9"/>
      <c r="AH92" s="9"/>
      <c r="AI92" s="9"/>
      <c r="AJ92" s="9"/>
    </row>
    <row r="93" spans="1:36" ht="20" customHeight="1">
      <c r="A93" s="9">
        <v>92</v>
      </c>
      <c r="B93" s="9" t="s">
        <v>62</v>
      </c>
      <c r="C93" s="9" t="s">
        <v>118</v>
      </c>
      <c r="D93" s="9" t="s">
        <v>29</v>
      </c>
      <c r="E93" s="9" t="s">
        <v>152</v>
      </c>
      <c r="F93" s="9" t="s">
        <v>20</v>
      </c>
      <c r="G93" s="9" t="s">
        <v>44</v>
      </c>
      <c r="H93" s="9" t="s">
        <v>54</v>
      </c>
      <c r="I93" s="9" t="s">
        <v>36</v>
      </c>
      <c r="J93" s="10">
        <v>46361</v>
      </c>
      <c r="K93" s="10">
        <v>46363</v>
      </c>
      <c r="L93" s="9"/>
      <c r="M93" s="9"/>
      <c r="N93" s="9"/>
      <c r="O93" s="9" t="s">
        <v>16</v>
      </c>
      <c r="P93" s="7">
        <v>0.2</v>
      </c>
      <c r="Q93" s="11">
        <v>3000</v>
      </c>
      <c r="R93" s="11">
        <v>0</v>
      </c>
      <c r="S93" s="9"/>
      <c r="T93" s="9"/>
      <c r="U93" s="6">
        <v>4</v>
      </c>
      <c r="V93" s="6">
        <v>2</v>
      </c>
      <c r="W93" s="9"/>
      <c r="X93" s="6">
        <v>4</v>
      </c>
      <c r="Y93" s="6">
        <v>2</v>
      </c>
      <c r="Z93" s="6">
        <v>100</v>
      </c>
      <c r="AA93" s="6">
        <v>2</v>
      </c>
      <c r="AB93" s="7">
        <v>1</v>
      </c>
      <c r="AC93" s="9"/>
      <c r="AD93" s="9" t="s">
        <v>244</v>
      </c>
      <c r="AE93" s="9" t="s">
        <v>102</v>
      </c>
      <c r="AF93" s="9" t="s">
        <v>180</v>
      </c>
      <c r="AG93" s="9"/>
      <c r="AH93" s="9"/>
      <c r="AI93" s="9"/>
      <c r="AJ93" s="9"/>
    </row>
    <row r="94" spans="1:36" ht="20" customHeight="1">
      <c r="A94" s="9">
        <v>93</v>
      </c>
      <c r="B94" s="9" t="s">
        <v>63</v>
      </c>
      <c r="C94" s="9" t="s">
        <v>122</v>
      </c>
      <c r="D94" s="9" t="s">
        <v>32</v>
      </c>
      <c r="E94" s="9" t="s">
        <v>115</v>
      </c>
      <c r="F94" s="9" t="s">
        <v>21</v>
      </c>
      <c r="G94" s="9" t="s">
        <v>45</v>
      </c>
      <c r="H94" s="9" t="s">
        <v>54</v>
      </c>
      <c r="I94" s="9" t="s">
        <v>38</v>
      </c>
      <c r="J94" s="10">
        <v>46378</v>
      </c>
      <c r="K94" s="10">
        <v>46380</v>
      </c>
      <c r="L94" s="9"/>
      <c r="M94" s="9"/>
      <c r="N94" s="9"/>
      <c r="O94" s="9" t="s">
        <v>16</v>
      </c>
      <c r="P94" s="7">
        <v>0.4</v>
      </c>
      <c r="Q94" s="11">
        <v>1800</v>
      </c>
      <c r="R94" s="11">
        <v>0</v>
      </c>
      <c r="S94" s="9"/>
      <c r="T94" s="9"/>
      <c r="U94" s="6">
        <v>1</v>
      </c>
      <c r="V94" s="6">
        <v>2</v>
      </c>
      <c r="W94" s="9"/>
      <c r="X94" s="6">
        <v>3</v>
      </c>
      <c r="Y94" s="6">
        <v>1</v>
      </c>
      <c r="Z94" s="6">
        <v>10</v>
      </c>
      <c r="AA94" s="6">
        <v>5</v>
      </c>
      <c r="AB94" s="7">
        <v>0.6</v>
      </c>
      <c r="AC94" s="9"/>
      <c r="AD94" s="9" t="s">
        <v>245</v>
      </c>
      <c r="AE94" s="9" t="s">
        <v>102</v>
      </c>
      <c r="AF94" s="9" t="s">
        <v>125</v>
      </c>
      <c r="AG94" s="9"/>
      <c r="AH94" s="9"/>
      <c r="AI94" s="9"/>
      <c r="AJ94" s="9"/>
    </row>
    <row r="95" spans="1:36" ht="20" customHeight="1">
      <c r="A95" s="9">
        <v>94</v>
      </c>
      <c r="B95" s="9" t="s">
        <v>61</v>
      </c>
      <c r="C95" s="9" t="s">
        <v>122</v>
      </c>
      <c r="D95" s="9" t="s">
        <v>29</v>
      </c>
      <c r="E95" s="9" t="s">
        <v>152</v>
      </c>
      <c r="F95" s="9" t="s">
        <v>26</v>
      </c>
      <c r="G95" s="9" t="s">
        <v>47</v>
      </c>
      <c r="H95" s="9" t="s">
        <v>57</v>
      </c>
      <c r="I95" s="9" t="s">
        <v>36</v>
      </c>
      <c r="J95" s="10">
        <v>46358</v>
      </c>
      <c r="K95" s="10">
        <v>46359</v>
      </c>
      <c r="L95" s="9"/>
      <c r="M95" s="9"/>
      <c r="N95" s="9"/>
      <c r="O95" s="9" t="s">
        <v>16</v>
      </c>
      <c r="P95" s="7">
        <v>0.2</v>
      </c>
      <c r="Q95" s="11">
        <v>600</v>
      </c>
      <c r="R95" s="11">
        <v>0</v>
      </c>
      <c r="S95" s="9"/>
      <c r="T95" s="9"/>
      <c r="U95" s="6">
        <v>1</v>
      </c>
      <c r="V95" s="6">
        <v>3</v>
      </c>
      <c r="W95" s="9"/>
      <c r="X95" s="6">
        <v>3</v>
      </c>
      <c r="Y95" s="6">
        <v>5</v>
      </c>
      <c r="Z95" s="6">
        <v>200</v>
      </c>
      <c r="AA95" s="6">
        <v>5</v>
      </c>
      <c r="AB95" s="7">
        <v>0.7</v>
      </c>
      <c r="AC95" s="9"/>
      <c r="AD95" s="9" t="s">
        <v>246</v>
      </c>
      <c r="AE95" s="9" t="s">
        <v>102</v>
      </c>
      <c r="AF95" s="9" t="s">
        <v>172</v>
      </c>
      <c r="AG95" s="9"/>
      <c r="AH95" s="9"/>
      <c r="AI95" s="9"/>
      <c r="AJ95" s="9"/>
    </row>
    <row r="96" spans="1:36" ht="20" customHeight="1">
      <c r="A96" s="9">
        <v>95</v>
      </c>
      <c r="B96" s="9" t="s">
        <v>61</v>
      </c>
      <c r="C96" s="9" t="s">
        <v>114</v>
      </c>
      <c r="D96" s="9" t="s">
        <v>27</v>
      </c>
      <c r="E96" s="9" t="s">
        <v>194</v>
      </c>
      <c r="F96" s="9" t="s">
        <v>23</v>
      </c>
      <c r="G96" s="9" t="s">
        <v>48</v>
      </c>
      <c r="H96" s="9" t="s">
        <v>51</v>
      </c>
      <c r="I96" s="9" t="s">
        <v>37</v>
      </c>
      <c r="J96" s="10">
        <v>46366</v>
      </c>
      <c r="K96" s="10">
        <v>46368</v>
      </c>
      <c r="L96" s="9"/>
      <c r="M96" s="9"/>
      <c r="N96" s="9"/>
      <c r="O96" s="9" t="s">
        <v>16</v>
      </c>
      <c r="P96" s="7">
        <v>0.4</v>
      </c>
      <c r="Q96" s="11">
        <v>2500</v>
      </c>
      <c r="R96" s="11">
        <v>0</v>
      </c>
      <c r="S96" s="9"/>
      <c r="T96" s="9"/>
      <c r="U96" s="6">
        <v>5</v>
      </c>
      <c r="V96" s="6">
        <v>3</v>
      </c>
      <c r="W96" s="9"/>
      <c r="X96" s="6">
        <v>2</v>
      </c>
      <c r="Y96" s="6">
        <v>5</v>
      </c>
      <c r="Z96" s="6">
        <v>10</v>
      </c>
      <c r="AA96" s="6">
        <v>3</v>
      </c>
      <c r="AB96" s="7">
        <v>0.7</v>
      </c>
      <c r="AC96" s="9"/>
      <c r="AD96" s="9" t="s">
        <v>247</v>
      </c>
      <c r="AE96" s="9" t="s">
        <v>102</v>
      </c>
      <c r="AF96" s="9" t="s">
        <v>248</v>
      </c>
      <c r="AG96" s="9"/>
      <c r="AH96" s="9"/>
      <c r="AI96" s="9"/>
      <c r="AJ96" s="9"/>
    </row>
    <row r="97" spans="1:36" ht="20" customHeight="1">
      <c r="A97" s="9">
        <v>96</v>
      </c>
      <c r="B97" s="9" t="s">
        <v>61</v>
      </c>
      <c r="C97" s="9" t="s">
        <v>118</v>
      </c>
      <c r="D97" s="9" t="s">
        <v>27</v>
      </c>
      <c r="E97" s="9" t="s">
        <v>111</v>
      </c>
      <c r="F97" s="9" t="s">
        <v>20</v>
      </c>
      <c r="G97" s="9" t="s">
        <v>40</v>
      </c>
      <c r="H97" s="9" t="s">
        <v>54</v>
      </c>
      <c r="I97" s="9" t="s">
        <v>38</v>
      </c>
      <c r="J97" s="10">
        <v>46374</v>
      </c>
      <c r="K97" s="10">
        <v>46377</v>
      </c>
      <c r="L97" s="9"/>
      <c r="M97" s="9"/>
      <c r="N97" s="9"/>
      <c r="O97" s="9" t="s">
        <v>13</v>
      </c>
      <c r="P97" s="7">
        <v>0</v>
      </c>
      <c r="Q97" s="11">
        <v>500</v>
      </c>
      <c r="R97" s="11">
        <v>0</v>
      </c>
      <c r="S97" s="9"/>
      <c r="T97" s="9"/>
      <c r="U97" s="6">
        <v>1</v>
      </c>
      <c r="V97" s="6">
        <v>1</v>
      </c>
      <c r="W97" s="9"/>
      <c r="X97" s="6">
        <v>2</v>
      </c>
      <c r="Y97" s="6">
        <v>5</v>
      </c>
      <c r="Z97" s="6">
        <v>200</v>
      </c>
      <c r="AA97" s="6">
        <v>1</v>
      </c>
      <c r="AB97" s="7">
        <v>1</v>
      </c>
      <c r="AC97" s="9"/>
      <c r="AD97" s="9" t="s">
        <v>249</v>
      </c>
      <c r="AE97" s="9" t="s">
        <v>102</v>
      </c>
      <c r="AF97" s="9" t="s">
        <v>180</v>
      </c>
      <c r="AG97" s="9"/>
      <c r="AH97" s="9"/>
      <c r="AI97" s="9"/>
      <c r="AJ97" s="9"/>
    </row>
    <row r="98" spans="1:36" ht="20" customHeight="1">
      <c r="M98">
        <f>IF(AND([[#This Row],Début]&lt;&gt;"",[[#This Row],[Fin planifiée]]&lt;&gt;""),[[#This Row],[Fin planifiée]]-[[#This Row],Début]+1,"")</f>
        <v>0</v>
      </c>
      <c r="N98">
        <f>IF(AND([[#This Row],Début]&lt;&gt;"",[[#This Row],[Fin réelle]]&lt;&gt;""),[[#This Row],[Fin réelle]]-[[#This Row],Début]+1,"")</f>
        <v>0</v>
      </c>
      <c r="S98">
        <f>[[#This Row],[Budget réalisé]]-[[#This Row],[Budget prévu]]</f>
        <v>0</v>
      </c>
      <c r="T98">
        <f>IF(OR([[#This Row],[Budget prévu]]="",[[#This Row],[Budget réalisé]]=""),"",IF([[#This Row],[Écart (€)]]=0,"À l'équilibre",IF([[#This Row],[Écart (€)]]&gt;0,"Dépassement","Sous budget")))</f>
        <v>0</v>
      </c>
      <c r="W98">
        <f>[[#This Row],[Risque – Probabilité (1-5)]]*[[#This Row],[Risque – Sévérité (1-5)]]</f>
        <v>0</v>
      </c>
      <c r="AC98">
        <f>IF([[#This Row],Effort (jours)]&gt;0,[[#This Row],[Reach (pers.)]]*[[#This Row],[Impact (1-5)]]*[[#This Row],[Confidence (0-1)]]/[[#This Row],[Effort (jours)]],"")</f>
        <v>0</v>
      </c>
      <c r="AG98">
        <f>IF([[#This Row],[Fin planifiée]]&lt;&gt;"",MONTH([[#This Row],[Fin planifiée]]),"")</f>
        <v>0</v>
      </c>
      <c r="AH98">
        <f>IF([[#This Row],[Fin planifiée]]&lt;&gt;"",YEAR([[#This Row],[Fin planifiée]]),"")</f>
        <v>0</v>
      </c>
      <c r="AI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98">
        <f>IF(AND([[#This Row],Statut]="Terminé",[[#This Row],[Fin réelle]]&lt;&gt;""),IF([[#This Row],[Fin réelle]]&lt;=[[#This Row],[Fin planifiée]],"Oui","Non"),"")</f>
        <v>0</v>
      </c>
    </row>
    <row r="99" spans="1:36" ht="20" customHeight="1">
      <c r="M99">
        <f>IF(AND([[#This Row],Début]&lt;&gt;"",[[#This Row],[Fin planifiée]]&lt;&gt;""),[[#This Row],[Fin planifiée]]-[[#This Row],Début]+1,"")</f>
        <v>0</v>
      </c>
      <c r="N99">
        <f>IF(AND([[#This Row],Début]&lt;&gt;"",[[#This Row],[Fin réelle]]&lt;&gt;""),[[#This Row],[Fin réelle]]-[[#This Row],Début]+1,"")</f>
        <v>0</v>
      </c>
      <c r="S99">
        <f>[[#This Row],[Budget réalisé]]-[[#This Row],[Budget prévu]]</f>
        <v>0</v>
      </c>
      <c r="T99">
        <f>IF(OR([[#This Row],[Budget prévu]]="",[[#This Row],[Budget réalisé]]=""),"",IF([[#This Row],[Écart (€)]]=0,"À l'équilibre",IF([[#This Row],[Écart (€)]]&gt;0,"Dépassement","Sous budget")))</f>
        <v>0</v>
      </c>
      <c r="W99">
        <f>[[#This Row],[Risque – Probabilité (1-5)]]*[[#This Row],[Risque – Sévérité (1-5)]]</f>
        <v>0</v>
      </c>
      <c r="AC99">
        <f>IF([[#This Row],Effort (jours)]&gt;0,[[#This Row],[Reach (pers.)]]*[[#This Row],[Impact (1-5)]]*[[#This Row],[Confidence (0-1)]]/[[#This Row],[Effort (jours)]],"")</f>
        <v>0</v>
      </c>
      <c r="AG99">
        <f>IF([[#This Row],[Fin planifiée]]&lt;&gt;"",MONTH([[#This Row],[Fin planifiée]]),"")</f>
        <v>0</v>
      </c>
      <c r="AH99">
        <f>IF([[#This Row],[Fin planifiée]]&lt;&gt;"",YEAR([[#This Row],[Fin planifiée]]),"")</f>
        <v>0</v>
      </c>
      <c r="AI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99">
        <f>IF(AND([[#This Row],Statut]="Terminé",[[#This Row],[Fin réelle]]&lt;&gt;""),IF([[#This Row],[Fin réelle]]&lt;=[[#This Row],[Fin planifiée]],"Oui","Non"),"")</f>
        <v>0</v>
      </c>
    </row>
    <row r="100" spans="1:36" ht="20" customHeight="1">
      <c r="M100">
        <f>IF(AND([[#This Row],Début]&lt;&gt;"",[[#This Row],[Fin planifiée]]&lt;&gt;""),[[#This Row],[Fin planifiée]]-[[#This Row],Début]+1,"")</f>
        <v>0</v>
      </c>
      <c r="N100">
        <f>IF(AND([[#This Row],Début]&lt;&gt;"",[[#This Row],[Fin réelle]]&lt;&gt;""),[[#This Row],[Fin réelle]]-[[#This Row],Début]+1,"")</f>
        <v>0</v>
      </c>
      <c r="S100">
        <f>[[#This Row],[Budget réalisé]]-[[#This Row],[Budget prévu]]</f>
        <v>0</v>
      </c>
      <c r="T100">
        <f>IF(OR([[#This Row],[Budget prévu]]="",[[#This Row],[Budget réalisé]]=""),"",IF([[#This Row],[Écart (€)]]=0,"À l'équilibre",IF([[#This Row],[Écart (€)]]&gt;0,"Dépassement","Sous budget")))</f>
        <v>0</v>
      </c>
      <c r="W100">
        <f>[[#This Row],[Risque – Probabilité (1-5)]]*[[#This Row],[Risque – Sévérité (1-5)]]</f>
        <v>0</v>
      </c>
      <c r="AC100">
        <f>IF([[#This Row],Effort (jours)]&gt;0,[[#This Row],[Reach (pers.)]]*[[#This Row],[Impact (1-5)]]*[[#This Row],[Confidence (0-1)]]/[[#This Row],[Effort (jours)]],"")</f>
        <v>0</v>
      </c>
      <c r="AG100">
        <f>IF([[#This Row],[Fin planifiée]]&lt;&gt;"",MONTH([[#This Row],[Fin planifiée]]),"")</f>
        <v>0</v>
      </c>
      <c r="AH100">
        <f>IF([[#This Row],[Fin planifiée]]&lt;&gt;"",YEAR([[#This Row],[Fin planifiée]]),"")</f>
        <v>0</v>
      </c>
      <c r="AI1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0">
        <f>IF(AND([[#This Row],Statut]="Terminé",[[#This Row],[Fin réelle]]&lt;&gt;""),IF([[#This Row],[Fin réelle]]&lt;=[[#This Row],[Fin planifiée]],"Oui","Non"),"")</f>
        <v>0</v>
      </c>
    </row>
    <row r="101" spans="1:36" ht="20" customHeight="1">
      <c r="M101">
        <f>IF(AND([[#This Row],Début]&lt;&gt;"",[[#This Row],[Fin planifiée]]&lt;&gt;""),[[#This Row],[Fin planifiée]]-[[#This Row],Début]+1,"")</f>
        <v>0</v>
      </c>
      <c r="N101">
        <f>IF(AND([[#This Row],Début]&lt;&gt;"",[[#This Row],[Fin réelle]]&lt;&gt;""),[[#This Row],[Fin réelle]]-[[#This Row],Début]+1,"")</f>
        <v>0</v>
      </c>
      <c r="S101">
        <f>[[#This Row],[Budget réalisé]]-[[#This Row],[Budget prévu]]</f>
        <v>0</v>
      </c>
      <c r="T101">
        <f>IF(OR([[#This Row],[Budget prévu]]="",[[#This Row],[Budget réalisé]]=""),"",IF([[#This Row],[Écart (€)]]=0,"À l'équilibre",IF([[#This Row],[Écart (€)]]&gt;0,"Dépassement","Sous budget")))</f>
        <v>0</v>
      </c>
      <c r="W101">
        <f>[[#This Row],[Risque – Probabilité (1-5)]]*[[#This Row],[Risque – Sévérité (1-5)]]</f>
        <v>0</v>
      </c>
      <c r="AC101">
        <f>IF([[#This Row],Effort (jours)]&gt;0,[[#This Row],[Reach (pers.)]]*[[#This Row],[Impact (1-5)]]*[[#This Row],[Confidence (0-1)]]/[[#This Row],[Effort (jours)]],"")</f>
        <v>0</v>
      </c>
      <c r="AG101">
        <f>IF([[#This Row],[Fin planifiée]]&lt;&gt;"",MONTH([[#This Row],[Fin planifiée]]),"")</f>
        <v>0</v>
      </c>
      <c r="AH101">
        <f>IF([[#This Row],[Fin planifiée]]&lt;&gt;"",YEAR([[#This Row],[Fin planifiée]]),"")</f>
        <v>0</v>
      </c>
      <c r="AI1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1">
        <f>IF(AND([[#This Row],Statut]="Terminé",[[#This Row],[Fin réelle]]&lt;&gt;""),IF([[#This Row],[Fin réelle]]&lt;=[[#This Row],[Fin planifiée]],"Oui","Non"),"")</f>
        <v>0</v>
      </c>
    </row>
    <row r="102" spans="1:36" ht="20" customHeight="1">
      <c r="M102">
        <f>IF(AND([[#This Row],Début]&lt;&gt;"",[[#This Row],[Fin planifiée]]&lt;&gt;""),[[#This Row],[Fin planifiée]]-[[#This Row],Début]+1,"")</f>
        <v>0</v>
      </c>
      <c r="N102">
        <f>IF(AND([[#This Row],Début]&lt;&gt;"",[[#This Row],[Fin réelle]]&lt;&gt;""),[[#This Row],[Fin réelle]]-[[#This Row],Début]+1,"")</f>
        <v>0</v>
      </c>
      <c r="S102">
        <f>[[#This Row],[Budget réalisé]]-[[#This Row],[Budget prévu]]</f>
        <v>0</v>
      </c>
      <c r="T102">
        <f>IF(OR([[#This Row],[Budget prévu]]="",[[#This Row],[Budget réalisé]]=""),"",IF([[#This Row],[Écart (€)]]=0,"À l'équilibre",IF([[#This Row],[Écart (€)]]&gt;0,"Dépassement","Sous budget")))</f>
        <v>0</v>
      </c>
      <c r="W102">
        <f>[[#This Row],[Risque – Probabilité (1-5)]]*[[#This Row],[Risque – Sévérité (1-5)]]</f>
        <v>0</v>
      </c>
      <c r="AC102">
        <f>IF([[#This Row],Effort (jours)]&gt;0,[[#This Row],[Reach (pers.)]]*[[#This Row],[Impact (1-5)]]*[[#This Row],[Confidence (0-1)]]/[[#This Row],[Effort (jours)]],"")</f>
        <v>0</v>
      </c>
      <c r="AG102">
        <f>IF([[#This Row],[Fin planifiée]]&lt;&gt;"",MONTH([[#This Row],[Fin planifiée]]),"")</f>
        <v>0</v>
      </c>
      <c r="AH102">
        <f>IF([[#This Row],[Fin planifiée]]&lt;&gt;"",YEAR([[#This Row],[Fin planifiée]]),"")</f>
        <v>0</v>
      </c>
      <c r="AI1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2">
        <f>IF(AND([[#This Row],Statut]="Terminé",[[#This Row],[Fin réelle]]&lt;&gt;""),IF([[#This Row],[Fin réelle]]&lt;=[[#This Row],[Fin planifiée]],"Oui","Non"),"")</f>
        <v>0</v>
      </c>
    </row>
    <row r="103" spans="1:36" ht="20" customHeight="1">
      <c r="M103">
        <f>IF(AND([[#This Row],Début]&lt;&gt;"",[[#This Row],[Fin planifiée]]&lt;&gt;""),[[#This Row],[Fin planifiée]]-[[#This Row],Début]+1,"")</f>
        <v>0</v>
      </c>
      <c r="N103">
        <f>IF(AND([[#This Row],Début]&lt;&gt;"",[[#This Row],[Fin réelle]]&lt;&gt;""),[[#This Row],[Fin réelle]]-[[#This Row],Début]+1,"")</f>
        <v>0</v>
      </c>
      <c r="S103">
        <f>[[#This Row],[Budget réalisé]]-[[#This Row],[Budget prévu]]</f>
        <v>0</v>
      </c>
      <c r="T103">
        <f>IF(OR([[#This Row],[Budget prévu]]="",[[#This Row],[Budget réalisé]]=""),"",IF([[#This Row],[Écart (€)]]=0,"À l'équilibre",IF([[#This Row],[Écart (€)]]&gt;0,"Dépassement","Sous budget")))</f>
        <v>0</v>
      </c>
      <c r="W103">
        <f>[[#This Row],[Risque – Probabilité (1-5)]]*[[#This Row],[Risque – Sévérité (1-5)]]</f>
        <v>0</v>
      </c>
      <c r="AC103">
        <f>IF([[#This Row],Effort (jours)]&gt;0,[[#This Row],[Reach (pers.)]]*[[#This Row],[Impact (1-5)]]*[[#This Row],[Confidence (0-1)]]/[[#This Row],[Effort (jours)]],"")</f>
        <v>0</v>
      </c>
      <c r="AG103">
        <f>IF([[#This Row],[Fin planifiée]]&lt;&gt;"",MONTH([[#This Row],[Fin planifiée]]),"")</f>
        <v>0</v>
      </c>
      <c r="AH103">
        <f>IF([[#This Row],[Fin planifiée]]&lt;&gt;"",YEAR([[#This Row],[Fin planifiée]]),"")</f>
        <v>0</v>
      </c>
      <c r="AI1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3">
        <f>IF(AND([[#This Row],Statut]="Terminé",[[#This Row],[Fin réelle]]&lt;&gt;""),IF([[#This Row],[Fin réelle]]&lt;=[[#This Row],[Fin planifiée]],"Oui","Non"),"")</f>
        <v>0</v>
      </c>
    </row>
    <row r="104" spans="1:36" ht="20" customHeight="1">
      <c r="M104">
        <f>IF(AND([[#This Row],Début]&lt;&gt;"",[[#This Row],[Fin planifiée]]&lt;&gt;""),[[#This Row],[Fin planifiée]]-[[#This Row],Début]+1,"")</f>
        <v>0</v>
      </c>
      <c r="N104">
        <f>IF(AND([[#This Row],Début]&lt;&gt;"",[[#This Row],[Fin réelle]]&lt;&gt;""),[[#This Row],[Fin réelle]]-[[#This Row],Début]+1,"")</f>
        <v>0</v>
      </c>
      <c r="S104">
        <f>[[#This Row],[Budget réalisé]]-[[#This Row],[Budget prévu]]</f>
        <v>0</v>
      </c>
      <c r="T104">
        <f>IF(OR([[#This Row],[Budget prévu]]="",[[#This Row],[Budget réalisé]]=""),"",IF([[#This Row],[Écart (€)]]=0,"À l'équilibre",IF([[#This Row],[Écart (€)]]&gt;0,"Dépassement","Sous budget")))</f>
        <v>0</v>
      </c>
      <c r="W104">
        <f>[[#This Row],[Risque – Probabilité (1-5)]]*[[#This Row],[Risque – Sévérité (1-5)]]</f>
        <v>0</v>
      </c>
      <c r="AC104">
        <f>IF([[#This Row],Effort (jours)]&gt;0,[[#This Row],[Reach (pers.)]]*[[#This Row],[Impact (1-5)]]*[[#This Row],[Confidence (0-1)]]/[[#This Row],[Effort (jours)]],"")</f>
        <v>0</v>
      </c>
      <c r="AG104">
        <f>IF([[#This Row],[Fin planifiée]]&lt;&gt;"",MONTH([[#This Row],[Fin planifiée]]),"")</f>
        <v>0</v>
      </c>
      <c r="AH104">
        <f>IF([[#This Row],[Fin planifiée]]&lt;&gt;"",YEAR([[#This Row],[Fin planifiée]]),"")</f>
        <v>0</v>
      </c>
      <c r="AI1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4">
        <f>IF(AND([[#This Row],Statut]="Terminé",[[#This Row],[Fin réelle]]&lt;&gt;""),IF([[#This Row],[Fin réelle]]&lt;=[[#This Row],[Fin planifiée]],"Oui","Non"),"")</f>
        <v>0</v>
      </c>
    </row>
    <row r="105" spans="1:36" ht="20" customHeight="1">
      <c r="M105">
        <f>IF(AND([[#This Row],Début]&lt;&gt;"",[[#This Row],[Fin planifiée]]&lt;&gt;""),[[#This Row],[Fin planifiée]]-[[#This Row],Début]+1,"")</f>
        <v>0</v>
      </c>
      <c r="N105">
        <f>IF(AND([[#This Row],Début]&lt;&gt;"",[[#This Row],[Fin réelle]]&lt;&gt;""),[[#This Row],[Fin réelle]]-[[#This Row],Début]+1,"")</f>
        <v>0</v>
      </c>
      <c r="S105">
        <f>[[#This Row],[Budget réalisé]]-[[#This Row],[Budget prévu]]</f>
        <v>0</v>
      </c>
      <c r="T105">
        <f>IF(OR([[#This Row],[Budget prévu]]="",[[#This Row],[Budget réalisé]]=""),"",IF([[#This Row],[Écart (€)]]=0,"À l'équilibre",IF([[#This Row],[Écart (€)]]&gt;0,"Dépassement","Sous budget")))</f>
        <v>0</v>
      </c>
      <c r="W105">
        <f>[[#This Row],[Risque – Probabilité (1-5)]]*[[#This Row],[Risque – Sévérité (1-5)]]</f>
        <v>0</v>
      </c>
      <c r="AC105">
        <f>IF([[#This Row],Effort (jours)]&gt;0,[[#This Row],[Reach (pers.)]]*[[#This Row],[Impact (1-5)]]*[[#This Row],[Confidence (0-1)]]/[[#This Row],[Effort (jours)]],"")</f>
        <v>0</v>
      </c>
      <c r="AG105">
        <f>IF([[#This Row],[Fin planifiée]]&lt;&gt;"",MONTH([[#This Row],[Fin planifiée]]),"")</f>
        <v>0</v>
      </c>
      <c r="AH105">
        <f>IF([[#This Row],[Fin planifiée]]&lt;&gt;"",YEAR([[#This Row],[Fin planifiée]]),"")</f>
        <v>0</v>
      </c>
      <c r="AI1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5">
        <f>IF(AND([[#This Row],Statut]="Terminé",[[#This Row],[Fin réelle]]&lt;&gt;""),IF([[#This Row],[Fin réelle]]&lt;=[[#This Row],[Fin planifiée]],"Oui","Non"),"")</f>
        <v>0</v>
      </c>
    </row>
    <row r="106" spans="1:36" ht="20" customHeight="1">
      <c r="M106">
        <f>IF(AND([[#This Row],Début]&lt;&gt;"",[[#This Row],[Fin planifiée]]&lt;&gt;""),[[#This Row],[Fin planifiée]]-[[#This Row],Début]+1,"")</f>
        <v>0</v>
      </c>
      <c r="N106">
        <f>IF(AND([[#This Row],Début]&lt;&gt;"",[[#This Row],[Fin réelle]]&lt;&gt;""),[[#This Row],[Fin réelle]]-[[#This Row],Début]+1,"")</f>
        <v>0</v>
      </c>
      <c r="S106">
        <f>[[#This Row],[Budget réalisé]]-[[#This Row],[Budget prévu]]</f>
        <v>0</v>
      </c>
      <c r="T106">
        <f>IF(OR([[#This Row],[Budget prévu]]="",[[#This Row],[Budget réalisé]]=""),"",IF([[#This Row],[Écart (€)]]=0,"À l'équilibre",IF([[#This Row],[Écart (€)]]&gt;0,"Dépassement","Sous budget")))</f>
        <v>0</v>
      </c>
      <c r="W106">
        <f>[[#This Row],[Risque – Probabilité (1-5)]]*[[#This Row],[Risque – Sévérité (1-5)]]</f>
        <v>0</v>
      </c>
      <c r="AC106">
        <f>IF([[#This Row],Effort (jours)]&gt;0,[[#This Row],[Reach (pers.)]]*[[#This Row],[Impact (1-5)]]*[[#This Row],[Confidence (0-1)]]/[[#This Row],[Effort (jours)]],"")</f>
        <v>0</v>
      </c>
      <c r="AG106">
        <f>IF([[#This Row],[Fin planifiée]]&lt;&gt;"",MONTH([[#This Row],[Fin planifiée]]),"")</f>
        <v>0</v>
      </c>
      <c r="AH106">
        <f>IF([[#This Row],[Fin planifiée]]&lt;&gt;"",YEAR([[#This Row],[Fin planifiée]]),"")</f>
        <v>0</v>
      </c>
      <c r="AI1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6">
        <f>IF(AND([[#This Row],Statut]="Terminé",[[#This Row],[Fin réelle]]&lt;&gt;""),IF([[#This Row],[Fin réelle]]&lt;=[[#This Row],[Fin planifiée]],"Oui","Non"),"")</f>
        <v>0</v>
      </c>
    </row>
    <row r="107" spans="1:36" ht="20" customHeight="1">
      <c r="M107">
        <f>IF(AND([[#This Row],Début]&lt;&gt;"",[[#This Row],[Fin planifiée]]&lt;&gt;""),[[#This Row],[Fin planifiée]]-[[#This Row],Début]+1,"")</f>
        <v>0</v>
      </c>
      <c r="N107">
        <f>IF(AND([[#This Row],Début]&lt;&gt;"",[[#This Row],[Fin réelle]]&lt;&gt;""),[[#This Row],[Fin réelle]]-[[#This Row],Début]+1,"")</f>
        <v>0</v>
      </c>
      <c r="S107">
        <f>[[#This Row],[Budget réalisé]]-[[#This Row],[Budget prévu]]</f>
        <v>0</v>
      </c>
      <c r="T107">
        <f>IF(OR([[#This Row],[Budget prévu]]="",[[#This Row],[Budget réalisé]]=""),"",IF([[#This Row],[Écart (€)]]=0,"À l'équilibre",IF([[#This Row],[Écart (€)]]&gt;0,"Dépassement","Sous budget")))</f>
        <v>0</v>
      </c>
      <c r="W107">
        <f>[[#This Row],[Risque – Probabilité (1-5)]]*[[#This Row],[Risque – Sévérité (1-5)]]</f>
        <v>0</v>
      </c>
      <c r="AC107">
        <f>IF([[#This Row],Effort (jours)]&gt;0,[[#This Row],[Reach (pers.)]]*[[#This Row],[Impact (1-5)]]*[[#This Row],[Confidence (0-1)]]/[[#This Row],[Effort (jours)]],"")</f>
        <v>0</v>
      </c>
      <c r="AG107">
        <f>IF([[#This Row],[Fin planifiée]]&lt;&gt;"",MONTH([[#This Row],[Fin planifiée]]),"")</f>
        <v>0</v>
      </c>
      <c r="AH107">
        <f>IF([[#This Row],[Fin planifiée]]&lt;&gt;"",YEAR([[#This Row],[Fin planifiée]]),"")</f>
        <v>0</v>
      </c>
      <c r="AI1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7">
        <f>IF(AND([[#This Row],Statut]="Terminé",[[#This Row],[Fin réelle]]&lt;&gt;""),IF([[#This Row],[Fin réelle]]&lt;=[[#This Row],[Fin planifiée]],"Oui","Non"),"")</f>
        <v>0</v>
      </c>
    </row>
    <row r="108" spans="1:36" ht="20" customHeight="1">
      <c r="M108">
        <f>IF(AND([[#This Row],Début]&lt;&gt;"",[[#This Row],[Fin planifiée]]&lt;&gt;""),[[#This Row],[Fin planifiée]]-[[#This Row],Début]+1,"")</f>
        <v>0</v>
      </c>
      <c r="N108">
        <f>IF(AND([[#This Row],Début]&lt;&gt;"",[[#This Row],[Fin réelle]]&lt;&gt;""),[[#This Row],[Fin réelle]]-[[#This Row],Début]+1,"")</f>
        <v>0</v>
      </c>
      <c r="S108">
        <f>[[#This Row],[Budget réalisé]]-[[#This Row],[Budget prévu]]</f>
        <v>0</v>
      </c>
      <c r="T108">
        <f>IF(OR([[#This Row],[Budget prévu]]="",[[#This Row],[Budget réalisé]]=""),"",IF([[#This Row],[Écart (€)]]=0,"À l'équilibre",IF([[#This Row],[Écart (€)]]&gt;0,"Dépassement","Sous budget")))</f>
        <v>0</v>
      </c>
      <c r="W108">
        <f>[[#This Row],[Risque – Probabilité (1-5)]]*[[#This Row],[Risque – Sévérité (1-5)]]</f>
        <v>0</v>
      </c>
      <c r="AC108">
        <f>IF([[#This Row],Effort (jours)]&gt;0,[[#This Row],[Reach (pers.)]]*[[#This Row],[Impact (1-5)]]*[[#This Row],[Confidence (0-1)]]/[[#This Row],[Effort (jours)]],"")</f>
        <v>0</v>
      </c>
      <c r="AG108">
        <f>IF([[#This Row],[Fin planifiée]]&lt;&gt;"",MONTH([[#This Row],[Fin planifiée]]),"")</f>
        <v>0</v>
      </c>
      <c r="AH108">
        <f>IF([[#This Row],[Fin planifiée]]&lt;&gt;"",YEAR([[#This Row],[Fin planifiée]]),"")</f>
        <v>0</v>
      </c>
      <c r="AI1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8">
        <f>IF(AND([[#This Row],Statut]="Terminé",[[#This Row],[Fin réelle]]&lt;&gt;""),IF([[#This Row],[Fin réelle]]&lt;=[[#This Row],[Fin planifiée]],"Oui","Non"),"")</f>
        <v>0</v>
      </c>
    </row>
    <row r="109" spans="1:36" ht="20" customHeight="1">
      <c r="M109">
        <f>IF(AND([[#This Row],Début]&lt;&gt;"",[[#This Row],[Fin planifiée]]&lt;&gt;""),[[#This Row],[Fin planifiée]]-[[#This Row],Début]+1,"")</f>
        <v>0</v>
      </c>
      <c r="N109">
        <f>IF(AND([[#This Row],Début]&lt;&gt;"",[[#This Row],[Fin réelle]]&lt;&gt;""),[[#This Row],[Fin réelle]]-[[#This Row],Début]+1,"")</f>
        <v>0</v>
      </c>
      <c r="S109">
        <f>[[#This Row],[Budget réalisé]]-[[#This Row],[Budget prévu]]</f>
        <v>0</v>
      </c>
      <c r="T109">
        <f>IF(OR([[#This Row],[Budget prévu]]="",[[#This Row],[Budget réalisé]]=""),"",IF([[#This Row],[Écart (€)]]=0,"À l'équilibre",IF([[#This Row],[Écart (€)]]&gt;0,"Dépassement","Sous budget")))</f>
        <v>0</v>
      </c>
      <c r="W109">
        <f>[[#This Row],[Risque – Probabilité (1-5)]]*[[#This Row],[Risque – Sévérité (1-5)]]</f>
        <v>0</v>
      </c>
      <c r="AC109">
        <f>IF([[#This Row],Effort (jours)]&gt;0,[[#This Row],[Reach (pers.)]]*[[#This Row],[Impact (1-5)]]*[[#This Row],[Confidence (0-1)]]/[[#This Row],[Effort (jours)]],"")</f>
        <v>0</v>
      </c>
      <c r="AG109">
        <f>IF([[#This Row],[Fin planifiée]]&lt;&gt;"",MONTH([[#This Row],[Fin planifiée]]),"")</f>
        <v>0</v>
      </c>
      <c r="AH109">
        <f>IF([[#This Row],[Fin planifiée]]&lt;&gt;"",YEAR([[#This Row],[Fin planifiée]]),"")</f>
        <v>0</v>
      </c>
      <c r="AI1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09">
        <f>IF(AND([[#This Row],Statut]="Terminé",[[#This Row],[Fin réelle]]&lt;&gt;""),IF([[#This Row],[Fin réelle]]&lt;=[[#This Row],[Fin planifiée]],"Oui","Non"),"")</f>
        <v>0</v>
      </c>
    </row>
    <row r="110" spans="1:36" ht="20" customHeight="1">
      <c r="M110">
        <f>IF(AND([[#This Row],Début]&lt;&gt;"",[[#This Row],[Fin planifiée]]&lt;&gt;""),[[#This Row],[Fin planifiée]]-[[#This Row],Début]+1,"")</f>
        <v>0</v>
      </c>
      <c r="N110">
        <f>IF(AND([[#This Row],Début]&lt;&gt;"",[[#This Row],[Fin réelle]]&lt;&gt;""),[[#This Row],[Fin réelle]]-[[#This Row],Début]+1,"")</f>
        <v>0</v>
      </c>
      <c r="S110">
        <f>[[#This Row],[Budget réalisé]]-[[#This Row],[Budget prévu]]</f>
        <v>0</v>
      </c>
      <c r="T110">
        <f>IF(OR([[#This Row],[Budget prévu]]="",[[#This Row],[Budget réalisé]]=""),"",IF([[#This Row],[Écart (€)]]=0,"À l'équilibre",IF([[#This Row],[Écart (€)]]&gt;0,"Dépassement","Sous budget")))</f>
        <v>0</v>
      </c>
      <c r="W110">
        <f>[[#This Row],[Risque – Probabilité (1-5)]]*[[#This Row],[Risque – Sévérité (1-5)]]</f>
        <v>0</v>
      </c>
      <c r="AC110">
        <f>IF([[#This Row],Effort (jours)]&gt;0,[[#This Row],[Reach (pers.)]]*[[#This Row],[Impact (1-5)]]*[[#This Row],[Confidence (0-1)]]/[[#This Row],[Effort (jours)]],"")</f>
        <v>0</v>
      </c>
      <c r="AG110">
        <f>IF([[#This Row],[Fin planifiée]]&lt;&gt;"",MONTH([[#This Row],[Fin planifiée]]),"")</f>
        <v>0</v>
      </c>
      <c r="AH110">
        <f>IF([[#This Row],[Fin planifiée]]&lt;&gt;"",YEAR([[#This Row],[Fin planifiée]]),"")</f>
        <v>0</v>
      </c>
      <c r="AI1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0">
        <f>IF(AND([[#This Row],Statut]="Terminé",[[#This Row],[Fin réelle]]&lt;&gt;""),IF([[#This Row],[Fin réelle]]&lt;=[[#This Row],[Fin planifiée]],"Oui","Non"),"")</f>
        <v>0</v>
      </c>
    </row>
    <row r="111" spans="1:36" ht="20" customHeight="1">
      <c r="M111">
        <f>IF(AND([[#This Row],Début]&lt;&gt;"",[[#This Row],[Fin planifiée]]&lt;&gt;""),[[#This Row],[Fin planifiée]]-[[#This Row],Début]+1,"")</f>
        <v>0</v>
      </c>
      <c r="N111">
        <f>IF(AND([[#This Row],Début]&lt;&gt;"",[[#This Row],[Fin réelle]]&lt;&gt;""),[[#This Row],[Fin réelle]]-[[#This Row],Début]+1,"")</f>
        <v>0</v>
      </c>
      <c r="S111">
        <f>[[#This Row],[Budget réalisé]]-[[#This Row],[Budget prévu]]</f>
        <v>0</v>
      </c>
      <c r="T111">
        <f>IF(OR([[#This Row],[Budget prévu]]="",[[#This Row],[Budget réalisé]]=""),"",IF([[#This Row],[Écart (€)]]=0,"À l'équilibre",IF([[#This Row],[Écart (€)]]&gt;0,"Dépassement","Sous budget")))</f>
        <v>0</v>
      </c>
      <c r="W111">
        <f>[[#This Row],[Risque – Probabilité (1-5)]]*[[#This Row],[Risque – Sévérité (1-5)]]</f>
        <v>0</v>
      </c>
      <c r="AC111">
        <f>IF([[#This Row],Effort (jours)]&gt;0,[[#This Row],[Reach (pers.)]]*[[#This Row],[Impact (1-5)]]*[[#This Row],[Confidence (0-1)]]/[[#This Row],[Effort (jours)]],"")</f>
        <v>0</v>
      </c>
      <c r="AG111">
        <f>IF([[#This Row],[Fin planifiée]]&lt;&gt;"",MONTH([[#This Row],[Fin planifiée]]),"")</f>
        <v>0</v>
      </c>
      <c r="AH111">
        <f>IF([[#This Row],[Fin planifiée]]&lt;&gt;"",YEAR([[#This Row],[Fin planifiée]]),"")</f>
        <v>0</v>
      </c>
      <c r="AI1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1">
        <f>IF(AND([[#This Row],Statut]="Terminé",[[#This Row],[Fin réelle]]&lt;&gt;""),IF([[#This Row],[Fin réelle]]&lt;=[[#This Row],[Fin planifiée]],"Oui","Non"),"")</f>
        <v>0</v>
      </c>
    </row>
    <row r="112" spans="1:36" ht="20" customHeight="1">
      <c r="M112">
        <f>IF(AND([[#This Row],Début]&lt;&gt;"",[[#This Row],[Fin planifiée]]&lt;&gt;""),[[#This Row],[Fin planifiée]]-[[#This Row],Début]+1,"")</f>
        <v>0</v>
      </c>
      <c r="N112">
        <f>IF(AND([[#This Row],Début]&lt;&gt;"",[[#This Row],[Fin réelle]]&lt;&gt;""),[[#This Row],[Fin réelle]]-[[#This Row],Début]+1,"")</f>
        <v>0</v>
      </c>
      <c r="S112">
        <f>[[#This Row],[Budget réalisé]]-[[#This Row],[Budget prévu]]</f>
        <v>0</v>
      </c>
      <c r="T112">
        <f>IF(OR([[#This Row],[Budget prévu]]="",[[#This Row],[Budget réalisé]]=""),"",IF([[#This Row],[Écart (€)]]=0,"À l'équilibre",IF([[#This Row],[Écart (€)]]&gt;0,"Dépassement","Sous budget")))</f>
        <v>0</v>
      </c>
      <c r="W112">
        <f>[[#This Row],[Risque – Probabilité (1-5)]]*[[#This Row],[Risque – Sévérité (1-5)]]</f>
        <v>0</v>
      </c>
      <c r="AC112">
        <f>IF([[#This Row],Effort (jours)]&gt;0,[[#This Row],[Reach (pers.)]]*[[#This Row],[Impact (1-5)]]*[[#This Row],[Confidence (0-1)]]/[[#This Row],[Effort (jours)]],"")</f>
        <v>0</v>
      </c>
      <c r="AG112">
        <f>IF([[#This Row],[Fin planifiée]]&lt;&gt;"",MONTH([[#This Row],[Fin planifiée]]),"")</f>
        <v>0</v>
      </c>
      <c r="AH112">
        <f>IF([[#This Row],[Fin planifiée]]&lt;&gt;"",YEAR([[#This Row],[Fin planifiée]]),"")</f>
        <v>0</v>
      </c>
      <c r="AI1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2">
        <f>IF(AND([[#This Row],Statut]="Terminé",[[#This Row],[Fin réelle]]&lt;&gt;""),IF([[#This Row],[Fin réelle]]&lt;=[[#This Row],[Fin planifiée]],"Oui","Non"),"")</f>
        <v>0</v>
      </c>
    </row>
    <row r="113" spans="13:36" ht="20" customHeight="1">
      <c r="M113">
        <f>IF(AND([[#This Row],Début]&lt;&gt;"",[[#This Row],[Fin planifiée]]&lt;&gt;""),[[#This Row],[Fin planifiée]]-[[#This Row],Début]+1,"")</f>
        <v>0</v>
      </c>
      <c r="N113">
        <f>IF(AND([[#This Row],Début]&lt;&gt;"",[[#This Row],[Fin réelle]]&lt;&gt;""),[[#This Row],[Fin réelle]]-[[#This Row],Début]+1,"")</f>
        <v>0</v>
      </c>
      <c r="S113">
        <f>[[#This Row],[Budget réalisé]]-[[#This Row],[Budget prévu]]</f>
        <v>0</v>
      </c>
      <c r="T113">
        <f>IF(OR([[#This Row],[Budget prévu]]="",[[#This Row],[Budget réalisé]]=""),"",IF([[#This Row],[Écart (€)]]=0,"À l'équilibre",IF([[#This Row],[Écart (€)]]&gt;0,"Dépassement","Sous budget")))</f>
        <v>0</v>
      </c>
      <c r="W113">
        <f>[[#This Row],[Risque – Probabilité (1-5)]]*[[#This Row],[Risque – Sévérité (1-5)]]</f>
        <v>0</v>
      </c>
      <c r="AC113">
        <f>IF([[#This Row],Effort (jours)]&gt;0,[[#This Row],[Reach (pers.)]]*[[#This Row],[Impact (1-5)]]*[[#This Row],[Confidence (0-1)]]/[[#This Row],[Effort (jours)]],"")</f>
        <v>0</v>
      </c>
      <c r="AG113">
        <f>IF([[#This Row],[Fin planifiée]]&lt;&gt;"",MONTH([[#This Row],[Fin planifiée]]),"")</f>
        <v>0</v>
      </c>
      <c r="AH113">
        <f>IF([[#This Row],[Fin planifiée]]&lt;&gt;"",YEAR([[#This Row],[Fin planifiée]]),"")</f>
        <v>0</v>
      </c>
      <c r="AI1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3">
        <f>IF(AND([[#This Row],Statut]="Terminé",[[#This Row],[Fin réelle]]&lt;&gt;""),IF([[#This Row],[Fin réelle]]&lt;=[[#This Row],[Fin planifiée]],"Oui","Non"),"")</f>
        <v>0</v>
      </c>
    </row>
    <row r="114" spans="13:36" ht="20" customHeight="1">
      <c r="M114">
        <f>IF(AND([[#This Row],Début]&lt;&gt;"",[[#This Row],[Fin planifiée]]&lt;&gt;""),[[#This Row],[Fin planifiée]]-[[#This Row],Début]+1,"")</f>
        <v>0</v>
      </c>
      <c r="N114">
        <f>IF(AND([[#This Row],Début]&lt;&gt;"",[[#This Row],[Fin réelle]]&lt;&gt;""),[[#This Row],[Fin réelle]]-[[#This Row],Début]+1,"")</f>
        <v>0</v>
      </c>
      <c r="S114">
        <f>[[#This Row],[Budget réalisé]]-[[#This Row],[Budget prévu]]</f>
        <v>0</v>
      </c>
      <c r="T114">
        <f>IF(OR([[#This Row],[Budget prévu]]="",[[#This Row],[Budget réalisé]]=""),"",IF([[#This Row],[Écart (€)]]=0,"À l'équilibre",IF([[#This Row],[Écart (€)]]&gt;0,"Dépassement","Sous budget")))</f>
        <v>0</v>
      </c>
      <c r="W114">
        <f>[[#This Row],[Risque – Probabilité (1-5)]]*[[#This Row],[Risque – Sévérité (1-5)]]</f>
        <v>0</v>
      </c>
      <c r="AC114">
        <f>IF([[#This Row],Effort (jours)]&gt;0,[[#This Row],[Reach (pers.)]]*[[#This Row],[Impact (1-5)]]*[[#This Row],[Confidence (0-1)]]/[[#This Row],[Effort (jours)]],"")</f>
        <v>0</v>
      </c>
      <c r="AG114">
        <f>IF([[#This Row],[Fin planifiée]]&lt;&gt;"",MONTH([[#This Row],[Fin planifiée]]),"")</f>
        <v>0</v>
      </c>
      <c r="AH114">
        <f>IF([[#This Row],[Fin planifiée]]&lt;&gt;"",YEAR([[#This Row],[Fin planifiée]]),"")</f>
        <v>0</v>
      </c>
      <c r="AI1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4">
        <f>IF(AND([[#This Row],Statut]="Terminé",[[#This Row],[Fin réelle]]&lt;&gt;""),IF([[#This Row],[Fin réelle]]&lt;=[[#This Row],[Fin planifiée]],"Oui","Non"),"")</f>
        <v>0</v>
      </c>
    </row>
    <row r="115" spans="13:36" ht="20" customHeight="1">
      <c r="M115">
        <f>IF(AND([[#This Row],Début]&lt;&gt;"",[[#This Row],[Fin planifiée]]&lt;&gt;""),[[#This Row],[Fin planifiée]]-[[#This Row],Début]+1,"")</f>
        <v>0</v>
      </c>
      <c r="N115">
        <f>IF(AND([[#This Row],Début]&lt;&gt;"",[[#This Row],[Fin réelle]]&lt;&gt;""),[[#This Row],[Fin réelle]]-[[#This Row],Début]+1,"")</f>
        <v>0</v>
      </c>
      <c r="S115">
        <f>[[#This Row],[Budget réalisé]]-[[#This Row],[Budget prévu]]</f>
        <v>0</v>
      </c>
      <c r="T115">
        <f>IF(OR([[#This Row],[Budget prévu]]="",[[#This Row],[Budget réalisé]]=""),"",IF([[#This Row],[Écart (€)]]=0,"À l'équilibre",IF([[#This Row],[Écart (€)]]&gt;0,"Dépassement","Sous budget")))</f>
        <v>0</v>
      </c>
      <c r="W115">
        <f>[[#This Row],[Risque – Probabilité (1-5)]]*[[#This Row],[Risque – Sévérité (1-5)]]</f>
        <v>0</v>
      </c>
      <c r="AC115">
        <f>IF([[#This Row],Effort (jours)]&gt;0,[[#This Row],[Reach (pers.)]]*[[#This Row],[Impact (1-5)]]*[[#This Row],[Confidence (0-1)]]/[[#This Row],[Effort (jours)]],"")</f>
        <v>0</v>
      </c>
      <c r="AG115">
        <f>IF([[#This Row],[Fin planifiée]]&lt;&gt;"",MONTH([[#This Row],[Fin planifiée]]),"")</f>
        <v>0</v>
      </c>
      <c r="AH115">
        <f>IF([[#This Row],[Fin planifiée]]&lt;&gt;"",YEAR([[#This Row],[Fin planifiée]]),"")</f>
        <v>0</v>
      </c>
      <c r="AI1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5">
        <f>IF(AND([[#This Row],Statut]="Terminé",[[#This Row],[Fin réelle]]&lt;&gt;""),IF([[#This Row],[Fin réelle]]&lt;=[[#This Row],[Fin planifiée]],"Oui","Non"),"")</f>
        <v>0</v>
      </c>
    </row>
    <row r="116" spans="13:36" ht="20" customHeight="1">
      <c r="M116">
        <f>IF(AND([[#This Row],Début]&lt;&gt;"",[[#This Row],[Fin planifiée]]&lt;&gt;""),[[#This Row],[Fin planifiée]]-[[#This Row],Début]+1,"")</f>
        <v>0</v>
      </c>
      <c r="N116">
        <f>IF(AND([[#This Row],Début]&lt;&gt;"",[[#This Row],[Fin réelle]]&lt;&gt;""),[[#This Row],[Fin réelle]]-[[#This Row],Début]+1,"")</f>
        <v>0</v>
      </c>
      <c r="S116">
        <f>[[#This Row],[Budget réalisé]]-[[#This Row],[Budget prévu]]</f>
        <v>0</v>
      </c>
      <c r="T116">
        <f>IF(OR([[#This Row],[Budget prévu]]="",[[#This Row],[Budget réalisé]]=""),"",IF([[#This Row],[Écart (€)]]=0,"À l'équilibre",IF([[#This Row],[Écart (€)]]&gt;0,"Dépassement","Sous budget")))</f>
        <v>0</v>
      </c>
      <c r="W116">
        <f>[[#This Row],[Risque – Probabilité (1-5)]]*[[#This Row],[Risque – Sévérité (1-5)]]</f>
        <v>0</v>
      </c>
      <c r="AC116">
        <f>IF([[#This Row],Effort (jours)]&gt;0,[[#This Row],[Reach (pers.)]]*[[#This Row],[Impact (1-5)]]*[[#This Row],[Confidence (0-1)]]/[[#This Row],[Effort (jours)]],"")</f>
        <v>0</v>
      </c>
      <c r="AG116">
        <f>IF([[#This Row],[Fin planifiée]]&lt;&gt;"",MONTH([[#This Row],[Fin planifiée]]),"")</f>
        <v>0</v>
      </c>
      <c r="AH116">
        <f>IF([[#This Row],[Fin planifiée]]&lt;&gt;"",YEAR([[#This Row],[Fin planifiée]]),"")</f>
        <v>0</v>
      </c>
      <c r="AI1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6">
        <f>IF(AND([[#This Row],Statut]="Terminé",[[#This Row],[Fin réelle]]&lt;&gt;""),IF([[#This Row],[Fin réelle]]&lt;=[[#This Row],[Fin planifiée]],"Oui","Non"),"")</f>
        <v>0</v>
      </c>
    </row>
    <row r="117" spans="13:36" ht="20" customHeight="1">
      <c r="M117">
        <f>IF(AND([[#This Row],Début]&lt;&gt;"",[[#This Row],[Fin planifiée]]&lt;&gt;""),[[#This Row],[Fin planifiée]]-[[#This Row],Début]+1,"")</f>
        <v>0</v>
      </c>
      <c r="N117">
        <f>IF(AND([[#This Row],Début]&lt;&gt;"",[[#This Row],[Fin réelle]]&lt;&gt;""),[[#This Row],[Fin réelle]]-[[#This Row],Début]+1,"")</f>
        <v>0</v>
      </c>
      <c r="S117">
        <f>[[#This Row],[Budget réalisé]]-[[#This Row],[Budget prévu]]</f>
        <v>0</v>
      </c>
      <c r="T117">
        <f>IF(OR([[#This Row],[Budget prévu]]="",[[#This Row],[Budget réalisé]]=""),"",IF([[#This Row],[Écart (€)]]=0,"À l'équilibre",IF([[#This Row],[Écart (€)]]&gt;0,"Dépassement","Sous budget")))</f>
        <v>0</v>
      </c>
      <c r="W117">
        <f>[[#This Row],[Risque – Probabilité (1-5)]]*[[#This Row],[Risque – Sévérité (1-5)]]</f>
        <v>0</v>
      </c>
      <c r="AC117">
        <f>IF([[#This Row],Effort (jours)]&gt;0,[[#This Row],[Reach (pers.)]]*[[#This Row],[Impact (1-5)]]*[[#This Row],[Confidence (0-1)]]/[[#This Row],[Effort (jours)]],"")</f>
        <v>0</v>
      </c>
      <c r="AG117">
        <f>IF([[#This Row],[Fin planifiée]]&lt;&gt;"",MONTH([[#This Row],[Fin planifiée]]),"")</f>
        <v>0</v>
      </c>
      <c r="AH117">
        <f>IF([[#This Row],[Fin planifiée]]&lt;&gt;"",YEAR([[#This Row],[Fin planifiée]]),"")</f>
        <v>0</v>
      </c>
      <c r="AI1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7">
        <f>IF(AND([[#This Row],Statut]="Terminé",[[#This Row],[Fin réelle]]&lt;&gt;""),IF([[#This Row],[Fin réelle]]&lt;=[[#This Row],[Fin planifiée]],"Oui","Non"),"")</f>
        <v>0</v>
      </c>
    </row>
    <row r="118" spans="13:36" ht="20" customHeight="1">
      <c r="M118">
        <f>IF(AND([[#This Row],Début]&lt;&gt;"",[[#This Row],[Fin planifiée]]&lt;&gt;""),[[#This Row],[Fin planifiée]]-[[#This Row],Début]+1,"")</f>
        <v>0</v>
      </c>
      <c r="N118">
        <f>IF(AND([[#This Row],Début]&lt;&gt;"",[[#This Row],[Fin réelle]]&lt;&gt;""),[[#This Row],[Fin réelle]]-[[#This Row],Début]+1,"")</f>
        <v>0</v>
      </c>
      <c r="S118">
        <f>[[#This Row],[Budget réalisé]]-[[#This Row],[Budget prévu]]</f>
        <v>0</v>
      </c>
      <c r="T118">
        <f>IF(OR([[#This Row],[Budget prévu]]="",[[#This Row],[Budget réalisé]]=""),"",IF([[#This Row],[Écart (€)]]=0,"À l'équilibre",IF([[#This Row],[Écart (€)]]&gt;0,"Dépassement","Sous budget")))</f>
        <v>0</v>
      </c>
      <c r="W118">
        <f>[[#This Row],[Risque – Probabilité (1-5)]]*[[#This Row],[Risque – Sévérité (1-5)]]</f>
        <v>0</v>
      </c>
      <c r="AC118">
        <f>IF([[#This Row],Effort (jours)]&gt;0,[[#This Row],[Reach (pers.)]]*[[#This Row],[Impact (1-5)]]*[[#This Row],[Confidence (0-1)]]/[[#This Row],[Effort (jours)]],"")</f>
        <v>0</v>
      </c>
      <c r="AG118">
        <f>IF([[#This Row],[Fin planifiée]]&lt;&gt;"",MONTH([[#This Row],[Fin planifiée]]),"")</f>
        <v>0</v>
      </c>
      <c r="AH118">
        <f>IF([[#This Row],[Fin planifiée]]&lt;&gt;"",YEAR([[#This Row],[Fin planifiée]]),"")</f>
        <v>0</v>
      </c>
      <c r="AI1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8">
        <f>IF(AND([[#This Row],Statut]="Terminé",[[#This Row],[Fin réelle]]&lt;&gt;""),IF([[#This Row],[Fin réelle]]&lt;=[[#This Row],[Fin planifiée]],"Oui","Non"),"")</f>
        <v>0</v>
      </c>
    </row>
    <row r="119" spans="13:36" ht="20" customHeight="1">
      <c r="M119">
        <f>IF(AND([[#This Row],Début]&lt;&gt;"",[[#This Row],[Fin planifiée]]&lt;&gt;""),[[#This Row],[Fin planifiée]]-[[#This Row],Début]+1,"")</f>
        <v>0</v>
      </c>
      <c r="N119">
        <f>IF(AND([[#This Row],Début]&lt;&gt;"",[[#This Row],[Fin réelle]]&lt;&gt;""),[[#This Row],[Fin réelle]]-[[#This Row],Début]+1,"")</f>
        <v>0</v>
      </c>
      <c r="S119">
        <f>[[#This Row],[Budget réalisé]]-[[#This Row],[Budget prévu]]</f>
        <v>0</v>
      </c>
      <c r="T119">
        <f>IF(OR([[#This Row],[Budget prévu]]="",[[#This Row],[Budget réalisé]]=""),"",IF([[#This Row],[Écart (€)]]=0,"À l'équilibre",IF([[#This Row],[Écart (€)]]&gt;0,"Dépassement","Sous budget")))</f>
        <v>0</v>
      </c>
      <c r="W119">
        <f>[[#This Row],[Risque – Probabilité (1-5)]]*[[#This Row],[Risque – Sévérité (1-5)]]</f>
        <v>0</v>
      </c>
      <c r="AC119">
        <f>IF([[#This Row],Effort (jours)]&gt;0,[[#This Row],[Reach (pers.)]]*[[#This Row],[Impact (1-5)]]*[[#This Row],[Confidence (0-1)]]/[[#This Row],[Effort (jours)]],"")</f>
        <v>0</v>
      </c>
      <c r="AG119">
        <f>IF([[#This Row],[Fin planifiée]]&lt;&gt;"",MONTH([[#This Row],[Fin planifiée]]),"")</f>
        <v>0</v>
      </c>
      <c r="AH119">
        <f>IF([[#This Row],[Fin planifiée]]&lt;&gt;"",YEAR([[#This Row],[Fin planifiée]]),"")</f>
        <v>0</v>
      </c>
      <c r="AI1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19">
        <f>IF(AND([[#This Row],Statut]="Terminé",[[#This Row],[Fin réelle]]&lt;&gt;""),IF([[#This Row],[Fin réelle]]&lt;=[[#This Row],[Fin planifiée]],"Oui","Non"),"")</f>
        <v>0</v>
      </c>
    </row>
    <row r="120" spans="13:36" ht="20" customHeight="1">
      <c r="M120">
        <f>IF(AND([[#This Row],Début]&lt;&gt;"",[[#This Row],[Fin planifiée]]&lt;&gt;""),[[#This Row],[Fin planifiée]]-[[#This Row],Début]+1,"")</f>
        <v>0</v>
      </c>
      <c r="N120">
        <f>IF(AND([[#This Row],Début]&lt;&gt;"",[[#This Row],[Fin réelle]]&lt;&gt;""),[[#This Row],[Fin réelle]]-[[#This Row],Début]+1,"")</f>
        <v>0</v>
      </c>
      <c r="S120">
        <f>[[#This Row],[Budget réalisé]]-[[#This Row],[Budget prévu]]</f>
        <v>0</v>
      </c>
      <c r="T120">
        <f>IF(OR([[#This Row],[Budget prévu]]="",[[#This Row],[Budget réalisé]]=""),"",IF([[#This Row],[Écart (€)]]=0,"À l'équilibre",IF([[#This Row],[Écart (€)]]&gt;0,"Dépassement","Sous budget")))</f>
        <v>0</v>
      </c>
      <c r="W120">
        <f>[[#This Row],[Risque – Probabilité (1-5)]]*[[#This Row],[Risque – Sévérité (1-5)]]</f>
        <v>0</v>
      </c>
      <c r="AC120">
        <f>IF([[#This Row],Effort (jours)]&gt;0,[[#This Row],[Reach (pers.)]]*[[#This Row],[Impact (1-5)]]*[[#This Row],[Confidence (0-1)]]/[[#This Row],[Effort (jours)]],"")</f>
        <v>0</v>
      </c>
      <c r="AG120">
        <f>IF([[#This Row],[Fin planifiée]]&lt;&gt;"",MONTH([[#This Row],[Fin planifiée]]),"")</f>
        <v>0</v>
      </c>
      <c r="AH120">
        <f>IF([[#This Row],[Fin planifiée]]&lt;&gt;"",YEAR([[#This Row],[Fin planifiée]]),"")</f>
        <v>0</v>
      </c>
      <c r="AI1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0">
        <f>IF(AND([[#This Row],Statut]="Terminé",[[#This Row],[Fin réelle]]&lt;&gt;""),IF([[#This Row],[Fin réelle]]&lt;=[[#This Row],[Fin planifiée]],"Oui","Non"),"")</f>
        <v>0</v>
      </c>
    </row>
    <row r="121" spans="13:36" ht="20" customHeight="1">
      <c r="M121">
        <f>IF(AND([[#This Row],Début]&lt;&gt;"",[[#This Row],[Fin planifiée]]&lt;&gt;""),[[#This Row],[Fin planifiée]]-[[#This Row],Début]+1,"")</f>
        <v>0</v>
      </c>
      <c r="N121">
        <f>IF(AND([[#This Row],Début]&lt;&gt;"",[[#This Row],[Fin réelle]]&lt;&gt;""),[[#This Row],[Fin réelle]]-[[#This Row],Début]+1,"")</f>
        <v>0</v>
      </c>
      <c r="S121">
        <f>[[#This Row],[Budget réalisé]]-[[#This Row],[Budget prévu]]</f>
        <v>0</v>
      </c>
      <c r="T121">
        <f>IF(OR([[#This Row],[Budget prévu]]="",[[#This Row],[Budget réalisé]]=""),"",IF([[#This Row],[Écart (€)]]=0,"À l'équilibre",IF([[#This Row],[Écart (€)]]&gt;0,"Dépassement","Sous budget")))</f>
        <v>0</v>
      </c>
      <c r="W121">
        <f>[[#This Row],[Risque – Probabilité (1-5)]]*[[#This Row],[Risque – Sévérité (1-5)]]</f>
        <v>0</v>
      </c>
      <c r="AC121">
        <f>IF([[#This Row],Effort (jours)]&gt;0,[[#This Row],[Reach (pers.)]]*[[#This Row],[Impact (1-5)]]*[[#This Row],[Confidence (0-1)]]/[[#This Row],[Effort (jours)]],"")</f>
        <v>0</v>
      </c>
      <c r="AG121">
        <f>IF([[#This Row],[Fin planifiée]]&lt;&gt;"",MONTH([[#This Row],[Fin planifiée]]),"")</f>
        <v>0</v>
      </c>
      <c r="AH121">
        <f>IF([[#This Row],[Fin planifiée]]&lt;&gt;"",YEAR([[#This Row],[Fin planifiée]]),"")</f>
        <v>0</v>
      </c>
      <c r="AI1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1">
        <f>IF(AND([[#This Row],Statut]="Terminé",[[#This Row],[Fin réelle]]&lt;&gt;""),IF([[#This Row],[Fin réelle]]&lt;=[[#This Row],[Fin planifiée]],"Oui","Non"),"")</f>
        <v>0</v>
      </c>
    </row>
    <row r="122" spans="13:36" ht="20" customHeight="1">
      <c r="M122">
        <f>IF(AND([[#This Row],Début]&lt;&gt;"",[[#This Row],[Fin planifiée]]&lt;&gt;""),[[#This Row],[Fin planifiée]]-[[#This Row],Début]+1,"")</f>
        <v>0</v>
      </c>
      <c r="N122">
        <f>IF(AND([[#This Row],Début]&lt;&gt;"",[[#This Row],[Fin réelle]]&lt;&gt;""),[[#This Row],[Fin réelle]]-[[#This Row],Début]+1,"")</f>
        <v>0</v>
      </c>
      <c r="S122">
        <f>[[#This Row],[Budget réalisé]]-[[#This Row],[Budget prévu]]</f>
        <v>0</v>
      </c>
      <c r="T122">
        <f>IF(OR([[#This Row],[Budget prévu]]="",[[#This Row],[Budget réalisé]]=""),"",IF([[#This Row],[Écart (€)]]=0,"À l'équilibre",IF([[#This Row],[Écart (€)]]&gt;0,"Dépassement","Sous budget")))</f>
        <v>0</v>
      </c>
      <c r="W122">
        <f>[[#This Row],[Risque – Probabilité (1-5)]]*[[#This Row],[Risque – Sévérité (1-5)]]</f>
        <v>0</v>
      </c>
      <c r="AC122">
        <f>IF([[#This Row],Effort (jours)]&gt;0,[[#This Row],[Reach (pers.)]]*[[#This Row],[Impact (1-5)]]*[[#This Row],[Confidence (0-1)]]/[[#This Row],[Effort (jours)]],"")</f>
        <v>0</v>
      </c>
      <c r="AG122">
        <f>IF([[#This Row],[Fin planifiée]]&lt;&gt;"",MONTH([[#This Row],[Fin planifiée]]),"")</f>
        <v>0</v>
      </c>
      <c r="AH122">
        <f>IF([[#This Row],[Fin planifiée]]&lt;&gt;"",YEAR([[#This Row],[Fin planifiée]]),"")</f>
        <v>0</v>
      </c>
      <c r="AI1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2">
        <f>IF(AND([[#This Row],Statut]="Terminé",[[#This Row],[Fin réelle]]&lt;&gt;""),IF([[#This Row],[Fin réelle]]&lt;=[[#This Row],[Fin planifiée]],"Oui","Non"),"")</f>
        <v>0</v>
      </c>
    </row>
    <row r="123" spans="13:36" ht="20" customHeight="1">
      <c r="M123">
        <f>IF(AND([[#This Row],Début]&lt;&gt;"",[[#This Row],[Fin planifiée]]&lt;&gt;""),[[#This Row],[Fin planifiée]]-[[#This Row],Début]+1,"")</f>
        <v>0</v>
      </c>
      <c r="N123">
        <f>IF(AND([[#This Row],Début]&lt;&gt;"",[[#This Row],[Fin réelle]]&lt;&gt;""),[[#This Row],[Fin réelle]]-[[#This Row],Début]+1,"")</f>
        <v>0</v>
      </c>
      <c r="S123">
        <f>[[#This Row],[Budget réalisé]]-[[#This Row],[Budget prévu]]</f>
        <v>0</v>
      </c>
      <c r="T123">
        <f>IF(OR([[#This Row],[Budget prévu]]="",[[#This Row],[Budget réalisé]]=""),"",IF([[#This Row],[Écart (€)]]=0,"À l'équilibre",IF([[#This Row],[Écart (€)]]&gt;0,"Dépassement","Sous budget")))</f>
        <v>0</v>
      </c>
      <c r="W123">
        <f>[[#This Row],[Risque – Probabilité (1-5)]]*[[#This Row],[Risque – Sévérité (1-5)]]</f>
        <v>0</v>
      </c>
      <c r="AC123">
        <f>IF([[#This Row],Effort (jours)]&gt;0,[[#This Row],[Reach (pers.)]]*[[#This Row],[Impact (1-5)]]*[[#This Row],[Confidence (0-1)]]/[[#This Row],[Effort (jours)]],"")</f>
        <v>0</v>
      </c>
      <c r="AG123">
        <f>IF([[#This Row],[Fin planifiée]]&lt;&gt;"",MONTH([[#This Row],[Fin planifiée]]),"")</f>
        <v>0</v>
      </c>
      <c r="AH123">
        <f>IF([[#This Row],[Fin planifiée]]&lt;&gt;"",YEAR([[#This Row],[Fin planifiée]]),"")</f>
        <v>0</v>
      </c>
      <c r="AI1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3">
        <f>IF(AND([[#This Row],Statut]="Terminé",[[#This Row],[Fin réelle]]&lt;&gt;""),IF([[#This Row],[Fin réelle]]&lt;=[[#This Row],[Fin planifiée]],"Oui","Non"),"")</f>
        <v>0</v>
      </c>
    </row>
    <row r="124" spans="13:36" ht="20" customHeight="1">
      <c r="M124">
        <f>IF(AND([[#This Row],Début]&lt;&gt;"",[[#This Row],[Fin planifiée]]&lt;&gt;""),[[#This Row],[Fin planifiée]]-[[#This Row],Début]+1,"")</f>
        <v>0</v>
      </c>
      <c r="N124">
        <f>IF(AND([[#This Row],Début]&lt;&gt;"",[[#This Row],[Fin réelle]]&lt;&gt;""),[[#This Row],[Fin réelle]]-[[#This Row],Début]+1,"")</f>
        <v>0</v>
      </c>
      <c r="S124">
        <f>[[#This Row],[Budget réalisé]]-[[#This Row],[Budget prévu]]</f>
        <v>0</v>
      </c>
      <c r="T124">
        <f>IF(OR([[#This Row],[Budget prévu]]="",[[#This Row],[Budget réalisé]]=""),"",IF([[#This Row],[Écart (€)]]=0,"À l'équilibre",IF([[#This Row],[Écart (€)]]&gt;0,"Dépassement","Sous budget")))</f>
        <v>0</v>
      </c>
      <c r="W124">
        <f>[[#This Row],[Risque – Probabilité (1-5)]]*[[#This Row],[Risque – Sévérité (1-5)]]</f>
        <v>0</v>
      </c>
      <c r="AC124">
        <f>IF([[#This Row],Effort (jours)]&gt;0,[[#This Row],[Reach (pers.)]]*[[#This Row],[Impact (1-5)]]*[[#This Row],[Confidence (0-1)]]/[[#This Row],[Effort (jours)]],"")</f>
        <v>0</v>
      </c>
      <c r="AG124">
        <f>IF([[#This Row],[Fin planifiée]]&lt;&gt;"",MONTH([[#This Row],[Fin planifiée]]),"")</f>
        <v>0</v>
      </c>
      <c r="AH124">
        <f>IF([[#This Row],[Fin planifiée]]&lt;&gt;"",YEAR([[#This Row],[Fin planifiée]]),"")</f>
        <v>0</v>
      </c>
      <c r="AI1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4">
        <f>IF(AND([[#This Row],Statut]="Terminé",[[#This Row],[Fin réelle]]&lt;&gt;""),IF([[#This Row],[Fin réelle]]&lt;=[[#This Row],[Fin planifiée]],"Oui","Non"),"")</f>
        <v>0</v>
      </c>
    </row>
    <row r="125" spans="13:36" ht="20" customHeight="1">
      <c r="M125">
        <f>IF(AND([[#This Row],Début]&lt;&gt;"",[[#This Row],[Fin planifiée]]&lt;&gt;""),[[#This Row],[Fin planifiée]]-[[#This Row],Début]+1,"")</f>
        <v>0</v>
      </c>
      <c r="N125">
        <f>IF(AND([[#This Row],Début]&lt;&gt;"",[[#This Row],[Fin réelle]]&lt;&gt;""),[[#This Row],[Fin réelle]]-[[#This Row],Début]+1,"")</f>
        <v>0</v>
      </c>
      <c r="S125">
        <f>[[#This Row],[Budget réalisé]]-[[#This Row],[Budget prévu]]</f>
        <v>0</v>
      </c>
      <c r="T125">
        <f>IF(OR([[#This Row],[Budget prévu]]="",[[#This Row],[Budget réalisé]]=""),"",IF([[#This Row],[Écart (€)]]=0,"À l'équilibre",IF([[#This Row],[Écart (€)]]&gt;0,"Dépassement","Sous budget")))</f>
        <v>0</v>
      </c>
      <c r="W125">
        <f>[[#This Row],[Risque – Probabilité (1-5)]]*[[#This Row],[Risque – Sévérité (1-5)]]</f>
        <v>0</v>
      </c>
      <c r="AC125">
        <f>IF([[#This Row],Effort (jours)]&gt;0,[[#This Row],[Reach (pers.)]]*[[#This Row],[Impact (1-5)]]*[[#This Row],[Confidence (0-1)]]/[[#This Row],[Effort (jours)]],"")</f>
        <v>0</v>
      </c>
      <c r="AG125">
        <f>IF([[#This Row],[Fin planifiée]]&lt;&gt;"",MONTH([[#This Row],[Fin planifiée]]),"")</f>
        <v>0</v>
      </c>
      <c r="AH125">
        <f>IF([[#This Row],[Fin planifiée]]&lt;&gt;"",YEAR([[#This Row],[Fin planifiée]]),"")</f>
        <v>0</v>
      </c>
      <c r="AI1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5">
        <f>IF(AND([[#This Row],Statut]="Terminé",[[#This Row],[Fin réelle]]&lt;&gt;""),IF([[#This Row],[Fin réelle]]&lt;=[[#This Row],[Fin planifiée]],"Oui","Non"),"")</f>
        <v>0</v>
      </c>
    </row>
    <row r="126" spans="13:36" ht="20" customHeight="1">
      <c r="M126">
        <f>IF(AND([[#This Row],Début]&lt;&gt;"",[[#This Row],[Fin planifiée]]&lt;&gt;""),[[#This Row],[Fin planifiée]]-[[#This Row],Début]+1,"")</f>
        <v>0</v>
      </c>
      <c r="N126">
        <f>IF(AND([[#This Row],Début]&lt;&gt;"",[[#This Row],[Fin réelle]]&lt;&gt;""),[[#This Row],[Fin réelle]]-[[#This Row],Début]+1,"")</f>
        <v>0</v>
      </c>
      <c r="S126">
        <f>[[#This Row],[Budget réalisé]]-[[#This Row],[Budget prévu]]</f>
        <v>0</v>
      </c>
      <c r="T126">
        <f>IF(OR([[#This Row],[Budget prévu]]="",[[#This Row],[Budget réalisé]]=""),"",IF([[#This Row],[Écart (€)]]=0,"À l'équilibre",IF([[#This Row],[Écart (€)]]&gt;0,"Dépassement","Sous budget")))</f>
        <v>0</v>
      </c>
      <c r="W126">
        <f>[[#This Row],[Risque – Probabilité (1-5)]]*[[#This Row],[Risque – Sévérité (1-5)]]</f>
        <v>0</v>
      </c>
      <c r="AC126">
        <f>IF([[#This Row],Effort (jours)]&gt;0,[[#This Row],[Reach (pers.)]]*[[#This Row],[Impact (1-5)]]*[[#This Row],[Confidence (0-1)]]/[[#This Row],[Effort (jours)]],"")</f>
        <v>0</v>
      </c>
      <c r="AG126">
        <f>IF([[#This Row],[Fin planifiée]]&lt;&gt;"",MONTH([[#This Row],[Fin planifiée]]),"")</f>
        <v>0</v>
      </c>
      <c r="AH126">
        <f>IF([[#This Row],[Fin planifiée]]&lt;&gt;"",YEAR([[#This Row],[Fin planifiée]]),"")</f>
        <v>0</v>
      </c>
      <c r="AI1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6">
        <f>IF(AND([[#This Row],Statut]="Terminé",[[#This Row],[Fin réelle]]&lt;&gt;""),IF([[#This Row],[Fin réelle]]&lt;=[[#This Row],[Fin planifiée]],"Oui","Non"),"")</f>
        <v>0</v>
      </c>
    </row>
    <row r="127" spans="13:36" ht="20" customHeight="1">
      <c r="M127">
        <f>IF(AND([[#This Row],Début]&lt;&gt;"",[[#This Row],[Fin planifiée]]&lt;&gt;""),[[#This Row],[Fin planifiée]]-[[#This Row],Début]+1,"")</f>
        <v>0</v>
      </c>
      <c r="N127">
        <f>IF(AND([[#This Row],Début]&lt;&gt;"",[[#This Row],[Fin réelle]]&lt;&gt;""),[[#This Row],[Fin réelle]]-[[#This Row],Début]+1,"")</f>
        <v>0</v>
      </c>
      <c r="S127">
        <f>[[#This Row],[Budget réalisé]]-[[#This Row],[Budget prévu]]</f>
        <v>0</v>
      </c>
      <c r="T127">
        <f>IF(OR([[#This Row],[Budget prévu]]="",[[#This Row],[Budget réalisé]]=""),"",IF([[#This Row],[Écart (€)]]=0,"À l'équilibre",IF([[#This Row],[Écart (€)]]&gt;0,"Dépassement","Sous budget")))</f>
        <v>0</v>
      </c>
      <c r="W127">
        <f>[[#This Row],[Risque – Probabilité (1-5)]]*[[#This Row],[Risque – Sévérité (1-5)]]</f>
        <v>0</v>
      </c>
      <c r="AC127">
        <f>IF([[#This Row],Effort (jours)]&gt;0,[[#This Row],[Reach (pers.)]]*[[#This Row],[Impact (1-5)]]*[[#This Row],[Confidence (0-1)]]/[[#This Row],[Effort (jours)]],"")</f>
        <v>0</v>
      </c>
      <c r="AG127">
        <f>IF([[#This Row],[Fin planifiée]]&lt;&gt;"",MONTH([[#This Row],[Fin planifiée]]),"")</f>
        <v>0</v>
      </c>
      <c r="AH127">
        <f>IF([[#This Row],[Fin planifiée]]&lt;&gt;"",YEAR([[#This Row],[Fin planifiée]]),"")</f>
        <v>0</v>
      </c>
      <c r="AI1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7">
        <f>IF(AND([[#This Row],Statut]="Terminé",[[#This Row],[Fin réelle]]&lt;&gt;""),IF([[#This Row],[Fin réelle]]&lt;=[[#This Row],[Fin planifiée]],"Oui","Non"),"")</f>
        <v>0</v>
      </c>
    </row>
    <row r="128" spans="13:36" ht="20" customHeight="1">
      <c r="M128">
        <f>IF(AND([[#This Row],Début]&lt;&gt;"",[[#This Row],[Fin planifiée]]&lt;&gt;""),[[#This Row],[Fin planifiée]]-[[#This Row],Début]+1,"")</f>
        <v>0</v>
      </c>
      <c r="N128">
        <f>IF(AND([[#This Row],Début]&lt;&gt;"",[[#This Row],[Fin réelle]]&lt;&gt;""),[[#This Row],[Fin réelle]]-[[#This Row],Début]+1,"")</f>
        <v>0</v>
      </c>
      <c r="S128">
        <f>[[#This Row],[Budget réalisé]]-[[#This Row],[Budget prévu]]</f>
        <v>0</v>
      </c>
      <c r="T128">
        <f>IF(OR([[#This Row],[Budget prévu]]="",[[#This Row],[Budget réalisé]]=""),"",IF([[#This Row],[Écart (€)]]=0,"À l'équilibre",IF([[#This Row],[Écart (€)]]&gt;0,"Dépassement","Sous budget")))</f>
        <v>0</v>
      </c>
      <c r="W128">
        <f>[[#This Row],[Risque – Probabilité (1-5)]]*[[#This Row],[Risque – Sévérité (1-5)]]</f>
        <v>0</v>
      </c>
      <c r="AC128">
        <f>IF([[#This Row],Effort (jours)]&gt;0,[[#This Row],[Reach (pers.)]]*[[#This Row],[Impact (1-5)]]*[[#This Row],[Confidence (0-1)]]/[[#This Row],[Effort (jours)]],"")</f>
        <v>0</v>
      </c>
      <c r="AG128">
        <f>IF([[#This Row],[Fin planifiée]]&lt;&gt;"",MONTH([[#This Row],[Fin planifiée]]),"")</f>
        <v>0</v>
      </c>
      <c r="AH128">
        <f>IF([[#This Row],[Fin planifiée]]&lt;&gt;"",YEAR([[#This Row],[Fin planifiée]]),"")</f>
        <v>0</v>
      </c>
      <c r="AI1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8">
        <f>IF(AND([[#This Row],Statut]="Terminé",[[#This Row],[Fin réelle]]&lt;&gt;""),IF([[#This Row],[Fin réelle]]&lt;=[[#This Row],[Fin planifiée]],"Oui","Non"),"")</f>
        <v>0</v>
      </c>
    </row>
    <row r="129" spans="13:36" ht="20" customHeight="1">
      <c r="M129">
        <f>IF(AND([[#This Row],Début]&lt;&gt;"",[[#This Row],[Fin planifiée]]&lt;&gt;""),[[#This Row],[Fin planifiée]]-[[#This Row],Début]+1,"")</f>
        <v>0</v>
      </c>
      <c r="N129">
        <f>IF(AND([[#This Row],Début]&lt;&gt;"",[[#This Row],[Fin réelle]]&lt;&gt;""),[[#This Row],[Fin réelle]]-[[#This Row],Début]+1,"")</f>
        <v>0</v>
      </c>
      <c r="S129">
        <f>[[#This Row],[Budget réalisé]]-[[#This Row],[Budget prévu]]</f>
        <v>0</v>
      </c>
      <c r="T129">
        <f>IF(OR([[#This Row],[Budget prévu]]="",[[#This Row],[Budget réalisé]]=""),"",IF([[#This Row],[Écart (€)]]=0,"À l'équilibre",IF([[#This Row],[Écart (€)]]&gt;0,"Dépassement","Sous budget")))</f>
        <v>0</v>
      </c>
      <c r="W129">
        <f>[[#This Row],[Risque – Probabilité (1-5)]]*[[#This Row],[Risque – Sévérité (1-5)]]</f>
        <v>0</v>
      </c>
      <c r="AC129">
        <f>IF([[#This Row],Effort (jours)]&gt;0,[[#This Row],[Reach (pers.)]]*[[#This Row],[Impact (1-5)]]*[[#This Row],[Confidence (0-1)]]/[[#This Row],[Effort (jours)]],"")</f>
        <v>0</v>
      </c>
      <c r="AG129">
        <f>IF([[#This Row],[Fin planifiée]]&lt;&gt;"",MONTH([[#This Row],[Fin planifiée]]),"")</f>
        <v>0</v>
      </c>
      <c r="AH129">
        <f>IF([[#This Row],[Fin planifiée]]&lt;&gt;"",YEAR([[#This Row],[Fin planifiée]]),"")</f>
        <v>0</v>
      </c>
      <c r="AI1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29">
        <f>IF(AND([[#This Row],Statut]="Terminé",[[#This Row],[Fin réelle]]&lt;&gt;""),IF([[#This Row],[Fin réelle]]&lt;=[[#This Row],[Fin planifiée]],"Oui","Non"),"")</f>
        <v>0</v>
      </c>
    </row>
    <row r="130" spans="13:36" ht="20" customHeight="1">
      <c r="M130">
        <f>IF(AND([[#This Row],Début]&lt;&gt;"",[[#This Row],[Fin planifiée]]&lt;&gt;""),[[#This Row],[Fin planifiée]]-[[#This Row],Début]+1,"")</f>
        <v>0</v>
      </c>
      <c r="N130">
        <f>IF(AND([[#This Row],Début]&lt;&gt;"",[[#This Row],[Fin réelle]]&lt;&gt;""),[[#This Row],[Fin réelle]]-[[#This Row],Début]+1,"")</f>
        <v>0</v>
      </c>
      <c r="S130">
        <f>[[#This Row],[Budget réalisé]]-[[#This Row],[Budget prévu]]</f>
        <v>0</v>
      </c>
      <c r="T130">
        <f>IF(OR([[#This Row],[Budget prévu]]="",[[#This Row],[Budget réalisé]]=""),"",IF([[#This Row],[Écart (€)]]=0,"À l'équilibre",IF([[#This Row],[Écart (€)]]&gt;0,"Dépassement","Sous budget")))</f>
        <v>0</v>
      </c>
      <c r="W130">
        <f>[[#This Row],[Risque – Probabilité (1-5)]]*[[#This Row],[Risque – Sévérité (1-5)]]</f>
        <v>0</v>
      </c>
      <c r="AC130">
        <f>IF([[#This Row],Effort (jours)]&gt;0,[[#This Row],[Reach (pers.)]]*[[#This Row],[Impact (1-5)]]*[[#This Row],[Confidence (0-1)]]/[[#This Row],[Effort (jours)]],"")</f>
        <v>0</v>
      </c>
      <c r="AG130">
        <f>IF([[#This Row],[Fin planifiée]]&lt;&gt;"",MONTH([[#This Row],[Fin planifiée]]),"")</f>
        <v>0</v>
      </c>
      <c r="AH130">
        <f>IF([[#This Row],[Fin planifiée]]&lt;&gt;"",YEAR([[#This Row],[Fin planifiée]]),"")</f>
        <v>0</v>
      </c>
      <c r="AI1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0">
        <f>IF(AND([[#This Row],Statut]="Terminé",[[#This Row],[Fin réelle]]&lt;&gt;""),IF([[#This Row],[Fin réelle]]&lt;=[[#This Row],[Fin planifiée]],"Oui","Non"),"")</f>
        <v>0</v>
      </c>
    </row>
    <row r="131" spans="13:36" ht="20" customHeight="1">
      <c r="M131">
        <f>IF(AND([[#This Row],Début]&lt;&gt;"",[[#This Row],[Fin planifiée]]&lt;&gt;""),[[#This Row],[Fin planifiée]]-[[#This Row],Début]+1,"")</f>
        <v>0</v>
      </c>
      <c r="N131">
        <f>IF(AND([[#This Row],Début]&lt;&gt;"",[[#This Row],[Fin réelle]]&lt;&gt;""),[[#This Row],[Fin réelle]]-[[#This Row],Début]+1,"")</f>
        <v>0</v>
      </c>
      <c r="S131">
        <f>[[#This Row],[Budget réalisé]]-[[#This Row],[Budget prévu]]</f>
        <v>0</v>
      </c>
      <c r="T131">
        <f>IF(OR([[#This Row],[Budget prévu]]="",[[#This Row],[Budget réalisé]]=""),"",IF([[#This Row],[Écart (€)]]=0,"À l'équilibre",IF([[#This Row],[Écart (€)]]&gt;0,"Dépassement","Sous budget")))</f>
        <v>0</v>
      </c>
      <c r="W131">
        <f>[[#This Row],[Risque – Probabilité (1-5)]]*[[#This Row],[Risque – Sévérité (1-5)]]</f>
        <v>0</v>
      </c>
      <c r="AC131">
        <f>IF([[#This Row],Effort (jours)]&gt;0,[[#This Row],[Reach (pers.)]]*[[#This Row],[Impact (1-5)]]*[[#This Row],[Confidence (0-1)]]/[[#This Row],[Effort (jours)]],"")</f>
        <v>0</v>
      </c>
      <c r="AG131">
        <f>IF([[#This Row],[Fin planifiée]]&lt;&gt;"",MONTH([[#This Row],[Fin planifiée]]),"")</f>
        <v>0</v>
      </c>
      <c r="AH131">
        <f>IF([[#This Row],[Fin planifiée]]&lt;&gt;"",YEAR([[#This Row],[Fin planifiée]]),"")</f>
        <v>0</v>
      </c>
      <c r="AI1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1">
        <f>IF(AND([[#This Row],Statut]="Terminé",[[#This Row],[Fin réelle]]&lt;&gt;""),IF([[#This Row],[Fin réelle]]&lt;=[[#This Row],[Fin planifiée]],"Oui","Non"),"")</f>
        <v>0</v>
      </c>
    </row>
    <row r="132" spans="13:36" ht="20" customHeight="1">
      <c r="M132">
        <f>IF(AND([[#This Row],Début]&lt;&gt;"",[[#This Row],[Fin planifiée]]&lt;&gt;""),[[#This Row],[Fin planifiée]]-[[#This Row],Début]+1,"")</f>
        <v>0</v>
      </c>
      <c r="N132">
        <f>IF(AND([[#This Row],Début]&lt;&gt;"",[[#This Row],[Fin réelle]]&lt;&gt;""),[[#This Row],[Fin réelle]]-[[#This Row],Début]+1,"")</f>
        <v>0</v>
      </c>
      <c r="S132">
        <f>[[#This Row],[Budget réalisé]]-[[#This Row],[Budget prévu]]</f>
        <v>0</v>
      </c>
      <c r="T132">
        <f>IF(OR([[#This Row],[Budget prévu]]="",[[#This Row],[Budget réalisé]]=""),"",IF([[#This Row],[Écart (€)]]=0,"À l'équilibre",IF([[#This Row],[Écart (€)]]&gt;0,"Dépassement","Sous budget")))</f>
        <v>0</v>
      </c>
      <c r="W132">
        <f>[[#This Row],[Risque – Probabilité (1-5)]]*[[#This Row],[Risque – Sévérité (1-5)]]</f>
        <v>0</v>
      </c>
      <c r="AC132">
        <f>IF([[#This Row],Effort (jours)]&gt;0,[[#This Row],[Reach (pers.)]]*[[#This Row],[Impact (1-5)]]*[[#This Row],[Confidence (0-1)]]/[[#This Row],[Effort (jours)]],"")</f>
        <v>0</v>
      </c>
      <c r="AG132">
        <f>IF([[#This Row],[Fin planifiée]]&lt;&gt;"",MONTH([[#This Row],[Fin planifiée]]),"")</f>
        <v>0</v>
      </c>
      <c r="AH132">
        <f>IF([[#This Row],[Fin planifiée]]&lt;&gt;"",YEAR([[#This Row],[Fin planifiée]]),"")</f>
        <v>0</v>
      </c>
      <c r="AI1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2">
        <f>IF(AND([[#This Row],Statut]="Terminé",[[#This Row],[Fin réelle]]&lt;&gt;""),IF([[#This Row],[Fin réelle]]&lt;=[[#This Row],[Fin planifiée]],"Oui","Non"),"")</f>
        <v>0</v>
      </c>
    </row>
    <row r="133" spans="13:36" ht="20" customHeight="1">
      <c r="M133">
        <f>IF(AND([[#This Row],Début]&lt;&gt;"",[[#This Row],[Fin planifiée]]&lt;&gt;""),[[#This Row],[Fin planifiée]]-[[#This Row],Début]+1,"")</f>
        <v>0</v>
      </c>
      <c r="N133">
        <f>IF(AND([[#This Row],Début]&lt;&gt;"",[[#This Row],[Fin réelle]]&lt;&gt;""),[[#This Row],[Fin réelle]]-[[#This Row],Début]+1,"")</f>
        <v>0</v>
      </c>
      <c r="S133">
        <f>[[#This Row],[Budget réalisé]]-[[#This Row],[Budget prévu]]</f>
        <v>0</v>
      </c>
      <c r="T133">
        <f>IF(OR([[#This Row],[Budget prévu]]="",[[#This Row],[Budget réalisé]]=""),"",IF([[#This Row],[Écart (€)]]=0,"À l'équilibre",IF([[#This Row],[Écart (€)]]&gt;0,"Dépassement","Sous budget")))</f>
        <v>0</v>
      </c>
      <c r="W133">
        <f>[[#This Row],[Risque – Probabilité (1-5)]]*[[#This Row],[Risque – Sévérité (1-5)]]</f>
        <v>0</v>
      </c>
      <c r="AC133">
        <f>IF([[#This Row],Effort (jours)]&gt;0,[[#This Row],[Reach (pers.)]]*[[#This Row],[Impact (1-5)]]*[[#This Row],[Confidence (0-1)]]/[[#This Row],[Effort (jours)]],"")</f>
        <v>0</v>
      </c>
      <c r="AG133">
        <f>IF([[#This Row],[Fin planifiée]]&lt;&gt;"",MONTH([[#This Row],[Fin planifiée]]),"")</f>
        <v>0</v>
      </c>
      <c r="AH133">
        <f>IF([[#This Row],[Fin planifiée]]&lt;&gt;"",YEAR([[#This Row],[Fin planifiée]]),"")</f>
        <v>0</v>
      </c>
      <c r="AI1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3">
        <f>IF(AND([[#This Row],Statut]="Terminé",[[#This Row],[Fin réelle]]&lt;&gt;""),IF([[#This Row],[Fin réelle]]&lt;=[[#This Row],[Fin planifiée]],"Oui","Non"),"")</f>
        <v>0</v>
      </c>
    </row>
    <row r="134" spans="13:36" ht="20" customHeight="1">
      <c r="M134">
        <f>IF(AND([[#This Row],Début]&lt;&gt;"",[[#This Row],[Fin planifiée]]&lt;&gt;""),[[#This Row],[Fin planifiée]]-[[#This Row],Début]+1,"")</f>
        <v>0</v>
      </c>
      <c r="N134">
        <f>IF(AND([[#This Row],Début]&lt;&gt;"",[[#This Row],[Fin réelle]]&lt;&gt;""),[[#This Row],[Fin réelle]]-[[#This Row],Début]+1,"")</f>
        <v>0</v>
      </c>
      <c r="S134">
        <f>[[#This Row],[Budget réalisé]]-[[#This Row],[Budget prévu]]</f>
        <v>0</v>
      </c>
      <c r="T134">
        <f>IF(OR([[#This Row],[Budget prévu]]="",[[#This Row],[Budget réalisé]]=""),"",IF([[#This Row],[Écart (€)]]=0,"À l'équilibre",IF([[#This Row],[Écart (€)]]&gt;0,"Dépassement","Sous budget")))</f>
        <v>0</v>
      </c>
      <c r="W134">
        <f>[[#This Row],[Risque – Probabilité (1-5)]]*[[#This Row],[Risque – Sévérité (1-5)]]</f>
        <v>0</v>
      </c>
      <c r="AC134">
        <f>IF([[#This Row],Effort (jours)]&gt;0,[[#This Row],[Reach (pers.)]]*[[#This Row],[Impact (1-5)]]*[[#This Row],[Confidence (0-1)]]/[[#This Row],[Effort (jours)]],"")</f>
        <v>0</v>
      </c>
      <c r="AG134">
        <f>IF([[#This Row],[Fin planifiée]]&lt;&gt;"",MONTH([[#This Row],[Fin planifiée]]),"")</f>
        <v>0</v>
      </c>
      <c r="AH134">
        <f>IF([[#This Row],[Fin planifiée]]&lt;&gt;"",YEAR([[#This Row],[Fin planifiée]]),"")</f>
        <v>0</v>
      </c>
      <c r="AI1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4">
        <f>IF(AND([[#This Row],Statut]="Terminé",[[#This Row],[Fin réelle]]&lt;&gt;""),IF([[#This Row],[Fin réelle]]&lt;=[[#This Row],[Fin planifiée]],"Oui","Non"),"")</f>
        <v>0</v>
      </c>
    </row>
    <row r="135" spans="13:36" ht="20" customHeight="1">
      <c r="M135">
        <f>IF(AND([[#This Row],Début]&lt;&gt;"",[[#This Row],[Fin planifiée]]&lt;&gt;""),[[#This Row],[Fin planifiée]]-[[#This Row],Début]+1,"")</f>
        <v>0</v>
      </c>
      <c r="N135">
        <f>IF(AND([[#This Row],Début]&lt;&gt;"",[[#This Row],[Fin réelle]]&lt;&gt;""),[[#This Row],[Fin réelle]]-[[#This Row],Début]+1,"")</f>
        <v>0</v>
      </c>
      <c r="S135">
        <f>[[#This Row],[Budget réalisé]]-[[#This Row],[Budget prévu]]</f>
        <v>0</v>
      </c>
      <c r="T135">
        <f>IF(OR([[#This Row],[Budget prévu]]="",[[#This Row],[Budget réalisé]]=""),"",IF([[#This Row],[Écart (€)]]=0,"À l'équilibre",IF([[#This Row],[Écart (€)]]&gt;0,"Dépassement","Sous budget")))</f>
        <v>0</v>
      </c>
      <c r="W135">
        <f>[[#This Row],[Risque – Probabilité (1-5)]]*[[#This Row],[Risque – Sévérité (1-5)]]</f>
        <v>0</v>
      </c>
      <c r="AC135">
        <f>IF([[#This Row],Effort (jours)]&gt;0,[[#This Row],[Reach (pers.)]]*[[#This Row],[Impact (1-5)]]*[[#This Row],[Confidence (0-1)]]/[[#This Row],[Effort (jours)]],"")</f>
        <v>0</v>
      </c>
      <c r="AG135">
        <f>IF([[#This Row],[Fin planifiée]]&lt;&gt;"",MONTH([[#This Row],[Fin planifiée]]),"")</f>
        <v>0</v>
      </c>
      <c r="AH135">
        <f>IF([[#This Row],[Fin planifiée]]&lt;&gt;"",YEAR([[#This Row],[Fin planifiée]]),"")</f>
        <v>0</v>
      </c>
      <c r="AI1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5">
        <f>IF(AND([[#This Row],Statut]="Terminé",[[#This Row],[Fin réelle]]&lt;&gt;""),IF([[#This Row],[Fin réelle]]&lt;=[[#This Row],[Fin planifiée]],"Oui","Non"),"")</f>
        <v>0</v>
      </c>
    </row>
    <row r="136" spans="13:36" ht="20" customHeight="1">
      <c r="M136">
        <f>IF(AND([[#This Row],Début]&lt;&gt;"",[[#This Row],[Fin planifiée]]&lt;&gt;""),[[#This Row],[Fin planifiée]]-[[#This Row],Début]+1,"")</f>
        <v>0</v>
      </c>
      <c r="N136">
        <f>IF(AND([[#This Row],Début]&lt;&gt;"",[[#This Row],[Fin réelle]]&lt;&gt;""),[[#This Row],[Fin réelle]]-[[#This Row],Début]+1,"")</f>
        <v>0</v>
      </c>
      <c r="S136">
        <f>[[#This Row],[Budget réalisé]]-[[#This Row],[Budget prévu]]</f>
        <v>0</v>
      </c>
      <c r="T136">
        <f>IF(OR([[#This Row],[Budget prévu]]="",[[#This Row],[Budget réalisé]]=""),"",IF([[#This Row],[Écart (€)]]=0,"À l'équilibre",IF([[#This Row],[Écart (€)]]&gt;0,"Dépassement","Sous budget")))</f>
        <v>0</v>
      </c>
      <c r="W136">
        <f>[[#This Row],[Risque – Probabilité (1-5)]]*[[#This Row],[Risque – Sévérité (1-5)]]</f>
        <v>0</v>
      </c>
      <c r="AC136">
        <f>IF([[#This Row],Effort (jours)]&gt;0,[[#This Row],[Reach (pers.)]]*[[#This Row],[Impact (1-5)]]*[[#This Row],[Confidence (0-1)]]/[[#This Row],[Effort (jours)]],"")</f>
        <v>0</v>
      </c>
      <c r="AG136">
        <f>IF([[#This Row],[Fin planifiée]]&lt;&gt;"",MONTH([[#This Row],[Fin planifiée]]),"")</f>
        <v>0</v>
      </c>
      <c r="AH136">
        <f>IF([[#This Row],[Fin planifiée]]&lt;&gt;"",YEAR([[#This Row],[Fin planifiée]]),"")</f>
        <v>0</v>
      </c>
      <c r="AI1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6">
        <f>IF(AND([[#This Row],Statut]="Terminé",[[#This Row],[Fin réelle]]&lt;&gt;""),IF([[#This Row],[Fin réelle]]&lt;=[[#This Row],[Fin planifiée]],"Oui","Non"),"")</f>
        <v>0</v>
      </c>
    </row>
    <row r="137" spans="13:36" ht="20" customHeight="1">
      <c r="M137">
        <f>IF(AND([[#This Row],Début]&lt;&gt;"",[[#This Row],[Fin planifiée]]&lt;&gt;""),[[#This Row],[Fin planifiée]]-[[#This Row],Début]+1,"")</f>
        <v>0</v>
      </c>
      <c r="N137">
        <f>IF(AND([[#This Row],Début]&lt;&gt;"",[[#This Row],[Fin réelle]]&lt;&gt;""),[[#This Row],[Fin réelle]]-[[#This Row],Début]+1,"")</f>
        <v>0</v>
      </c>
      <c r="S137">
        <f>[[#This Row],[Budget réalisé]]-[[#This Row],[Budget prévu]]</f>
        <v>0</v>
      </c>
      <c r="T137">
        <f>IF(OR([[#This Row],[Budget prévu]]="",[[#This Row],[Budget réalisé]]=""),"",IF([[#This Row],[Écart (€)]]=0,"À l'équilibre",IF([[#This Row],[Écart (€)]]&gt;0,"Dépassement","Sous budget")))</f>
        <v>0</v>
      </c>
      <c r="W137">
        <f>[[#This Row],[Risque – Probabilité (1-5)]]*[[#This Row],[Risque – Sévérité (1-5)]]</f>
        <v>0</v>
      </c>
      <c r="AC137">
        <f>IF([[#This Row],Effort (jours)]&gt;0,[[#This Row],[Reach (pers.)]]*[[#This Row],[Impact (1-5)]]*[[#This Row],[Confidence (0-1)]]/[[#This Row],[Effort (jours)]],"")</f>
        <v>0</v>
      </c>
      <c r="AG137">
        <f>IF([[#This Row],[Fin planifiée]]&lt;&gt;"",MONTH([[#This Row],[Fin planifiée]]),"")</f>
        <v>0</v>
      </c>
      <c r="AH137">
        <f>IF([[#This Row],[Fin planifiée]]&lt;&gt;"",YEAR([[#This Row],[Fin planifiée]]),"")</f>
        <v>0</v>
      </c>
      <c r="AI1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7">
        <f>IF(AND([[#This Row],Statut]="Terminé",[[#This Row],[Fin réelle]]&lt;&gt;""),IF([[#This Row],[Fin réelle]]&lt;=[[#This Row],[Fin planifiée]],"Oui","Non"),"")</f>
        <v>0</v>
      </c>
    </row>
    <row r="138" spans="13:36" ht="20" customHeight="1">
      <c r="M138">
        <f>IF(AND([[#This Row],Début]&lt;&gt;"",[[#This Row],[Fin planifiée]]&lt;&gt;""),[[#This Row],[Fin planifiée]]-[[#This Row],Début]+1,"")</f>
        <v>0</v>
      </c>
      <c r="N138">
        <f>IF(AND([[#This Row],Début]&lt;&gt;"",[[#This Row],[Fin réelle]]&lt;&gt;""),[[#This Row],[Fin réelle]]-[[#This Row],Début]+1,"")</f>
        <v>0</v>
      </c>
      <c r="S138">
        <f>[[#This Row],[Budget réalisé]]-[[#This Row],[Budget prévu]]</f>
        <v>0</v>
      </c>
      <c r="T138">
        <f>IF(OR([[#This Row],[Budget prévu]]="",[[#This Row],[Budget réalisé]]=""),"",IF([[#This Row],[Écart (€)]]=0,"À l'équilibre",IF([[#This Row],[Écart (€)]]&gt;0,"Dépassement","Sous budget")))</f>
        <v>0</v>
      </c>
      <c r="W138">
        <f>[[#This Row],[Risque – Probabilité (1-5)]]*[[#This Row],[Risque – Sévérité (1-5)]]</f>
        <v>0</v>
      </c>
      <c r="AC138">
        <f>IF([[#This Row],Effort (jours)]&gt;0,[[#This Row],[Reach (pers.)]]*[[#This Row],[Impact (1-5)]]*[[#This Row],[Confidence (0-1)]]/[[#This Row],[Effort (jours)]],"")</f>
        <v>0</v>
      </c>
      <c r="AG138">
        <f>IF([[#This Row],[Fin planifiée]]&lt;&gt;"",MONTH([[#This Row],[Fin planifiée]]),"")</f>
        <v>0</v>
      </c>
      <c r="AH138">
        <f>IF([[#This Row],[Fin planifiée]]&lt;&gt;"",YEAR([[#This Row],[Fin planifiée]]),"")</f>
        <v>0</v>
      </c>
      <c r="AI1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8">
        <f>IF(AND([[#This Row],Statut]="Terminé",[[#This Row],[Fin réelle]]&lt;&gt;""),IF([[#This Row],[Fin réelle]]&lt;=[[#This Row],[Fin planifiée]],"Oui","Non"),"")</f>
        <v>0</v>
      </c>
    </row>
    <row r="139" spans="13:36" ht="20" customHeight="1">
      <c r="M139">
        <f>IF(AND([[#This Row],Début]&lt;&gt;"",[[#This Row],[Fin planifiée]]&lt;&gt;""),[[#This Row],[Fin planifiée]]-[[#This Row],Début]+1,"")</f>
        <v>0</v>
      </c>
      <c r="N139">
        <f>IF(AND([[#This Row],Début]&lt;&gt;"",[[#This Row],[Fin réelle]]&lt;&gt;""),[[#This Row],[Fin réelle]]-[[#This Row],Début]+1,"")</f>
        <v>0</v>
      </c>
      <c r="S139">
        <f>[[#This Row],[Budget réalisé]]-[[#This Row],[Budget prévu]]</f>
        <v>0</v>
      </c>
      <c r="T139">
        <f>IF(OR([[#This Row],[Budget prévu]]="",[[#This Row],[Budget réalisé]]=""),"",IF([[#This Row],[Écart (€)]]=0,"À l'équilibre",IF([[#This Row],[Écart (€)]]&gt;0,"Dépassement","Sous budget")))</f>
        <v>0</v>
      </c>
      <c r="W139">
        <f>[[#This Row],[Risque – Probabilité (1-5)]]*[[#This Row],[Risque – Sévérité (1-5)]]</f>
        <v>0</v>
      </c>
      <c r="AC139">
        <f>IF([[#This Row],Effort (jours)]&gt;0,[[#This Row],[Reach (pers.)]]*[[#This Row],[Impact (1-5)]]*[[#This Row],[Confidence (0-1)]]/[[#This Row],[Effort (jours)]],"")</f>
        <v>0</v>
      </c>
      <c r="AG139">
        <f>IF([[#This Row],[Fin planifiée]]&lt;&gt;"",MONTH([[#This Row],[Fin planifiée]]),"")</f>
        <v>0</v>
      </c>
      <c r="AH139">
        <f>IF([[#This Row],[Fin planifiée]]&lt;&gt;"",YEAR([[#This Row],[Fin planifiée]]),"")</f>
        <v>0</v>
      </c>
      <c r="AI1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39">
        <f>IF(AND([[#This Row],Statut]="Terminé",[[#This Row],[Fin réelle]]&lt;&gt;""),IF([[#This Row],[Fin réelle]]&lt;=[[#This Row],[Fin planifiée]],"Oui","Non"),"")</f>
        <v>0</v>
      </c>
    </row>
    <row r="140" spans="13:36" ht="20" customHeight="1">
      <c r="M140">
        <f>IF(AND([[#This Row],Début]&lt;&gt;"",[[#This Row],[Fin planifiée]]&lt;&gt;""),[[#This Row],[Fin planifiée]]-[[#This Row],Début]+1,"")</f>
        <v>0</v>
      </c>
      <c r="N140">
        <f>IF(AND([[#This Row],Début]&lt;&gt;"",[[#This Row],[Fin réelle]]&lt;&gt;""),[[#This Row],[Fin réelle]]-[[#This Row],Début]+1,"")</f>
        <v>0</v>
      </c>
      <c r="S140">
        <f>[[#This Row],[Budget réalisé]]-[[#This Row],[Budget prévu]]</f>
        <v>0</v>
      </c>
      <c r="T140">
        <f>IF(OR([[#This Row],[Budget prévu]]="",[[#This Row],[Budget réalisé]]=""),"",IF([[#This Row],[Écart (€)]]=0,"À l'équilibre",IF([[#This Row],[Écart (€)]]&gt;0,"Dépassement","Sous budget")))</f>
        <v>0</v>
      </c>
      <c r="W140">
        <f>[[#This Row],[Risque – Probabilité (1-5)]]*[[#This Row],[Risque – Sévérité (1-5)]]</f>
        <v>0</v>
      </c>
      <c r="AC140">
        <f>IF([[#This Row],Effort (jours)]&gt;0,[[#This Row],[Reach (pers.)]]*[[#This Row],[Impact (1-5)]]*[[#This Row],[Confidence (0-1)]]/[[#This Row],[Effort (jours)]],"")</f>
        <v>0</v>
      </c>
      <c r="AG140">
        <f>IF([[#This Row],[Fin planifiée]]&lt;&gt;"",MONTH([[#This Row],[Fin planifiée]]),"")</f>
        <v>0</v>
      </c>
      <c r="AH140">
        <f>IF([[#This Row],[Fin planifiée]]&lt;&gt;"",YEAR([[#This Row],[Fin planifiée]]),"")</f>
        <v>0</v>
      </c>
      <c r="AI1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0">
        <f>IF(AND([[#This Row],Statut]="Terminé",[[#This Row],[Fin réelle]]&lt;&gt;""),IF([[#This Row],[Fin réelle]]&lt;=[[#This Row],[Fin planifiée]],"Oui","Non"),"")</f>
        <v>0</v>
      </c>
    </row>
    <row r="141" spans="13:36" ht="20" customHeight="1">
      <c r="M141">
        <f>IF(AND([[#This Row],Début]&lt;&gt;"",[[#This Row],[Fin planifiée]]&lt;&gt;""),[[#This Row],[Fin planifiée]]-[[#This Row],Début]+1,"")</f>
        <v>0</v>
      </c>
      <c r="N141">
        <f>IF(AND([[#This Row],Début]&lt;&gt;"",[[#This Row],[Fin réelle]]&lt;&gt;""),[[#This Row],[Fin réelle]]-[[#This Row],Début]+1,"")</f>
        <v>0</v>
      </c>
      <c r="S141">
        <f>[[#This Row],[Budget réalisé]]-[[#This Row],[Budget prévu]]</f>
        <v>0</v>
      </c>
      <c r="T141">
        <f>IF(OR([[#This Row],[Budget prévu]]="",[[#This Row],[Budget réalisé]]=""),"",IF([[#This Row],[Écart (€)]]=0,"À l'équilibre",IF([[#This Row],[Écart (€)]]&gt;0,"Dépassement","Sous budget")))</f>
        <v>0</v>
      </c>
      <c r="W141">
        <f>[[#This Row],[Risque – Probabilité (1-5)]]*[[#This Row],[Risque – Sévérité (1-5)]]</f>
        <v>0</v>
      </c>
      <c r="AC141">
        <f>IF([[#This Row],Effort (jours)]&gt;0,[[#This Row],[Reach (pers.)]]*[[#This Row],[Impact (1-5)]]*[[#This Row],[Confidence (0-1)]]/[[#This Row],[Effort (jours)]],"")</f>
        <v>0</v>
      </c>
      <c r="AG141">
        <f>IF([[#This Row],[Fin planifiée]]&lt;&gt;"",MONTH([[#This Row],[Fin planifiée]]),"")</f>
        <v>0</v>
      </c>
      <c r="AH141">
        <f>IF([[#This Row],[Fin planifiée]]&lt;&gt;"",YEAR([[#This Row],[Fin planifiée]]),"")</f>
        <v>0</v>
      </c>
      <c r="AI1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1">
        <f>IF(AND([[#This Row],Statut]="Terminé",[[#This Row],[Fin réelle]]&lt;&gt;""),IF([[#This Row],[Fin réelle]]&lt;=[[#This Row],[Fin planifiée]],"Oui","Non"),"")</f>
        <v>0</v>
      </c>
    </row>
    <row r="142" spans="13:36" ht="20" customHeight="1">
      <c r="M142">
        <f>IF(AND([[#This Row],Début]&lt;&gt;"",[[#This Row],[Fin planifiée]]&lt;&gt;""),[[#This Row],[Fin planifiée]]-[[#This Row],Début]+1,"")</f>
        <v>0</v>
      </c>
      <c r="N142">
        <f>IF(AND([[#This Row],Début]&lt;&gt;"",[[#This Row],[Fin réelle]]&lt;&gt;""),[[#This Row],[Fin réelle]]-[[#This Row],Début]+1,"")</f>
        <v>0</v>
      </c>
      <c r="S142">
        <f>[[#This Row],[Budget réalisé]]-[[#This Row],[Budget prévu]]</f>
        <v>0</v>
      </c>
      <c r="T142">
        <f>IF(OR([[#This Row],[Budget prévu]]="",[[#This Row],[Budget réalisé]]=""),"",IF([[#This Row],[Écart (€)]]=0,"À l'équilibre",IF([[#This Row],[Écart (€)]]&gt;0,"Dépassement","Sous budget")))</f>
        <v>0</v>
      </c>
      <c r="W142">
        <f>[[#This Row],[Risque – Probabilité (1-5)]]*[[#This Row],[Risque – Sévérité (1-5)]]</f>
        <v>0</v>
      </c>
      <c r="AC142">
        <f>IF([[#This Row],Effort (jours)]&gt;0,[[#This Row],[Reach (pers.)]]*[[#This Row],[Impact (1-5)]]*[[#This Row],[Confidence (0-1)]]/[[#This Row],[Effort (jours)]],"")</f>
        <v>0</v>
      </c>
      <c r="AG142">
        <f>IF([[#This Row],[Fin planifiée]]&lt;&gt;"",MONTH([[#This Row],[Fin planifiée]]),"")</f>
        <v>0</v>
      </c>
      <c r="AH142">
        <f>IF([[#This Row],[Fin planifiée]]&lt;&gt;"",YEAR([[#This Row],[Fin planifiée]]),"")</f>
        <v>0</v>
      </c>
      <c r="AI1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2">
        <f>IF(AND([[#This Row],Statut]="Terminé",[[#This Row],[Fin réelle]]&lt;&gt;""),IF([[#This Row],[Fin réelle]]&lt;=[[#This Row],[Fin planifiée]],"Oui","Non"),"")</f>
        <v>0</v>
      </c>
    </row>
    <row r="143" spans="13:36" ht="20" customHeight="1">
      <c r="M143">
        <f>IF(AND([[#This Row],Début]&lt;&gt;"",[[#This Row],[Fin planifiée]]&lt;&gt;""),[[#This Row],[Fin planifiée]]-[[#This Row],Début]+1,"")</f>
        <v>0</v>
      </c>
      <c r="N143">
        <f>IF(AND([[#This Row],Début]&lt;&gt;"",[[#This Row],[Fin réelle]]&lt;&gt;""),[[#This Row],[Fin réelle]]-[[#This Row],Début]+1,"")</f>
        <v>0</v>
      </c>
      <c r="S143">
        <f>[[#This Row],[Budget réalisé]]-[[#This Row],[Budget prévu]]</f>
        <v>0</v>
      </c>
      <c r="T143">
        <f>IF(OR([[#This Row],[Budget prévu]]="",[[#This Row],[Budget réalisé]]=""),"",IF([[#This Row],[Écart (€)]]=0,"À l'équilibre",IF([[#This Row],[Écart (€)]]&gt;0,"Dépassement","Sous budget")))</f>
        <v>0</v>
      </c>
      <c r="W143">
        <f>[[#This Row],[Risque – Probabilité (1-5)]]*[[#This Row],[Risque – Sévérité (1-5)]]</f>
        <v>0</v>
      </c>
      <c r="AC143">
        <f>IF([[#This Row],Effort (jours)]&gt;0,[[#This Row],[Reach (pers.)]]*[[#This Row],[Impact (1-5)]]*[[#This Row],[Confidence (0-1)]]/[[#This Row],[Effort (jours)]],"")</f>
        <v>0</v>
      </c>
      <c r="AG143">
        <f>IF([[#This Row],[Fin planifiée]]&lt;&gt;"",MONTH([[#This Row],[Fin planifiée]]),"")</f>
        <v>0</v>
      </c>
      <c r="AH143">
        <f>IF([[#This Row],[Fin planifiée]]&lt;&gt;"",YEAR([[#This Row],[Fin planifiée]]),"")</f>
        <v>0</v>
      </c>
      <c r="AI1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3">
        <f>IF(AND([[#This Row],Statut]="Terminé",[[#This Row],[Fin réelle]]&lt;&gt;""),IF([[#This Row],[Fin réelle]]&lt;=[[#This Row],[Fin planifiée]],"Oui","Non"),"")</f>
        <v>0</v>
      </c>
    </row>
    <row r="144" spans="13:36" ht="20" customHeight="1">
      <c r="M144">
        <f>IF(AND([[#This Row],Début]&lt;&gt;"",[[#This Row],[Fin planifiée]]&lt;&gt;""),[[#This Row],[Fin planifiée]]-[[#This Row],Début]+1,"")</f>
        <v>0</v>
      </c>
      <c r="N144">
        <f>IF(AND([[#This Row],Début]&lt;&gt;"",[[#This Row],[Fin réelle]]&lt;&gt;""),[[#This Row],[Fin réelle]]-[[#This Row],Début]+1,"")</f>
        <v>0</v>
      </c>
      <c r="S144">
        <f>[[#This Row],[Budget réalisé]]-[[#This Row],[Budget prévu]]</f>
        <v>0</v>
      </c>
      <c r="T144">
        <f>IF(OR([[#This Row],[Budget prévu]]="",[[#This Row],[Budget réalisé]]=""),"",IF([[#This Row],[Écart (€)]]=0,"À l'équilibre",IF([[#This Row],[Écart (€)]]&gt;0,"Dépassement","Sous budget")))</f>
        <v>0</v>
      </c>
      <c r="W144">
        <f>[[#This Row],[Risque – Probabilité (1-5)]]*[[#This Row],[Risque – Sévérité (1-5)]]</f>
        <v>0</v>
      </c>
      <c r="AC144">
        <f>IF([[#This Row],Effort (jours)]&gt;0,[[#This Row],[Reach (pers.)]]*[[#This Row],[Impact (1-5)]]*[[#This Row],[Confidence (0-1)]]/[[#This Row],[Effort (jours)]],"")</f>
        <v>0</v>
      </c>
      <c r="AG144">
        <f>IF([[#This Row],[Fin planifiée]]&lt;&gt;"",MONTH([[#This Row],[Fin planifiée]]),"")</f>
        <v>0</v>
      </c>
      <c r="AH144">
        <f>IF([[#This Row],[Fin planifiée]]&lt;&gt;"",YEAR([[#This Row],[Fin planifiée]]),"")</f>
        <v>0</v>
      </c>
      <c r="AI1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4">
        <f>IF(AND([[#This Row],Statut]="Terminé",[[#This Row],[Fin réelle]]&lt;&gt;""),IF([[#This Row],[Fin réelle]]&lt;=[[#This Row],[Fin planifiée]],"Oui","Non"),"")</f>
        <v>0</v>
      </c>
    </row>
    <row r="145" spans="13:36" ht="20" customHeight="1">
      <c r="M145">
        <f>IF(AND([[#This Row],Début]&lt;&gt;"",[[#This Row],[Fin planifiée]]&lt;&gt;""),[[#This Row],[Fin planifiée]]-[[#This Row],Début]+1,"")</f>
        <v>0</v>
      </c>
      <c r="N145">
        <f>IF(AND([[#This Row],Début]&lt;&gt;"",[[#This Row],[Fin réelle]]&lt;&gt;""),[[#This Row],[Fin réelle]]-[[#This Row],Début]+1,"")</f>
        <v>0</v>
      </c>
      <c r="S145">
        <f>[[#This Row],[Budget réalisé]]-[[#This Row],[Budget prévu]]</f>
        <v>0</v>
      </c>
      <c r="T145">
        <f>IF(OR([[#This Row],[Budget prévu]]="",[[#This Row],[Budget réalisé]]=""),"",IF([[#This Row],[Écart (€)]]=0,"À l'équilibre",IF([[#This Row],[Écart (€)]]&gt;0,"Dépassement","Sous budget")))</f>
        <v>0</v>
      </c>
      <c r="W145">
        <f>[[#This Row],[Risque – Probabilité (1-5)]]*[[#This Row],[Risque – Sévérité (1-5)]]</f>
        <v>0</v>
      </c>
      <c r="AC145">
        <f>IF([[#This Row],Effort (jours)]&gt;0,[[#This Row],[Reach (pers.)]]*[[#This Row],[Impact (1-5)]]*[[#This Row],[Confidence (0-1)]]/[[#This Row],[Effort (jours)]],"")</f>
        <v>0</v>
      </c>
      <c r="AG145">
        <f>IF([[#This Row],[Fin planifiée]]&lt;&gt;"",MONTH([[#This Row],[Fin planifiée]]),"")</f>
        <v>0</v>
      </c>
      <c r="AH145">
        <f>IF([[#This Row],[Fin planifiée]]&lt;&gt;"",YEAR([[#This Row],[Fin planifiée]]),"")</f>
        <v>0</v>
      </c>
      <c r="AI1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5">
        <f>IF(AND([[#This Row],Statut]="Terminé",[[#This Row],[Fin réelle]]&lt;&gt;""),IF([[#This Row],[Fin réelle]]&lt;=[[#This Row],[Fin planifiée]],"Oui","Non"),"")</f>
        <v>0</v>
      </c>
    </row>
    <row r="146" spans="13:36" ht="20" customHeight="1">
      <c r="M146">
        <f>IF(AND([[#This Row],Début]&lt;&gt;"",[[#This Row],[Fin planifiée]]&lt;&gt;""),[[#This Row],[Fin planifiée]]-[[#This Row],Début]+1,"")</f>
        <v>0</v>
      </c>
      <c r="N146">
        <f>IF(AND([[#This Row],Début]&lt;&gt;"",[[#This Row],[Fin réelle]]&lt;&gt;""),[[#This Row],[Fin réelle]]-[[#This Row],Début]+1,"")</f>
        <v>0</v>
      </c>
      <c r="S146">
        <f>[[#This Row],[Budget réalisé]]-[[#This Row],[Budget prévu]]</f>
        <v>0</v>
      </c>
      <c r="T146">
        <f>IF(OR([[#This Row],[Budget prévu]]="",[[#This Row],[Budget réalisé]]=""),"",IF([[#This Row],[Écart (€)]]=0,"À l'équilibre",IF([[#This Row],[Écart (€)]]&gt;0,"Dépassement","Sous budget")))</f>
        <v>0</v>
      </c>
      <c r="W146">
        <f>[[#This Row],[Risque – Probabilité (1-5)]]*[[#This Row],[Risque – Sévérité (1-5)]]</f>
        <v>0</v>
      </c>
      <c r="AC146">
        <f>IF([[#This Row],Effort (jours)]&gt;0,[[#This Row],[Reach (pers.)]]*[[#This Row],[Impact (1-5)]]*[[#This Row],[Confidence (0-1)]]/[[#This Row],[Effort (jours)]],"")</f>
        <v>0</v>
      </c>
      <c r="AG146">
        <f>IF([[#This Row],[Fin planifiée]]&lt;&gt;"",MONTH([[#This Row],[Fin planifiée]]),"")</f>
        <v>0</v>
      </c>
      <c r="AH146">
        <f>IF([[#This Row],[Fin planifiée]]&lt;&gt;"",YEAR([[#This Row],[Fin planifiée]]),"")</f>
        <v>0</v>
      </c>
      <c r="AI1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6">
        <f>IF(AND([[#This Row],Statut]="Terminé",[[#This Row],[Fin réelle]]&lt;&gt;""),IF([[#This Row],[Fin réelle]]&lt;=[[#This Row],[Fin planifiée]],"Oui","Non"),"")</f>
        <v>0</v>
      </c>
    </row>
    <row r="147" spans="13:36" ht="20" customHeight="1">
      <c r="M147">
        <f>IF(AND([[#This Row],Début]&lt;&gt;"",[[#This Row],[Fin planifiée]]&lt;&gt;""),[[#This Row],[Fin planifiée]]-[[#This Row],Début]+1,"")</f>
        <v>0</v>
      </c>
      <c r="N147">
        <f>IF(AND([[#This Row],Début]&lt;&gt;"",[[#This Row],[Fin réelle]]&lt;&gt;""),[[#This Row],[Fin réelle]]-[[#This Row],Début]+1,"")</f>
        <v>0</v>
      </c>
      <c r="S147">
        <f>[[#This Row],[Budget réalisé]]-[[#This Row],[Budget prévu]]</f>
        <v>0</v>
      </c>
      <c r="T147">
        <f>IF(OR([[#This Row],[Budget prévu]]="",[[#This Row],[Budget réalisé]]=""),"",IF([[#This Row],[Écart (€)]]=0,"À l'équilibre",IF([[#This Row],[Écart (€)]]&gt;0,"Dépassement","Sous budget")))</f>
        <v>0</v>
      </c>
      <c r="W147">
        <f>[[#This Row],[Risque – Probabilité (1-5)]]*[[#This Row],[Risque – Sévérité (1-5)]]</f>
        <v>0</v>
      </c>
      <c r="AC147">
        <f>IF([[#This Row],Effort (jours)]&gt;0,[[#This Row],[Reach (pers.)]]*[[#This Row],[Impact (1-5)]]*[[#This Row],[Confidence (0-1)]]/[[#This Row],[Effort (jours)]],"")</f>
        <v>0</v>
      </c>
      <c r="AG147">
        <f>IF([[#This Row],[Fin planifiée]]&lt;&gt;"",MONTH([[#This Row],[Fin planifiée]]),"")</f>
        <v>0</v>
      </c>
      <c r="AH147">
        <f>IF([[#This Row],[Fin planifiée]]&lt;&gt;"",YEAR([[#This Row],[Fin planifiée]]),"")</f>
        <v>0</v>
      </c>
      <c r="AI1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7">
        <f>IF(AND([[#This Row],Statut]="Terminé",[[#This Row],[Fin réelle]]&lt;&gt;""),IF([[#This Row],[Fin réelle]]&lt;=[[#This Row],[Fin planifiée]],"Oui","Non"),"")</f>
        <v>0</v>
      </c>
    </row>
    <row r="148" spans="13:36" ht="20" customHeight="1">
      <c r="M148">
        <f>IF(AND([[#This Row],Début]&lt;&gt;"",[[#This Row],[Fin planifiée]]&lt;&gt;""),[[#This Row],[Fin planifiée]]-[[#This Row],Début]+1,"")</f>
        <v>0</v>
      </c>
      <c r="N148">
        <f>IF(AND([[#This Row],Début]&lt;&gt;"",[[#This Row],[Fin réelle]]&lt;&gt;""),[[#This Row],[Fin réelle]]-[[#This Row],Début]+1,"")</f>
        <v>0</v>
      </c>
      <c r="S148">
        <f>[[#This Row],[Budget réalisé]]-[[#This Row],[Budget prévu]]</f>
        <v>0</v>
      </c>
      <c r="T148">
        <f>IF(OR([[#This Row],[Budget prévu]]="",[[#This Row],[Budget réalisé]]=""),"",IF([[#This Row],[Écart (€)]]=0,"À l'équilibre",IF([[#This Row],[Écart (€)]]&gt;0,"Dépassement","Sous budget")))</f>
        <v>0</v>
      </c>
      <c r="W148">
        <f>[[#This Row],[Risque – Probabilité (1-5)]]*[[#This Row],[Risque – Sévérité (1-5)]]</f>
        <v>0</v>
      </c>
      <c r="AC148">
        <f>IF([[#This Row],Effort (jours)]&gt;0,[[#This Row],[Reach (pers.)]]*[[#This Row],[Impact (1-5)]]*[[#This Row],[Confidence (0-1)]]/[[#This Row],[Effort (jours)]],"")</f>
        <v>0</v>
      </c>
      <c r="AG148">
        <f>IF([[#This Row],[Fin planifiée]]&lt;&gt;"",MONTH([[#This Row],[Fin planifiée]]),"")</f>
        <v>0</v>
      </c>
      <c r="AH148">
        <f>IF([[#This Row],[Fin planifiée]]&lt;&gt;"",YEAR([[#This Row],[Fin planifiée]]),"")</f>
        <v>0</v>
      </c>
      <c r="AI1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8">
        <f>IF(AND([[#This Row],Statut]="Terminé",[[#This Row],[Fin réelle]]&lt;&gt;""),IF([[#This Row],[Fin réelle]]&lt;=[[#This Row],[Fin planifiée]],"Oui","Non"),"")</f>
        <v>0</v>
      </c>
    </row>
    <row r="149" spans="13:36" ht="20" customHeight="1">
      <c r="M149">
        <f>IF(AND([[#This Row],Début]&lt;&gt;"",[[#This Row],[Fin planifiée]]&lt;&gt;""),[[#This Row],[Fin planifiée]]-[[#This Row],Début]+1,"")</f>
        <v>0</v>
      </c>
      <c r="N149">
        <f>IF(AND([[#This Row],Début]&lt;&gt;"",[[#This Row],[Fin réelle]]&lt;&gt;""),[[#This Row],[Fin réelle]]-[[#This Row],Début]+1,"")</f>
        <v>0</v>
      </c>
      <c r="S149">
        <f>[[#This Row],[Budget réalisé]]-[[#This Row],[Budget prévu]]</f>
        <v>0</v>
      </c>
      <c r="T149">
        <f>IF(OR([[#This Row],[Budget prévu]]="",[[#This Row],[Budget réalisé]]=""),"",IF([[#This Row],[Écart (€)]]=0,"À l'équilibre",IF([[#This Row],[Écart (€)]]&gt;0,"Dépassement","Sous budget")))</f>
        <v>0</v>
      </c>
      <c r="W149">
        <f>[[#This Row],[Risque – Probabilité (1-5)]]*[[#This Row],[Risque – Sévérité (1-5)]]</f>
        <v>0</v>
      </c>
      <c r="AC149">
        <f>IF([[#This Row],Effort (jours)]&gt;0,[[#This Row],[Reach (pers.)]]*[[#This Row],[Impact (1-5)]]*[[#This Row],[Confidence (0-1)]]/[[#This Row],[Effort (jours)]],"")</f>
        <v>0</v>
      </c>
      <c r="AG149">
        <f>IF([[#This Row],[Fin planifiée]]&lt;&gt;"",MONTH([[#This Row],[Fin planifiée]]),"")</f>
        <v>0</v>
      </c>
      <c r="AH149">
        <f>IF([[#This Row],[Fin planifiée]]&lt;&gt;"",YEAR([[#This Row],[Fin planifiée]]),"")</f>
        <v>0</v>
      </c>
      <c r="AI1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49">
        <f>IF(AND([[#This Row],Statut]="Terminé",[[#This Row],[Fin réelle]]&lt;&gt;""),IF([[#This Row],[Fin réelle]]&lt;=[[#This Row],[Fin planifiée]],"Oui","Non"),"")</f>
        <v>0</v>
      </c>
    </row>
    <row r="150" spans="13:36" ht="20" customHeight="1">
      <c r="M150">
        <f>IF(AND([[#This Row],Début]&lt;&gt;"",[[#This Row],[Fin planifiée]]&lt;&gt;""),[[#This Row],[Fin planifiée]]-[[#This Row],Début]+1,"")</f>
        <v>0</v>
      </c>
      <c r="N150">
        <f>IF(AND([[#This Row],Début]&lt;&gt;"",[[#This Row],[Fin réelle]]&lt;&gt;""),[[#This Row],[Fin réelle]]-[[#This Row],Début]+1,"")</f>
        <v>0</v>
      </c>
      <c r="S150">
        <f>[[#This Row],[Budget réalisé]]-[[#This Row],[Budget prévu]]</f>
        <v>0</v>
      </c>
      <c r="T150">
        <f>IF(OR([[#This Row],[Budget prévu]]="",[[#This Row],[Budget réalisé]]=""),"",IF([[#This Row],[Écart (€)]]=0,"À l'équilibre",IF([[#This Row],[Écart (€)]]&gt;0,"Dépassement","Sous budget")))</f>
        <v>0</v>
      </c>
      <c r="W150">
        <f>[[#This Row],[Risque – Probabilité (1-5)]]*[[#This Row],[Risque – Sévérité (1-5)]]</f>
        <v>0</v>
      </c>
      <c r="AC150">
        <f>IF([[#This Row],Effort (jours)]&gt;0,[[#This Row],[Reach (pers.)]]*[[#This Row],[Impact (1-5)]]*[[#This Row],[Confidence (0-1)]]/[[#This Row],[Effort (jours)]],"")</f>
        <v>0</v>
      </c>
      <c r="AG150">
        <f>IF([[#This Row],[Fin planifiée]]&lt;&gt;"",MONTH([[#This Row],[Fin planifiée]]),"")</f>
        <v>0</v>
      </c>
      <c r="AH150">
        <f>IF([[#This Row],[Fin planifiée]]&lt;&gt;"",YEAR([[#This Row],[Fin planifiée]]),"")</f>
        <v>0</v>
      </c>
      <c r="AI1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0">
        <f>IF(AND([[#This Row],Statut]="Terminé",[[#This Row],[Fin réelle]]&lt;&gt;""),IF([[#This Row],[Fin réelle]]&lt;=[[#This Row],[Fin planifiée]],"Oui","Non"),"")</f>
        <v>0</v>
      </c>
    </row>
    <row r="151" spans="13:36" ht="20" customHeight="1">
      <c r="M151">
        <f>IF(AND([[#This Row],Début]&lt;&gt;"",[[#This Row],[Fin planifiée]]&lt;&gt;""),[[#This Row],[Fin planifiée]]-[[#This Row],Début]+1,"")</f>
        <v>0</v>
      </c>
      <c r="N151">
        <f>IF(AND([[#This Row],Début]&lt;&gt;"",[[#This Row],[Fin réelle]]&lt;&gt;""),[[#This Row],[Fin réelle]]-[[#This Row],Début]+1,"")</f>
        <v>0</v>
      </c>
      <c r="S151">
        <f>[[#This Row],[Budget réalisé]]-[[#This Row],[Budget prévu]]</f>
        <v>0</v>
      </c>
      <c r="T151">
        <f>IF(OR([[#This Row],[Budget prévu]]="",[[#This Row],[Budget réalisé]]=""),"",IF([[#This Row],[Écart (€)]]=0,"À l'équilibre",IF([[#This Row],[Écart (€)]]&gt;0,"Dépassement","Sous budget")))</f>
        <v>0</v>
      </c>
      <c r="W151">
        <f>[[#This Row],[Risque – Probabilité (1-5)]]*[[#This Row],[Risque – Sévérité (1-5)]]</f>
        <v>0</v>
      </c>
      <c r="AC151">
        <f>IF([[#This Row],Effort (jours)]&gt;0,[[#This Row],[Reach (pers.)]]*[[#This Row],[Impact (1-5)]]*[[#This Row],[Confidence (0-1)]]/[[#This Row],[Effort (jours)]],"")</f>
        <v>0</v>
      </c>
      <c r="AG151">
        <f>IF([[#This Row],[Fin planifiée]]&lt;&gt;"",MONTH([[#This Row],[Fin planifiée]]),"")</f>
        <v>0</v>
      </c>
      <c r="AH151">
        <f>IF([[#This Row],[Fin planifiée]]&lt;&gt;"",YEAR([[#This Row],[Fin planifiée]]),"")</f>
        <v>0</v>
      </c>
      <c r="AI1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1">
        <f>IF(AND([[#This Row],Statut]="Terminé",[[#This Row],[Fin réelle]]&lt;&gt;""),IF([[#This Row],[Fin réelle]]&lt;=[[#This Row],[Fin planifiée]],"Oui","Non"),"")</f>
        <v>0</v>
      </c>
    </row>
    <row r="152" spans="13:36" ht="20" customHeight="1">
      <c r="M152">
        <f>IF(AND([[#This Row],Début]&lt;&gt;"",[[#This Row],[Fin planifiée]]&lt;&gt;""),[[#This Row],[Fin planifiée]]-[[#This Row],Début]+1,"")</f>
        <v>0</v>
      </c>
      <c r="N152">
        <f>IF(AND([[#This Row],Début]&lt;&gt;"",[[#This Row],[Fin réelle]]&lt;&gt;""),[[#This Row],[Fin réelle]]-[[#This Row],Début]+1,"")</f>
        <v>0</v>
      </c>
      <c r="S152">
        <f>[[#This Row],[Budget réalisé]]-[[#This Row],[Budget prévu]]</f>
        <v>0</v>
      </c>
      <c r="T152">
        <f>IF(OR([[#This Row],[Budget prévu]]="",[[#This Row],[Budget réalisé]]=""),"",IF([[#This Row],[Écart (€)]]=0,"À l'équilibre",IF([[#This Row],[Écart (€)]]&gt;0,"Dépassement","Sous budget")))</f>
        <v>0</v>
      </c>
      <c r="W152">
        <f>[[#This Row],[Risque – Probabilité (1-5)]]*[[#This Row],[Risque – Sévérité (1-5)]]</f>
        <v>0</v>
      </c>
      <c r="AC152">
        <f>IF([[#This Row],Effort (jours)]&gt;0,[[#This Row],[Reach (pers.)]]*[[#This Row],[Impact (1-5)]]*[[#This Row],[Confidence (0-1)]]/[[#This Row],[Effort (jours)]],"")</f>
        <v>0</v>
      </c>
      <c r="AG152">
        <f>IF([[#This Row],[Fin planifiée]]&lt;&gt;"",MONTH([[#This Row],[Fin planifiée]]),"")</f>
        <v>0</v>
      </c>
      <c r="AH152">
        <f>IF([[#This Row],[Fin planifiée]]&lt;&gt;"",YEAR([[#This Row],[Fin planifiée]]),"")</f>
        <v>0</v>
      </c>
      <c r="AI1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2">
        <f>IF(AND([[#This Row],Statut]="Terminé",[[#This Row],[Fin réelle]]&lt;&gt;""),IF([[#This Row],[Fin réelle]]&lt;=[[#This Row],[Fin planifiée]],"Oui","Non"),"")</f>
        <v>0</v>
      </c>
    </row>
    <row r="153" spans="13:36" ht="20" customHeight="1">
      <c r="M153">
        <f>IF(AND([[#This Row],Début]&lt;&gt;"",[[#This Row],[Fin planifiée]]&lt;&gt;""),[[#This Row],[Fin planifiée]]-[[#This Row],Début]+1,"")</f>
        <v>0</v>
      </c>
      <c r="N153">
        <f>IF(AND([[#This Row],Début]&lt;&gt;"",[[#This Row],[Fin réelle]]&lt;&gt;""),[[#This Row],[Fin réelle]]-[[#This Row],Début]+1,"")</f>
        <v>0</v>
      </c>
      <c r="S153">
        <f>[[#This Row],[Budget réalisé]]-[[#This Row],[Budget prévu]]</f>
        <v>0</v>
      </c>
      <c r="T153">
        <f>IF(OR([[#This Row],[Budget prévu]]="",[[#This Row],[Budget réalisé]]=""),"",IF([[#This Row],[Écart (€)]]=0,"À l'équilibre",IF([[#This Row],[Écart (€)]]&gt;0,"Dépassement","Sous budget")))</f>
        <v>0</v>
      </c>
      <c r="W153">
        <f>[[#This Row],[Risque – Probabilité (1-5)]]*[[#This Row],[Risque – Sévérité (1-5)]]</f>
        <v>0</v>
      </c>
      <c r="AC153">
        <f>IF([[#This Row],Effort (jours)]&gt;0,[[#This Row],[Reach (pers.)]]*[[#This Row],[Impact (1-5)]]*[[#This Row],[Confidence (0-1)]]/[[#This Row],[Effort (jours)]],"")</f>
        <v>0</v>
      </c>
      <c r="AG153">
        <f>IF([[#This Row],[Fin planifiée]]&lt;&gt;"",MONTH([[#This Row],[Fin planifiée]]),"")</f>
        <v>0</v>
      </c>
      <c r="AH153">
        <f>IF([[#This Row],[Fin planifiée]]&lt;&gt;"",YEAR([[#This Row],[Fin planifiée]]),"")</f>
        <v>0</v>
      </c>
      <c r="AI1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3">
        <f>IF(AND([[#This Row],Statut]="Terminé",[[#This Row],[Fin réelle]]&lt;&gt;""),IF([[#This Row],[Fin réelle]]&lt;=[[#This Row],[Fin planifiée]],"Oui","Non"),"")</f>
        <v>0</v>
      </c>
    </row>
    <row r="154" spans="13:36" ht="20" customHeight="1">
      <c r="M154">
        <f>IF(AND([[#This Row],Début]&lt;&gt;"",[[#This Row],[Fin planifiée]]&lt;&gt;""),[[#This Row],[Fin planifiée]]-[[#This Row],Début]+1,"")</f>
        <v>0</v>
      </c>
      <c r="N154">
        <f>IF(AND([[#This Row],Début]&lt;&gt;"",[[#This Row],[Fin réelle]]&lt;&gt;""),[[#This Row],[Fin réelle]]-[[#This Row],Début]+1,"")</f>
        <v>0</v>
      </c>
      <c r="S154">
        <f>[[#This Row],[Budget réalisé]]-[[#This Row],[Budget prévu]]</f>
        <v>0</v>
      </c>
      <c r="T154">
        <f>IF(OR([[#This Row],[Budget prévu]]="",[[#This Row],[Budget réalisé]]=""),"",IF([[#This Row],[Écart (€)]]=0,"À l'équilibre",IF([[#This Row],[Écart (€)]]&gt;0,"Dépassement","Sous budget")))</f>
        <v>0</v>
      </c>
      <c r="W154">
        <f>[[#This Row],[Risque – Probabilité (1-5)]]*[[#This Row],[Risque – Sévérité (1-5)]]</f>
        <v>0</v>
      </c>
      <c r="AC154">
        <f>IF([[#This Row],Effort (jours)]&gt;0,[[#This Row],[Reach (pers.)]]*[[#This Row],[Impact (1-5)]]*[[#This Row],[Confidence (0-1)]]/[[#This Row],[Effort (jours)]],"")</f>
        <v>0</v>
      </c>
      <c r="AG154">
        <f>IF([[#This Row],[Fin planifiée]]&lt;&gt;"",MONTH([[#This Row],[Fin planifiée]]),"")</f>
        <v>0</v>
      </c>
      <c r="AH154">
        <f>IF([[#This Row],[Fin planifiée]]&lt;&gt;"",YEAR([[#This Row],[Fin planifiée]]),"")</f>
        <v>0</v>
      </c>
      <c r="AI1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4">
        <f>IF(AND([[#This Row],Statut]="Terminé",[[#This Row],[Fin réelle]]&lt;&gt;""),IF([[#This Row],[Fin réelle]]&lt;=[[#This Row],[Fin planifiée]],"Oui","Non"),"")</f>
        <v>0</v>
      </c>
    </row>
    <row r="155" spans="13:36" ht="20" customHeight="1">
      <c r="M155">
        <f>IF(AND([[#This Row],Début]&lt;&gt;"",[[#This Row],[Fin planifiée]]&lt;&gt;""),[[#This Row],[Fin planifiée]]-[[#This Row],Début]+1,"")</f>
        <v>0</v>
      </c>
      <c r="N155">
        <f>IF(AND([[#This Row],Début]&lt;&gt;"",[[#This Row],[Fin réelle]]&lt;&gt;""),[[#This Row],[Fin réelle]]-[[#This Row],Début]+1,"")</f>
        <v>0</v>
      </c>
      <c r="S155">
        <f>[[#This Row],[Budget réalisé]]-[[#This Row],[Budget prévu]]</f>
        <v>0</v>
      </c>
      <c r="T155">
        <f>IF(OR([[#This Row],[Budget prévu]]="",[[#This Row],[Budget réalisé]]=""),"",IF([[#This Row],[Écart (€)]]=0,"À l'équilibre",IF([[#This Row],[Écart (€)]]&gt;0,"Dépassement","Sous budget")))</f>
        <v>0</v>
      </c>
      <c r="W155">
        <f>[[#This Row],[Risque – Probabilité (1-5)]]*[[#This Row],[Risque – Sévérité (1-5)]]</f>
        <v>0</v>
      </c>
      <c r="AC155">
        <f>IF([[#This Row],Effort (jours)]&gt;0,[[#This Row],[Reach (pers.)]]*[[#This Row],[Impact (1-5)]]*[[#This Row],[Confidence (0-1)]]/[[#This Row],[Effort (jours)]],"")</f>
        <v>0</v>
      </c>
      <c r="AG155">
        <f>IF([[#This Row],[Fin planifiée]]&lt;&gt;"",MONTH([[#This Row],[Fin planifiée]]),"")</f>
        <v>0</v>
      </c>
      <c r="AH155">
        <f>IF([[#This Row],[Fin planifiée]]&lt;&gt;"",YEAR([[#This Row],[Fin planifiée]]),"")</f>
        <v>0</v>
      </c>
      <c r="AI1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5">
        <f>IF(AND([[#This Row],Statut]="Terminé",[[#This Row],[Fin réelle]]&lt;&gt;""),IF([[#This Row],[Fin réelle]]&lt;=[[#This Row],[Fin planifiée]],"Oui","Non"),"")</f>
        <v>0</v>
      </c>
    </row>
    <row r="156" spans="13:36" ht="20" customHeight="1">
      <c r="M156">
        <f>IF(AND([[#This Row],Début]&lt;&gt;"",[[#This Row],[Fin planifiée]]&lt;&gt;""),[[#This Row],[Fin planifiée]]-[[#This Row],Début]+1,"")</f>
        <v>0</v>
      </c>
      <c r="N156">
        <f>IF(AND([[#This Row],Début]&lt;&gt;"",[[#This Row],[Fin réelle]]&lt;&gt;""),[[#This Row],[Fin réelle]]-[[#This Row],Début]+1,"")</f>
        <v>0</v>
      </c>
      <c r="S156">
        <f>[[#This Row],[Budget réalisé]]-[[#This Row],[Budget prévu]]</f>
        <v>0</v>
      </c>
      <c r="T156">
        <f>IF(OR([[#This Row],[Budget prévu]]="",[[#This Row],[Budget réalisé]]=""),"",IF([[#This Row],[Écart (€)]]=0,"À l'équilibre",IF([[#This Row],[Écart (€)]]&gt;0,"Dépassement","Sous budget")))</f>
        <v>0</v>
      </c>
      <c r="W156">
        <f>[[#This Row],[Risque – Probabilité (1-5)]]*[[#This Row],[Risque – Sévérité (1-5)]]</f>
        <v>0</v>
      </c>
      <c r="AC156">
        <f>IF([[#This Row],Effort (jours)]&gt;0,[[#This Row],[Reach (pers.)]]*[[#This Row],[Impact (1-5)]]*[[#This Row],[Confidence (0-1)]]/[[#This Row],[Effort (jours)]],"")</f>
        <v>0</v>
      </c>
      <c r="AG156">
        <f>IF([[#This Row],[Fin planifiée]]&lt;&gt;"",MONTH([[#This Row],[Fin planifiée]]),"")</f>
        <v>0</v>
      </c>
      <c r="AH156">
        <f>IF([[#This Row],[Fin planifiée]]&lt;&gt;"",YEAR([[#This Row],[Fin planifiée]]),"")</f>
        <v>0</v>
      </c>
      <c r="AI1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6">
        <f>IF(AND([[#This Row],Statut]="Terminé",[[#This Row],[Fin réelle]]&lt;&gt;""),IF([[#This Row],[Fin réelle]]&lt;=[[#This Row],[Fin planifiée]],"Oui","Non"),"")</f>
        <v>0</v>
      </c>
    </row>
    <row r="157" spans="13:36" ht="20" customHeight="1">
      <c r="M157">
        <f>IF(AND([[#This Row],Début]&lt;&gt;"",[[#This Row],[Fin planifiée]]&lt;&gt;""),[[#This Row],[Fin planifiée]]-[[#This Row],Début]+1,"")</f>
        <v>0</v>
      </c>
      <c r="N157">
        <f>IF(AND([[#This Row],Début]&lt;&gt;"",[[#This Row],[Fin réelle]]&lt;&gt;""),[[#This Row],[Fin réelle]]-[[#This Row],Début]+1,"")</f>
        <v>0</v>
      </c>
      <c r="S157">
        <f>[[#This Row],[Budget réalisé]]-[[#This Row],[Budget prévu]]</f>
        <v>0</v>
      </c>
      <c r="T157">
        <f>IF(OR([[#This Row],[Budget prévu]]="",[[#This Row],[Budget réalisé]]=""),"",IF([[#This Row],[Écart (€)]]=0,"À l'équilibre",IF([[#This Row],[Écart (€)]]&gt;0,"Dépassement","Sous budget")))</f>
        <v>0</v>
      </c>
      <c r="W157">
        <f>[[#This Row],[Risque – Probabilité (1-5)]]*[[#This Row],[Risque – Sévérité (1-5)]]</f>
        <v>0</v>
      </c>
      <c r="AC157">
        <f>IF([[#This Row],Effort (jours)]&gt;0,[[#This Row],[Reach (pers.)]]*[[#This Row],[Impact (1-5)]]*[[#This Row],[Confidence (0-1)]]/[[#This Row],[Effort (jours)]],"")</f>
        <v>0</v>
      </c>
      <c r="AG157">
        <f>IF([[#This Row],[Fin planifiée]]&lt;&gt;"",MONTH([[#This Row],[Fin planifiée]]),"")</f>
        <v>0</v>
      </c>
      <c r="AH157">
        <f>IF([[#This Row],[Fin planifiée]]&lt;&gt;"",YEAR([[#This Row],[Fin planifiée]]),"")</f>
        <v>0</v>
      </c>
      <c r="AI1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7">
        <f>IF(AND([[#This Row],Statut]="Terminé",[[#This Row],[Fin réelle]]&lt;&gt;""),IF([[#This Row],[Fin réelle]]&lt;=[[#This Row],[Fin planifiée]],"Oui","Non"),"")</f>
        <v>0</v>
      </c>
    </row>
    <row r="158" spans="13:36" ht="20" customHeight="1">
      <c r="M158">
        <f>IF(AND([[#This Row],Début]&lt;&gt;"",[[#This Row],[Fin planifiée]]&lt;&gt;""),[[#This Row],[Fin planifiée]]-[[#This Row],Début]+1,"")</f>
        <v>0</v>
      </c>
      <c r="N158">
        <f>IF(AND([[#This Row],Début]&lt;&gt;"",[[#This Row],[Fin réelle]]&lt;&gt;""),[[#This Row],[Fin réelle]]-[[#This Row],Début]+1,"")</f>
        <v>0</v>
      </c>
      <c r="S158">
        <f>[[#This Row],[Budget réalisé]]-[[#This Row],[Budget prévu]]</f>
        <v>0</v>
      </c>
      <c r="T158">
        <f>IF(OR([[#This Row],[Budget prévu]]="",[[#This Row],[Budget réalisé]]=""),"",IF([[#This Row],[Écart (€)]]=0,"À l'équilibre",IF([[#This Row],[Écart (€)]]&gt;0,"Dépassement","Sous budget")))</f>
        <v>0</v>
      </c>
      <c r="W158">
        <f>[[#This Row],[Risque – Probabilité (1-5)]]*[[#This Row],[Risque – Sévérité (1-5)]]</f>
        <v>0</v>
      </c>
      <c r="AC158">
        <f>IF([[#This Row],Effort (jours)]&gt;0,[[#This Row],[Reach (pers.)]]*[[#This Row],[Impact (1-5)]]*[[#This Row],[Confidence (0-1)]]/[[#This Row],[Effort (jours)]],"")</f>
        <v>0</v>
      </c>
      <c r="AG158">
        <f>IF([[#This Row],[Fin planifiée]]&lt;&gt;"",MONTH([[#This Row],[Fin planifiée]]),"")</f>
        <v>0</v>
      </c>
      <c r="AH158">
        <f>IF([[#This Row],[Fin planifiée]]&lt;&gt;"",YEAR([[#This Row],[Fin planifiée]]),"")</f>
        <v>0</v>
      </c>
      <c r="AI1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8">
        <f>IF(AND([[#This Row],Statut]="Terminé",[[#This Row],[Fin réelle]]&lt;&gt;""),IF([[#This Row],[Fin réelle]]&lt;=[[#This Row],[Fin planifiée]],"Oui","Non"),"")</f>
        <v>0</v>
      </c>
    </row>
    <row r="159" spans="13:36" ht="20" customHeight="1">
      <c r="M159">
        <f>IF(AND([[#This Row],Début]&lt;&gt;"",[[#This Row],[Fin planifiée]]&lt;&gt;""),[[#This Row],[Fin planifiée]]-[[#This Row],Début]+1,"")</f>
        <v>0</v>
      </c>
      <c r="N159">
        <f>IF(AND([[#This Row],Début]&lt;&gt;"",[[#This Row],[Fin réelle]]&lt;&gt;""),[[#This Row],[Fin réelle]]-[[#This Row],Début]+1,"")</f>
        <v>0</v>
      </c>
      <c r="S159">
        <f>[[#This Row],[Budget réalisé]]-[[#This Row],[Budget prévu]]</f>
        <v>0</v>
      </c>
      <c r="T159">
        <f>IF(OR([[#This Row],[Budget prévu]]="",[[#This Row],[Budget réalisé]]=""),"",IF([[#This Row],[Écart (€)]]=0,"À l'équilibre",IF([[#This Row],[Écart (€)]]&gt;0,"Dépassement","Sous budget")))</f>
        <v>0</v>
      </c>
      <c r="W159">
        <f>[[#This Row],[Risque – Probabilité (1-5)]]*[[#This Row],[Risque – Sévérité (1-5)]]</f>
        <v>0</v>
      </c>
      <c r="AC159">
        <f>IF([[#This Row],Effort (jours)]&gt;0,[[#This Row],[Reach (pers.)]]*[[#This Row],[Impact (1-5)]]*[[#This Row],[Confidence (0-1)]]/[[#This Row],[Effort (jours)]],"")</f>
        <v>0</v>
      </c>
      <c r="AG159">
        <f>IF([[#This Row],[Fin planifiée]]&lt;&gt;"",MONTH([[#This Row],[Fin planifiée]]),"")</f>
        <v>0</v>
      </c>
      <c r="AH159">
        <f>IF([[#This Row],[Fin planifiée]]&lt;&gt;"",YEAR([[#This Row],[Fin planifiée]]),"")</f>
        <v>0</v>
      </c>
      <c r="AI1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59">
        <f>IF(AND([[#This Row],Statut]="Terminé",[[#This Row],[Fin réelle]]&lt;&gt;""),IF([[#This Row],[Fin réelle]]&lt;=[[#This Row],[Fin planifiée]],"Oui","Non"),"")</f>
        <v>0</v>
      </c>
    </row>
    <row r="160" spans="13:36" ht="20" customHeight="1">
      <c r="M160">
        <f>IF(AND([[#This Row],Début]&lt;&gt;"",[[#This Row],[Fin planifiée]]&lt;&gt;""),[[#This Row],[Fin planifiée]]-[[#This Row],Début]+1,"")</f>
        <v>0</v>
      </c>
      <c r="N160">
        <f>IF(AND([[#This Row],Début]&lt;&gt;"",[[#This Row],[Fin réelle]]&lt;&gt;""),[[#This Row],[Fin réelle]]-[[#This Row],Début]+1,"")</f>
        <v>0</v>
      </c>
      <c r="S160">
        <f>[[#This Row],[Budget réalisé]]-[[#This Row],[Budget prévu]]</f>
        <v>0</v>
      </c>
      <c r="T160">
        <f>IF(OR([[#This Row],[Budget prévu]]="",[[#This Row],[Budget réalisé]]=""),"",IF([[#This Row],[Écart (€)]]=0,"À l'équilibre",IF([[#This Row],[Écart (€)]]&gt;0,"Dépassement","Sous budget")))</f>
        <v>0</v>
      </c>
      <c r="W160">
        <f>[[#This Row],[Risque – Probabilité (1-5)]]*[[#This Row],[Risque – Sévérité (1-5)]]</f>
        <v>0</v>
      </c>
      <c r="AC160">
        <f>IF([[#This Row],Effort (jours)]&gt;0,[[#This Row],[Reach (pers.)]]*[[#This Row],[Impact (1-5)]]*[[#This Row],[Confidence (0-1)]]/[[#This Row],[Effort (jours)]],"")</f>
        <v>0</v>
      </c>
      <c r="AG160">
        <f>IF([[#This Row],[Fin planifiée]]&lt;&gt;"",MONTH([[#This Row],[Fin planifiée]]),"")</f>
        <v>0</v>
      </c>
      <c r="AH160">
        <f>IF([[#This Row],[Fin planifiée]]&lt;&gt;"",YEAR([[#This Row],[Fin planifiée]]),"")</f>
        <v>0</v>
      </c>
      <c r="AI1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0">
        <f>IF(AND([[#This Row],Statut]="Terminé",[[#This Row],[Fin réelle]]&lt;&gt;""),IF([[#This Row],[Fin réelle]]&lt;=[[#This Row],[Fin planifiée]],"Oui","Non"),"")</f>
        <v>0</v>
      </c>
    </row>
    <row r="161" spans="13:36" ht="20" customHeight="1">
      <c r="M161">
        <f>IF(AND([[#This Row],Début]&lt;&gt;"",[[#This Row],[Fin planifiée]]&lt;&gt;""),[[#This Row],[Fin planifiée]]-[[#This Row],Début]+1,"")</f>
        <v>0</v>
      </c>
      <c r="N161">
        <f>IF(AND([[#This Row],Début]&lt;&gt;"",[[#This Row],[Fin réelle]]&lt;&gt;""),[[#This Row],[Fin réelle]]-[[#This Row],Début]+1,"")</f>
        <v>0</v>
      </c>
      <c r="S161">
        <f>[[#This Row],[Budget réalisé]]-[[#This Row],[Budget prévu]]</f>
        <v>0</v>
      </c>
      <c r="T161">
        <f>IF(OR([[#This Row],[Budget prévu]]="",[[#This Row],[Budget réalisé]]=""),"",IF([[#This Row],[Écart (€)]]=0,"À l'équilibre",IF([[#This Row],[Écart (€)]]&gt;0,"Dépassement","Sous budget")))</f>
        <v>0</v>
      </c>
      <c r="W161">
        <f>[[#This Row],[Risque – Probabilité (1-5)]]*[[#This Row],[Risque – Sévérité (1-5)]]</f>
        <v>0</v>
      </c>
      <c r="AC161">
        <f>IF([[#This Row],Effort (jours)]&gt;0,[[#This Row],[Reach (pers.)]]*[[#This Row],[Impact (1-5)]]*[[#This Row],[Confidence (0-1)]]/[[#This Row],[Effort (jours)]],"")</f>
        <v>0</v>
      </c>
      <c r="AG161">
        <f>IF([[#This Row],[Fin planifiée]]&lt;&gt;"",MONTH([[#This Row],[Fin planifiée]]),"")</f>
        <v>0</v>
      </c>
      <c r="AH161">
        <f>IF([[#This Row],[Fin planifiée]]&lt;&gt;"",YEAR([[#This Row],[Fin planifiée]]),"")</f>
        <v>0</v>
      </c>
      <c r="AI1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1">
        <f>IF(AND([[#This Row],Statut]="Terminé",[[#This Row],[Fin réelle]]&lt;&gt;""),IF([[#This Row],[Fin réelle]]&lt;=[[#This Row],[Fin planifiée]],"Oui","Non"),"")</f>
        <v>0</v>
      </c>
    </row>
    <row r="162" spans="13:36" ht="20" customHeight="1">
      <c r="M162">
        <f>IF(AND([[#This Row],Début]&lt;&gt;"",[[#This Row],[Fin planifiée]]&lt;&gt;""),[[#This Row],[Fin planifiée]]-[[#This Row],Début]+1,"")</f>
        <v>0</v>
      </c>
      <c r="N162">
        <f>IF(AND([[#This Row],Début]&lt;&gt;"",[[#This Row],[Fin réelle]]&lt;&gt;""),[[#This Row],[Fin réelle]]-[[#This Row],Début]+1,"")</f>
        <v>0</v>
      </c>
      <c r="S162">
        <f>[[#This Row],[Budget réalisé]]-[[#This Row],[Budget prévu]]</f>
        <v>0</v>
      </c>
      <c r="T162">
        <f>IF(OR([[#This Row],[Budget prévu]]="",[[#This Row],[Budget réalisé]]=""),"",IF([[#This Row],[Écart (€)]]=0,"À l'équilibre",IF([[#This Row],[Écart (€)]]&gt;0,"Dépassement","Sous budget")))</f>
        <v>0</v>
      </c>
      <c r="W162">
        <f>[[#This Row],[Risque – Probabilité (1-5)]]*[[#This Row],[Risque – Sévérité (1-5)]]</f>
        <v>0</v>
      </c>
      <c r="AC162">
        <f>IF([[#This Row],Effort (jours)]&gt;0,[[#This Row],[Reach (pers.)]]*[[#This Row],[Impact (1-5)]]*[[#This Row],[Confidence (0-1)]]/[[#This Row],[Effort (jours)]],"")</f>
        <v>0</v>
      </c>
      <c r="AG162">
        <f>IF([[#This Row],[Fin planifiée]]&lt;&gt;"",MONTH([[#This Row],[Fin planifiée]]),"")</f>
        <v>0</v>
      </c>
      <c r="AH162">
        <f>IF([[#This Row],[Fin planifiée]]&lt;&gt;"",YEAR([[#This Row],[Fin planifiée]]),"")</f>
        <v>0</v>
      </c>
      <c r="AI1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2">
        <f>IF(AND([[#This Row],Statut]="Terminé",[[#This Row],[Fin réelle]]&lt;&gt;""),IF([[#This Row],[Fin réelle]]&lt;=[[#This Row],[Fin planifiée]],"Oui","Non"),"")</f>
        <v>0</v>
      </c>
    </row>
    <row r="163" spans="13:36" ht="20" customHeight="1">
      <c r="M163">
        <f>IF(AND([[#This Row],Début]&lt;&gt;"",[[#This Row],[Fin planifiée]]&lt;&gt;""),[[#This Row],[Fin planifiée]]-[[#This Row],Début]+1,"")</f>
        <v>0</v>
      </c>
      <c r="N163">
        <f>IF(AND([[#This Row],Début]&lt;&gt;"",[[#This Row],[Fin réelle]]&lt;&gt;""),[[#This Row],[Fin réelle]]-[[#This Row],Début]+1,"")</f>
        <v>0</v>
      </c>
      <c r="S163">
        <f>[[#This Row],[Budget réalisé]]-[[#This Row],[Budget prévu]]</f>
        <v>0</v>
      </c>
      <c r="T163">
        <f>IF(OR([[#This Row],[Budget prévu]]="",[[#This Row],[Budget réalisé]]=""),"",IF([[#This Row],[Écart (€)]]=0,"À l'équilibre",IF([[#This Row],[Écart (€)]]&gt;0,"Dépassement","Sous budget")))</f>
        <v>0</v>
      </c>
      <c r="W163">
        <f>[[#This Row],[Risque – Probabilité (1-5)]]*[[#This Row],[Risque – Sévérité (1-5)]]</f>
        <v>0</v>
      </c>
      <c r="AC163">
        <f>IF([[#This Row],Effort (jours)]&gt;0,[[#This Row],[Reach (pers.)]]*[[#This Row],[Impact (1-5)]]*[[#This Row],[Confidence (0-1)]]/[[#This Row],[Effort (jours)]],"")</f>
        <v>0</v>
      </c>
      <c r="AG163">
        <f>IF([[#This Row],[Fin planifiée]]&lt;&gt;"",MONTH([[#This Row],[Fin planifiée]]),"")</f>
        <v>0</v>
      </c>
      <c r="AH163">
        <f>IF([[#This Row],[Fin planifiée]]&lt;&gt;"",YEAR([[#This Row],[Fin planifiée]]),"")</f>
        <v>0</v>
      </c>
      <c r="AI1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3">
        <f>IF(AND([[#This Row],Statut]="Terminé",[[#This Row],[Fin réelle]]&lt;&gt;""),IF([[#This Row],[Fin réelle]]&lt;=[[#This Row],[Fin planifiée]],"Oui","Non"),"")</f>
        <v>0</v>
      </c>
    </row>
    <row r="164" spans="13:36" ht="20" customHeight="1">
      <c r="M164">
        <f>IF(AND([[#This Row],Début]&lt;&gt;"",[[#This Row],[Fin planifiée]]&lt;&gt;""),[[#This Row],[Fin planifiée]]-[[#This Row],Début]+1,"")</f>
        <v>0</v>
      </c>
      <c r="N164">
        <f>IF(AND([[#This Row],Début]&lt;&gt;"",[[#This Row],[Fin réelle]]&lt;&gt;""),[[#This Row],[Fin réelle]]-[[#This Row],Début]+1,"")</f>
        <v>0</v>
      </c>
      <c r="S164">
        <f>[[#This Row],[Budget réalisé]]-[[#This Row],[Budget prévu]]</f>
        <v>0</v>
      </c>
      <c r="T164">
        <f>IF(OR([[#This Row],[Budget prévu]]="",[[#This Row],[Budget réalisé]]=""),"",IF([[#This Row],[Écart (€)]]=0,"À l'équilibre",IF([[#This Row],[Écart (€)]]&gt;0,"Dépassement","Sous budget")))</f>
        <v>0</v>
      </c>
      <c r="W164">
        <f>[[#This Row],[Risque – Probabilité (1-5)]]*[[#This Row],[Risque – Sévérité (1-5)]]</f>
        <v>0</v>
      </c>
      <c r="AC164">
        <f>IF([[#This Row],Effort (jours)]&gt;0,[[#This Row],[Reach (pers.)]]*[[#This Row],[Impact (1-5)]]*[[#This Row],[Confidence (0-1)]]/[[#This Row],[Effort (jours)]],"")</f>
        <v>0</v>
      </c>
      <c r="AG164">
        <f>IF([[#This Row],[Fin planifiée]]&lt;&gt;"",MONTH([[#This Row],[Fin planifiée]]),"")</f>
        <v>0</v>
      </c>
      <c r="AH164">
        <f>IF([[#This Row],[Fin planifiée]]&lt;&gt;"",YEAR([[#This Row],[Fin planifiée]]),"")</f>
        <v>0</v>
      </c>
      <c r="AI1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4">
        <f>IF(AND([[#This Row],Statut]="Terminé",[[#This Row],[Fin réelle]]&lt;&gt;""),IF([[#This Row],[Fin réelle]]&lt;=[[#This Row],[Fin planifiée]],"Oui","Non"),"")</f>
        <v>0</v>
      </c>
    </row>
    <row r="165" spans="13:36" ht="20" customHeight="1">
      <c r="M165">
        <f>IF(AND([[#This Row],Début]&lt;&gt;"",[[#This Row],[Fin planifiée]]&lt;&gt;""),[[#This Row],[Fin planifiée]]-[[#This Row],Début]+1,"")</f>
        <v>0</v>
      </c>
      <c r="N165">
        <f>IF(AND([[#This Row],Début]&lt;&gt;"",[[#This Row],[Fin réelle]]&lt;&gt;""),[[#This Row],[Fin réelle]]-[[#This Row],Début]+1,"")</f>
        <v>0</v>
      </c>
      <c r="S165">
        <f>[[#This Row],[Budget réalisé]]-[[#This Row],[Budget prévu]]</f>
        <v>0</v>
      </c>
      <c r="T165">
        <f>IF(OR([[#This Row],[Budget prévu]]="",[[#This Row],[Budget réalisé]]=""),"",IF([[#This Row],[Écart (€)]]=0,"À l'équilibre",IF([[#This Row],[Écart (€)]]&gt;0,"Dépassement","Sous budget")))</f>
        <v>0</v>
      </c>
      <c r="W165">
        <f>[[#This Row],[Risque – Probabilité (1-5)]]*[[#This Row],[Risque – Sévérité (1-5)]]</f>
        <v>0</v>
      </c>
      <c r="AC165">
        <f>IF([[#This Row],Effort (jours)]&gt;0,[[#This Row],[Reach (pers.)]]*[[#This Row],[Impact (1-5)]]*[[#This Row],[Confidence (0-1)]]/[[#This Row],[Effort (jours)]],"")</f>
        <v>0</v>
      </c>
      <c r="AG165">
        <f>IF([[#This Row],[Fin planifiée]]&lt;&gt;"",MONTH([[#This Row],[Fin planifiée]]),"")</f>
        <v>0</v>
      </c>
      <c r="AH165">
        <f>IF([[#This Row],[Fin planifiée]]&lt;&gt;"",YEAR([[#This Row],[Fin planifiée]]),"")</f>
        <v>0</v>
      </c>
      <c r="AI1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5">
        <f>IF(AND([[#This Row],Statut]="Terminé",[[#This Row],[Fin réelle]]&lt;&gt;""),IF([[#This Row],[Fin réelle]]&lt;=[[#This Row],[Fin planifiée]],"Oui","Non"),"")</f>
        <v>0</v>
      </c>
    </row>
    <row r="166" spans="13:36" ht="20" customHeight="1">
      <c r="M166">
        <f>IF(AND([[#This Row],Début]&lt;&gt;"",[[#This Row],[Fin planifiée]]&lt;&gt;""),[[#This Row],[Fin planifiée]]-[[#This Row],Début]+1,"")</f>
        <v>0</v>
      </c>
      <c r="N166">
        <f>IF(AND([[#This Row],Début]&lt;&gt;"",[[#This Row],[Fin réelle]]&lt;&gt;""),[[#This Row],[Fin réelle]]-[[#This Row],Début]+1,"")</f>
        <v>0</v>
      </c>
      <c r="S166">
        <f>[[#This Row],[Budget réalisé]]-[[#This Row],[Budget prévu]]</f>
        <v>0</v>
      </c>
      <c r="T166">
        <f>IF(OR([[#This Row],[Budget prévu]]="",[[#This Row],[Budget réalisé]]=""),"",IF([[#This Row],[Écart (€)]]=0,"À l'équilibre",IF([[#This Row],[Écart (€)]]&gt;0,"Dépassement","Sous budget")))</f>
        <v>0</v>
      </c>
      <c r="W166">
        <f>[[#This Row],[Risque – Probabilité (1-5)]]*[[#This Row],[Risque – Sévérité (1-5)]]</f>
        <v>0</v>
      </c>
      <c r="AC166">
        <f>IF([[#This Row],Effort (jours)]&gt;0,[[#This Row],[Reach (pers.)]]*[[#This Row],[Impact (1-5)]]*[[#This Row],[Confidence (0-1)]]/[[#This Row],[Effort (jours)]],"")</f>
        <v>0</v>
      </c>
      <c r="AG166">
        <f>IF([[#This Row],[Fin planifiée]]&lt;&gt;"",MONTH([[#This Row],[Fin planifiée]]),"")</f>
        <v>0</v>
      </c>
      <c r="AH166">
        <f>IF([[#This Row],[Fin planifiée]]&lt;&gt;"",YEAR([[#This Row],[Fin planifiée]]),"")</f>
        <v>0</v>
      </c>
      <c r="AI1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6">
        <f>IF(AND([[#This Row],Statut]="Terminé",[[#This Row],[Fin réelle]]&lt;&gt;""),IF([[#This Row],[Fin réelle]]&lt;=[[#This Row],[Fin planifiée]],"Oui","Non"),"")</f>
        <v>0</v>
      </c>
    </row>
    <row r="167" spans="13:36" ht="20" customHeight="1">
      <c r="M167">
        <f>IF(AND([[#This Row],Début]&lt;&gt;"",[[#This Row],[Fin planifiée]]&lt;&gt;""),[[#This Row],[Fin planifiée]]-[[#This Row],Début]+1,"")</f>
        <v>0</v>
      </c>
      <c r="N167">
        <f>IF(AND([[#This Row],Début]&lt;&gt;"",[[#This Row],[Fin réelle]]&lt;&gt;""),[[#This Row],[Fin réelle]]-[[#This Row],Début]+1,"")</f>
        <v>0</v>
      </c>
      <c r="S167">
        <f>[[#This Row],[Budget réalisé]]-[[#This Row],[Budget prévu]]</f>
        <v>0</v>
      </c>
      <c r="T167">
        <f>IF(OR([[#This Row],[Budget prévu]]="",[[#This Row],[Budget réalisé]]=""),"",IF([[#This Row],[Écart (€)]]=0,"À l'équilibre",IF([[#This Row],[Écart (€)]]&gt;0,"Dépassement","Sous budget")))</f>
        <v>0</v>
      </c>
      <c r="W167">
        <f>[[#This Row],[Risque – Probabilité (1-5)]]*[[#This Row],[Risque – Sévérité (1-5)]]</f>
        <v>0</v>
      </c>
      <c r="AC167">
        <f>IF([[#This Row],Effort (jours)]&gt;0,[[#This Row],[Reach (pers.)]]*[[#This Row],[Impact (1-5)]]*[[#This Row],[Confidence (0-1)]]/[[#This Row],[Effort (jours)]],"")</f>
        <v>0</v>
      </c>
      <c r="AG167">
        <f>IF([[#This Row],[Fin planifiée]]&lt;&gt;"",MONTH([[#This Row],[Fin planifiée]]),"")</f>
        <v>0</v>
      </c>
      <c r="AH167">
        <f>IF([[#This Row],[Fin planifiée]]&lt;&gt;"",YEAR([[#This Row],[Fin planifiée]]),"")</f>
        <v>0</v>
      </c>
      <c r="AI1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7">
        <f>IF(AND([[#This Row],Statut]="Terminé",[[#This Row],[Fin réelle]]&lt;&gt;""),IF([[#This Row],[Fin réelle]]&lt;=[[#This Row],[Fin planifiée]],"Oui","Non"),"")</f>
        <v>0</v>
      </c>
    </row>
    <row r="168" spans="13:36" ht="20" customHeight="1">
      <c r="M168">
        <f>IF(AND([[#This Row],Début]&lt;&gt;"",[[#This Row],[Fin planifiée]]&lt;&gt;""),[[#This Row],[Fin planifiée]]-[[#This Row],Début]+1,"")</f>
        <v>0</v>
      </c>
      <c r="N168">
        <f>IF(AND([[#This Row],Début]&lt;&gt;"",[[#This Row],[Fin réelle]]&lt;&gt;""),[[#This Row],[Fin réelle]]-[[#This Row],Début]+1,"")</f>
        <v>0</v>
      </c>
      <c r="S168">
        <f>[[#This Row],[Budget réalisé]]-[[#This Row],[Budget prévu]]</f>
        <v>0</v>
      </c>
      <c r="T168">
        <f>IF(OR([[#This Row],[Budget prévu]]="",[[#This Row],[Budget réalisé]]=""),"",IF([[#This Row],[Écart (€)]]=0,"À l'équilibre",IF([[#This Row],[Écart (€)]]&gt;0,"Dépassement","Sous budget")))</f>
        <v>0</v>
      </c>
      <c r="W168">
        <f>[[#This Row],[Risque – Probabilité (1-5)]]*[[#This Row],[Risque – Sévérité (1-5)]]</f>
        <v>0</v>
      </c>
      <c r="AC168">
        <f>IF([[#This Row],Effort (jours)]&gt;0,[[#This Row],[Reach (pers.)]]*[[#This Row],[Impact (1-5)]]*[[#This Row],[Confidence (0-1)]]/[[#This Row],[Effort (jours)]],"")</f>
        <v>0</v>
      </c>
      <c r="AG168">
        <f>IF([[#This Row],[Fin planifiée]]&lt;&gt;"",MONTH([[#This Row],[Fin planifiée]]),"")</f>
        <v>0</v>
      </c>
      <c r="AH168">
        <f>IF([[#This Row],[Fin planifiée]]&lt;&gt;"",YEAR([[#This Row],[Fin planifiée]]),"")</f>
        <v>0</v>
      </c>
      <c r="AI1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8">
        <f>IF(AND([[#This Row],Statut]="Terminé",[[#This Row],[Fin réelle]]&lt;&gt;""),IF([[#This Row],[Fin réelle]]&lt;=[[#This Row],[Fin planifiée]],"Oui","Non"),"")</f>
        <v>0</v>
      </c>
    </row>
    <row r="169" spans="13:36" ht="20" customHeight="1">
      <c r="M169">
        <f>IF(AND([[#This Row],Début]&lt;&gt;"",[[#This Row],[Fin planifiée]]&lt;&gt;""),[[#This Row],[Fin planifiée]]-[[#This Row],Début]+1,"")</f>
        <v>0</v>
      </c>
      <c r="N169">
        <f>IF(AND([[#This Row],Début]&lt;&gt;"",[[#This Row],[Fin réelle]]&lt;&gt;""),[[#This Row],[Fin réelle]]-[[#This Row],Début]+1,"")</f>
        <v>0</v>
      </c>
      <c r="S169">
        <f>[[#This Row],[Budget réalisé]]-[[#This Row],[Budget prévu]]</f>
        <v>0</v>
      </c>
      <c r="T169">
        <f>IF(OR([[#This Row],[Budget prévu]]="",[[#This Row],[Budget réalisé]]=""),"",IF([[#This Row],[Écart (€)]]=0,"À l'équilibre",IF([[#This Row],[Écart (€)]]&gt;0,"Dépassement","Sous budget")))</f>
        <v>0</v>
      </c>
      <c r="W169">
        <f>[[#This Row],[Risque – Probabilité (1-5)]]*[[#This Row],[Risque – Sévérité (1-5)]]</f>
        <v>0</v>
      </c>
      <c r="AC169">
        <f>IF([[#This Row],Effort (jours)]&gt;0,[[#This Row],[Reach (pers.)]]*[[#This Row],[Impact (1-5)]]*[[#This Row],[Confidence (0-1)]]/[[#This Row],[Effort (jours)]],"")</f>
        <v>0</v>
      </c>
      <c r="AG169">
        <f>IF([[#This Row],[Fin planifiée]]&lt;&gt;"",MONTH([[#This Row],[Fin planifiée]]),"")</f>
        <v>0</v>
      </c>
      <c r="AH169">
        <f>IF([[#This Row],[Fin planifiée]]&lt;&gt;"",YEAR([[#This Row],[Fin planifiée]]),"")</f>
        <v>0</v>
      </c>
      <c r="AI1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69">
        <f>IF(AND([[#This Row],Statut]="Terminé",[[#This Row],[Fin réelle]]&lt;&gt;""),IF([[#This Row],[Fin réelle]]&lt;=[[#This Row],[Fin planifiée]],"Oui","Non"),"")</f>
        <v>0</v>
      </c>
    </row>
    <row r="170" spans="13:36" ht="20" customHeight="1">
      <c r="M170">
        <f>IF(AND([[#This Row],Début]&lt;&gt;"",[[#This Row],[Fin planifiée]]&lt;&gt;""),[[#This Row],[Fin planifiée]]-[[#This Row],Début]+1,"")</f>
        <v>0</v>
      </c>
      <c r="N170">
        <f>IF(AND([[#This Row],Début]&lt;&gt;"",[[#This Row],[Fin réelle]]&lt;&gt;""),[[#This Row],[Fin réelle]]-[[#This Row],Début]+1,"")</f>
        <v>0</v>
      </c>
      <c r="S170">
        <f>[[#This Row],[Budget réalisé]]-[[#This Row],[Budget prévu]]</f>
        <v>0</v>
      </c>
      <c r="T170">
        <f>IF(OR([[#This Row],[Budget prévu]]="",[[#This Row],[Budget réalisé]]=""),"",IF([[#This Row],[Écart (€)]]=0,"À l'équilibre",IF([[#This Row],[Écart (€)]]&gt;0,"Dépassement","Sous budget")))</f>
        <v>0</v>
      </c>
      <c r="W170">
        <f>[[#This Row],[Risque – Probabilité (1-5)]]*[[#This Row],[Risque – Sévérité (1-5)]]</f>
        <v>0</v>
      </c>
      <c r="AC170">
        <f>IF([[#This Row],Effort (jours)]&gt;0,[[#This Row],[Reach (pers.)]]*[[#This Row],[Impact (1-5)]]*[[#This Row],[Confidence (0-1)]]/[[#This Row],[Effort (jours)]],"")</f>
        <v>0</v>
      </c>
      <c r="AG170">
        <f>IF([[#This Row],[Fin planifiée]]&lt;&gt;"",MONTH([[#This Row],[Fin planifiée]]),"")</f>
        <v>0</v>
      </c>
      <c r="AH170">
        <f>IF([[#This Row],[Fin planifiée]]&lt;&gt;"",YEAR([[#This Row],[Fin planifiée]]),"")</f>
        <v>0</v>
      </c>
      <c r="AI1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0">
        <f>IF(AND([[#This Row],Statut]="Terminé",[[#This Row],[Fin réelle]]&lt;&gt;""),IF([[#This Row],[Fin réelle]]&lt;=[[#This Row],[Fin planifiée]],"Oui","Non"),"")</f>
        <v>0</v>
      </c>
    </row>
    <row r="171" spans="13:36" ht="20" customHeight="1">
      <c r="M171">
        <f>IF(AND([[#This Row],Début]&lt;&gt;"",[[#This Row],[Fin planifiée]]&lt;&gt;""),[[#This Row],[Fin planifiée]]-[[#This Row],Début]+1,"")</f>
        <v>0</v>
      </c>
      <c r="N171">
        <f>IF(AND([[#This Row],Début]&lt;&gt;"",[[#This Row],[Fin réelle]]&lt;&gt;""),[[#This Row],[Fin réelle]]-[[#This Row],Début]+1,"")</f>
        <v>0</v>
      </c>
      <c r="S171">
        <f>[[#This Row],[Budget réalisé]]-[[#This Row],[Budget prévu]]</f>
        <v>0</v>
      </c>
      <c r="T171">
        <f>IF(OR([[#This Row],[Budget prévu]]="",[[#This Row],[Budget réalisé]]=""),"",IF([[#This Row],[Écart (€)]]=0,"À l'équilibre",IF([[#This Row],[Écart (€)]]&gt;0,"Dépassement","Sous budget")))</f>
        <v>0</v>
      </c>
      <c r="W171">
        <f>[[#This Row],[Risque – Probabilité (1-5)]]*[[#This Row],[Risque – Sévérité (1-5)]]</f>
        <v>0</v>
      </c>
      <c r="AC171">
        <f>IF([[#This Row],Effort (jours)]&gt;0,[[#This Row],[Reach (pers.)]]*[[#This Row],[Impact (1-5)]]*[[#This Row],[Confidence (0-1)]]/[[#This Row],[Effort (jours)]],"")</f>
        <v>0</v>
      </c>
      <c r="AG171">
        <f>IF([[#This Row],[Fin planifiée]]&lt;&gt;"",MONTH([[#This Row],[Fin planifiée]]),"")</f>
        <v>0</v>
      </c>
      <c r="AH171">
        <f>IF([[#This Row],[Fin planifiée]]&lt;&gt;"",YEAR([[#This Row],[Fin planifiée]]),"")</f>
        <v>0</v>
      </c>
      <c r="AI1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1">
        <f>IF(AND([[#This Row],Statut]="Terminé",[[#This Row],[Fin réelle]]&lt;&gt;""),IF([[#This Row],[Fin réelle]]&lt;=[[#This Row],[Fin planifiée]],"Oui","Non"),"")</f>
        <v>0</v>
      </c>
    </row>
    <row r="172" spans="13:36" ht="20" customHeight="1">
      <c r="M172">
        <f>IF(AND([[#This Row],Début]&lt;&gt;"",[[#This Row],[Fin planifiée]]&lt;&gt;""),[[#This Row],[Fin planifiée]]-[[#This Row],Début]+1,"")</f>
        <v>0</v>
      </c>
      <c r="N172">
        <f>IF(AND([[#This Row],Début]&lt;&gt;"",[[#This Row],[Fin réelle]]&lt;&gt;""),[[#This Row],[Fin réelle]]-[[#This Row],Début]+1,"")</f>
        <v>0</v>
      </c>
      <c r="S172">
        <f>[[#This Row],[Budget réalisé]]-[[#This Row],[Budget prévu]]</f>
        <v>0</v>
      </c>
      <c r="T172">
        <f>IF(OR([[#This Row],[Budget prévu]]="",[[#This Row],[Budget réalisé]]=""),"",IF([[#This Row],[Écart (€)]]=0,"À l'équilibre",IF([[#This Row],[Écart (€)]]&gt;0,"Dépassement","Sous budget")))</f>
        <v>0</v>
      </c>
      <c r="W172">
        <f>[[#This Row],[Risque – Probabilité (1-5)]]*[[#This Row],[Risque – Sévérité (1-5)]]</f>
        <v>0</v>
      </c>
      <c r="AC172">
        <f>IF([[#This Row],Effort (jours)]&gt;0,[[#This Row],[Reach (pers.)]]*[[#This Row],[Impact (1-5)]]*[[#This Row],[Confidence (0-1)]]/[[#This Row],[Effort (jours)]],"")</f>
        <v>0</v>
      </c>
      <c r="AG172">
        <f>IF([[#This Row],[Fin planifiée]]&lt;&gt;"",MONTH([[#This Row],[Fin planifiée]]),"")</f>
        <v>0</v>
      </c>
      <c r="AH172">
        <f>IF([[#This Row],[Fin planifiée]]&lt;&gt;"",YEAR([[#This Row],[Fin planifiée]]),"")</f>
        <v>0</v>
      </c>
      <c r="AI1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2">
        <f>IF(AND([[#This Row],Statut]="Terminé",[[#This Row],[Fin réelle]]&lt;&gt;""),IF([[#This Row],[Fin réelle]]&lt;=[[#This Row],[Fin planifiée]],"Oui","Non"),"")</f>
        <v>0</v>
      </c>
    </row>
    <row r="173" spans="13:36" ht="20" customHeight="1">
      <c r="M173">
        <f>IF(AND([[#This Row],Début]&lt;&gt;"",[[#This Row],[Fin planifiée]]&lt;&gt;""),[[#This Row],[Fin planifiée]]-[[#This Row],Début]+1,"")</f>
        <v>0</v>
      </c>
      <c r="N173">
        <f>IF(AND([[#This Row],Début]&lt;&gt;"",[[#This Row],[Fin réelle]]&lt;&gt;""),[[#This Row],[Fin réelle]]-[[#This Row],Début]+1,"")</f>
        <v>0</v>
      </c>
      <c r="S173">
        <f>[[#This Row],[Budget réalisé]]-[[#This Row],[Budget prévu]]</f>
        <v>0</v>
      </c>
      <c r="T173">
        <f>IF(OR([[#This Row],[Budget prévu]]="",[[#This Row],[Budget réalisé]]=""),"",IF([[#This Row],[Écart (€)]]=0,"À l'équilibre",IF([[#This Row],[Écart (€)]]&gt;0,"Dépassement","Sous budget")))</f>
        <v>0</v>
      </c>
      <c r="W173">
        <f>[[#This Row],[Risque – Probabilité (1-5)]]*[[#This Row],[Risque – Sévérité (1-5)]]</f>
        <v>0</v>
      </c>
      <c r="AC173">
        <f>IF([[#This Row],Effort (jours)]&gt;0,[[#This Row],[Reach (pers.)]]*[[#This Row],[Impact (1-5)]]*[[#This Row],[Confidence (0-1)]]/[[#This Row],[Effort (jours)]],"")</f>
        <v>0</v>
      </c>
      <c r="AG173">
        <f>IF([[#This Row],[Fin planifiée]]&lt;&gt;"",MONTH([[#This Row],[Fin planifiée]]),"")</f>
        <v>0</v>
      </c>
      <c r="AH173">
        <f>IF([[#This Row],[Fin planifiée]]&lt;&gt;"",YEAR([[#This Row],[Fin planifiée]]),"")</f>
        <v>0</v>
      </c>
      <c r="AI1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3">
        <f>IF(AND([[#This Row],Statut]="Terminé",[[#This Row],[Fin réelle]]&lt;&gt;""),IF([[#This Row],[Fin réelle]]&lt;=[[#This Row],[Fin planifiée]],"Oui","Non"),"")</f>
        <v>0</v>
      </c>
    </row>
    <row r="174" spans="13:36" ht="20" customHeight="1">
      <c r="M174">
        <f>IF(AND([[#This Row],Début]&lt;&gt;"",[[#This Row],[Fin planifiée]]&lt;&gt;""),[[#This Row],[Fin planifiée]]-[[#This Row],Début]+1,"")</f>
        <v>0</v>
      </c>
      <c r="N174">
        <f>IF(AND([[#This Row],Début]&lt;&gt;"",[[#This Row],[Fin réelle]]&lt;&gt;""),[[#This Row],[Fin réelle]]-[[#This Row],Début]+1,"")</f>
        <v>0</v>
      </c>
      <c r="S174">
        <f>[[#This Row],[Budget réalisé]]-[[#This Row],[Budget prévu]]</f>
        <v>0</v>
      </c>
      <c r="T174">
        <f>IF(OR([[#This Row],[Budget prévu]]="",[[#This Row],[Budget réalisé]]=""),"",IF([[#This Row],[Écart (€)]]=0,"À l'équilibre",IF([[#This Row],[Écart (€)]]&gt;0,"Dépassement","Sous budget")))</f>
        <v>0</v>
      </c>
      <c r="W174">
        <f>[[#This Row],[Risque – Probabilité (1-5)]]*[[#This Row],[Risque – Sévérité (1-5)]]</f>
        <v>0</v>
      </c>
      <c r="AC174">
        <f>IF([[#This Row],Effort (jours)]&gt;0,[[#This Row],[Reach (pers.)]]*[[#This Row],[Impact (1-5)]]*[[#This Row],[Confidence (0-1)]]/[[#This Row],[Effort (jours)]],"")</f>
        <v>0</v>
      </c>
      <c r="AG174">
        <f>IF([[#This Row],[Fin planifiée]]&lt;&gt;"",MONTH([[#This Row],[Fin planifiée]]),"")</f>
        <v>0</v>
      </c>
      <c r="AH174">
        <f>IF([[#This Row],[Fin planifiée]]&lt;&gt;"",YEAR([[#This Row],[Fin planifiée]]),"")</f>
        <v>0</v>
      </c>
      <c r="AI1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4">
        <f>IF(AND([[#This Row],Statut]="Terminé",[[#This Row],[Fin réelle]]&lt;&gt;""),IF([[#This Row],[Fin réelle]]&lt;=[[#This Row],[Fin planifiée]],"Oui","Non"),"")</f>
        <v>0</v>
      </c>
    </row>
    <row r="175" spans="13:36" ht="20" customHeight="1">
      <c r="M175">
        <f>IF(AND([[#This Row],Début]&lt;&gt;"",[[#This Row],[Fin planifiée]]&lt;&gt;""),[[#This Row],[Fin planifiée]]-[[#This Row],Début]+1,"")</f>
        <v>0</v>
      </c>
      <c r="N175">
        <f>IF(AND([[#This Row],Début]&lt;&gt;"",[[#This Row],[Fin réelle]]&lt;&gt;""),[[#This Row],[Fin réelle]]-[[#This Row],Début]+1,"")</f>
        <v>0</v>
      </c>
      <c r="S175">
        <f>[[#This Row],[Budget réalisé]]-[[#This Row],[Budget prévu]]</f>
        <v>0</v>
      </c>
      <c r="T175">
        <f>IF(OR([[#This Row],[Budget prévu]]="",[[#This Row],[Budget réalisé]]=""),"",IF([[#This Row],[Écart (€)]]=0,"À l'équilibre",IF([[#This Row],[Écart (€)]]&gt;0,"Dépassement","Sous budget")))</f>
        <v>0</v>
      </c>
      <c r="W175">
        <f>[[#This Row],[Risque – Probabilité (1-5)]]*[[#This Row],[Risque – Sévérité (1-5)]]</f>
        <v>0</v>
      </c>
      <c r="AC175">
        <f>IF([[#This Row],Effort (jours)]&gt;0,[[#This Row],[Reach (pers.)]]*[[#This Row],[Impact (1-5)]]*[[#This Row],[Confidence (0-1)]]/[[#This Row],[Effort (jours)]],"")</f>
        <v>0</v>
      </c>
      <c r="AG175">
        <f>IF([[#This Row],[Fin planifiée]]&lt;&gt;"",MONTH([[#This Row],[Fin planifiée]]),"")</f>
        <v>0</v>
      </c>
      <c r="AH175">
        <f>IF([[#This Row],[Fin planifiée]]&lt;&gt;"",YEAR([[#This Row],[Fin planifiée]]),"")</f>
        <v>0</v>
      </c>
      <c r="AI1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5">
        <f>IF(AND([[#This Row],Statut]="Terminé",[[#This Row],[Fin réelle]]&lt;&gt;""),IF([[#This Row],[Fin réelle]]&lt;=[[#This Row],[Fin planifiée]],"Oui","Non"),"")</f>
        <v>0</v>
      </c>
    </row>
    <row r="176" spans="13:36" ht="20" customHeight="1">
      <c r="M176">
        <f>IF(AND([[#This Row],Début]&lt;&gt;"",[[#This Row],[Fin planifiée]]&lt;&gt;""),[[#This Row],[Fin planifiée]]-[[#This Row],Début]+1,"")</f>
        <v>0</v>
      </c>
      <c r="N176">
        <f>IF(AND([[#This Row],Début]&lt;&gt;"",[[#This Row],[Fin réelle]]&lt;&gt;""),[[#This Row],[Fin réelle]]-[[#This Row],Début]+1,"")</f>
        <v>0</v>
      </c>
      <c r="S176">
        <f>[[#This Row],[Budget réalisé]]-[[#This Row],[Budget prévu]]</f>
        <v>0</v>
      </c>
      <c r="T176">
        <f>IF(OR([[#This Row],[Budget prévu]]="",[[#This Row],[Budget réalisé]]=""),"",IF([[#This Row],[Écart (€)]]=0,"À l'équilibre",IF([[#This Row],[Écart (€)]]&gt;0,"Dépassement","Sous budget")))</f>
        <v>0</v>
      </c>
      <c r="W176">
        <f>[[#This Row],[Risque – Probabilité (1-5)]]*[[#This Row],[Risque – Sévérité (1-5)]]</f>
        <v>0</v>
      </c>
      <c r="AC176">
        <f>IF([[#This Row],Effort (jours)]&gt;0,[[#This Row],[Reach (pers.)]]*[[#This Row],[Impact (1-5)]]*[[#This Row],[Confidence (0-1)]]/[[#This Row],[Effort (jours)]],"")</f>
        <v>0</v>
      </c>
      <c r="AG176">
        <f>IF([[#This Row],[Fin planifiée]]&lt;&gt;"",MONTH([[#This Row],[Fin planifiée]]),"")</f>
        <v>0</v>
      </c>
      <c r="AH176">
        <f>IF([[#This Row],[Fin planifiée]]&lt;&gt;"",YEAR([[#This Row],[Fin planifiée]]),"")</f>
        <v>0</v>
      </c>
      <c r="AI1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6">
        <f>IF(AND([[#This Row],Statut]="Terminé",[[#This Row],[Fin réelle]]&lt;&gt;""),IF([[#This Row],[Fin réelle]]&lt;=[[#This Row],[Fin planifiée]],"Oui","Non"),"")</f>
        <v>0</v>
      </c>
    </row>
    <row r="177" spans="13:36" ht="20" customHeight="1">
      <c r="M177">
        <f>IF(AND([[#This Row],Début]&lt;&gt;"",[[#This Row],[Fin planifiée]]&lt;&gt;""),[[#This Row],[Fin planifiée]]-[[#This Row],Début]+1,"")</f>
        <v>0</v>
      </c>
      <c r="N177">
        <f>IF(AND([[#This Row],Début]&lt;&gt;"",[[#This Row],[Fin réelle]]&lt;&gt;""),[[#This Row],[Fin réelle]]-[[#This Row],Début]+1,"")</f>
        <v>0</v>
      </c>
      <c r="S177">
        <f>[[#This Row],[Budget réalisé]]-[[#This Row],[Budget prévu]]</f>
        <v>0</v>
      </c>
      <c r="T177">
        <f>IF(OR([[#This Row],[Budget prévu]]="",[[#This Row],[Budget réalisé]]=""),"",IF([[#This Row],[Écart (€)]]=0,"À l'équilibre",IF([[#This Row],[Écart (€)]]&gt;0,"Dépassement","Sous budget")))</f>
        <v>0</v>
      </c>
      <c r="W177">
        <f>[[#This Row],[Risque – Probabilité (1-5)]]*[[#This Row],[Risque – Sévérité (1-5)]]</f>
        <v>0</v>
      </c>
      <c r="AC177">
        <f>IF([[#This Row],Effort (jours)]&gt;0,[[#This Row],[Reach (pers.)]]*[[#This Row],[Impact (1-5)]]*[[#This Row],[Confidence (0-1)]]/[[#This Row],[Effort (jours)]],"")</f>
        <v>0</v>
      </c>
      <c r="AG177">
        <f>IF([[#This Row],[Fin planifiée]]&lt;&gt;"",MONTH([[#This Row],[Fin planifiée]]),"")</f>
        <v>0</v>
      </c>
      <c r="AH177">
        <f>IF([[#This Row],[Fin planifiée]]&lt;&gt;"",YEAR([[#This Row],[Fin planifiée]]),"")</f>
        <v>0</v>
      </c>
      <c r="AI1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7">
        <f>IF(AND([[#This Row],Statut]="Terminé",[[#This Row],[Fin réelle]]&lt;&gt;""),IF([[#This Row],[Fin réelle]]&lt;=[[#This Row],[Fin planifiée]],"Oui","Non"),"")</f>
        <v>0</v>
      </c>
    </row>
    <row r="178" spans="13:36" ht="20" customHeight="1">
      <c r="M178">
        <f>IF(AND([[#This Row],Début]&lt;&gt;"",[[#This Row],[Fin planifiée]]&lt;&gt;""),[[#This Row],[Fin planifiée]]-[[#This Row],Début]+1,"")</f>
        <v>0</v>
      </c>
      <c r="N178">
        <f>IF(AND([[#This Row],Début]&lt;&gt;"",[[#This Row],[Fin réelle]]&lt;&gt;""),[[#This Row],[Fin réelle]]-[[#This Row],Début]+1,"")</f>
        <v>0</v>
      </c>
      <c r="S178">
        <f>[[#This Row],[Budget réalisé]]-[[#This Row],[Budget prévu]]</f>
        <v>0</v>
      </c>
      <c r="T178">
        <f>IF(OR([[#This Row],[Budget prévu]]="",[[#This Row],[Budget réalisé]]=""),"",IF([[#This Row],[Écart (€)]]=0,"À l'équilibre",IF([[#This Row],[Écart (€)]]&gt;0,"Dépassement","Sous budget")))</f>
        <v>0</v>
      </c>
      <c r="W178">
        <f>[[#This Row],[Risque – Probabilité (1-5)]]*[[#This Row],[Risque – Sévérité (1-5)]]</f>
        <v>0</v>
      </c>
      <c r="AC178">
        <f>IF([[#This Row],Effort (jours)]&gt;0,[[#This Row],[Reach (pers.)]]*[[#This Row],[Impact (1-5)]]*[[#This Row],[Confidence (0-1)]]/[[#This Row],[Effort (jours)]],"")</f>
        <v>0</v>
      </c>
      <c r="AG178">
        <f>IF([[#This Row],[Fin planifiée]]&lt;&gt;"",MONTH([[#This Row],[Fin planifiée]]),"")</f>
        <v>0</v>
      </c>
      <c r="AH178">
        <f>IF([[#This Row],[Fin planifiée]]&lt;&gt;"",YEAR([[#This Row],[Fin planifiée]]),"")</f>
        <v>0</v>
      </c>
      <c r="AI1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8">
        <f>IF(AND([[#This Row],Statut]="Terminé",[[#This Row],[Fin réelle]]&lt;&gt;""),IF([[#This Row],[Fin réelle]]&lt;=[[#This Row],[Fin planifiée]],"Oui","Non"),"")</f>
        <v>0</v>
      </c>
    </row>
    <row r="179" spans="13:36" ht="20" customHeight="1">
      <c r="M179">
        <f>IF(AND([[#This Row],Début]&lt;&gt;"",[[#This Row],[Fin planifiée]]&lt;&gt;""),[[#This Row],[Fin planifiée]]-[[#This Row],Début]+1,"")</f>
        <v>0</v>
      </c>
      <c r="N179">
        <f>IF(AND([[#This Row],Début]&lt;&gt;"",[[#This Row],[Fin réelle]]&lt;&gt;""),[[#This Row],[Fin réelle]]-[[#This Row],Début]+1,"")</f>
        <v>0</v>
      </c>
      <c r="S179">
        <f>[[#This Row],[Budget réalisé]]-[[#This Row],[Budget prévu]]</f>
        <v>0</v>
      </c>
      <c r="T179">
        <f>IF(OR([[#This Row],[Budget prévu]]="",[[#This Row],[Budget réalisé]]=""),"",IF([[#This Row],[Écart (€)]]=0,"À l'équilibre",IF([[#This Row],[Écart (€)]]&gt;0,"Dépassement","Sous budget")))</f>
        <v>0</v>
      </c>
      <c r="W179">
        <f>[[#This Row],[Risque – Probabilité (1-5)]]*[[#This Row],[Risque – Sévérité (1-5)]]</f>
        <v>0</v>
      </c>
      <c r="AC179">
        <f>IF([[#This Row],Effort (jours)]&gt;0,[[#This Row],[Reach (pers.)]]*[[#This Row],[Impact (1-5)]]*[[#This Row],[Confidence (0-1)]]/[[#This Row],[Effort (jours)]],"")</f>
        <v>0</v>
      </c>
      <c r="AG179">
        <f>IF([[#This Row],[Fin planifiée]]&lt;&gt;"",MONTH([[#This Row],[Fin planifiée]]),"")</f>
        <v>0</v>
      </c>
      <c r="AH179">
        <f>IF([[#This Row],[Fin planifiée]]&lt;&gt;"",YEAR([[#This Row],[Fin planifiée]]),"")</f>
        <v>0</v>
      </c>
      <c r="AI1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79">
        <f>IF(AND([[#This Row],Statut]="Terminé",[[#This Row],[Fin réelle]]&lt;&gt;""),IF([[#This Row],[Fin réelle]]&lt;=[[#This Row],[Fin planifiée]],"Oui","Non"),"")</f>
        <v>0</v>
      </c>
    </row>
    <row r="180" spans="13:36" ht="20" customHeight="1">
      <c r="M180">
        <f>IF(AND([[#This Row],Début]&lt;&gt;"",[[#This Row],[Fin planifiée]]&lt;&gt;""),[[#This Row],[Fin planifiée]]-[[#This Row],Début]+1,"")</f>
        <v>0</v>
      </c>
      <c r="N180">
        <f>IF(AND([[#This Row],Début]&lt;&gt;"",[[#This Row],[Fin réelle]]&lt;&gt;""),[[#This Row],[Fin réelle]]-[[#This Row],Début]+1,"")</f>
        <v>0</v>
      </c>
      <c r="S180">
        <f>[[#This Row],[Budget réalisé]]-[[#This Row],[Budget prévu]]</f>
        <v>0</v>
      </c>
      <c r="T180">
        <f>IF(OR([[#This Row],[Budget prévu]]="",[[#This Row],[Budget réalisé]]=""),"",IF([[#This Row],[Écart (€)]]=0,"À l'équilibre",IF([[#This Row],[Écart (€)]]&gt;0,"Dépassement","Sous budget")))</f>
        <v>0</v>
      </c>
      <c r="W180">
        <f>[[#This Row],[Risque – Probabilité (1-5)]]*[[#This Row],[Risque – Sévérité (1-5)]]</f>
        <v>0</v>
      </c>
      <c r="AC180">
        <f>IF([[#This Row],Effort (jours)]&gt;0,[[#This Row],[Reach (pers.)]]*[[#This Row],[Impact (1-5)]]*[[#This Row],[Confidence (0-1)]]/[[#This Row],[Effort (jours)]],"")</f>
        <v>0</v>
      </c>
      <c r="AG180">
        <f>IF([[#This Row],[Fin planifiée]]&lt;&gt;"",MONTH([[#This Row],[Fin planifiée]]),"")</f>
        <v>0</v>
      </c>
      <c r="AH180">
        <f>IF([[#This Row],[Fin planifiée]]&lt;&gt;"",YEAR([[#This Row],[Fin planifiée]]),"")</f>
        <v>0</v>
      </c>
      <c r="AI1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0">
        <f>IF(AND([[#This Row],Statut]="Terminé",[[#This Row],[Fin réelle]]&lt;&gt;""),IF([[#This Row],[Fin réelle]]&lt;=[[#This Row],[Fin planifiée]],"Oui","Non"),"")</f>
        <v>0</v>
      </c>
    </row>
    <row r="181" spans="13:36" ht="20" customHeight="1">
      <c r="M181">
        <f>IF(AND([[#This Row],Début]&lt;&gt;"",[[#This Row],[Fin planifiée]]&lt;&gt;""),[[#This Row],[Fin planifiée]]-[[#This Row],Début]+1,"")</f>
        <v>0</v>
      </c>
      <c r="N181">
        <f>IF(AND([[#This Row],Début]&lt;&gt;"",[[#This Row],[Fin réelle]]&lt;&gt;""),[[#This Row],[Fin réelle]]-[[#This Row],Début]+1,"")</f>
        <v>0</v>
      </c>
      <c r="S181">
        <f>[[#This Row],[Budget réalisé]]-[[#This Row],[Budget prévu]]</f>
        <v>0</v>
      </c>
      <c r="T181">
        <f>IF(OR([[#This Row],[Budget prévu]]="",[[#This Row],[Budget réalisé]]=""),"",IF([[#This Row],[Écart (€)]]=0,"À l'équilibre",IF([[#This Row],[Écart (€)]]&gt;0,"Dépassement","Sous budget")))</f>
        <v>0</v>
      </c>
      <c r="W181">
        <f>[[#This Row],[Risque – Probabilité (1-5)]]*[[#This Row],[Risque – Sévérité (1-5)]]</f>
        <v>0</v>
      </c>
      <c r="AC181">
        <f>IF([[#This Row],Effort (jours)]&gt;0,[[#This Row],[Reach (pers.)]]*[[#This Row],[Impact (1-5)]]*[[#This Row],[Confidence (0-1)]]/[[#This Row],[Effort (jours)]],"")</f>
        <v>0</v>
      </c>
      <c r="AG181">
        <f>IF([[#This Row],[Fin planifiée]]&lt;&gt;"",MONTH([[#This Row],[Fin planifiée]]),"")</f>
        <v>0</v>
      </c>
      <c r="AH181">
        <f>IF([[#This Row],[Fin planifiée]]&lt;&gt;"",YEAR([[#This Row],[Fin planifiée]]),"")</f>
        <v>0</v>
      </c>
      <c r="AI1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1">
        <f>IF(AND([[#This Row],Statut]="Terminé",[[#This Row],[Fin réelle]]&lt;&gt;""),IF([[#This Row],[Fin réelle]]&lt;=[[#This Row],[Fin planifiée]],"Oui","Non"),"")</f>
        <v>0</v>
      </c>
    </row>
    <row r="182" spans="13:36" ht="20" customHeight="1">
      <c r="M182">
        <f>IF(AND([[#This Row],Début]&lt;&gt;"",[[#This Row],[Fin planifiée]]&lt;&gt;""),[[#This Row],[Fin planifiée]]-[[#This Row],Début]+1,"")</f>
        <v>0</v>
      </c>
      <c r="N182">
        <f>IF(AND([[#This Row],Début]&lt;&gt;"",[[#This Row],[Fin réelle]]&lt;&gt;""),[[#This Row],[Fin réelle]]-[[#This Row],Début]+1,"")</f>
        <v>0</v>
      </c>
      <c r="S182">
        <f>[[#This Row],[Budget réalisé]]-[[#This Row],[Budget prévu]]</f>
        <v>0</v>
      </c>
      <c r="T182">
        <f>IF(OR([[#This Row],[Budget prévu]]="",[[#This Row],[Budget réalisé]]=""),"",IF([[#This Row],[Écart (€)]]=0,"À l'équilibre",IF([[#This Row],[Écart (€)]]&gt;0,"Dépassement","Sous budget")))</f>
        <v>0</v>
      </c>
      <c r="W182">
        <f>[[#This Row],[Risque – Probabilité (1-5)]]*[[#This Row],[Risque – Sévérité (1-5)]]</f>
        <v>0</v>
      </c>
      <c r="AC182">
        <f>IF([[#This Row],Effort (jours)]&gt;0,[[#This Row],[Reach (pers.)]]*[[#This Row],[Impact (1-5)]]*[[#This Row],[Confidence (0-1)]]/[[#This Row],[Effort (jours)]],"")</f>
        <v>0</v>
      </c>
      <c r="AG182">
        <f>IF([[#This Row],[Fin planifiée]]&lt;&gt;"",MONTH([[#This Row],[Fin planifiée]]),"")</f>
        <v>0</v>
      </c>
      <c r="AH182">
        <f>IF([[#This Row],[Fin planifiée]]&lt;&gt;"",YEAR([[#This Row],[Fin planifiée]]),"")</f>
        <v>0</v>
      </c>
      <c r="AI1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2">
        <f>IF(AND([[#This Row],Statut]="Terminé",[[#This Row],[Fin réelle]]&lt;&gt;""),IF([[#This Row],[Fin réelle]]&lt;=[[#This Row],[Fin planifiée]],"Oui","Non"),"")</f>
        <v>0</v>
      </c>
    </row>
    <row r="183" spans="13:36" ht="20" customHeight="1">
      <c r="M183">
        <f>IF(AND([[#This Row],Début]&lt;&gt;"",[[#This Row],[Fin planifiée]]&lt;&gt;""),[[#This Row],[Fin planifiée]]-[[#This Row],Début]+1,"")</f>
        <v>0</v>
      </c>
      <c r="N183">
        <f>IF(AND([[#This Row],Début]&lt;&gt;"",[[#This Row],[Fin réelle]]&lt;&gt;""),[[#This Row],[Fin réelle]]-[[#This Row],Début]+1,"")</f>
        <v>0</v>
      </c>
      <c r="S183">
        <f>[[#This Row],[Budget réalisé]]-[[#This Row],[Budget prévu]]</f>
        <v>0</v>
      </c>
      <c r="T183">
        <f>IF(OR([[#This Row],[Budget prévu]]="",[[#This Row],[Budget réalisé]]=""),"",IF([[#This Row],[Écart (€)]]=0,"À l'équilibre",IF([[#This Row],[Écart (€)]]&gt;0,"Dépassement","Sous budget")))</f>
        <v>0</v>
      </c>
      <c r="W183">
        <f>[[#This Row],[Risque – Probabilité (1-5)]]*[[#This Row],[Risque – Sévérité (1-5)]]</f>
        <v>0</v>
      </c>
      <c r="AC183">
        <f>IF([[#This Row],Effort (jours)]&gt;0,[[#This Row],[Reach (pers.)]]*[[#This Row],[Impact (1-5)]]*[[#This Row],[Confidence (0-1)]]/[[#This Row],[Effort (jours)]],"")</f>
        <v>0</v>
      </c>
      <c r="AG183">
        <f>IF([[#This Row],[Fin planifiée]]&lt;&gt;"",MONTH([[#This Row],[Fin planifiée]]),"")</f>
        <v>0</v>
      </c>
      <c r="AH183">
        <f>IF([[#This Row],[Fin planifiée]]&lt;&gt;"",YEAR([[#This Row],[Fin planifiée]]),"")</f>
        <v>0</v>
      </c>
      <c r="AI1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3">
        <f>IF(AND([[#This Row],Statut]="Terminé",[[#This Row],[Fin réelle]]&lt;&gt;""),IF([[#This Row],[Fin réelle]]&lt;=[[#This Row],[Fin planifiée]],"Oui","Non"),"")</f>
        <v>0</v>
      </c>
    </row>
    <row r="184" spans="13:36" ht="20" customHeight="1">
      <c r="M184">
        <f>IF(AND([[#This Row],Début]&lt;&gt;"",[[#This Row],[Fin planifiée]]&lt;&gt;""),[[#This Row],[Fin planifiée]]-[[#This Row],Début]+1,"")</f>
        <v>0</v>
      </c>
      <c r="N184">
        <f>IF(AND([[#This Row],Début]&lt;&gt;"",[[#This Row],[Fin réelle]]&lt;&gt;""),[[#This Row],[Fin réelle]]-[[#This Row],Début]+1,"")</f>
        <v>0</v>
      </c>
      <c r="S184">
        <f>[[#This Row],[Budget réalisé]]-[[#This Row],[Budget prévu]]</f>
        <v>0</v>
      </c>
      <c r="T184">
        <f>IF(OR([[#This Row],[Budget prévu]]="",[[#This Row],[Budget réalisé]]=""),"",IF([[#This Row],[Écart (€)]]=0,"À l'équilibre",IF([[#This Row],[Écart (€)]]&gt;0,"Dépassement","Sous budget")))</f>
        <v>0</v>
      </c>
      <c r="W184">
        <f>[[#This Row],[Risque – Probabilité (1-5)]]*[[#This Row],[Risque – Sévérité (1-5)]]</f>
        <v>0</v>
      </c>
      <c r="AC184">
        <f>IF([[#This Row],Effort (jours)]&gt;0,[[#This Row],[Reach (pers.)]]*[[#This Row],[Impact (1-5)]]*[[#This Row],[Confidence (0-1)]]/[[#This Row],[Effort (jours)]],"")</f>
        <v>0</v>
      </c>
      <c r="AG184">
        <f>IF([[#This Row],[Fin planifiée]]&lt;&gt;"",MONTH([[#This Row],[Fin planifiée]]),"")</f>
        <v>0</v>
      </c>
      <c r="AH184">
        <f>IF([[#This Row],[Fin planifiée]]&lt;&gt;"",YEAR([[#This Row],[Fin planifiée]]),"")</f>
        <v>0</v>
      </c>
      <c r="AI1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4">
        <f>IF(AND([[#This Row],Statut]="Terminé",[[#This Row],[Fin réelle]]&lt;&gt;""),IF([[#This Row],[Fin réelle]]&lt;=[[#This Row],[Fin planifiée]],"Oui","Non"),"")</f>
        <v>0</v>
      </c>
    </row>
    <row r="185" spans="13:36" ht="20" customHeight="1">
      <c r="M185">
        <f>IF(AND([[#This Row],Début]&lt;&gt;"",[[#This Row],[Fin planifiée]]&lt;&gt;""),[[#This Row],[Fin planifiée]]-[[#This Row],Début]+1,"")</f>
        <v>0</v>
      </c>
      <c r="N185">
        <f>IF(AND([[#This Row],Début]&lt;&gt;"",[[#This Row],[Fin réelle]]&lt;&gt;""),[[#This Row],[Fin réelle]]-[[#This Row],Début]+1,"")</f>
        <v>0</v>
      </c>
      <c r="S185">
        <f>[[#This Row],[Budget réalisé]]-[[#This Row],[Budget prévu]]</f>
        <v>0</v>
      </c>
      <c r="T185">
        <f>IF(OR([[#This Row],[Budget prévu]]="",[[#This Row],[Budget réalisé]]=""),"",IF([[#This Row],[Écart (€)]]=0,"À l'équilibre",IF([[#This Row],[Écart (€)]]&gt;0,"Dépassement","Sous budget")))</f>
        <v>0</v>
      </c>
      <c r="W185">
        <f>[[#This Row],[Risque – Probabilité (1-5)]]*[[#This Row],[Risque – Sévérité (1-5)]]</f>
        <v>0</v>
      </c>
      <c r="AC185">
        <f>IF([[#This Row],Effort (jours)]&gt;0,[[#This Row],[Reach (pers.)]]*[[#This Row],[Impact (1-5)]]*[[#This Row],[Confidence (0-1)]]/[[#This Row],[Effort (jours)]],"")</f>
        <v>0</v>
      </c>
      <c r="AG185">
        <f>IF([[#This Row],[Fin planifiée]]&lt;&gt;"",MONTH([[#This Row],[Fin planifiée]]),"")</f>
        <v>0</v>
      </c>
      <c r="AH185">
        <f>IF([[#This Row],[Fin planifiée]]&lt;&gt;"",YEAR([[#This Row],[Fin planifiée]]),"")</f>
        <v>0</v>
      </c>
      <c r="AI1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5">
        <f>IF(AND([[#This Row],Statut]="Terminé",[[#This Row],[Fin réelle]]&lt;&gt;""),IF([[#This Row],[Fin réelle]]&lt;=[[#This Row],[Fin planifiée]],"Oui","Non"),"")</f>
        <v>0</v>
      </c>
    </row>
    <row r="186" spans="13:36" ht="20" customHeight="1">
      <c r="M186">
        <f>IF(AND([[#This Row],Début]&lt;&gt;"",[[#This Row],[Fin planifiée]]&lt;&gt;""),[[#This Row],[Fin planifiée]]-[[#This Row],Début]+1,"")</f>
        <v>0</v>
      </c>
      <c r="N186">
        <f>IF(AND([[#This Row],Début]&lt;&gt;"",[[#This Row],[Fin réelle]]&lt;&gt;""),[[#This Row],[Fin réelle]]-[[#This Row],Début]+1,"")</f>
        <v>0</v>
      </c>
      <c r="S186">
        <f>[[#This Row],[Budget réalisé]]-[[#This Row],[Budget prévu]]</f>
        <v>0</v>
      </c>
      <c r="T186">
        <f>IF(OR([[#This Row],[Budget prévu]]="",[[#This Row],[Budget réalisé]]=""),"",IF([[#This Row],[Écart (€)]]=0,"À l'équilibre",IF([[#This Row],[Écart (€)]]&gt;0,"Dépassement","Sous budget")))</f>
        <v>0</v>
      </c>
      <c r="W186">
        <f>[[#This Row],[Risque – Probabilité (1-5)]]*[[#This Row],[Risque – Sévérité (1-5)]]</f>
        <v>0</v>
      </c>
      <c r="AC186">
        <f>IF([[#This Row],Effort (jours)]&gt;0,[[#This Row],[Reach (pers.)]]*[[#This Row],[Impact (1-5)]]*[[#This Row],[Confidence (0-1)]]/[[#This Row],[Effort (jours)]],"")</f>
        <v>0</v>
      </c>
      <c r="AG186">
        <f>IF([[#This Row],[Fin planifiée]]&lt;&gt;"",MONTH([[#This Row],[Fin planifiée]]),"")</f>
        <v>0</v>
      </c>
      <c r="AH186">
        <f>IF([[#This Row],[Fin planifiée]]&lt;&gt;"",YEAR([[#This Row],[Fin planifiée]]),"")</f>
        <v>0</v>
      </c>
      <c r="AI1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6">
        <f>IF(AND([[#This Row],Statut]="Terminé",[[#This Row],[Fin réelle]]&lt;&gt;""),IF([[#This Row],[Fin réelle]]&lt;=[[#This Row],[Fin planifiée]],"Oui","Non"),"")</f>
        <v>0</v>
      </c>
    </row>
    <row r="187" spans="13:36" ht="20" customHeight="1">
      <c r="M187">
        <f>IF(AND([[#This Row],Début]&lt;&gt;"",[[#This Row],[Fin planifiée]]&lt;&gt;""),[[#This Row],[Fin planifiée]]-[[#This Row],Début]+1,"")</f>
        <v>0</v>
      </c>
      <c r="N187">
        <f>IF(AND([[#This Row],Début]&lt;&gt;"",[[#This Row],[Fin réelle]]&lt;&gt;""),[[#This Row],[Fin réelle]]-[[#This Row],Début]+1,"")</f>
        <v>0</v>
      </c>
      <c r="S187">
        <f>[[#This Row],[Budget réalisé]]-[[#This Row],[Budget prévu]]</f>
        <v>0</v>
      </c>
      <c r="T187">
        <f>IF(OR([[#This Row],[Budget prévu]]="",[[#This Row],[Budget réalisé]]=""),"",IF([[#This Row],[Écart (€)]]=0,"À l'équilibre",IF([[#This Row],[Écart (€)]]&gt;0,"Dépassement","Sous budget")))</f>
        <v>0</v>
      </c>
      <c r="W187">
        <f>[[#This Row],[Risque – Probabilité (1-5)]]*[[#This Row],[Risque – Sévérité (1-5)]]</f>
        <v>0</v>
      </c>
      <c r="AC187">
        <f>IF([[#This Row],Effort (jours)]&gt;0,[[#This Row],[Reach (pers.)]]*[[#This Row],[Impact (1-5)]]*[[#This Row],[Confidence (0-1)]]/[[#This Row],[Effort (jours)]],"")</f>
        <v>0</v>
      </c>
      <c r="AG187">
        <f>IF([[#This Row],[Fin planifiée]]&lt;&gt;"",MONTH([[#This Row],[Fin planifiée]]),"")</f>
        <v>0</v>
      </c>
      <c r="AH187">
        <f>IF([[#This Row],[Fin planifiée]]&lt;&gt;"",YEAR([[#This Row],[Fin planifiée]]),"")</f>
        <v>0</v>
      </c>
      <c r="AI1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7">
        <f>IF(AND([[#This Row],Statut]="Terminé",[[#This Row],[Fin réelle]]&lt;&gt;""),IF([[#This Row],[Fin réelle]]&lt;=[[#This Row],[Fin planifiée]],"Oui","Non"),"")</f>
        <v>0</v>
      </c>
    </row>
    <row r="188" spans="13:36" ht="20" customHeight="1">
      <c r="M188">
        <f>IF(AND([[#This Row],Début]&lt;&gt;"",[[#This Row],[Fin planifiée]]&lt;&gt;""),[[#This Row],[Fin planifiée]]-[[#This Row],Début]+1,"")</f>
        <v>0</v>
      </c>
      <c r="N188">
        <f>IF(AND([[#This Row],Début]&lt;&gt;"",[[#This Row],[Fin réelle]]&lt;&gt;""),[[#This Row],[Fin réelle]]-[[#This Row],Début]+1,"")</f>
        <v>0</v>
      </c>
      <c r="S188">
        <f>[[#This Row],[Budget réalisé]]-[[#This Row],[Budget prévu]]</f>
        <v>0</v>
      </c>
      <c r="T188">
        <f>IF(OR([[#This Row],[Budget prévu]]="",[[#This Row],[Budget réalisé]]=""),"",IF([[#This Row],[Écart (€)]]=0,"À l'équilibre",IF([[#This Row],[Écart (€)]]&gt;0,"Dépassement","Sous budget")))</f>
        <v>0</v>
      </c>
      <c r="W188">
        <f>[[#This Row],[Risque – Probabilité (1-5)]]*[[#This Row],[Risque – Sévérité (1-5)]]</f>
        <v>0</v>
      </c>
      <c r="AC188">
        <f>IF([[#This Row],Effort (jours)]&gt;0,[[#This Row],[Reach (pers.)]]*[[#This Row],[Impact (1-5)]]*[[#This Row],[Confidence (0-1)]]/[[#This Row],[Effort (jours)]],"")</f>
        <v>0</v>
      </c>
      <c r="AG188">
        <f>IF([[#This Row],[Fin planifiée]]&lt;&gt;"",MONTH([[#This Row],[Fin planifiée]]),"")</f>
        <v>0</v>
      </c>
      <c r="AH188">
        <f>IF([[#This Row],[Fin planifiée]]&lt;&gt;"",YEAR([[#This Row],[Fin planifiée]]),"")</f>
        <v>0</v>
      </c>
      <c r="AI1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8">
        <f>IF(AND([[#This Row],Statut]="Terminé",[[#This Row],[Fin réelle]]&lt;&gt;""),IF([[#This Row],[Fin réelle]]&lt;=[[#This Row],[Fin planifiée]],"Oui","Non"),"")</f>
        <v>0</v>
      </c>
    </row>
    <row r="189" spans="13:36" ht="20" customHeight="1">
      <c r="M189">
        <f>IF(AND([[#This Row],Début]&lt;&gt;"",[[#This Row],[Fin planifiée]]&lt;&gt;""),[[#This Row],[Fin planifiée]]-[[#This Row],Début]+1,"")</f>
        <v>0</v>
      </c>
      <c r="N189">
        <f>IF(AND([[#This Row],Début]&lt;&gt;"",[[#This Row],[Fin réelle]]&lt;&gt;""),[[#This Row],[Fin réelle]]-[[#This Row],Début]+1,"")</f>
        <v>0</v>
      </c>
      <c r="S189">
        <f>[[#This Row],[Budget réalisé]]-[[#This Row],[Budget prévu]]</f>
        <v>0</v>
      </c>
      <c r="T189">
        <f>IF(OR([[#This Row],[Budget prévu]]="",[[#This Row],[Budget réalisé]]=""),"",IF([[#This Row],[Écart (€)]]=0,"À l'équilibre",IF([[#This Row],[Écart (€)]]&gt;0,"Dépassement","Sous budget")))</f>
        <v>0</v>
      </c>
      <c r="W189">
        <f>[[#This Row],[Risque – Probabilité (1-5)]]*[[#This Row],[Risque – Sévérité (1-5)]]</f>
        <v>0</v>
      </c>
      <c r="AC189">
        <f>IF([[#This Row],Effort (jours)]&gt;0,[[#This Row],[Reach (pers.)]]*[[#This Row],[Impact (1-5)]]*[[#This Row],[Confidence (0-1)]]/[[#This Row],[Effort (jours)]],"")</f>
        <v>0</v>
      </c>
      <c r="AG189">
        <f>IF([[#This Row],[Fin planifiée]]&lt;&gt;"",MONTH([[#This Row],[Fin planifiée]]),"")</f>
        <v>0</v>
      </c>
      <c r="AH189">
        <f>IF([[#This Row],[Fin planifiée]]&lt;&gt;"",YEAR([[#This Row],[Fin planifiée]]),"")</f>
        <v>0</v>
      </c>
      <c r="AI1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89">
        <f>IF(AND([[#This Row],Statut]="Terminé",[[#This Row],[Fin réelle]]&lt;&gt;""),IF([[#This Row],[Fin réelle]]&lt;=[[#This Row],[Fin planifiée]],"Oui","Non"),"")</f>
        <v>0</v>
      </c>
    </row>
    <row r="190" spans="13:36" ht="20" customHeight="1">
      <c r="M190">
        <f>IF(AND([[#This Row],Début]&lt;&gt;"",[[#This Row],[Fin planifiée]]&lt;&gt;""),[[#This Row],[Fin planifiée]]-[[#This Row],Début]+1,"")</f>
        <v>0</v>
      </c>
      <c r="N190">
        <f>IF(AND([[#This Row],Début]&lt;&gt;"",[[#This Row],[Fin réelle]]&lt;&gt;""),[[#This Row],[Fin réelle]]-[[#This Row],Début]+1,"")</f>
        <v>0</v>
      </c>
      <c r="S190">
        <f>[[#This Row],[Budget réalisé]]-[[#This Row],[Budget prévu]]</f>
        <v>0</v>
      </c>
      <c r="T190">
        <f>IF(OR([[#This Row],[Budget prévu]]="",[[#This Row],[Budget réalisé]]=""),"",IF([[#This Row],[Écart (€)]]=0,"À l'équilibre",IF([[#This Row],[Écart (€)]]&gt;0,"Dépassement","Sous budget")))</f>
        <v>0</v>
      </c>
      <c r="W190">
        <f>[[#This Row],[Risque – Probabilité (1-5)]]*[[#This Row],[Risque – Sévérité (1-5)]]</f>
        <v>0</v>
      </c>
      <c r="AC190">
        <f>IF([[#This Row],Effort (jours)]&gt;0,[[#This Row],[Reach (pers.)]]*[[#This Row],[Impact (1-5)]]*[[#This Row],[Confidence (0-1)]]/[[#This Row],[Effort (jours)]],"")</f>
        <v>0</v>
      </c>
      <c r="AG190">
        <f>IF([[#This Row],[Fin planifiée]]&lt;&gt;"",MONTH([[#This Row],[Fin planifiée]]),"")</f>
        <v>0</v>
      </c>
      <c r="AH190">
        <f>IF([[#This Row],[Fin planifiée]]&lt;&gt;"",YEAR([[#This Row],[Fin planifiée]]),"")</f>
        <v>0</v>
      </c>
      <c r="AI1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0">
        <f>IF(AND([[#This Row],Statut]="Terminé",[[#This Row],[Fin réelle]]&lt;&gt;""),IF([[#This Row],[Fin réelle]]&lt;=[[#This Row],[Fin planifiée]],"Oui","Non"),"")</f>
        <v>0</v>
      </c>
    </row>
    <row r="191" spans="13:36" ht="20" customHeight="1">
      <c r="M191">
        <f>IF(AND([[#This Row],Début]&lt;&gt;"",[[#This Row],[Fin planifiée]]&lt;&gt;""),[[#This Row],[Fin planifiée]]-[[#This Row],Début]+1,"")</f>
        <v>0</v>
      </c>
      <c r="N191">
        <f>IF(AND([[#This Row],Début]&lt;&gt;"",[[#This Row],[Fin réelle]]&lt;&gt;""),[[#This Row],[Fin réelle]]-[[#This Row],Début]+1,"")</f>
        <v>0</v>
      </c>
      <c r="S191">
        <f>[[#This Row],[Budget réalisé]]-[[#This Row],[Budget prévu]]</f>
        <v>0</v>
      </c>
      <c r="T191">
        <f>IF(OR([[#This Row],[Budget prévu]]="",[[#This Row],[Budget réalisé]]=""),"",IF([[#This Row],[Écart (€)]]=0,"À l'équilibre",IF([[#This Row],[Écart (€)]]&gt;0,"Dépassement","Sous budget")))</f>
        <v>0</v>
      </c>
      <c r="W191">
        <f>[[#This Row],[Risque – Probabilité (1-5)]]*[[#This Row],[Risque – Sévérité (1-5)]]</f>
        <v>0</v>
      </c>
      <c r="AC191">
        <f>IF([[#This Row],Effort (jours)]&gt;0,[[#This Row],[Reach (pers.)]]*[[#This Row],[Impact (1-5)]]*[[#This Row],[Confidence (0-1)]]/[[#This Row],[Effort (jours)]],"")</f>
        <v>0</v>
      </c>
      <c r="AG191">
        <f>IF([[#This Row],[Fin planifiée]]&lt;&gt;"",MONTH([[#This Row],[Fin planifiée]]),"")</f>
        <v>0</v>
      </c>
      <c r="AH191">
        <f>IF([[#This Row],[Fin planifiée]]&lt;&gt;"",YEAR([[#This Row],[Fin planifiée]]),"")</f>
        <v>0</v>
      </c>
      <c r="AI1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1">
        <f>IF(AND([[#This Row],Statut]="Terminé",[[#This Row],[Fin réelle]]&lt;&gt;""),IF([[#This Row],[Fin réelle]]&lt;=[[#This Row],[Fin planifiée]],"Oui","Non"),"")</f>
        <v>0</v>
      </c>
    </row>
    <row r="192" spans="13:36" ht="20" customHeight="1">
      <c r="M192">
        <f>IF(AND([[#This Row],Début]&lt;&gt;"",[[#This Row],[Fin planifiée]]&lt;&gt;""),[[#This Row],[Fin planifiée]]-[[#This Row],Début]+1,"")</f>
        <v>0</v>
      </c>
      <c r="N192">
        <f>IF(AND([[#This Row],Début]&lt;&gt;"",[[#This Row],[Fin réelle]]&lt;&gt;""),[[#This Row],[Fin réelle]]-[[#This Row],Début]+1,"")</f>
        <v>0</v>
      </c>
      <c r="S192">
        <f>[[#This Row],[Budget réalisé]]-[[#This Row],[Budget prévu]]</f>
        <v>0</v>
      </c>
      <c r="T192">
        <f>IF(OR([[#This Row],[Budget prévu]]="",[[#This Row],[Budget réalisé]]=""),"",IF([[#This Row],[Écart (€)]]=0,"À l'équilibre",IF([[#This Row],[Écart (€)]]&gt;0,"Dépassement","Sous budget")))</f>
        <v>0</v>
      </c>
      <c r="W192">
        <f>[[#This Row],[Risque – Probabilité (1-5)]]*[[#This Row],[Risque – Sévérité (1-5)]]</f>
        <v>0</v>
      </c>
      <c r="AC192">
        <f>IF([[#This Row],Effort (jours)]&gt;0,[[#This Row],[Reach (pers.)]]*[[#This Row],[Impact (1-5)]]*[[#This Row],[Confidence (0-1)]]/[[#This Row],[Effort (jours)]],"")</f>
        <v>0</v>
      </c>
      <c r="AG192">
        <f>IF([[#This Row],[Fin planifiée]]&lt;&gt;"",MONTH([[#This Row],[Fin planifiée]]),"")</f>
        <v>0</v>
      </c>
      <c r="AH192">
        <f>IF([[#This Row],[Fin planifiée]]&lt;&gt;"",YEAR([[#This Row],[Fin planifiée]]),"")</f>
        <v>0</v>
      </c>
      <c r="AI1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2">
        <f>IF(AND([[#This Row],Statut]="Terminé",[[#This Row],[Fin réelle]]&lt;&gt;""),IF([[#This Row],[Fin réelle]]&lt;=[[#This Row],[Fin planifiée]],"Oui","Non"),"")</f>
        <v>0</v>
      </c>
    </row>
    <row r="193" spans="13:36" ht="20" customHeight="1">
      <c r="M193">
        <f>IF(AND([[#This Row],Début]&lt;&gt;"",[[#This Row],[Fin planifiée]]&lt;&gt;""),[[#This Row],[Fin planifiée]]-[[#This Row],Début]+1,"")</f>
        <v>0</v>
      </c>
      <c r="N193">
        <f>IF(AND([[#This Row],Début]&lt;&gt;"",[[#This Row],[Fin réelle]]&lt;&gt;""),[[#This Row],[Fin réelle]]-[[#This Row],Début]+1,"")</f>
        <v>0</v>
      </c>
      <c r="S193">
        <f>[[#This Row],[Budget réalisé]]-[[#This Row],[Budget prévu]]</f>
        <v>0</v>
      </c>
      <c r="T193">
        <f>IF(OR([[#This Row],[Budget prévu]]="",[[#This Row],[Budget réalisé]]=""),"",IF([[#This Row],[Écart (€)]]=0,"À l'équilibre",IF([[#This Row],[Écart (€)]]&gt;0,"Dépassement","Sous budget")))</f>
        <v>0</v>
      </c>
      <c r="W193">
        <f>[[#This Row],[Risque – Probabilité (1-5)]]*[[#This Row],[Risque – Sévérité (1-5)]]</f>
        <v>0</v>
      </c>
      <c r="AC193">
        <f>IF([[#This Row],Effort (jours)]&gt;0,[[#This Row],[Reach (pers.)]]*[[#This Row],[Impact (1-5)]]*[[#This Row],[Confidence (0-1)]]/[[#This Row],[Effort (jours)]],"")</f>
        <v>0</v>
      </c>
      <c r="AG193">
        <f>IF([[#This Row],[Fin planifiée]]&lt;&gt;"",MONTH([[#This Row],[Fin planifiée]]),"")</f>
        <v>0</v>
      </c>
      <c r="AH193">
        <f>IF([[#This Row],[Fin planifiée]]&lt;&gt;"",YEAR([[#This Row],[Fin planifiée]]),"")</f>
        <v>0</v>
      </c>
      <c r="AI1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3">
        <f>IF(AND([[#This Row],Statut]="Terminé",[[#This Row],[Fin réelle]]&lt;&gt;""),IF([[#This Row],[Fin réelle]]&lt;=[[#This Row],[Fin planifiée]],"Oui","Non"),"")</f>
        <v>0</v>
      </c>
    </row>
    <row r="194" spans="13:36" ht="20" customHeight="1">
      <c r="M194">
        <f>IF(AND([[#This Row],Début]&lt;&gt;"",[[#This Row],[Fin planifiée]]&lt;&gt;""),[[#This Row],[Fin planifiée]]-[[#This Row],Début]+1,"")</f>
        <v>0</v>
      </c>
      <c r="N194">
        <f>IF(AND([[#This Row],Début]&lt;&gt;"",[[#This Row],[Fin réelle]]&lt;&gt;""),[[#This Row],[Fin réelle]]-[[#This Row],Début]+1,"")</f>
        <v>0</v>
      </c>
      <c r="S194">
        <f>[[#This Row],[Budget réalisé]]-[[#This Row],[Budget prévu]]</f>
        <v>0</v>
      </c>
      <c r="T194">
        <f>IF(OR([[#This Row],[Budget prévu]]="",[[#This Row],[Budget réalisé]]=""),"",IF([[#This Row],[Écart (€)]]=0,"À l'équilibre",IF([[#This Row],[Écart (€)]]&gt;0,"Dépassement","Sous budget")))</f>
        <v>0</v>
      </c>
      <c r="W194">
        <f>[[#This Row],[Risque – Probabilité (1-5)]]*[[#This Row],[Risque – Sévérité (1-5)]]</f>
        <v>0</v>
      </c>
      <c r="AC194">
        <f>IF([[#This Row],Effort (jours)]&gt;0,[[#This Row],[Reach (pers.)]]*[[#This Row],[Impact (1-5)]]*[[#This Row],[Confidence (0-1)]]/[[#This Row],[Effort (jours)]],"")</f>
        <v>0</v>
      </c>
      <c r="AG194">
        <f>IF([[#This Row],[Fin planifiée]]&lt;&gt;"",MONTH([[#This Row],[Fin planifiée]]),"")</f>
        <v>0</v>
      </c>
      <c r="AH194">
        <f>IF([[#This Row],[Fin planifiée]]&lt;&gt;"",YEAR([[#This Row],[Fin planifiée]]),"")</f>
        <v>0</v>
      </c>
      <c r="AI1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4">
        <f>IF(AND([[#This Row],Statut]="Terminé",[[#This Row],[Fin réelle]]&lt;&gt;""),IF([[#This Row],[Fin réelle]]&lt;=[[#This Row],[Fin planifiée]],"Oui","Non"),"")</f>
        <v>0</v>
      </c>
    </row>
    <row r="195" spans="13:36" ht="20" customHeight="1">
      <c r="M195">
        <f>IF(AND([[#This Row],Début]&lt;&gt;"",[[#This Row],[Fin planifiée]]&lt;&gt;""),[[#This Row],[Fin planifiée]]-[[#This Row],Début]+1,"")</f>
        <v>0</v>
      </c>
      <c r="N195">
        <f>IF(AND([[#This Row],Début]&lt;&gt;"",[[#This Row],[Fin réelle]]&lt;&gt;""),[[#This Row],[Fin réelle]]-[[#This Row],Début]+1,"")</f>
        <v>0</v>
      </c>
      <c r="S195">
        <f>[[#This Row],[Budget réalisé]]-[[#This Row],[Budget prévu]]</f>
        <v>0</v>
      </c>
      <c r="T195">
        <f>IF(OR([[#This Row],[Budget prévu]]="",[[#This Row],[Budget réalisé]]=""),"",IF([[#This Row],[Écart (€)]]=0,"À l'équilibre",IF([[#This Row],[Écart (€)]]&gt;0,"Dépassement","Sous budget")))</f>
        <v>0</v>
      </c>
      <c r="W195">
        <f>[[#This Row],[Risque – Probabilité (1-5)]]*[[#This Row],[Risque – Sévérité (1-5)]]</f>
        <v>0</v>
      </c>
      <c r="AC195">
        <f>IF([[#This Row],Effort (jours)]&gt;0,[[#This Row],[Reach (pers.)]]*[[#This Row],[Impact (1-5)]]*[[#This Row],[Confidence (0-1)]]/[[#This Row],[Effort (jours)]],"")</f>
        <v>0</v>
      </c>
      <c r="AG195">
        <f>IF([[#This Row],[Fin planifiée]]&lt;&gt;"",MONTH([[#This Row],[Fin planifiée]]),"")</f>
        <v>0</v>
      </c>
      <c r="AH195">
        <f>IF([[#This Row],[Fin planifiée]]&lt;&gt;"",YEAR([[#This Row],[Fin planifiée]]),"")</f>
        <v>0</v>
      </c>
      <c r="AI1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5">
        <f>IF(AND([[#This Row],Statut]="Terminé",[[#This Row],[Fin réelle]]&lt;&gt;""),IF([[#This Row],[Fin réelle]]&lt;=[[#This Row],[Fin planifiée]],"Oui","Non"),"")</f>
        <v>0</v>
      </c>
    </row>
    <row r="196" spans="13:36" ht="20" customHeight="1">
      <c r="M196">
        <f>IF(AND([[#This Row],Début]&lt;&gt;"",[[#This Row],[Fin planifiée]]&lt;&gt;""),[[#This Row],[Fin planifiée]]-[[#This Row],Début]+1,"")</f>
        <v>0</v>
      </c>
      <c r="N196">
        <f>IF(AND([[#This Row],Début]&lt;&gt;"",[[#This Row],[Fin réelle]]&lt;&gt;""),[[#This Row],[Fin réelle]]-[[#This Row],Début]+1,"")</f>
        <v>0</v>
      </c>
      <c r="S196">
        <f>[[#This Row],[Budget réalisé]]-[[#This Row],[Budget prévu]]</f>
        <v>0</v>
      </c>
      <c r="T196">
        <f>IF(OR([[#This Row],[Budget prévu]]="",[[#This Row],[Budget réalisé]]=""),"",IF([[#This Row],[Écart (€)]]=0,"À l'équilibre",IF([[#This Row],[Écart (€)]]&gt;0,"Dépassement","Sous budget")))</f>
        <v>0</v>
      </c>
      <c r="W196">
        <f>[[#This Row],[Risque – Probabilité (1-5)]]*[[#This Row],[Risque – Sévérité (1-5)]]</f>
        <v>0</v>
      </c>
      <c r="AC196">
        <f>IF([[#This Row],Effort (jours)]&gt;0,[[#This Row],[Reach (pers.)]]*[[#This Row],[Impact (1-5)]]*[[#This Row],[Confidence (0-1)]]/[[#This Row],[Effort (jours)]],"")</f>
        <v>0</v>
      </c>
      <c r="AG196">
        <f>IF([[#This Row],[Fin planifiée]]&lt;&gt;"",MONTH([[#This Row],[Fin planifiée]]),"")</f>
        <v>0</v>
      </c>
      <c r="AH196">
        <f>IF([[#This Row],[Fin planifiée]]&lt;&gt;"",YEAR([[#This Row],[Fin planifiée]]),"")</f>
        <v>0</v>
      </c>
      <c r="AI1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6">
        <f>IF(AND([[#This Row],Statut]="Terminé",[[#This Row],[Fin réelle]]&lt;&gt;""),IF([[#This Row],[Fin réelle]]&lt;=[[#This Row],[Fin planifiée]],"Oui","Non"),"")</f>
        <v>0</v>
      </c>
    </row>
    <row r="197" spans="13:36" ht="20" customHeight="1">
      <c r="M197">
        <f>IF(AND([[#This Row],Début]&lt;&gt;"",[[#This Row],[Fin planifiée]]&lt;&gt;""),[[#This Row],[Fin planifiée]]-[[#This Row],Début]+1,"")</f>
        <v>0</v>
      </c>
      <c r="N197">
        <f>IF(AND([[#This Row],Début]&lt;&gt;"",[[#This Row],[Fin réelle]]&lt;&gt;""),[[#This Row],[Fin réelle]]-[[#This Row],Début]+1,"")</f>
        <v>0</v>
      </c>
      <c r="S197">
        <f>[[#This Row],[Budget réalisé]]-[[#This Row],[Budget prévu]]</f>
        <v>0</v>
      </c>
      <c r="T197">
        <f>IF(OR([[#This Row],[Budget prévu]]="",[[#This Row],[Budget réalisé]]=""),"",IF([[#This Row],[Écart (€)]]=0,"À l'équilibre",IF([[#This Row],[Écart (€)]]&gt;0,"Dépassement","Sous budget")))</f>
        <v>0</v>
      </c>
      <c r="W197">
        <f>[[#This Row],[Risque – Probabilité (1-5)]]*[[#This Row],[Risque – Sévérité (1-5)]]</f>
        <v>0</v>
      </c>
      <c r="AC197">
        <f>IF([[#This Row],Effort (jours)]&gt;0,[[#This Row],[Reach (pers.)]]*[[#This Row],[Impact (1-5)]]*[[#This Row],[Confidence (0-1)]]/[[#This Row],[Effort (jours)]],"")</f>
        <v>0</v>
      </c>
      <c r="AG197">
        <f>IF([[#This Row],[Fin planifiée]]&lt;&gt;"",MONTH([[#This Row],[Fin planifiée]]),"")</f>
        <v>0</v>
      </c>
      <c r="AH197">
        <f>IF([[#This Row],[Fin planifiée]]&lt;&gt;"",YEAR([[#This Row],[Fin planifiée]]),"")</f>
        <v>0</v>
      </c>
      <c r="AI1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7">
        <f>IF(AND([[#This Row],Statut]="Terminé",[[#This Row],[Fin réelle]]&lt;&gt;""),IF([[#This Row],[Fin réelle]]&lt;=[[#This Row],[Fin planifiée]],"Oui","Non"),"")</f>
        <v>0</v>
      </c>
    </row>
    <row r="198" spans="13:36" ht="20" customHeight="1">
      <c r="M198">
        <f>IF(AND([[#This Row],Début]&lt;&gt;"",[[#This Row],[Fin planifiée]]&lt;&gt;""),[[#This Row],[Fin planifiée]]-[[#This Row],Début]+1,"")</f>
        <v>0</v>
      </c>
      <c r="N198">
        <f>IF(AND([[#This Row],Début]&lt;&gt;"",[[#This Row],[Fin réelle]]&lt;&gt;""),[[#This Row],[Fin réelle]]-[[#This Row],Début]+1,"")</f>
        <v>0</v>
      </c>
      <c r="S198">
        <f>[[#This Row],[Budget réalisé]]-[[#This Row],[Budget prévu]]</f>
        <v>0</v>
      </c>
      <c r="T198">
        <f>IF(OR([[#This Row],[Budget prévu]]="",[[#This Row],[Budget réalisé]]=""),"",IF([[#This Row],[Écart (€)]]=0,"À l'équilibre",IF([[#This Row],[Écart (€)]]&gt;0,"Dépassement","Sous budget")))</f>
        <v>0</v>
      </c>
      <c r="W198">
        <f>[[#This Row],[Risque – Probabilité (1-5)]]*[[#This Row],[Risque – Sévérité (1-5)]]</f>
        <v>0</v>
      </c>
      <c r="AC198">
        <f>IF([[#This Row],Effort (jours)]&gt;0,[[#This Row],[Reach (pers.)]]*[[#This Row],[Impact (1-5)]]*[[#This Row],[Confidence (0-1)]]/[[#This Row],[Effort (jours)]],"")</f>
        <v>0</v>
      </c>
      <c r="AG198">
        <f>IF([[#This Row],[Fin planifiée]]&lt;&gt;"",MONTH([[#This Row],[Fin planifiée]]),"")</f>
        <v>0</v>
      </c>
      <c r="AH198">
        <f>IF([[#This Row],[Fin planifiée]]&lt;&gt;"",YEAR([[#This Row],[Fin planifiée]]),"")</f>
        <v>0</v>
      </c>
      <c r="AI1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8">
        <f>IF(AND([[#This Row],Statut]="Terminé",[[#This Row],[Fin réelle]]&lt;&gt;""),IF([[#This Row],[Fin réelle]]&lt;=[[#This Row],[Fin planifiée]],"Oui","Non"),"")</f>
        <v>0</v>
      </c>
    </row>
    <row r="199" spans="13:36" ht="20" customHeight="1">
      <c r="M199">
        <f>IF(AND([[#This Row],Début]&lt;&gt;"",[[#This Row],[Fin planifiée]]&lt;&gt;""),[[#This Row],[Fin planifiée]]-[[#This Row],Début]+1,"")</f>
        <v>0</v>
      </c>
      <c r="N199">
        <f>IF(AND([[#This Row],Début]&lt;&gt;"",[[#This Row],[Fin réelle]]&lt;&gt;""),[[#This Row],[Fin réelle]]-[[#This Row],Début]+1,"")</f>
        <v>0</v>
      </c>
      <c r="S199">
        <f>[[#This Row],[Budget réalisé]]-[[#This Row],[Budget prévu]]</f>
        <v>0</v>
      </c>
      <c r="T199">
        <f>IF(OR([[#This Row],[Budget prévu]]="",[[#This Row],[Budget réalisé]]=""),"",IF([[#This Row],[Écart (€)]]=0,"À l'équilibre",IF([[#This Row],[Écart (€)]]&gt;0,"Dépassement","Sous budget")))</f>
        <v>0</v>
      </c>
      <c r="W199">
        <f>[[#This Row],[Risque – Probabilité (1-5)]]*[[#This Row],[Risque – Sévérité (1-5)]]</f>
        <v>0</v>
      </c>
      <c r="AC199">
        <f>IF([[#This Row],Effort (jours)]&gt;0,[[#This Row],[Reach (pers.)]]*[[#This Row],[Impact (1-5)]]*[[#This Row],[Confidence (0-1)]]/[[#This Row],[Effort (jours)]],"")</f>
        <v>0</v>
      </c>
      <c r="AG199">
        <f>IF([[#This Row],[Fin planifiée]]&lt;&gt;"",MONTH([[#This Row],[Fin planifiée]]),"")</f>
        <v>0</v>
      </c>
      <c r="AH199">
        <f>IF([[#This Row],[Fin planifiée]]&lt;&gt;"",YEAR([[#This Row],[Fin planifiée]]),"")</f>
        <v>0</v>
      </c>
      <c r="AI1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199">
        <f>IF(AND([[#This Row],Statut]="Terminé",[[#This Row],[Fin réelle]]&lt;&gt;""),IF([[#This Row],[Fin réelle]]&lt;=[[#This Row],[Fin planifiée]],"Oui","Non"),"")</f>
        <v>0</v>
      </c>
    </row>
    <row r="200" spans="13:36" ht="20" customHeight="1">
      <c r="M200">
        <f>IF(AND([[#This Row],Début]&lt;&gt;"",[[#This Row],[Fin planifiée]]&lt;&gt;""),[[#This Row],[Fin planifiée]]-[[#This Row],Début]+1,"")</f>
        <v>0</v>
      </c>
      <c r="N200">
        <f>IF(AND([[#This Row],Début]&lt;&gt;"",[[#This Row],[Fin réelle]]&lt;&gt;""),[[#This Row],[Fin réelle]]-[[#This Row],Début]+1,"")</f>
        <v>0</v>
      </c>
      <c r="S200">
        <f>[[#This Row],[Budget réalisé]]-[[#This Row],[Budget prévu]]</f>
        <v>0</v>
      </c>
      <c r="T200">
        <f>IF(OR([[#This Row],[Budget prévu]]="",[[#This Row],[Budget réalisé]]=""),"",IF([[#This Row],[Écart (€)]]=0,"À l'équilibre",IF([[#This Row],[Écart (€)]]&gt;0,"Dépassement","Sous budget")))</f>
        <v>0</v>
      </c>
      <c r="W200">
        <f>[[#This Row],[Risque – Probabilité (1-5)]]*[[#This Row],[Risque – Sévérité (1-5)]]</f>
        <v>0</v>
      </c>
      <c r="AC200">
        <f>IF([[#This Row],Effort (jours)]&gt;0,[[#This Row],[Reach (pers.)]]*[[#This Row],[Impact (1-5)]]*[[#This Row],[Confidence (0-1)]]/[[#This Row],[Effort (jours)]],"")</f>
        <v>0</v>
      </c>
      <c r="AG200">
        <f>IF([[#This Row],[Fin planifiée]]&lt;&gt;"",MONTH([[#This Row],[Fin planifiée]]),"")</f>
        <v>0</v>
      </c>
      <c r="AH200">
        <f>IF([[#This Row],[Fin planifiée]]&lt;&gt;"",YEAR([[#This Row],[Fin planifiée]]),"")</f>
        <v>0</v>
      </c>
      <c r="AI2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0">
        <f>IF(AND([[#This Row],Statut]="Terminé",[[#This Row],[Fin réelle]]&lt;&gt;""),IF([[#This Row],[Fin réelle]]&lt;=[[#This Row],[Fin planifiée]],"Oui","Non"),"")</f>
        <v>0</v>
      </c>
    </row>
    <row r="201" spans="13:36" ht="20" customHeight="1">
      <c r="M201">
        <f>IF(AND([[#This Row],Début]&lt;&gt;"",[[#This Row],[Fin planifiée]]&lt;&gt;""),[[#This Row],[Fin planifiée]]-[[#This Row],Début]+1,"")</f>
        <v>0</v>
      </c>
      <c r="N201">
        <f>IF(AND([[#This Row],Début]&lt;&gt;"",[[#This Row],[Fin réelle]]&lt;&gt;""),[[#This Row],[Fin réelle]]-[[#This Row],Début]+1,"")</f>
        <v>0</v>
      </c>
      <c r="S201">
        <f>[[#This Row],[Budget réalisé]]-[[#This Row],[Budget prévu]]</f>
        <v>0</v>
      </c>
      <c r="T201">
        <f>IF(OR([[#This Row],[Budget prévu]]="",[[#This Row],[Budget réalisé]]=""),"",IF([[#This Row],[Écart (€)]]=0,"À l'équilibre",IF([[#This Row],[Écart (€)]]&gt;0,"Dépassement","Sous budget")))</f>
        <v>0</v>
      </c>
      <c r="W201">
        <f>[[#This Row],[Risque – Probabilité (1-5)]]*[[#This Row],[Risque – Sévérité (1-5)]]</f>
        <v>0</v>
      </c>
      <c r="AC201">
        <f>IF([[#This Row],Effort (jours)]&gt;0,[[#This Row],[Reach (pers.)]]*[[#This Row],[Impact (1-5)]]*[[#This Row],[Confidence (0-1)]]/[[#This Row],[Effort (jours)]],"")</f>
        <v>0</v>
      </c>
      <c r="AG201">
        <f>IF([[#This Row],[Fin planifiée]]&lt;&gt;"",MONTH([[#This Row],[Fin planifiée]]),"")</f>
        <v>0</v>
      </c>
      <c r="AH201">
        <f>IF([[#This Row],[Fin planifiée]]&lt;&gt;"",YEAR([[#This Row],[Fin planifiée]]),"")</f>
        <v>0</v>
      </c>
      <c r="AI2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1">
        <f>IF(AND([[#This Row],Statut]="Terminé",[[#This Row],[Fin réelle]]&lt;&gt;""),IF([[#This Row],[Fin réelle]]&lt;=[[#This Row],[Fin planifiée]],"Oui","Non"),"")</f>
        <v>0</v>
      </c>
    </row>
    <row r="202" spans="13:36" ht="20" customHeight="1">
      <c r="M202">
        <f>IF(AND([[#This Row],Début]&lt;&gt;"",[[#This Row],[Fin planifiée]]&lt;&gt;""),[[#This Row],[Fin planifiée]]-[[#This Row],Début]+1,"")</f>
        <v>0</v>
      </c>
      <c r="N202">
        <f>IF(AND([[#This Row],Début]&lt;&gt;"",[[#This Row],[Fin réelle]]&lt;&gt;""),[[#This Row],[Fin réelle]]-[[#This Row],Début]+1,"")</f>
        <v>0</v>
      </c>
      <c r="S202">
        <f>[[#This Row],[Budget réalisé]]-[[#This Row],[Budget prévu]]</f>
        <v>0</v>
      </c>
      <c r="T202">
        <f>IF(OR([[#This Row],[Budget prévu]]="",[[#This Row],[Budget réalisé]]=""),"",IF([[#This Row],[Écart (€)]]=0,"À l'équilibre",IF([[#This Row],[Écart (€)]]&gt;0,"Dépassement","Sous budget")))</f>
        <v>0</v>
      </c>
      <c r="W202">
        <f>[[#This Row],[Risque – Probabilité (1-5)]]*[[#This Row],[Risque – Sévérité (1-5)]]</f>
        <v>0</v>
      </c>
      <c r="AC202">
        <f>IF([[#This Row],Effort (jours)]&gt;0,[[#This Row],[Reach (pers.)]]*[[#This Row],[Impact (1-5)]]*[[#This Row],[Confidence (0-1)]]/[[#This Row],[Effort (jours)]],"")</f>
        <v>0</v>
      </c>
      <c r="AG202">
        <f>IF([[#This Row],[Fin planifiée]]&lt;&gt;"",MONTH([[#This Row],[Fin planifiée]]),"")</f>
        <v>0</v>
      </c>
      <c r="AH202">
        <f>IF([[#This Row],[Fin planifiée]]&lt;&gt;"",YEAR([[#This Row],[Fin planifiée]]),"")</f>
        <v>0</v>
      </c>
      <c r="AI2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2">
        <f>IF(AND([[#This Row],Statut]="Terminé",[[#This Row],[Fin réelle]]&lt;&gt;""),IF([[#This Row],[Fin réelle]]&lt;=[[#This Row],[Fin planifiée]],"Oui","Non"),"")</f>
        <v>0</v>
      </c>
    </row>
    <row r="203" spans="13:36" ht="20" customHeight="1">
      <c r="M203">
        <f>IF(AND([[#This Row],Début]&lt;&gt;"",[[#This Row],[Fin planifiée]]&lt;&gt;""),[[#This Row],[Fin planifiée]]-[[#This Row],Début]+1,"")</f>
        <v>0</v>
      </c>
      <c r="N203">
        <f>IF(AND([[#This Row],Début]&lt;&gt;"",[[#This Row],[Fin réelle]]&lt;&gt;""),[[#This Row],[Fin réelle]]-[[#This Row],Début]+1,"")</f>
        <v>0</v>
      </c>
      <c r="S203">
        <f>[[#This Row],[Budget réalisé]]-[[#This Row],[Budget prévu]]</f>
        <v>0</v>
      </c>
      <c r="T203">
        <f>IF(OR([[#This Row],[Budget prévu]]="",[[#This Row],[Budget réalisé]]=""),"",IF([[#This Row],[Écart (€)]]=0,"À l'équilibre",IF([[#This Row],[Écart (€)]]&gt;0,"Dépassement","Sous budget")))</f>
        <v>0</v>
      </c>
      <c r="W203">
        <f>[[#This Row],[Risque – Probabilité (1-5)]]*[[#This Row],[Risque – Sévérité (1-5)]]</f>
        <v>0</v>
      </c>
      <c r="AC203">
        <f>IF([[#This Row],Effort (jours)]&gt;0,[[#This Row],[Reach (pers.)]]*[[#This Row],[Impact (1-5)]]*[[#This Row],[Confidence (0-1)]]/[[#This Row],[Effort (jours)]],"")</f>
        <v>0</v>
      </c>
      <c r="AG203">
        <f>IF([[#This Row],[Fin planifiée]]&lt;&gt;"",MONTH([[#This Row],[Fin planifiée]]),"")</f>
        <v>0</v>
      </c>
      <c r="AH203">
        <f>IF([[#This Row],[Fin planifiée]]&lt;&gt;"",YEAR([[#This Row],[Fin planifiée]]),"")</f>
        <v>0</v>
      </c>
      <c r="AI2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3">
        <f>IF(AND([[#This Row],Statut]="Terminé",[[#This Row],[Fin réelle]]&lt;&gt;""),IF([[#This Row],[Fin réelle]]&lt;=[[#This Row],[Fin planifiée]],"Oui","Non"),"")</f>
        <v>0</v>
      </c>
    </row>
    <row r="204" spans="13:36" ht="20" customHeight="1">
      <c r="M204">
        <f>IF(AND([[#This Row],Début]&lt;&gt;"",[[#This Row],[Fin planifiée]]&lt;&gt;""),[[#This Row],[Fin planifiée]]-[[#This Row],Début]+1,"")</f>
        <v>0</v>
      </c>
      <c r="N204">
        <f>IF(AND([[#This Row],Début]&lt;&gt;"",[[#This Row],[Fin réelle]]&lt;&gt;""),[[#This Row],[Fin réelle]]-[[#This Row],Début]+1,"")</f>
        <v>0</v>
      </c>
      <c r="S204">
        <f>[[#This Row],[Budget réalisé]]-[[#This Row],[Budget prévu]]</f>
        <v>0</v>
      </c>
      <c r="T204">
        <f>IF(OR([[#This Row],[Budget prévu]]="",[[#This Row],[Budget réalisé]]=""),"",IF([[#This Row],[Écart (€)]]=0,"À l'équilibre",IF([[#This Row],[Écart (€)]]&gt;0,"Dépassement","Sous budget")))</f>
        <v>0</v>
      </c>
      <c r="W204">
        <f>[[#This Row],[Risque – Probabilité (1-5)]]*[[#This Row],[Risque – Sévérité (1-5)]]</f>
        <v>0</v>
      </c>
      <c r="AC204">
        <f>IF([[#This Row],Effort (jours)]&gt;0,[[#This Row],[Reach (pers.)]]*[[#This Row],[Impact (1-5)]]*[[#This Row],[Confidence (0-1)]]/[[#This Row],[Effort (jours)]],"")</f>
        <v>0</v>
      </c>
      <c r="AG204">
        <f>IF([[#This Row],[Fin planifiée]]&lt;&gt;"",MONTH([[#This Row],[Fin planifiée]]),"")</f>
        <v>0</v>
      </c>
      <c r="AH204">
        <f>IF([[#This Row],[Fin planifiée]]&lt;&gt;"",YEAR([[#This Row],[Fin planifiée]]),"")</f>
        <v>0</v>
      </c>
      <c r="AI2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4">
        <f>IF(AND([[#This Row],Statut]="Terminé",[[#This Row],[Fin réelle]]&lt;&gt;""),IF([[#This Row],[Fin réelle]]&lt;=[[#This Row],[Fin planifiée]],"Oui","Non"),"")</f>
        <v>0</v>
      </c>
    </row>
    <row r="205" spans="13:36" ht="20" customHeight="1">
      <c r="M205">
        <f>IF(AND([[#This Row],Début]&lt;&gt;"",[[#This Row],[Fin planifiée]]&lt;&gt;""),[[#This Row],[Fin planifiée]]-[[#This Row],Début]+1,"")</f>
        <v>0</v>
      </c>
      <c r="N205">
        <f>IF(AND([[#This Row],Début]&lt;&gt;"",[[#This Row],[Fin réelle]]&lt;&gt;""),[[#This Row],[Fin réelle]]-[[#This Row],Début]+1,"")</f>
        <v>0</v>
      </c>
      <c r="S205">
        <f>[[#This Row],[Budget réalisé]]-[[#This Row],[Budget prévu]]</f>
        <v>0</v>
      </c>
      <c r="T205">
        <f>IF(OR([[#This Row],[Budget prévu]]="",[[#This Row],[Budget réalisé]]=""),"",IF([[#This Row],[Écart (€)]]=0,"À l'équilibre",IF([[#This Row],[Écart (€)]]&gt;0,"Dépassement","Sous budget")))</f>
        <v>0</v>
      </c>
      <c r="W205">
        <f>[[#This Row],[Risque – Probabilité (1-5)]]*[[#This Row],[Risque – Sévérité (1-5)]]</f>
        <v>0</v>
      </c>
      <c r="AC205">
        <f>IF([[#This Row],Effort (jours)]&gt;0,[[#This Row],[Reach (pers.)]]*[[#This Row],[Impact (1-5)]]*[[#This Row],[Confidence (0-1)]]/[[#This Row],[Effort (jours)]],"")</f>
        <v>0</v>
      </c>
      <c r="AG205">
        <f>IF([[#This Row],[Fin planifiée]]&lt;&gt;"",MONTH([[#This Row],[Fin planifiée]]),"")</f>
        <v>0</v>
      </c>
      <c r="AH205">
        <f>IF([[#This Row],[Fin planifiée]]&lt;&gt;"",YEAR([[#This Row],[Fin planifiée]]),"")</f>
        <v>0</v>
      </c>
      <c r="AI2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5">
        <f>IF(AND([[#This Row],Statut]="Terminé",[[#This Row],[Fin réelle]]&lt;&gt;""),IF([[#This Row],[Fin réelle]]&lt;=[[#This Row],[Fin planifiée]],"Oui","Non"),"")</f>
        <v>0</v>
      </c>
    </row>
    <row r="206" spans="13:36" ht="20" customHeight="1">
      <c r="M206">
        <f>IF(AND([[#This Row],Début]&lt;&gt;"",[[#This Row],[Fin planifiée]]&lt;&gt;""),[[#This Row],[Fin planifiée]]-[[#This Row],Début]+1,"")</f>
        <v>0</v>
      </c>
      <c r="N206">
        <f>IF(AND([[#This Row],Début]&lt;&gt;"",[[#This Row],[Fin réelle]]&lt;&gt;""),[[#This Row],[Fin réelle]]-[[#This Row],Début]+1,"")</f>
        <v>0</v>
      </c>
      <c r="S206">
        <f>[[#This Row],[Budget réalisé]]-[[#This Row],[Budget prévu]]</f>
        <v>0</v>
      </c>
      <c r="T206">
        <f>IF(OR([[#This Row],[Budget prévu]]="",[[#This Row],[Budget réalisé]]=""),"",IF([[#This Row],[Écart (€)]]=0,"À l'équilibre",IF([[#This Row],[Écart (€)]]&gt;0,"Dépassement","Sous budget")))</f>
        <v>0</v>
      </c>
      <c r="W206">
        <f>[[#This Row],[Risque – Probabilité (1-5)]]*[[#This Row],[Risque – Sévérité (1-5)]]</f>
        <v>0</v>
      </c>
      <c r="AC206">
        <f>IF([[#This Row],Effort (jours)]&gt;0,[[#This Row],[Reach (pers.)]]*[[#This Row],[Impact (1-5)]]*[[#This Row],[Confidence (0-1)]]/[[#This Row],[Effort (jours)]],"")</f>
        <v>0</v>
      </c>
      <c r="AG206">
        <f>IF([[#This Row],[Fin planifiée]]&lt;&gt;"",MONTH([[#This Row],[Fin planifiée]]),"")</f>
        <v>0</v>
      </c>
      <c r="AH206">
        <f>IF([[#This Row],[Fin planifiée]]&lt;&gt;"",YEAR([[#This Row],[Fin planifiée]]),"")</f>
        <v>0</v>
      </c>
      <c r="AI2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6">
        <f>IF(AND([[#This Row],Statut]="Terminé",[[#This Row],[Fin réelle]]&lt;&gt;""),IF([[#This Row],[Fin réelle]]&lt;=[[#This Row],[Fin planifiée]],"Oui","Non"),"")</f>
        <v>0</v>
      </c>
    </row>
    <row r="207" spans="13:36" ht="20" customHeight="1">
      <c r="M207">
        <f>IF(AND([[#This Row],Début]&lt;&gt;"",[[#This Row],[Fin planifiée]]&lt;&gt;""),[[#This Row],[Fin planifiée]]-[[#This Row],Début]+1,"")</f>
        <v>0</v>
      </c>
      <c r="N207">
        <f>IF(AND([[#This Row],Début]&lt;&gt;"",[[#This Row],[Fin réelle]]&lt;&gt;""),[[#This Row],[Fin réelle]]-[[#This Row],Début]+1,"")</f>
        <v>0</v>
      </c>
      <c r="S207">
        <f>[[#This Row],[Budget réalisé]]-[[#This Row],[Budget prévu]]</f>
        <v>0</v>
      </c>
      <c r="T207">
        <f>IF(OR([[#This Row],[Budget prévu]]="",[[#This Row],[Budget réalisé]]=""),"",IF([[#This Row],[Écart (€)]]=0,"À l'équilibre",IF([[#This Row],[Écart (€)]]&gt;0,"Dépassement","Sous budget")))</f>
        <v>0</v>
      </c>
      <c r="W207">
        <f>[[#This Row],[Risque – Probabilité (1-5)]]*[[#This Row],[Risque – Sévérité (1-5)]]</f>
        <v>0</v>
      </c>
      <c r="AC207">
        <f>IF([[#This Row],Effort (jours)]&gt;0,[[#This Row],[Reach (pers.)]]*[[#This Row],[Impact (1-5)]]*[[#This Row],[Confidence (0-1)]]/[[#This Row],[Effort (jours)]],"")</f>
        <v>0</v>
      </c>
      <c r="AG207">
        <f>IF([[#This Row],[Fin planifiée]]&lt;&gt;"",MONTH([[#This Row],[Fin planifiée]]),"")</f>
        <v>0</v>
      </c>
      <c r="AH207">
        <f>IF([[#This Row],[Fin planifiée]]&lt;&gt;"",YEAR([[#This Row],[Fin planifiée]]),"")</f>
        <v>0</v>
      </c>
      <c r="AI2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7">
        <f>IF(AND([[#This Row],Statut]="Terminé",[[#This Row],[Fin réelle]]&lt;&gt;""),IF([[#This Row],[Fin réelle]]&lt;=[[#This Row],[Fin planifiée]],"Oui","Non"),"")</f>
        <v>0</v>
      </c>
    </row>
    <row r="208" spans="13:36" ht="20" customHeight="1">
      <c r="M208">
        <f>IF(AND([[#This Row],Début]&lt;&gt;"",[[#This Row],[Fin planifiée]]&lt;&gt;""),[[#This Row],[Fin planifiée]]-[[#This Row],Début]+1,"")</f>
        <v>0</v>
      </c>
      <c r="N208">
        <f>IF(AND([[#This Row],Début]&lt;&gt;"",[[#This Row],[Fin réelle]]&lt;&gt;""),[[#This Row],[Fin réelle]]-[[#This Row],Début]+1,"")</f>
        <v>0</v>
      </c>
      <c r="S208">
        <f>[[#This Row],[Budget réalisé]]-[[#This Row],[Budget prévu]]</f>
        <v>0</v>
      </c>
      <c r="T208">
        <f>IF(OR([[#This Row],[Budget prévu]]="",[[#This Row],[Budget réalisé]]=""),"",IF([[#This Row],[Écart (€)]]=0,"À l'équilibre",IF([[#This Row],[Écart (€)]]&gt;0,"Dépassement","Sous budget")))</f>
        <v>0</v>
      </c>
      <c r="W208">
        <f>[[#This Row],[Risque – Probabilité (1-5)]]*[[#This Row],[Risque – Sévérité (1-5)]]</f>
        <v>0</v>
      </c>
      <c r="AC208">
        <f>IF([[#This Row],Effort (jours)]&gt;0,[[#This Row],[Reach (pers.)]]*[[#This Row],[Impact (1-5)]]*[[#This Row],[Confidence (0-1)]]/[[#This Row],[Effort (jours)]],"")</f>
        <v>0</v>
      </c>
      <c r="AG208">
        <f>IF([[#This Row],[Fin planifiée]]&lt;&gt;"",MONTH([[#This Row],[Fin planifiée]]),"")</f>
        <v>0</v>
      </c>
      <c r="AH208">
        <f>IF([[#This Row],[Fin planifiée]]&lt;&gt;"",YEAR([[#This Row],[Fin planifiée]]),"")</f>
        <v>0</v>
      </c>
      <c r="AI2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8">
        <f>IF(AND([[#This Row],Statut]="Terminé",[[#This Row],[Fin réelle]]&lt;&gt;""),IF([[#This Row],[Fin réelle]]&lt;=[[#This Row],[Fin planifiée]],"Oui","Non"),"")</f>
        <v>0</v>
      </c>
    </row>
    <row r="209" spans="13:36" ht="20" customHeight="1">
      <c r="M209">
        <f>IF(AND([[#This Row],Début]&lt;&gt;"",[[#This Row],[Fin planifiée]]&lt;&gt;""),[[#This Row],[Fin planifiée]]-[[#This Row],Début]+1,"")</f>
        <v>0</v>
      </c>
      <c r="N209">
        <f>IF(AND([[#This Row],Début]&lt;&gt;"",[[#This Row],[Fin réelle]]&lt;&gt;""),[[#This Row],[Fin réelle]]-[[#This Row],Début]+1,"")</f>
        <v>0</v>
      </c>
      <c r="S209">
        <f>[[#This Row],[Budget réalisé]]-[[#This Row],[Budget prévu]]</f>
        <v>0</v>
      </c>
      <c r="T209">
        <f>IF(OR([[#This Row],[Budget prévu]]="",[[#This Row],[Budget réalisé]]=""),"",IF([[#This Row],[Écart (€)]]=0,"À l'équilibre",IF([[#This Row],[Écart (€)]]&gt;0,"Dépassement","Sous budget")))</f>
        <v>0</v>
      </c>
      <c r="W209">
        <f>[[#This Row],[Risque – Probabilité (1-5)]]*[[#This Row],[Risque – Sévérité (1-5)]]</f>
        <v>0</v>
      </c>
      <c r="AC209">
        <f>IF([[#This Row],Effort (jours)]&gt;0,[[#This Row],[Reach (pers.)]]*[[#This Row],[Impact (1-5)]]*[[#This Row],[Confidence (0-1)]]/[[#This Row],[Effort (jours)]],"")</f>
        <v>0</v>
      </c>
      <c r="AG209">
        <f>IF([[#This Row],[Fin planifiée]]&lt;&gt;"",MONTH([[#This Row],[Fin planifiée]]),"")</f>
        <v>0</v>
      </c>
      <c r="AH209">
        <f>IF([[#This Row],[Fin planifiée]]&lt;&gt;"",YEAR([[#This Row],[Fin planifiée]]),"")</f>
        <v>0</v>
      </c>
      <c r="AI2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09">
        <f>IF(AND([[#This Row],Statut]="Terminé",[[#This Row],[Fin réelle]]&lt;&gt;""),IF([[#This Row],[Fin réelle]]&lt;=[[#This Row],[Fin planifiée]],"Oui","Non"),"")</f>
        <v>0</v>
      </c>
    </row>
    <row r="210" spans="13:36" ht="20" customHeight="1">
      <c r="M210">
        <f>IF(AND([[#This Row],Début]&lt;&gt;"",[[#This Row],[Fin planifiée]]&lt;&gt;""),[[#This Row],[Fin planifiée]]-[[#This Row],Début]+1,"")</f>
        <v>0</v>
      </c>
      <c r="N210">
        <f>IF(AND([[#This Row],Début]&lt;&gt;"",[[#This Row],[Fin réelle]]&lt;&gt;""),[[#This Row],[Fin réelle]]-[[#This Row],Début]+1,"")</f>
        <v>0</v>
      </c>
      <c r="S210">
        <f>[[#This Row],[Budget réalisé]]-[[#This Row],[Budget prévu]]</f>
        <v>0</v>
      </c>
      <c r="T210">
        <f>IF(OR([[#This Row],[Budget prévu]]="",[[#This Row],[Budget réalisé]]=""),"",IF([[#This Row],[Écart (€)]]=0,"À l'équilibre",IF([[#This Row],[Écart (€)]]&gt;0,"Dépassement","Sous budget")))</f>
        <v>0</v>
      </c>
      <c r="W210">
        <f>[[#This Row],[Risque – Probabilité (1-5)]]*[[#This Row],[Risque – Sévérité (1-5)]]</f>
        <v>0</v>
      </c>
      <c r="AC210">
        <f>IF([[#This Row],Effort (jours)]&gt;0,[[#This Row],[Reach (pers.)]]*[[#This Row],[Impact (1-5)]]*[[#This Row],[Confidence (0-1)]]/[[#This Row],[Effort (jours)]],"")</f>
        <v>0</v>
      </c>
      <c r="AG210">
        <f>IF([[#This Row],[Fin planifiée]]&lt;&gt;"",MONTH([[#This Row],[Fin planifiée]]),"")</f>
        <v>0</v>
      </c>
      <c r="AH210">
        <f>IF([[#This Row],[Fin planifiée]]&lt;&gt;"",YEAR([[#This Row],[Fin planifiée]]),"")</f>
        <v>0</v>
      </c>
      <c r="AI2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0">
        <f>IF(AND([[#This Row],Statut]="Terminé",[[#This Row],[Fin réelle]]&lt;&gt;""),IF([[#This Row],[Fin réelle]]&lt;=[[#This Row],[Fin planifiée]],"Oui","Non"),"")</f>
        <v>0</v>
      </c>
    </row>
    <row r="211" spans="13:36" ht="20" customHeight="1">
      <c r="M211">
        <f>IF(AND([[#This Row],Début]&lt;&gt;"",[[#This Row],[Fin planifiée]]&lt;&gt;""),[[#This Row],[Fin planifiée]]-[[#This Row],Début]+1,"")</f>
        <v>0</v>
      </c>
      <c r="N211">
        <f>IF(AND([[#This Row],Début]&lt;&gt;"",[[#This Row],[Fin réelle]]&lt;&gt;""),[[#This Row],[Fin réelle]]-[[#This Row],Début]+1,"")</f>
        <v>0</v>
      </c>
      <c r="S211">
        <f>[[#This Row],[Budget réalisé]]-[[#This Row],[Budget prévu]]</f>
        <v>0</v>
      </c>
      <c r="T211">
        <f>IF(OR([[#This Row],[Budget prévu]]="",[[#This Row],[Budget réalisé]]=""),"",IF([[#This Row],[Écart (€)]]=0,"À l'équilibre",IF([[#This Row],[Écart (€)]]&gt;0,"Dépassement","Sous budget")))</f>
        <v>0</v>
      </c>
      <c r="W211">
        <f>[[#This Row],[Risque – Probabilité (1-5)]]*[[#This Row],[Risque – Sévérité (1-5)]]</f>
        <v>0</v>
      </c>
      <c r="AC211">
        <f>IF([[#This Row],Effort (jours)]&gt;0,[[#This Row],[Reach (pers.)]]*[[#This Row],[Impact (1-5)]]*[[#This Row],[Confidence (0-1)]]/[[#This Row],[Effort (jours)]],"")</f>
        <v>0</v>
      </c>
      <c r="AG211">
        <f>IF([[#This Row],[Fin planifiée]]&lt;&gt;"",MONTH([[#This Row],[Fin planifiée]]),"")</f>
        <v>0</v>
      </c>
      <c r="AH211">
        <f>IF([[#This Row],[Fin planifiée]]&lt;&gt;"",YEAR([[#This Row],[Fin planifiée]]),"")</f>
        <v>0</v>
      </c>
      <c r="AI2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1">
        <f>IF(AND([[#This Row],Statut]="Terminé",[[#This Row],[Fin réelle]]&lt;&gt;""),IF([[#This Row],[Fin réelle]]&lt;=[[#This Row],[Fin planifiée]],"Oui","Non"),"")</f>
        <v>0</v>
      </c>
    </row>
    <row r="212" spans="13:36" ht="20" customHeight="1">
      <c r="M212">
        <f>IF(AND([[#This Row],Début]&lt;&gt;"",[[#This Row],[Fin planifiée]]&lt;&gt;""),[[#This Row],[Fin planifiée]]-[[#This Row],Début]+1,"")</f>
        <v>0</v>
      </c>
      <c r="N212">
        <f>IF(AND([[#This Row],Début]&lt;&gt;"",[[#This Row],[Fin réelle]]&lt;&gt;""),[[#This Row],[Fin réelle]]-[[#This Row],Début]+1,"")</f>
        <v>0</v>
      </c>
      <c r="S212">
        <f>[[#This Row],[Budget réalisé]]-[[#This Row],[Budget prévu]]</f>
        <v>0</v>
      </c>
      <c r="T212">
        <f>IF(OR([[#This Row],[Budget prévu]]="",[[#This Row],[Budget réalisé]]=""),"",IF([[#This Row],[Écart (€)]]=0,"À l'équilibre",IF([[#This Row],[Écart (€)]]&gt;0,"Dépassement","Sous budget")))</f>
        <v>0</v>
      </c>
      <c r="W212">
        <f>[[#This Row],[Risque – Probabilité (1-5)]]*[[#This Row],[Risque – Sévérité (1-5)]]</f>
        <v>0</v>
      </c>
      <c r="AC212">
        <f>IF([[#This Row],Effort (jours)]&gt;0,[[#This Row],[Reach (pers.)]]*[[#This Row],[Impact (1-5)]]*[[#This Row],[Confidence (0-1)]]/[[#This Row],[Effort (jours)]],"")</f>
        <v>0</v>
      </c>
      <c r="AG212">
        <f>IF([[#This Row],[Fin planifiée]]&lt;&gt;"",MONTH([[#This Row],[Fin planifiée]]),"")</f>
        <v>0</v>
      </c>
      <c r="AH212">
        <f>IF([[#This Row],[Fin planifiée]]&lt;&gt;"",YEAR([[#This Row],[Fin planifiée]]),"")</f>
        <v>0</v>
      </c>
      <c r="AI2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2">
        <f>IF(AND([[#This Row],Statut]="Terminé",[[#This Row],[Fin réelle]]&lt;&gt;""),IF([[#This Row],[Fin réelle]]&lt;=[[#This Row],[Fin planifiée]],"Oui","Non"),"")</f>
        <v>0</v>
      </c>
    </row>
    <row r="213" spans="13:36" ht="20" customHeight="1">
      <c r="M213">
        <f>IF(AND([[#This Row],Début]&lt;&gt;"",[[#This Row],[Fin planifiée]]&lt;&gt;""),[[#This Row],[Fin planifiée]]-[[#This Row],Début]+1,"")</f>
        <v>0</v>
      </c>
      <c r="N213">
        <f>IF(AND([[#This Row],Début]&lt;&gt;"",[[#This Row],[Fin réelle]]&lt;&gt;""),[[#This Row],[Fin réelle]]-[[#This Row],Début]+1,"")</f>
        <v>0</v>
      </c>
      <c r="S213">
        <f>[[#This Row],[Budget réalisé]]-[[#This Row],[Budget prévu]]</f>
        <v>0</v>
      </c>
      <c r="T213">
        <f>IF(OR([[#This Row],[Budget prévu]]="",[[#This Row],[Budget réalisé]]=""),"",IF([[#This Row],[Écart (€)]]=0,"À l'équilibre",IF([[#This Row],[Écart (€)]]&gt;0,"Dépassement","Sous budget")))</f>
        <v>0</v>
      </c>
      <c r="W213">
        <f>[[#This Row],[Risque – Probabilité (1-5)]]*[[#This Row],[Risque – Sévérité (1-5)]]</f>
        <v>0</v>
      </c>
      <c r="AC213">
        <f>IF([[#This Row],Effort (jours)]&gt;0,[[#This Row],[Reach (pers.)]]*[[#This Row],[Impact (1-5)]]*[[#This Row],[Confidence (0-1)]]/[[#This Row],[Effort (jours)]],"")</f>
        <v>0</v>
      </c>
      <c r="AG213">
        <f>IF([[#This Row],[Fin planifiée]]&lt;&gt;"",MONTH([[#This Row],[Fin planifiée]]),"")</f>
        <v>0</v>
      </c>
      <c r="AH213">
        <f>IF([[#This Row],[Fin planifiée]]&lt;&gt;"",YEAR([[#This Row],[Fin planifiée]]),"")</f>
        <v>0</v>
      </c>
      <c r="AI2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3">
        <f>IF(AND([[#This Row],Statut]="Terminé",[[#This Row],[Fin réelle]]&lt;&gt;""),IF([[#This Row],[Fin réelle]]&lt;=[[#This Row],[Fin planifiée]],"Oui","Non"),"")</f>
        <v>0</v>
      </c>
    </row>
    <row r="214" spans="13:36" ht="20" customHeight="1">
      <c r="M214">
        <f>IF(AND([[#This Row],Début]&lt;&gt;"",[[#This Row],[Fin planifiée]]&lt;&gt;""),[[#This Row],[Fin planifiée]]-[[#This Row],Début]+1,"")</f>
        <v>0</v>
      </c>
      <c r="N214">
        <f>IF(AND([[#This Row],Début]&lt;&gt;"",[[#This Row],[Fin réelle]]&lt;&gt;""),[[#This Row],[Fin réelle]]-[[#This Row],Début]+1,"")</f>
        <v>0</v>
      </c>
      <c r="S214">
        <f>[[#This Row],[Budget réalisé]]-[[#This Row],[Budget prévu]]</f>
        <v>0</v>
      </c>
      <c r="T214">
        <f>IF(OR([[#This Row],[Budget prévu]]="",[[#This Row],[Budget réalisé]]=""),"",IF([[#This Row],[Écart (€)]]=0,"À l'équilibre",IF([[#This Row],[Écart (€)]]&gt;0,"Dépassement","Sous budget")))</f>
        <v>0</v>
      </c>
      <c r="W214">
        <f>[[#This Row],[Risque – Probabilité (1-5)]]*[[#This Row],[Risque – Sévérité (1-5)]]</f>
        <v>0</v>
      </c>
      <c r="AC214">
        <f>IF([[#This Row],Effort (jours)]&gt;0,[[#This Row],[Reach (pers.)]]*[[#This Row],[Impact (1-5)]]*[[#This Row],[Confidence (0-1)]]/[[#This Row],[Effort (jours)]],"")</f>
        <v>0</v>
      </c>
      <c r="AG214">
        <f>IF([[#This Row],[Fin planifiée]]&lt;&gt;"",MONTH([[#This Row],[Fin planifiée]]),"")</f>
        <v>0</v>
      </c>
      <c r="AH214">
        <f>IF([[#This Row],[Fin planifiée]]&lt;&gt;"",YEAR([[#This Row],[Fin planifiée]]),"")</f>
        <v>0</v>
      </c>
      <c r="AI2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4">
        <f>IF(AND([[#This Row],Statut]="Terminé",[[#This Row],[Fin réelle]]&lt;&gt;""),IF([[#This Row],[Fin réelle]]&lt;=[[#This Row],[Fin planifiée]],"Oui","Non"),"")</f>
        <v>0</v>
      </c>
    </row>
    <row r="215" spans="13:36" ht="20" customHeight="1">
      <c r="M215">
        <f>IF(AND([[#This Row],Début]&lt;&gt;"",[[#This Row],[Fin planifiée]]&lt;&gt;""),[[#This Row],[Fin planifiée]]-[[#This Row],Début]+1,"")</f>
        <v>0</v>
      </c>
      <c r="N215">
        <f>IF(AND([[#This Row],Début]&lt;&gt;"",[[#This Row],[Fin réelle]]&lt;&gt;""),[[#This Row],[Fin réelle]]-[[#This Row],Début]+1,"")</f>
        <v>0</v>
      </c>
      <c r="S215">
        <f>[[#This Row],[Budget réalisé]]-[[#This Row],[Budget prévu]]</f>
        <v>0</v>
      </c>
      <c r="T215">
        <f>IF(OR([[#This Row],[Budget prévu]]="",[[#This Row],[Budget réalisé]]=""),"",IF([[#This Row],[Écart (€)]]=0,"À l'équilibre",IF([[#This Row],[Écart (€)]]&gt;0,"Dépassement","Sous budget")))</f>
        <v>0</v>
      </c>
      <c r="W215">
        <f>[[#This Row],[Risque – Probabilité (1-5)]]*[[#This Row],[Risque – Sévérité (1-5)]]</f>
        <v>0</v>
      </c>
      <c r="AC215">
        <f>IF([[#This Row],Effort (jours)]&gt;0,[[#This Row],[Reach (pers.)]]*[[#This Row],[Impact (1-5)]]*[[#This Row],[Confidence (0-1)]]/[[#This Row],[Effort (jours)]],"")</f>
        <v>0</v>
      </c>
      <c r="AG215">
        <f>IF([[#This Row],[Fin planifiée]]&lt;&gt;"",MONTH([[#This Row],[Fin planifiée]]),"")</f>
        <v>0</v>
      </c>
      <c r="AH215">
        <f>IF([[#This Row],[Fin planifiée]]&lt;&gt;"",YEAR([[#This Row],[Fin planifiée]]),"")</f>
        <v>0</v>
      </c>
      <c r="AI2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5">
        <f>IF(AND([[#This Row],Statut]="Terminé",[[#This Row],[Fin réelle]]&lt;&gt;""),IF([[#This Row],[Fin réelle]]&lt;=[[#This Row],[Fin planifiée]],"Oui","Non"),"")</f>
        <v>0</v>
      </c>
    </row>
    <row r="216" spans="13:36" ht="20" customHeight="1">
      <c r="M216">
        <f>IF(AND([[#This Row],Début]&lt;&gt;"",[[#This Row],[Fin planifiée]]&lt;&gt;""),[[#This Row],[Fin planifiée]]-[[#This Row],Début]+1,"")</f>
        <v>0</v>
      </c>
      <c r="N216">
        <f>IF(AND([[#This Row],Début]&lt;&gt;"",[[#This Row],[Fin réelle]]&lt;&gt;""),[[#This Row],[Fin réelle]]-[[#This Row],Début]+1,"")</f>
        <v>0</v>
      </c>
      <c r="S216">
        <f>[[#This Row],[Budget réalisé]]-[[#This Row],[Budget prévu]]</f>
        <v>0</v>
      </c>
      <c r="T216">
        <f>IF(OR([[#This Row],[Budget prévu]]="",[[#This Row],[Budget réalisé]]=""),"",IF([[#This Row],[Écart (€)]]=0,"À l'équilibre",IF([[#This Row],[Écart (€)]]&gt;0,"Dépassement","Sous budget")))</f>
        <v>0</v>
      </c>
      <c r="W216">
        <f>[[#This Row],[Risque – Probabilité (1-5)]]*[[#This Row],[Risque – Sévérité (1-5)]]</f>
        <v>0</v>
      </c>
      <c r="AC216">
        <f>IF([[#This Row],Effort (jours)]&gt;0,[[#This Row],[Reach (pers.)]]*[[#This Row],[Impact (1-5)]]*[[#This Row],[Confidence (0-1)]]/[[#This Row],[Effort (jours)]],"")</f>
        <v>0</v>
      </c>
      <c r="AG216">
        <f>IF([[#This Row],[Fin planifiée]]&lt;&gt;"",MONTH([[#This Row],[Fin planifiée]]),"")</f>
        <v>0</v>
      </c>
      <c r="AH216">
        <f>IF([[#This Row],[Fin planifiée]]&lt;&gt;"",YEAR([[#This Row],[Fin planifiée]]),"")</f>
        <v>0</v>
      </c>
      <c r="AI2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6">
        <f>IF(AND([[#This Row],Statut]="Terminé",[[#This Row],[Fin réelle]]&lt;&gt;""),IF([[#This Row],[Fin réelle]]&lt;=[[#This Row],[Fin planifiée]],"Oui","Non"),"")</f>
        <v>0</v>
      </c>
    </row>
    <row r="217" spans="13:36" ht="20" customHeight="1">
      <c r="M217">
        <f>IF(AND([[#This Row],Début]&lt;&gt;"",[[#This Row],[Fin planifiée]]&lt;&gt;""),[[#This Row],[Fin planifiée]]-[[#This Row],Début]+1,"")</f>
        <v>0</v>
      </c>
      <c r="N217">
        <f>IF(AND([[#This Row],Début]&lt;&gt;"",[[#This Row],[Fin réelle]]&lt;&gt;""),[[#This Row],[Fin réelle]]-[[#This Row],Début]+1,"")</f>
        <v>0</v>
      </c>
      <c r="S217">
        <f>[[#This Row],[Budget réalisé]]-[[#This Row],[Budget prévu]]</f>
        <v>0</v>
      </c>
      <c r="T217">
        <f>IF(OR([[#This Row],[Budget prévu]]="",[[#This Row],[Budget réalisé]]=""),"",IF([[#This Row],[Écart (€)]]=0,"À l'équilibre",IF([[#This Row],[Écart (€)]]&gt;0,"Dépassement","Sous budget")))</f>
        <v>0</v>
      </c>
      <c r="W217">
        <f>[[#This Row],[Risque – Probabilité (1-5)]]*[[#This Row],[Risque – Sévérité (1-5)]]</f>
        <v>0</v>
      </c>
      <c r="AC217">
        <f>IF([[#This Row],Effort (jours)]&gt;0,[[#This Row],[Reach (pers.)]]*[[#This Row],[Impact (1-5)]]*[[#This Row],[Confidence (0-1)]]/[[#This Row],[Effort (jours)]],"")</f>
        <v>0</v>
      </c>
      <c r="AG217">
        <f>IF([[#This Row],[Fin planifiée]]&lt;&gt;"",MONTH([[#This Row],[Fin planifiée]]),"")</f>
        <v>0</v>
      </c>
      <c r="AH217">
        <f>IF([[#This Row],[Fin planifiée]]&lt;&gt;"",YEAR([[#This Row],[Fin planifiée]]),"")</f>
        <v>0</v>
      </c>
      <c r="AI2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7">
        <f>IF(AND([[#This Row],Statut]="Terminé",[[#This Row],[Fin réelle]]&lt;&gt;""),IF([[#This Row],[Fin réelle]]&lt;=[[#This Row],[Fin planifiée]],"Oui","Non"),"")</f>
        <v>0</v>
      </c>
    </row>
    <row r="218" spans="13:36" ht="20" customHeight="1">
      <c r="M218">
        <f>IF(AND([[#This Row],Début]&lt;&gt;"",[[#This Row],[Fin planifiée]]&lt;&gt;""),[[#This Row],[Fin planifiée]]-[[#This Row],Début]+1,"")</f>
        <v>0</v>
      </c>
      <c r="N218">
        <f>IF(AND([[#This Row],Début]&lt;&gt;"",[[#This Row],[Fin réelle]]&lt;&gt;""),[[#This Row],[Fin réelle]]-[[#This Row],Début]+1,"")</f>
        <v>0</v>
      </c>
      <c r="S218">
        <f>[[#This Row],[Budget réalisé]]-[[#This Row],[Budget prévu]]</f>
        <v>0</v>
      </c>
      <c r="T218">
        <f>IF(OR([[#This Row],[Budget prévu]]="",[[#This Row],[Budget réalisé]]=""),"",IF([[#This Row],[Écart (€)]]=0,"À l'équilibre",IF([[#This Row],[Écart (€)]]&gt;0,"Dépassement","Sous budget")))</f>
        <v>0</v>
      </c>
      <c r="W218">
        <f>[[#This Row],[Risque – Probabilité (1-5)]]*[[#This Row],[Risque – Sévérité (1-5)]]</f>
        <v>0</v>
      </c>
      <c r="AC218">
        <f>IF([[#This Row],Effort (jours)]&gt;0,[[#This Row],[Reach (pers.)]]*[[#This Row],[Impact (1-5)]]*[[#This Row],[Confidence (0-1)]]/[[#This Row],[Effort (jours)]],"")</f>
        <v>0</v>
      </c>
      <c r="AG218">
        <f>IF([[#This Row],[Fin planifiée]]&lt;&gt;"",MONTH([[#This Row],[Fin planifiée]]),"")</f>
        <v>0</v>
      </c>
      <c r="AH218">
        <f>IF([[#This Row],[Fin planifiée]]&lt;&gt;"",YEAR([[#This Row],[Fin planifiée]]),"")</f>
        <v>0</v>
      </c>
      <c r="AI2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8">
        <f>IF(AND([[#This Row],Statut]="Terminé",[[#This Row],[Fin réelle]]&lt;&gt;""),IF([[#This Row],[Fin réelle]]&lt;=[[#This Row],[Fin planifiée]],"Oui","Non"),"")</f>
        <v>0</v>
      </c>
    </row>
    <row r="219" spans="13:36" ht="20" customHeight="1">
      <c r="M219">
        <f>IF(AND([[#This Row],Début]&lt;&gt;"",[[#This Row],[Fin planifiée]]&lt;&gt;""),[[#This Row],[Fin planifiée]]-[[#This Row],Début]+1,"")</f>
        <v>0</v>
      </c>
      <c r="N219">
        <f>IF(AND([[#This Row],Début]&lt;&gt;"",[[#This Row],[Fin réelle]]&lt;&gt;""),[[#This Row],[Fin réelle]]-[[#This Row],Début]+1,"")</f>
        <v>0</v>
      </c>
      <c r="S219">
        <f>[[#This Row],[Budget réalisé]]-[[#This Row],[Budget prévu]]</f>
        <v>0</v>
      </c>
      <c r="T219">
        <f>IF(OR([[#This Row],[Budget prévu]]="",[[#This Row],[Budget réalisé]]=""),"",IF([[#This Row],[Écart (€)]]=0,"À l'équilibre",IF([[#This Row],[Écart (€)]]&gt;0,"Dépassement","Sous budget")))</f>
        <v>0</v>
      </c>
      <c r="W219">
        <f>[[#This Row],[Risque – Probabilité (1-5)]]*[[#This Row],[Risque – Sévérité (1-5)]]</f>
        <v>0</v>
      </c>
      <c r="AC219">
        <f>IF([[#This Row],Effort (jours)]&gt;0,[[#This Row],[Reach (pers.)]]*[[#This Row],[Impact (1-5)]]*[[#This Row],[Confidence (0-1)]]/[[#This Row],[Effort (jours)]],"")</f>
        <v>0</v>
      </c>
      <c r="AG219">
        <f>IF([[#This Row],[Fin planifiée]]&lt;&gt;"",MONTH([[#This Row],[Fin planifiée]]),"")</f>
        <v>0</v>
      </c>
      <c r="AH219">
        <f>IF([[#This Row],[Fin planifiée]]&lt;&gt;"",YEAR([[#This Row],[Fin planifiée]]),"")</f>
        <v>0</v>
      </c>
      <c r="AI2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19">
        <f>IF(AND([[#This Row],Statut]="Terminé",[[#This Row],[Fin réelle]]&lt;&gt;""),IF([[#This Row],[Fin réelle]]&lt;=[[#This Row],[Fin planifiée]],"Oui","Non"),"")</f>
        <v>0</v>
      </c>
    </row>
    <row r="220" spans="13:36" ht="20" customHeight="1">
      <c r="M220">
        <f>IF(AND([[#This Row],Début]&lt;&gt;"",[[#This Row],[Fin planifiée]]&lt;&gt;""),[[#This Row],[Fin planifiée]]-[[#This Row],Début]+1,"")</f>
        <v>0</v>
      </c>
      <c r="N220">
        <f>IF(AND([[#This Row],Début]&lt;&gt;"",[[#This Row],[Fin réelle]]&lt;&gt;""),[[#This Row],[Fin réelle]]-[[#This Row],Début]+1,"")</f>
        <v>0</v>
      </c>
      <c r="S220">
        <f>[[#This Row],[Budget réalisé]]-[[#This Row],[Budget prévu]]</f>
        <v>0</v>
      </c>
      <c r="T220">
        <f>IF(OR([[#This Row],[Budget prévu]]="",[[#This Row],[Budget réalisé]]=""),"",IF([[#This Row],[Écart (€)]]=0,"À l'équilibre",IF([[#This Row],[Écart (€)]]&gt;0,"Dépassement","Sous budget")))</f>
        <v>0</v>
      </c>
      <c r="W220">
        <f>[[#This Row],[Risque – Probabilité (1-5)]]*[[#This Row],[Risque – Sévérité (1-5)]]</f>
        <v>0</v>
      </c>
      <c r="AC220">
        <f>IF([[#This Row],Effort (jours)]&gt;0,[[#This Row],[Reach (pers.)]]*[[#This Row],[Impact (1-5)]]*[[#This Row],[Confidence (0-1)]]/[[#This Row],[Effort (jours)]],"")</f>
        <v>0</v>
      </c>
      <c r="AG220">
        <f>IF([[#This Row],[Fin planifiée]]&lt;&gt;"",MONTH([[#This Row],[Fin planifiée]]),"")</f>
        <v>0</v>
      </c>
      <c r="AH220">
        <f>IF([[#This Row],[Fin planifiée]]&lt;&gt;"",YEAR([[#This Row],[Fin planifiée]]),"")</f>
        <v>0</v>
      </c>
      <c r="AI2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0">
        <f>IF(AND([[#This Row],Statut]="Terminé",[[#This Row],[Fin réelle]]&lt;&gt;""),IF([[#This Row],[Fin réelle]]&lt;=[[#This Row],[Fin planifiée]],"Oui","Non"),"")</f>
        <v>0</v>
      </c>
    </row>
    <row r="221" spans="13:36" ht="20" customHeight="1">
      <c r="M221">
        <f>IF(AND([[#This Row],Début]&lt;&gt;"",[[#This Row],[Fin planifiée]]&lt;&gt;""),[[#This Row],[Fin planifiée]]-[[#This Row],Début]+1,"")</f>
        <v>0</v>
      </c>
      <c r="N221">
        <f>IF(AND([[#This Row],Début]&lt;&gt;"",[[#This Row],[Fin réelle]]&lt;&gt;""),[[#This Row],[Fin réelle]]-[[#This Row],Début]+1,"")</f>
        <v>0</v>
      </c>
      <c r="S221">
        <f>[[#This Row],[Budget réalisé]]-[[#This Row],[Budget prévu]]</f>
        <v>0</v>
      </c>
      <c r="T221">
        <f>IF(OR([[#This Row],[Budget prévu]]="",[[#This Row],[Budget réalisé]]=""),"",IF([[#This Row],[Écart (€)]]=0,"À l'équilibre",IF([[#This Row],[Écart (€)]]&gt;0,"Dépassement","Sous budget")))</f>
        <v>0</v>
      </c>
      <c r="W221">
        <f>[[#This Row],[Risque – Probabilité (1-5)]]*[[#This Row],[Risque – Sévérité (1-5)]]</f>
        <v>0</v>
      </c>
      <c r="AC221">
        <f>IF([[#This Row],Effort (jours)]&gt;0,[[#This Row],[Reach (pers.)]]*[[#This Row],[Impact (1-5)]]*[[#This Row],[Confidence (0-1)]]/[[#This Row],[Effort (jours)]],"")</f>
        <v>0</v>
      </c>
      <c r="AG221">
        <f>IF([[#This Row],[Fin planifiée]]&lt;&gt;"",MONTH([[#This Row],[Fin planifiée]]),"")</f>
        <v>0</v>
      </c>
      <c r="AH221">
        <f>IF([[#This Row],[Fin planifiée]]&lt;&gt;"",YEAR([[#This Row],[Fin planifiée]]),"")</f>
        <v>0</v>
      </c>
      <c r="AI2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1">
        <f>IF(AND([[#This Row],Statut]="Terminé",[[#This Row],[Fin réelle]]&lt;&gt;""),IF([[#This Row],[Fin réelle]]&lt;=[[#This Row],[Fin planifiée]],"Oui","Non"),"")</f>
        <v>0</v>
      </c>
    </row>
    <row r="222" spans="13:36" ht="20" customHeight="1">
      <c r="M222">
        <f>IF(AND([[#This Row],Début]&lt;&gt;"",[[#This Row],[Fin planifiée]]&lt;&gt;""),[[#This Row],[Fin planifiée]]-[[#This Row],Début]+1,"")</f>
        <v>0</v>
      </c>
      <c r="N222">
        <f>IF(AND([[#This Row],Début]&lt;&gt;"",[[#This Row],[Fin réelle]]&lt;&gt;""),[[#This Row],[Fin réelle]]-[[#This Row],Début]+1,"")</f>
        <v>0</v>
      </c>
      <c r="S222">
        <f>[[#This Row],[Budget réalisé]]-[[#This Row],[Budget prévu]]</f>
        <v>0</v>
      </c>
      <c r="T222">
        <f>IF(OR([[#This Row],[Budget prévu]]="",[[#This Row],[Budget réalisé]]=""),"",IF([[#This Row],[Écart (€)]]=0,"À l'équilibre",IF([[#This Row],[Écart (€)]]&gt;0,"Dépassement","Sous budget")))</f>
        <v>0</v>
      </c>
      <c r="W222">
        <f>[[#This Row],[Risque – Probabilité (1-5)]]*[[#This Row],[Risque – Sévérité (1-5)]]</f>
        <v>0</v>
      </c>
      <c r="AC222">
        <f>IF([[#This Row],Effort (jours)]&gt;0,[[#This Row],[Reach (pers.)]]*[[#This Row],[Impact (1-5)]]*[[#This Row],[Confidence (0-1)]]/[[#This Row],[Effort (jours)]],"")</f>
        <v>0</v>
      </c>
      <c r="AG222">
        <f>IF([[#This Row],[Fin planifiée]]&lt;&gt;"",MONTH([[#This Row],[Fin planifiée]]),"")</f>
        <v>0</v>
      </c>
      <c r="AH222">
        <f>IF([[#This Row],[Fin planifiée]]&lt;&gt;"",YEAR([[#This Row],[Fin planifiée]]),"")</f>
        <v>0</v>
      </c>
      <c r="AI2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2">
        <f>IF(AND([[#This Row],Statut]="Terminé",[[#This Row],[Fin réelle]]&lt;&gt;""),IF([[#This Row],[Fin réelle]]&lt;=[[#This Row],[Fin planifiée]],"Oui","Non"),"")</f>
        <v>0</v>
      </c>
    </row>
    <row r="223" spans="13:36" ht="20" customHeight="1">
      <c r="M223">
        <f>IF(AND([[#This Row],Début]&lt;&gt;"",[[#This Row],[Fin planifiée]]&lt;&gt;""),[[#This Row],[Fin planifiée]]-[[#This Row],Début]+1,"")</f>
        <v>0</v>
      </c>
      <c r="N223">
        <f>IF(AND([[#This Row],Début]&lt;&gt;"",[[#This Row],[Fin réelle]]&lt;&gt;""),[[#This Row],[Fin réelle]]-[[#This Row],Début]+1,"")</f>
        <v>0</v>
      </c>
      <c r="S223">
        <f>[[#This Row],[Budget réalisé]]-[[#This Row],[Budget prévu]]</f>
        <v>0</v>
      </c>
      <c r="T223">
        <f>IF(OR([[#This Row],[Budget prévu]]="",[[#This Row],[Budget réalisé]]=""),"",IF([[#This Row],[Écart (€)]]=0,"À l'équilibre",IF([[#This Row],[Écart (€)]]&gt;0,"Dépassement","Sous budget")))</f>
        <v>0</v>
      </c>
      <c r="W223">
        <f>[[#This Row],[Risque – Probabilité (1-5)]]*[[#This Row],[Risque – Sévérité (1-5)]]</f>
        <v>0</v>
      </c>
      <c r="AC223">
        <f>IF([[#This Row],Effort (jours)]&gt;0,[[#This Row],[Reach (pers.)]]*[[#This Row],[Impact (1-5)]]*[[#This Row],[Confidence (0-1)]]/[[#This Row],[Effort (jours)]],"")</f>
        <v>0</v>
      </c>
      <c r="AG223">
        <f>IF([[#This Row],[Fin planifiée]]&lt;&gt;"",MONTH([[#This Row],[Fin planifiée]]),"")</f>
        <v>0</v>
      </c>
      <c r="AH223">
        <f>IF([[#This Row],[Fin planifiée]]&lt;&gt;"",YEAR([[#This Row],[Fin planifiée]]),"")</f>
        <v>0</v>
      </c>
      <c r="AI2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3">
        <f>IF(AND([[#This Row],Statut]="Terminé",[[#This Row],[Fin réelle]]&lt;&gt;""),IF([[#This Row],[Fin réelle]]&lt;=[[#This Row],[Fin planifiée]],"Oui","Non"),"")</f>
        <v>0</v>
      </c>
    </row>
    <row r="224" spans="13:36" ht="20" customHeight="1">
      <c r="M224">
        <f>IF(AND([[#This Row],Début]&lt;&gt;"",[[#This Row],[Fin planifiée]]&lt;&gt;""),[[#This Row],[Fin planifiée]]-[[#This Row],Début]+1,"")</f>
        <v>0</v>
      </c>
      <c r="N224">
        <f>IF(AND([[#This Row],Début]&lt;&gt;"",[[#This Row],[Fin réelle]]&lt;&gt;""),[[#This Row],[Fin réelle]]-[[#This Row],Début]+1,"")</f>
        <v>0</v>
      </c>
      <c r="S224">
        <f>[[#This Row],[Budget réalisé]]-[[#This Row],[Budget prévu]]</f>
        <v>0</v>
      </c>
      <c r="T224">
        <f>IF(OR([[#This Row],[Budget prévu]]="",[[#This Row],[Budget réalisé]]=""),"",IF([[#This Row],[Écart (€)]]=0,"À l'équilibre",IF([[#This Row],[Écart (€)]]&gt;0,"Dépassement","Sous budget")))</f>
        <v>0</v>
      </c>
      <c r="W224">
        <f>[[#This Row],[Risque – Probabilité (1-5)]]*[[#This Row],[Risque – Sévérité (1-5)]]</f>
        <v>0</v>
      </c>
      <c r="AC224">
        <f>IF([[#This Row],Effort (jours)]&gt;0,[[#This Row],[Reach (pers.)]]*[[#This Row],[Impact (1-5)]]*[[#This Row],[Confidence (0-1)]]/[[#This Row],[Effort (jours)]],"")</f>
        <v>0</v>
      </c>
      <c r="AG224">
        <f>IF([[#This Row],[Fin planifiée]]&lt;&gt;"",MONTH([[#This Row],[Fin planifiée]]),"")</f>
        <v>0</v>
      </c>
      <c r="AH224">
        <f>IF([[#This Row],[Fin planifiée]]&lt;&gt;"",YEAR([[#This Row],[Fin planifiée]]),"")</f>
        <v>0</v>
      </c>
      <c r="AI2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4">
        <f>IF(AND([[#This Row],Statut]="Terminé",[[#This Row],[Fin réelle]]&lt;&gt;""),IF([[#This Row],[Fin réelle]]&lt;=[[#This Row],[Fin planifiée]],"Oui","Non"),"")</f>
        <v>0</v>
      </c>
    </row>
    <row r="225" spans="13:36" ht="20" customHeight="1">
      <c r="M225">
        <f>IF(AND([[#This Row],Début]&lt;&gt;"",[[#This Row],[Fin planifiée]]&lt;&gt;""),[[#This Row],[Fin planifiée]]-[[#This Row],Début]+1,"")</f>
        <v>0</v>
      </c>
      <c r="N225">
        <f>IF(AND([[#This Row],Début]&lt;&gt;"",[[#This Row],[Fin réelle]]&lt;&gt;""),[[#This Row],[Fin réelle]]-[[#This Row],Début]+1,"")</f>
        <v>0</v>
      </c>
      <c r="S225">
        <f>[[#This Row],[Budget réalisé]]-[[#This Row],[Budget prévu]]</f>
        <v>0</v>
      </c>
      <c r="T225">
        <f>IF(OR([[#This Row],[Budget prévu]]="",[[#This Row],[Budget réalisé]]=""),"",IF([[#This Row],[Écart (€)]]=0,"À l'équilibre",IF([[#This Row],[Écart (€)]]&gt;0,"Dépassement","Sous budget")))</f>
        <v>0</v>
      </c>
      <c r="W225">
        <f>[[#This Row],[Risque – Probabilité (1-5)]]*[[#This Row],[Risque – Sévérité (1-5)]]</f>
        <v>0</v>
      </c>
      <c r="AC225">
        <f>IF([[#This Row],Effort (jours)]&gt;0,[[#This Row],[Reach (pers.)]]*[[#This Row],[Impact (1-5)]]*[[#This Row],[Confidence (0-1)]]/[[#This Row],[Effort (jours)]],"")</f>
        <v>0</v>
      </c>
      <c r="AG225">
        <f>IF([[#This Row],[Fin planifiée]]&lt;&gt;"",MONTH([[#This Row],[Fin planifiée]]),"")</f>
        <v>0</v>
      </c>
      <c r="AH225">
        <f>IF([[#This Row],[Fin planifiée]]&lt;&gt;"",YEAR([[#This Row],[Fin planifiée]]),"")</f>
        <v>0</v>
      </c>
      <c r="AI2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5">
        <f>IF(AND([[#This Row],Statut]="Terminé",[[#This Row],[Fin réelle]]&lt;&gt;""),IF([[#This Row],[Fin réelle]]&lt;=[[#This Row],[Fin planifiée]],"Oui","Non"),"")</f>
        <v>0</v>
      </c>
    </row>
    <row r="226" spans="13:36" ht="20" customHeight="1">
      <c r="M226">
        <f>IF(AND([[#This Row],Début]&lt;&gt;"",[[#This Row],[Fin planifiée]]&lt;&gt;""),[[#This Row],[Fin planifiée]]-[[#This Row],Début]+1,"")</f>
        <v>0</v>
      </c>
      <c r="N226">
        <f>IF(AND([[#This Row],Début]&lt;&gt;"",[[#This Row],[Fin réelle]]&lt;&gt;""),[[#This Row],[Fin réelle]]-[[#This Row],Début]+1,"")</f>
        <v>0</v>
      </c>
      <c r="S226">
        <f>[[#This Row],[Budget réalisé]]-[[#This Row],[Budget prévu]]</f>
        <v>0</v>
      </c>
      <c r="T226">
        <f>IF(OR([[#This Row],[Budget prévu]]="",[[#This Row],[Budget réalisé]]=""),"",IF([[#This Row],[Écart (€)]]=0,"À l'équilibre",IF([[#This Row],[Écart (€)]]&gt;0,"Dépassement","Sous budget")))</f>
        <v>0</v>
      </c>
      <c r="W226">
        <f>[[#This Row],[Risque – Probabilité (1-5)]]*[[#This Row],[Risque – Sévérité (1-5)]]</f>
        <v>0</v>
      </c>
      <c r="AC226">
        <f>IF([[#This Row],Effort (jours)]&gt;0,[[#This Row],[Reach (pers.)]]*[[#This Row],[Impact (1-5)]]*[[#This Row],[Confidence (0-1)]]/[[#This Row],[Effort (jours)]],"")</f>
        <v>0</v>
      </c>
      <c r="AG226">
        <f>IF([[#This Row],[Fin planifiée]]&lt;&gt;"",MONTH([[#This Row],[Fin planifiée]]),"")</f>
        <v>0</v>
      </c>
      <c r="AH226">
        <f>IF([[#This Row],[Fin planifiée]]&lt;&gt;"",YEAR([[#This Row],[Fin planifiée]]),"")</f>
        <v>0</v>
      </c>
      <c r="AI2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6">
        <f>IF(AND([[#This Row],Statut]="Terminé",[[#This Row],[Fin réelle]]&lt;&gt;""),IF([[#This Row],[Fin réelle]]&lt;=[[#This Row],[Fin planifiée]],"Oui","Non"),"")</f>
        <v>0</v>
      </c>
    </row>
    <row r="227" spans="13:36" ht="20" customHeight="1">
      <c r="M227">
        <f>IF(AND([[#This Row],Début]&lt;&gt;"",[[#This Row],[Fin planifiée]]&lt;&gt;""),[[#This Row],[Fin planifiée]]-[[#This Row],Début]+1,"")</f>
        <v>0</v>
      </c>
      <c r="N227">
        <f>IF(AND([[#This Row],Début]&lt;&gt;"",[[#This Row],[Fin réelle]]&lt;&gt;""),[[#This Row],[Fin réelle]]-[[#This Row],Début]+1,"")</f>
        <v>0</v>
      </c>
      <c r="S227">
        <f>[[#This Row],[Budget réalisé]]-[[#This Row],[Budget prévu]]</f>
        <v>0</v>
      </c>
      <c r="T227">
        <f>IF(OR([[#This Row],[Budget prévu]]="",[[#This Row],[Budget réalisé]]=""),"",IF([[#This Row],[Écart (€)]]=0,"À l'équilibre",IF([[#This Row],[Écart (€)]]&gt;0,"Dépassement","Sous budget")))</f>
        <v>0</v>
      </c>
      <c r="W227">
        <f>[[#This Row],[Risque – Probabilité (1-5)]]*[[#This Row],[Risque – Sévérité (1-5)]]</f>
        <v>0</v>
      </c>
      <c r="AC227">
        <f>IF([[#This Row],Effort (jours)]&gt;0,[[#This Row],[Reach (pers.)]]*[[#This Row],[Impact (1-5)]]*[[#This Row],[Confidence (0-1)]]/[[#This Row],[Effort (jours)]],"")</f>
        <v>0</v>
      </c>
      <c r="AG227">
        <f>IF([[#This Row],[Fin planifiée]]&lt;&gt;"",MONTH([[#This Row],[Fin planifiée]]),"")</f>
        <v>0</v>
      </c>
      <c r="AH227">
        <f>IF([[#This Row],[Fin planifiée]]&lt;&gt;"",YEAR([[#This Row],[Fin planifiée]]),"")</f>
        <v>0</v>
      </c>
      <c r="AI2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7">
        <f>IF(AND([[#This Row],Statut]="Terminé",[[#This Row],[Fin réelle]]&lt;&gt;""),IF([[#This Row],[Fin réelle]]&lt;=[[#This Row],[Fin planifiée]],"Oui","Non"),"")</f>
        <v>0</v>
      </c>
    </row>
    <row r="228" spans="13:36" ht="20" customHeight="1">
      <c r="M228">
        <f>IF(AND([[#This Row],Début]&lt;&gt;"",[[#This Row],[Fin planifiée]]&lt;&gt;""),[[#This Row],[Fin planifiée]]-[[#This Row],Début]+1,"")</f>
        <v>0</v>
      </c>
      <c r="N228">
        <f>IF(AND([[#This Row],Début]&lt;&gt;"",[[#This Row],[Fin réelle]]&lt;&gt;""),[[#This Row],[Fin réelle]]-[[#This Row],Début]+1,"")</f>
        <v>0</v>
      </c>
      <c r="S228">
        <f>[[#This Row],[Budget réalisé]]-[[#This Row],[Budget prévu]]</f>
        <v>0</v>
      </c>
      <c r="T228">
        <f>IF(OR([[#This Row],[Budget prévu]]="",[[#This Row],[Budget réalisé]]=""),"",IF([[#This Row],[Écart (€)]]=0,"À l'équilibre",IF([[#This Row],[Écart (€)]]&gt;0,"Dépassement","Sous budget")))</f>
        <v>0</v>
      </c>
      <c r="W228">
        <f>[[#This Row],[Risque – Probabilité (1-5)]]*[[#This Row],[Risque – Sévérité (1-5)]]</f>
        <v>0</v>
      </c>
      <c r="AC228">
        <f>IF([[#This Row],Effort (jours)]&gt;0,[[#This Row],[Reach (pers.)]]*[[#This Row],[Impact (1-5)]]*[[#This Row],[Confidence (0-1)]]/[[#This Row],[Effort (jours)]],"")</f>
        <v>0</v>
      </c>
      <c r="AG228">
        <f>IF([[#This Row],[Fin planifiée]]&lt;&gt;"",MONTH([[#This Row],[Fin planifiée]]),"")</f>
        <v>0</v>
      </c>
      <c r="AH228">
        <f>IF([[#This Row],[Fin planifiée]]&lt;&gt;"",YEAR([[#This Row],[Fin planifiée]]),"")</f>
        <v>0</v>
      </c>
      <c r="AI2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8">
        <f>IF(AND([[#This Row],Statut]="Terminé",[[#This Row],[Fin réelle]]&lt;&gt;""),IF([[#This Row],[Fin réelle]]&lt;=[[#This Row],[Fin planifiée]],"Oui","Non"),"")</f>
        <v>0</v>
      </c>
    </row>
    <row r="229" spans="13:36" ht="20" customHeight="1">
      <c r="M229">
        <f>IF(AND([[#This Row],Début]&lt;&gt;"",[[#This Row],[Fin planifiée]]&lt;&gt;""),[[#This Row],[Fin planifiée]]-[[#This Row],Début]+1,"")</f>
        <v>0</v>
      </c>
      <c r="N229">
        <f>IF(AND([[#This Row],Début]&lt;&gt;"",[[#This Row],[Fin réelle]]&lt;&gt;""),[[#This Row],[Fin réelle]]-[[#This Row],Début]+1,"")</f>
        <v>0</v>
      </c>
      <c r="S229">
        <f>[[#This Row],[Budget réalisé]]-[[#This Row],[Budget prévu]]</f>
        <v>0</v>
      </c>
      <c r="T229">
        <f>IF(OR([[#This Row],[Budget prévu]]="",[[#This Row],[Budget réalisé]]=""),"",IF([[#This Row],[Écart (€)]]=0,"À l'équilibre",IF([[#This Row],[Écart (€)]]&gt;0,"Dépassement","Sous budget")))</f>
        <v>0</v>
      </c>
      <c r="W229">
        <f>[[#This Row],[Risque – Probabilité (1-5)]]*[[#This Row],[Risque – Sévérité (1-5)]]</f>
        <v>0</v>
      </c>
      <c r="AC229">
        <f>IF([[#This Row],Effort (jours)]&gt;0,[[#This Row],[Reach (pers.)]]*[[#This Row],[Impact (1-5)]]*[[#This Row],[Confidence (0-1)]]/[[#This Row],[Effort (jours)]],"")</f>
        <v>0</v>
      </c>
      <c r="AG229">
        <f>IF([[#This Row],[Fin planifiée]]&lt;&gt;"",MONTH([[#This Row],[Fin planifiée]]),"")</f>
        <v>0</v>
      </c>
      <c r="AH229">
        <f>IF([[#This Row],[Fin planifiée]]&lt;&gt;"",YEAR([[#This Row],[Fin planifiée]]),"")</f>
        <v>0</v>
      </c>
      <c r="AI2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29">
        <f>IF(AND([[#This Row],Statut]="Terminé",[[#This Row],[Fin réelle]]&lt;&gt;""),IF([[#This Row],[Fin réelle]]&lt;=[[#This Row],[Fin planifiée]],"Oui","Non"),"")</f>
        <v>0</v>
      </c>
    </row>
    <row r="230" spans="13:36" ht="20" customHeight="1">
      <c r="M230">
        <f>IF(AND([[#This Row],Début]&lt;&gt;"",[[#This Row],[Fin planifiée]]&lt;&gt;""),[[#This Row],[Fin planifiée]]-[[#This Row],Début]+1,"")</f>
        <v>0</v>
      </c>
      <c r="N230">
        <f>IF(AND([[#This Row],Début]&lt;&gt;"",[[#This Row],[Fin réelle]]&lt;&gt;""),[[#This Row],[Fin réelle]]-[[#This Row],Début]+1,"")</f>
        <v>0</v>
      </c>
      <c r="S230">
        <f>[[#This Row],[Budget réalisé]]-[[#This Row],[Budget prévu]]</f>
        <v>0</v>
      </c>
      <c r="T230">
        <f>IF(OR([[#This Row],[Budget prévu]]="",[[#This Row],[Budget réalisé]]=""),"",IF([[#This Row],[Écart (€)]]=0,"À l'équilibre",IF([[#This Row],[Écart (€)]]&gt;0,"Dépassement","Sous budget")))</f>
        <v>0</v>
      </c>
      <c r="W230">
        <f>[[#This Row],[Risque – Probabilité (1-5)]]*[[#This Row],[Risque – Sévérité (1-5)]]</f>
        <v>0</v>
      </c>
      <c r="AC230">
        <f>IF([[#This Row],Effort (jours)]&gt;0,[[#This Row],[Reach (pers.)]]*[[#This Row],[Impact (1-5)]]*[[#This Row],[Confidence (0-1)]]/[[#This Row],[Effort (jours)]],"")</f>
        <v>0</v>
      </c>
      <c r="AG230">
        <f>IF([[#This Row],[Fin planifiée]]&lt;&gt;"",MONTH([[#This Row],[Fin planifiée]]),"")</f>
        <v>0</v>
      </c>
      <c r="AH230">
        <f>IF([[#This Row],[Fin planifiée]]&lt;&gt;"",YEAR([[#This Row],[Fin planifiée]]),"")</f>
        <v>0</v>
      </c>
      <c r="AI2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0">
        <f>IF(AND([[#This Row],Statut]="Terminé",[[#This Row],[Fin réelle]]&lt;&gt;""),IF([[#This Row],[Fin réelle]]&lt;=[[#This Row],[Fin planifiée]],"Oui","Non"),"")</f>
        <v>0</v>
      </c>
    </row>
    <row r="231" spans="13:36" ht="20" customHeight="1">
      <c r="M231">
        <f>IF(AND([[#This Row],Début]&lt;&gt;"",[[#This Row],[Fin planifiée]]&lt;&gt;""),[[#This Row],[Fin planifiée]]-[[#This Row],Début]+1,"")</f>
        <v>0</v>
      </c>
      <c r="N231">
        <f>IF(AND([[#This Row],Début]&lt;&gt;"",[[#This Row],[Fin réelle]]&lt;&gt;""),[[#This Row],[Fin réelle]]-[[#This Row],Début]+1,"")</f>
        <v>0</v>
      </c>
      <c r="S231">
        <f>[[#This Row],[Budget réalisé]]-[[#This Row],[Budget prévu]]</f>
        <v>0</v>
      </c>
      <c r="T231">
        <f>IF(OR([[#This Row],[Budget prévu]]="",[[#This Row],[Budget réalisé]]=""),"",IF([[#This Row],[Écart (€)]]=0,"À l'équilibre",IF([[#This Row],[Écart (€)]]&gt;0,"Dépassement","Sous budget")))</f>
        <v>0</v>
      </c>
      <c r="W231">
        <f>[[#This Row],[Risque – Probabilité (1-5)]]*[[#This Row],[Risque – Sévérité (1-5)]]</f>
        <v>0</v>
      </c>
      <c r="AC231">
        <f>IF([[#This Row],Effort (jours)]&gt;0,[[#This Row],[Reach (pers.)]]*[[#This Row],[Impact (1-5)]]*[[#This Row],[Confidence (0-1)]]/[[#This Row],[Effort (jours)]],"")</f>
        <v>0</v>
      </c>
      <c r="AG231">
        <f>IF([[#This Row],[Fin planifiée]]&lt;&gt;"",MONTH([[#This Row],[Fin planifiée]]),"")</f>
        <v>0</v>
      </c>
      <c r="AH231">
        <f>IF([[#This Row],[Fin planifiée]]&lt;&gt;"",YEAR([[#This Row],[Fin planifiée]]),"")</f>
        <v>0</v>
      </c>
      <c r="AI2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1">
        <f>IF(AND([[#This Row],Statut]="Terminé",[[#This Row],[Fin réelle]]&lt;&gt;""),IF([[#This Row],[Fin réelle]]&lt;=[[#This Row],[Fin planifiée]],"Oui","Non"),"")</f>
        <v>0</v>
      </c>
    </row>
    <row r="232" spans="13:36" ht="20" customHeight="1">
      <c r="M232">
        <f>IF(AND([[#This Row],Début]&lt;&gt;"",[[#This Row],[Fin planifiée]]&lt;&gt;""),[[#This Row],[Fin planifiée]]-[[#This Row],Début]+1,"")</f>
        <v>0</v>
      </c>
      <c r="N232">
        <f>IF(AND([[#This Row],Début]&lt;&gt;"",[[#This Row],[Fin réelle]]&lt;&gt;""),[[#This Row],[Fin réelle]]-[[#This Row],Début]+1,"")</f>
        <v>0</v>
      </c>
      <c r="S232">
        <f>[[#This Row],[Budget réalisé]]-[[#This Row],[Budget prévu]]</f>
        <v>0</v>
      </c>
      <c r="T232">
        <f>IF(OR([[#This Row],[Budget prévu]]="",[[#This Row],[Budget réalisé]]=""),"",IF([[#This Row],[Écart (€)]]=0,"À l'équilibre",IF([[#This Row],[Écart (€)]]&gt;0,"Dépassement","Sous budget")))</f>
        <v>0</v>
      </c>
      <c r="W232">
        <f>[[#This Row],[Risque – Probabilité (1-5)]]*[[#This Row],[Risque – Sévérité (1-5)]]</f>
        <v>0</v>
      </c>
      <c r="AC232">
        <f>IF([[#This Row],Effort (jours)]&gt;0,[[#This Row],[Reach (pers.)]]*[[#This Row],[Impact (1-5)]]*[[#This Row],[Confidence (0-1)]]/[[#This Row],[Effort (jours)]],"")</f>
        <v>0</v>
      </c>
      <c r="AG232">
        <f>IF([[#This Row],[Fin planifiée]]&lt;&gt;"",MONTH([[#This Row],[Fin planifiée]]),"")</f>
        <v>0</v>
      </c>
      <c r="AH232">
        <f>IF([[#This Row],[Fin planifiée]]&lt;&gt;"",YEAR([[#This Row],[Fin planifiée]]),"")</f>
        <v>0</v>
      </c>
      <c r="AI2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2">
        <f>IF(AND([[#This Row],Statut]="Terminé",[[#This Row],[Fin réelle]]&lt;&gt;""),IF([[#This Row],[Fin réelle]]&lt;=[[#This Row],[Fin planifiée]],"Oui","Non"),"")</f>
        <v>0</v>
      </c>
    </row>
    <row r="233" spans="13:36" ht="20" customHeight="1">
      <c r="M233">
        <f>IF(AND([[#This Row],Début]&lt;&gt;"",[[#This Row],[Fin planifiée]]&lt;&gt;""),[[#This Row],[Fin planifiée]]-[[#This Row],Début]+1,"")</f>
        <v>0</v>
      </c>
      <c r="N233">
        <f>IF(AND([[#This Row],Début]&lt;&gt;"",[[#This Row],[Fin réelle]]&lt;&gt;""),[[#This Row],[Fin réelle]]-[[#This Row],Début]+1,"")</f>
        <v>0</v>
      </c>
      <c r="S233">
        <f>[[#This Row],[Budget réalisé]]-[[#This Row],[Budget prévu]]</f>
        <v>0</v>
      </c>
      <c r="T233">
        <f>IF(OR([[#This Row],[Budget prévu]]="",[[#This Row],[Budget réalisé]]=""),"",IF([[#This Row],[Écart (€)]]=0,"À l'équilibre",IF([[#This Row],[Écart (€)]]&gt;0,"Dépassement","Sous budget")))</f>
        <v>0</v>
      </c>
      <c r="W233">
        <f>[[#This Row],[Risque – Probabilité (1-5)]]*[[#This Row],[Risque – Sévérité (1-5)]]</f>
        <v>0</v>
      </c>
      <c r="AC233">
        <f>IF([[#This Row],Effort (jours)]&gt;0,[[#This Row],[Reach (pers.)]]*[[#This Row],[Impact (1-5)]]*[[#This Row],[Confidence (0-1)]]/[[#This Row],[Effort (jours)]],"")</f>
        <v>0</v>
      </c>
      <c r="AG233">
        <f>IF([[#This Row],[Fin planifiée]]&lt;&gt;"",MONTH([[#This Row],[Fin planifiée]]),"")</f>
        <v>0</v>
      </c>
      <c r="AH233">
        <f>IF([[#This Row],[Fin planifiée]]&lt;&gt;"",YEAR([[#This Row],[Fin planifiée]]),"")</f>
        <v>0</v>
      </c>
      <c r="AI2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3">
        <f>IF(AND([[#This Row],Statut]="Terminé",[[#This Row],[Fin réelle]]&lt;&gt;""),IF([[#This Row],[Fin réelle]]&lt;=[[#This Row],[Fin planifiée]],"Oui","Non"),"")</f>
        <v>0</v>
      </c>
    </row>
    <row r="234" spans="13:36" ht="20" customHeight="1">
      <c r="M234">
        <f>IF(AND([[#This Row],Début]&lt;&gt;"",[[#This Row],[Fin planifiée]]&lt;&gt;""),[[#This Row],[Fin planifiée]]-[[#This Row],Début]+1,"")</f>
        <v>0</v>
      </c>
      <c r="N234">
        <f>IF(AND([[#This Row],Début]&lt;&gt;"",[[#This Row],[Fin réelle]]&lt;&gt;""),[[#This Row],[Fin réelle]]-[[#This Row],Début]+1,"")</f>
        <v>0</v>
      </c>
      <c r="S234">
        <f>[[#This Row],[Budget réalisé]]-[[#This Row],[Budget prévu]]</f>
        <v>0</v>
      </c>
      <c r="T234">
        <f>IF(OR([[#This Row],[Budget prévu]]="",[[#This Row],[Budget réalisé]]=""),"",IF([[#This Row],[Écart (€)]]=0,"À l'équilibre",IF([[#This Row],[Écart (€)]]&gt;0,"Dépassement","Sous budget")))</f>
        <v>0</v>
      </c>
      <c r="W234">
        <f>[[#This Row],[Risque – Probabilité (1-5)]]*[[#This Row],[Risque – Sévérité (1-5)]]</f>
        <v>0</v>
      </c>
      <c r="AC234">
        <f>IF([[#This Row],Effort (jours)]&gt;0,[[#This Row],[Reach (pers.)]]*[[#This Row],[Impact (1-5)]]*[[#This Row],[Confidence (0-1)]]/[[#This Row],[Effort (jours)]],"")</f>
        <v>0</v>
      </c>
      <c r="AG234">
        <f>IF([[#This Row],[Fin planifiée]]&lt;&gt;"",MONTH([[#This Row],[Fin planifiée]]),"")</f>
        <v>0</v>
      </c>
      <c r="AH234">
        <f>IF([[#This Row],[Fin planifiée]]&lt;&gt;"",YEAR([[#This Row],[Fin planifiée]]),"")</f>
        <v>0</v>
      </c>
      <c r="AI2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4">
        <f>IF(AND([[#This Row],Statut]="Terminé",[[#This Row],[Fin réelle]]&lt;&gt;""),IF([[#This Row],[Fin réelle]]&lt;=[[#This Row],[Fin planifiée]],"Oui","Non"),"")</f>
        <v>0</v>
      </c>
    </row>
    <row r="235" spans="13:36" ht="20" customHeight="1">
      <c r="M235">
        <f>IF(AND([[#This Row],Début]&lt;&gt;"",[[#This Row],[Fin planifiée]]&lt;&gt;""),[[#This Row],[Fin planifiée]]-[[#This Row],Début]+1,"")</f>
        <v>0</v>
      </c>
      <c r="N235">
        <f>IF(AND([[#This Row],Début]&lt;&gt;"",[[#This Row],[Fin réelle]]&lt;&gt;""),[[#This Row],[Fin réelle]]-[[#This Row],Début]+1,"")</f>
        <v>0</v>
      </c>
      <c r="S235">
        <f>[[#This Row],[Budget réalisé]]-[[#This Row],[Budget prévu]]</f>
        <v>0</v>
      </c>
      <c r="T235">
        <f>IF(OR([[#This Row],[Budget prévu]]="",[[#This Row],[Budget réalisé]]=""),"",IF([[#This Row],[Écart (€)]]=0,"À l'équilibre",IF([[#This Row],[Écart (€)]]&gt;0,"Dépassement","Sous budget")))</f>
        <v>0</v>
      </c>
      <c r="W235">
        <f>[[#This Row],[Risque – Probabilité (1-5)]]*[[#This Row],[Risque – Sévérité (1-5)]]</f>
        <v>0</v>
      </c>
      <c r="AC235">
        <f>IF([[#This Row],Effort (jours)]&gt;0,[[#This Row],[Reach (pers.)]]*[[#This Row],[Impact (1-5)]]*[[#This Row],[Confidence (0-1)]]/[[#This Row],[Effort (jours)]],"")</f>
        <v>0</v>
      </c>
      <c r="AG235">
        <f>IF([[#This Row],[Fin planifiée]]&lt;&gt;"",MONTH([[#This Row],[Fin planifiée]]),"")</f>
        <v>0</v>
      </c>
      <c r="AH235">
        <f>IF([[#This Row],[Fin planifiée]]&lt;&gt;"",YEAR([[#This Row],[Fin planifiée]]),"")</f>
        <v>0</v>
      </c>
      <c r="AI2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5">
        <f>IF(AND([[#This Row],Statut]="Terminé",[[#This Row],[Fin réelle]]&lt;&gt;""),IF([[#This Row],[Fin réelle]]&lt;=[[#This Row],[Fin planifiée]],"Oui","Non"),"")</f>
        <v>0</v>
      </c>
    </row>
    <row r="236" spans="13:36" ht="20" customHeight="1">
      <c r="M236">
        <f>IF(AND([[#This Row],Début]&lt;&gt;"",[[#This Row],[Fin planifiée]]&lt;&gt;""),[[#This Row],[Fin planifiée]]-[[#This Row],Début]+1,"")</f>
        <v>0</v>
      </c>
      <c r="N236">
        <f>IF(AND([[#This Row],Début]&lt;&gt;"",[[#This Row],[Fin réelle]]&lt;&gt;""),[[#This Row],[Fin réelle]]-[[#This Row],Début]+1,"")</f>
        <v>0</v>
      </c>
      <c r="S236">
        <f>[[#This Row],[Budget réalisé]]-[[#This Row],[Budget prévu]]</f>
        <v>0</v>
      </c>
      <c r="T236">
        <f>IF(OR([[#This Row],[Budget prévu]]="",[[#This Row],[Budget réalisé]]=""),"",IF([[#This Row],[Écart (€)]]=0,"À l'équilibre",IF([[#This Row],[Écart (€)]]&gt;0,"Dépassement","Sous budget")))</f>
        <v>0</v>
      </c>
      <c r="W236">
        <f>[[#This Row],[Risque – Probabilité (1-5)]]*[[#This Row],[Risque – Sévérité (1-5)]]</f>
        <v>0</v>
      </c>
      <c r="AC236">
        <f>IF([[#This Row],Effort (jours)]&gt;0,[[#This Row],[Reach (pers.)]]*[[#This Row],[Impact (1-5)]]*[[#This Row],[Confidence (0-1)]]/[[#This Row],[Effort (jours)]],"")</f>
        <v>0</v>
      </c>
      <c r="AG236">
        <f>IF([[#This Row],[Fin planifiée]]&lt;&gt;"",MONTH([[#This Row],[Fin planifiée]]),"")</f>
        <v>0</v>
      </c>
      <c r="AH236">
        <f>IF([[#This Row],[Fin planifiée]]&lt;&gt;"",YEAR([[#This Row],[Fin planifiée]]),"")</f>
        <v>0</v>
      </c>
      <c r="AI2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6">
        <f>IF(AND([[#This Row],Statut]="Terminé",[[#This Row],[Fin réelle]]&lt;&gt;""),IF([[#This Row],[Fin réelle]]&lt;=[[#This Row],[Fin planifiée]],"Oui","Non"),"")</f>
        <v>0</v>
      </c>
    </row>
    <row r="237" spans="13:36" ht="20" customHeight="1">
      <c r="M237">
        <f>IF(AND([[#This Row],Début]&lt;&gt;"",[[#This Row],[Fin planifiée]]&lt;&gt;""),[[#This Row],[Fin planifiée]]-[[#This Row],Début]+1,"")</f>
        <v>0</v>
      </c>
      <c r="N237">
        <f>IF(AND([[#This Row],Début]&lt;&gt;"",[[#This Row],[Fin réelle]]&lt;&gt;""),[[#This Row],[Fin réelle]]-[[#This Row],Début]+1,"")</f>
        <v>0</v>
      </c>
      <c r="S237">
        <f>[[#This Row],[Budget réalisé]]-[[#This Row],[Budget prévu]]</f>
        <v>0</v>
      </c>
      <c r="T237">
        <f>IF(OR([[#This Row],[Budget prévu]]="",[[#This Row],[Budget réalisé]]=""),"",IF([[#This Row],[Écart (€)]]=0,"À l'équilibre",IF([[#This Row],[Écart (€)]]&gt;0,"Dépassement","Sous budget")))</f>
        <v>0</v>
      </c>
      <c r="W237">
        <f>[[#This Row],[Risque – Probabilité (1-5)]]*[[#This Row],[Risque – Sévérité (1-5)]]</f>
        <v>0</v>
      </c>
      <c r="AC237">
        <f>IF([[#This Row],Effort (jours)]&gt;0,[[#This Row],[Reach (pers.)]]*[[#This Row],[Impact (1-5)]]*[[#This Row],[Confidence (0-1)]]/[[#This Row],[Effort (jours)]],"")</f>
        <v>0</v>
      </c>
      <c r="AG237">
        <f>IF([[#This Row],[Fin planifiée]]&lt;&gt;"",MONTH([[#This Row],[Fin planifiée]]),"")</f>
        <v>0</v>
      </c>
      <c r="AH237">
        <f>IF([[#This Row],[Fin planifiée]]&lt;&gt;"",YEAR([[#This Row],[Fin planifiée]]),"")</f>
        <v>0</v>
      </c>
      <c r="AI2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7">
        <f>IF(AND([[#This Row],Statut]="Terminé",[[#This Row],[Fin réelle]]&lt;&gt;""),IF([[#This Row],[Fin réelle]]&lt;=[[#This Row],[Fin planifiée]],"Oui","Non"),"")</f>
        <v>0</v>
      </c>
    </row>
    <row r="238" spans="13:36" ht="20" customHeight="1">
      <c r="M238">
        <f>IF(AND([[#This Row],Début]&lt;&gt;"",[[#This Row],[Fin planifiée]]&lt;&gt;""),[[#This Row],[Fin planifiée]]-[[#This Row],Début]+1,"")</f>
        <v>0</v>
      </c>
      <c r="N238">
        <f>IF(AND([[#This Row],Début]&lt;&gt;"",[[#This Row],[Fin réelle]]&lt;&gt;""),[[#This Row],[Fin réelle]]-[[#This Row],Début]+1,"")</f>
        <v>0</v>
      </c>
      <c r="S238">
        <f>[[#This Row],[Budget réalisé]]-[[#This Row],[Budget prévu]]</f>
        <v>0</v>
      </c>
      <c r="T238">
        <f>IF(OR([[#This Row],[Budget prévu]]="",[[#This Row],[Budget réalisé]]=""),"",IF([[#This Row],[Écart (€)]]=0,"À l'équilibre",IF([[#This Row],[Écart (€)]]&gt;0,"Dépassement","Sous budget")))</f>
        <v>0</v>
      </c>
      <c r="W238">
        <f>[[#This Row],[Risque – Probabilité (1-5)]]*[[#This Row],[Risque – Sévérité (1-5)]]</f>
        <v>0</v>
      </c>
      <c r="AC238">
        <f>IF([[#This Row],Effort (jours)]&gt;0,[[#This Row],[Reach (pers.)]]*[[#This Row],[Impact (1-5)]]*[[#This Row],[Confidence (0-1)]]/[[#This Row],[Effort (jours)]],"")</f>
        <v>0</v>
      </c>
      <c r="AG238">
        <f>IF([[#This Row],[Fin planifiée]]&lt;&gt;"",MONTH([[#This Row],[Fin planifiée]]),"")</f>
        <v>0</v>
      </c>
      <c r="AH238">
        <f>IF([[#This Row],[Fin planifiée]]&lt;&gt;"",YEAR([[#This Row],[Fin planifiée]]),"")</f>
        <v>0</v>
      </c>
      <c r="AI2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8">
        <f>IF(AND([[#This Row],Statut]="Terminé",[[#This Row],[Fin réelle]]&lt;&gt;""),IF([[#This Row],[Fin réelle]]&lt;=[[#This Row],[Fin planifiée]],"Oui","Non"),"")</f>
        <v>0</v>
      </c>
    </row>
    <row r="239" spans="13:36" ht="20" customHeight="1">
      <c r="M239">
        <f>IF(AND([[#This Row],Début]&lt;&gt;"",[[#This Row],[Fin planifiée]]&lt;&gt;""),[[#This Row],[Fin planifiée]]-[[#This Row],Début]+1,"")</f>
        <v>0</v>
      </c>
      <c r="N239">
        <f>IF(AND([[#This Row],Début]&lt;&gt;"",[[#This Row],[Fin réelle]]&lt;&gt;""),[[#This Row],[Fin réelle]]-[[#This Row],Début]+1,"")</f>
        <v>0</v>
      </c>
      <c r="S239">
        <f>[[#This Row],[Budget réalisé]]-[[#This Row],[Budget prévu]]</f>
        <v>0</v>
      </c>
      <c r="T239">
        <f>IF(OR([[#This Row],[Budget prévu]]="",[[#This Row],[Budget réalisé]]=""),"",IF([[#This Row],[Écart (€)]]=0,"À l'équilibre",IF([[#This Row],[Écart (€)]]&gt;0,"Dépassement","Sous budget")))</f>
        <v>0</v>
      </c>
      <c r="W239">
        <f>[[#This Row],[Risque – Probabilité (1-5)]]*[[#This Row],[Risque – Sévérité (1-5)]]</f>
        <v>0</v>
      </c>
      <c r="AC239">
        <f>IF([[#This Row],Effort (jours)]&gt;0,[[#This Row],[Reach (pers.)]]*[[#This Row],[Impact (1-5)]]*[[#This Row],[Confidence (0-1)]]/[[#This Row],[Effort (jours)]],"")</f>
        <v>0</v>
      </c>
      <c r="AG239">
        <f>IF([[#This Row],[Fin planifiée]]&lt;&gt;"",MONTH([[#This Row],[Fin planifiée]]),"")</f>
        <v>0</v>
      </c>
      <c r="AH239">
        <f>IF([[#This Row],[Fin planifiée]]&lt;&gt;"",YEAR([[#This Row],[Fin planifiée]]),"")</f>
        <v>0</v>
      </c>
      <c r="AI2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39">
        <f>IF(AND([[#This Row],Statut]="Terminé",[[#This Row],[Fin réelle]]&lt;&gt;""),IF([[#This Row],[Fin réelle]]&lt;=[[#This Row],[Fin planifiée]],"Oui","Non"),"")</f>
        <v>0</v>
      </c>
    </row>
    <row r="240" spans="13:36" ht="20" customHeight="1">
      <c r="M240">
        <f>IF(AND([[#This Row],Début]&lt;&gt;"",[[#This Row],[Fin planifiée]]&lt;&gt;""),[[#This Row],[Fin planifiée]]-[[#This Row],Début]+1,"")</f>
        <v>0</v>
      </c>
      <c r="N240">
        <f>IF(AND([[#This Row],Début]&lt;&gt;"",[[#This Row],[Fin réelle]]&lt;&gt;""),[[#This Row],[Fin réelle]]-[[#This Row],Début]+1,"")</f>
        <v>0</v>
      </c>
      <c r="S240">
        <f>[[#This Row],[Budget réalisé]]-[[#This Row],[Budget prévu]]</f>
        <v>0</v>
      </c>
      <c r="T240">
        <f>IF(OR([[#This Row],[Budget prévu]]="",[[#This Row],[Budget réalisé]]=""),"",IF([[#This Row],[Écart (€)]]=0,"À l'équilibre",IF([[#This Row],[Écart (€)]]&gt;0,"Dépassement","Sous budget")))</f>
        <v>0</v>
      </c>
      <c r="W240">
        <f>[[#This Row],[Risque – Probabilité (1-5)]]*[[#This Row],[Risque – Sévérité (1-5)]]</f>
        <v>0</v>
      </c>
      <c r="AC240">
        <f>IF([[#This Row],Effort (jours)]&gt;0,[[#This Row],[Reach (pers.)]]*[[#This Row],[Impact (1-5)]]*[[#This Row],[Confidence (0-1)]]/[[#This Row],[Effort (jours)]],"")</f>
        <v>0</v>
      </c>
      <c r="AG240">
        <f>IF([[#This Row],[Fin planifiée]]&lt;&gt;"",MONTH([[#This Row],[Fin planifiée]]),"")</f>
        <v>0</v>
      </c>
      <c r="AH240">
        <f>IF([[#This Row],[Fin planifiée]]&lt;&gt;"",YEAR([[#This Row],[Fin planifiée]]),"")</f>
        <v>0</v>
      </c>
      <c r="AI2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0">
        <f>IF(AND([[#This Row],Statut]="Terminé",[[#This Row],[Fin réelle]]&lt;&gt;""),IF([[#This Row],[Fin réelle]]&lt;=[[#This Row],[Fin planifiée]],"Oui","Non"),"")</f>
        <v>0</v>
      </c>
    </row>
    <row r="241" spans="13:36" ht="20" customHeight="1">
      <c r="M241">
        <f>IF(AND([[#This Row],Début]&lt;&gt;"",[[#This Row],[Fin planifiée]]&lt;&gt;""),[[#This Row],[Fin planifiée]]-[[#This Row],Début]+1,"")</f>
        <v>0</v>
      </c>
      <c r="N241">
        <f>IF(AND([[#This Row],Début]&lt;&gt;"",[[#This Row],[Fin réelle]]&lt;&gt;""),[[#This Row],[Fin réelle]]-[[#This Row],Début]+1,"")</f>
        <v>0</v>
      </c>
      <c r="S241">
        <f>[[#This Row],[Budget réalisé]]-[[#This Row],[Budget prévu]]</f>
        <v>0</v>
      </c>
      <c r="T241">
        <f>IF(OR([[#This Row],[Budget prévu]]="",[[#This Row],[Budget réalisé]]=""),"",IF([[#This Row],[Écart (€)]]=0,"À l'équilibre",IF([[#This Row],[Écart (€)]]&gt;0,"Dépassement","Sous budget")))</f>
        <v>0</v>
      </c>
      <c r="W241">
        <f>[[#This Row],[Risque – Probabilité (1-5)]]*[[#This Row],[Risque – Sévérité (1-5)]]</f>
        <v>0</v>
      </c>
      <c r="AC241">
        <f>IF([[#This Row],Effort (jours)]&gt;0,[[#This Row],[Reach (pers.)]]*[[#This Row],[Impact (1-5)]]*[[#This Row],[Confidence (0-1)]]/[[#This Row],[Effort (jours)]],"")</f>
        <v>0</v>
      </c>
      <c r="AG241">
        <f>IF([[#This Row],[Fin planifiée]]&lt;&gt;"",MONTH([[#This Row],[Fin planifiée]]),"")</f>
        <v>0</v>
      </c>
      <c r="AH241">
        <f>IF([[#This Row],[Fin planifiée]]&lt;&gt;"",YEAR([[#This Row],[Fin planifiée]]),"")</f>
        <v>0</v>
      </c>
      <c r="AI2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1">
        <f>IF(AND([[#This Row],Statut]="Terminé",[[#This Row],[Fin réelle]]&lt;&gt;""),IF([[#This Row],[Fin réelle]]&lt;=[[#This Row],[Fin planifiée]],"Oui","Non"),"")</f>
        <v>0</v>
      </c>
    </row>
    <row r="242" spans="13:36" ht="20" customHeight="1">
      <c r="M242">
        <f>IF(AND([[#This Row],Début]&lt;&gt;"",[[#This Row],[Fin planifiée]]&lt;&gt;""),[[#This Row],[Fin planifiée]]-[[#This Row],Début]+1,"")</f>
        <v>0</v>
      </c>
      <c r="N242">
        <f>IF(AND([[#This Row],Début]&lt;&gt;"",[[#This Row],[Fin réelle]]&lt;&gt;""),[[#This Row],[Fin réelle]]-[[#This Row],Début]+1,"")</f>
        <v>0</v>
      </c>
      <c r="S242">
        <f>[[#This Row],[Budget réalisé]]-[[#This Row],[Budget prévu]]</f>
        <v>0</v>
      </c>
      <c r="T242">
        <f>IF(OR([[#This Row],[Budget prévu]]="",[[#This Row],[Budget réalisé]]=""),"",IF([[#This Row],[Écart (€)]]=0,"À l'équilibre",IF([[#This Row],[Écart (€)]]&gt;0,"Dépassement","Sous budget")))</f>
        <v>0</v>
      </c>
      <c r="W242">
        <f>[[#This Row],[Risque – Probabilité (1-5)]]*[[#This Row],[Risque – Sévérité (1-5)]]</f>
        <v>0</v>
      </c>
      <c r="AC242">
        <f>IF([[#This Row],Effort (jours)]&gt;0,[[#This Row],[Reach (pers.)]]*[[#This Row],[Impact (1-5)]]*[[#This Row],[Confidence (0-1)]]/[[#This Row],[Effort (jours)]],"")</f>
        <v>0</v>
      </c>
      <c r="AG242">
        <f>IF([[#This Row],[Fin planifiée]]&lt;&gt;"",MONTH([[#This Row],[Fin planifiée]]),"")</f>
        <v>0</v>
      </c>
      <c r="AH242">
        <f>IF([[#This Row],[Fin planifiée]]&lt;&gt;"",YEAR([[#This Row],[Fin planifiée]]),"")</f>
        <v>0</v>
      </c>
      <c r="AI2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2">
        <f>IF(AND([[#This Row],Statut]="Terminé",[[#This Row],[Fin réelle]]&lt;&gt;""),IF([[#This Row],[Fin réelle]]&lt;=[[#This Row],[Fin planifiée]],"Oui","Non"),"")</f>
        <v>0</v>
      </c>
    </row>
    <row r="243" spans="13:36" ht="20" customHeight="1">
      <c r="M243">
        <f>IF(AND([[#This Row],Début]&lt;&gt;"",[[#This Row],[Fin planifiée]]&lt;&gt;""),[[#This Row],[Fin planifiée]]-[[#This Row],Début]+1,"")</f>
        <v>0</v>
      </c>
      <c r="N243">
        <f>IF(AND([[#This Row],Début]&lt;&gt;"",[[#This Row],[Fin réelle]]&lt;&gt;""),[[#This Row],[Fin réelle]]-[[#This Row],Début]+1,"")</f>
        <v>0</v>
      </c>
      <c r="S243">
        <f>[[#This Row],[Budget réalisé]]-[[#This Row],[Budget prévu]]</f>
        <v>0</v>
      </c>
      <c r="T243">
        <f>IF(OR([[#This Row],[Budget prévu]]="",[[#This Row],[Budget réalisé]]=""),"",IF([[#This Row],[Écart (€)]]=0,"À l'équilibre",IF([[#This Row],[Écart (€)]]&gt;0,"Dépassement","Sous budget")))</f>
        <v>0</v>
      </c>
      <c r="W243">
        <f>[[#This Row],[Risque – Probabilité (1-5)]]*[[#This Row],[Risque – Sévérité (1-5)]]</f>
        <v>0</v>
      </c>
      <c r="AC243">
        <f>IF([[#This Row],Effort (jours)]&gt;0,[[#This Row],[Reach (pers.)]]*[[#This Row],[Impact (1-5)]]*[[#This Row],[Confidence (0-1)]]/[[#This Row],[Effort (jours)]],"")</f>
        <v>0</v>
      </c>
      <c r="AG243">
        <f>IF([[#This Row],[Fin planifiée]]&lt;&gt;"",MONTH([[#This Row],[Fin planifiée]]),"")</f>
        <v>0</v>
      </c>
      <c r="AH243">
        <f>IF([[#This Row],[Fin planifiée]]&lt;&gt;"",YEAR([[#This Row],[Fin planifiée]]),"")</f>
        <v>0</v>
      </c>
      <c r="AI2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3">
        <f>IF(AND([[#This Row],Statut]="Terminé",[[#This Row],[Fin réelle]]&lt;&gt;""),IF([[#This Row],[Fin réelle]]&lt;=[[#This Row],[Fin planifiée]],"Oui","Non"),"")</f>
        <v>0</v>
      </c>
    </row>
    <row r="244" spans="13:36" ht="20" customHeight="1">
      <c r="M244">
        <f>IF(AND([[#This Row],Début]&lt;&gt;"",[[#This Row],[Fin planifiée]]&lt;&gt;""),[[#This Row],[Fin planifiée]]-[[#This Row],Début]+1,"")</f>
        <v>0</v>
      </c>
      <c r="N244">
        <f>IF(AND([[#This Row],Début]&lt;&gt;"",[[#This Row],[Fin réelle]]&lt;&gt;""),[[#This Row],[Fin réelle]]-[[#This Row],Début]+1,"")</f>
        <v>0</v>
      </c>
      <c r="S244">
        <f>[[#This Row],[Budget réalisé]]-[[#This Row],[Budget prévu]]</f>
        <v>0</v>
      </c>
      <c r="T244">
        <f>IF(OR([[#This Row],[Budget prévu]]="",[[#This Row],[Budget réalisé]]=""),"",IF([[#This Row],[Écart (€)]]=0,"À l'équilibre",IF([[#This Row],[Écart (€)]]&gt;0,"Dépassement","Sous budget")))</f>
        <v>0</v>
      </c>
      <c r="W244">
        <f>[[#This Row],[Risque – Probabilité (1-5)]]*[[#This Row],[Risque – Sévérité (1-5)]]</f>
        <v>0</v>
      </c>
      <c r="AC244">
        <f>IF([[#This Row],Effort (jours)]&gt;0,[[#This Row],[Reach (pers.)]]*[[#This Row],[Impact (1-5)]]*[[#This Row],[Confidence (0-1)]]/[[#This Row],[Effort (jours)]],"")</f>
        <v>0</v>
      </c>
      <c r="AG244">
        <f>IF([[#This Row],[Fin planifiée]]&lt;&gt;"",MONTH([[#This Row],[Fin planifiée]]),"")</f>
        <v>0</v>
      </c>
      <c r="AH244">
        <f>IF([[#This Row],[Fin planifiée]]&lt;&gt;"",YEAR([[#This Row],[Fin planifiée]]),"")</f>
        <v>0</v>
      </c>
      <c r="AI2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4">
        <f>IF(AND([[#This Row],Statut]="Terminé",[[#This Row],[Fin réelle]]&lt;&gt;""),IF([[#This Row],[Fin réelle]]&lt;=[[#This Row],[Fin planifiée]],"Oui","Non"),"")</f>
        <v>0</v>
      </c>
    </row>
    <row r="245" spans="13:36" ht="20" customHeight="1">
      <c r="M245">
        <f>IF(AND([[#This Row],Début]&lt;&gt;"",[[#This Row],[Fin planifiée]]&lt;&gt;""),[[#This Row],[Fin planifiée]]-[[#This Row],Début]+1,"")</f>
        <v>0</v>
      </c>
      <c r="N245">
        <f>IF(AND([[#This Row],Début]&lt;&gt;"",[[#This Row],[Fin réelle]]&lt;&gt;""),[[#This Row],[Fin réelle]]-[[#This Row],Début]+1,"")</f>
        <v>0</v>
      </c>
      <c r="S245">
        <f>[[#This Row],[Budget réalisé]]-[[#This Row],[Budget prévu]]</f>
        <v>0</v>
      </c>
      <c r="T245">
        <f>IF(OR([[#This Row],[Budget prévu]]="",[[#This Row],[Budget réalisé]]=""),"",IF([[#This Row],[Écart (€)]]=0,"À l'équilibre",IF([[#This Row],[Écart (€)]]&gt;0,"Dépassement","Sous budget")))</f>
        <v>0</v>
      </c>
      <c r="W245">
        <f>[[#This Row],[Risque – Probabilité (1-5)]]*[[#This Row],[Risque – Sévérité (1-5)]]</f>
        <v>0</v>
      </c>
      <c r="AC245">
        <f>IF([[#This Row],Effort (jours)]&gt;0,[[#This Row],[Reach (pers.)]]*[[#This Row],[Impact (1-5)]]*[[#This Row],[Confidence (0-1)]]/[[#This Row],[Effort (jours)]],"")</f>
        <v>0</v>
      </c>
      <c r="AG245">
        <f>IF([[#This Row],[Fin planifiée]]&lt;&gt;"",MONTH([[#This Row],[Fin planifiée]]),"")</f>
        <v>0</v>
      </c>
      <c r="AH245">
        <f>IF([[#This Row],[Fin planifiée]]&lt;&gt;"",YEAR([[#This Row],[Fin planifiée]]),"")</f>
        <v>0</v>
      </c>
      <c r="AI2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5">
        <f>IF(AND([[#This Row],Statut]="Terminé",[[#This Row],[Fin réelle]]&lt;&gt;""),IF([[#This Row],[Fin réelle]]&lt;=[[#This Row],[Fin planifiée]],"Oui","Non"),"")</f>
        <v>0</v>
      </c>
    </row>
    <row r="246" spans="13:36" ht="20" customHeight="1">
      <c r="M246">
        <f>IF(AND([[#This Row],Début]&lt;&gt;"",[[#This Row],[Fin planifiée]]&lt;&gt;""),[[#This Row],[Fin planifiée]]-[[#This Row],Début]+1,"")</f>
        <v>0</v>
      </c>
      <c r="N246">
        <f>IF(AND([[#This Row],Début]&lt;&gt;"",[[#This Row],[Fin réelle]]&lt;&gt;""),[[#This Row],[Fin réelle]]-[[#This Row],Début]+1,"")</f>
        <v>0</v>
      </c>
      <c r="S246">
        <f>[[#This Row],[Budget réalisé]]-[[#This Row],[Budget prévu]]</f>
        <v>0</v>
      </c>
      <c r="T246">
        <f>IF(OR([[#This Row],[Budget prévu]]="",[[#This Row],[Budget réalisé]]=""),"",IF([[#This Row],[Écart (€)]]=0,"À l'équilibre",IF([[#This Row],[Écart (€)]]&gt;0,"Dépassement","Sous budget")))</f>
        <v>0</v>
      </c>
      <c r="W246">
        <f>[[#This Row],[Risque – Probabilité (1-5)]]*[[#This Row],[Risque – Sévérité (1-5)]]</f>
        <v>0</v>
      </c>
      <c r="AC246">
        <f>IF([[#This Row],Effort (jours)]&gt;0,[[#This Row],[Reach (pers.)]]*[[#This Row],[Impact (1-5)]]*[[#This Row],[Confidence (0-1)]]/[[#This Row],[Effort (jours)]],"")</f>
        <v>0</v>
      </c>
      <c r="AG246">
        <f>IF([[#This Row],[Fin planifiée]]&lt;&gt;"",MONTH([[#This Row],[Fin planifiée]]),"")</f>
        <v>0</v>
      </c>
      <c r="AH246">
        <f>IF([[#This Row],[Fin planifiée]]&lt;&gt;"",YEAR([[#This Row],[Fin planifiée]]),"")</f>
        <v>0</v>
      </c>
      <c r="AI2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6">
        <f>IF(AND([[#This Row],Statut]="Terminé",[[#This Row],[Fin réelle]]&lt;&gt;""),IF([[#This Row],[Fin réelle]]&lt;=[[#This Row],[Fin planifiée]],"Oui","Non"),"")</f>
        <v>0</v>
      </c>
    </row>
    <row r="247" spans="13:36" ht="20" customHeight="1">
      <c r="M247">
        <f>IF(AND([[#This Row],Début]&lt;&gt;"",[[#This Row],[Fin planifiée]]&lt;&gt;""),[[#This Row],[Fin planifiée]]-[[#This Row],Début]+1,"")</f>
        <v>0</v>
      </c>
      <c r="N247">
        <f>IF(AND([[#This Row],Début]&lt;&gt;"",[[#This Row],[Fin réelle]]&lt;&gt;""),[[#This Row],[Fin réelle]]-[[#This Row],Début]+1,"")</f>
        <v>0</v>
      </c>
      <c r="S247">
        <f>[[#This Row],[Budget réalisé]]-[[#This Row],[Budget prévu]]</f>
        <v>0</v>
      </c>
      <c r="T247">
        <f>IF(OR([[#This Row],[Budget prévu]]="",[[#This Row],[Budget réalisé]]=""),"",IF([[#This Row],[Écart (€)]]=0,"À l'équilibre",IF([[#This Row],[Écart (€)]]&gt;0,"Dépassement","Sous budget")))</f>
        <v>0</v>
      </c>
      <c r="W247">
        <f>[[#This Row],[Risque – Probabilité (1-5)]]*[[#This Row],[Risque – Sévérité (1-5)]]</f>
        <v>0</v>
      </c>
      <c r="AC247">
        <f>IF([[#This Row],Effort (jours)]&gt;0,[[#This Row],[Reach (pers.)]]*[[#This Row],[Impact (1-5)]]*[[#This Row],[Confidence (0-1)]]/[[#This Row],[Effort (jours)]],"")</f>
        <v>0</v>
      </c>
      <c r="AG247">
        <f>IF([[#This Row],[Fin planifiée]]&lt;&gt;"",MONTH([[#This Row],[Fin planifiée]]),"")</f>
        <v>0</v>
      </c>
      <c r="AH247">
        <f>IF([[#This Row],[Fin planifiée]]&lt;&gt;"",YEAR([[#This Row],[Fin planifiée]]),"")</f>
        <v>0</v>
      </c>
      <c r="AI2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7">
        <f>IF(AND([[#This Row],Statut]="Terminé",[[#This Row],[Fin réelle]]&lt;&gt;""),IF([[#This Row],[Fin réelle]]&lt;=[[#This Row],[Fin planifiée]],"Oui","Non"),"")</f>
        <v>0</v>
      </c>
    </row>
    <row r="248" spans="13:36" ht="20" customHeight="1">
      <c r="M248">
        <f>IF(AND([[#This Row],Début]&lt;&gt;"",[[#This Row],[Fin planifiée]]&lt;&gt;""),[[#This Row],[Fin planifiée]]-[[#This Row],Début]+1,"")</f>
        <v>0</v>
      </c>
      <c r="N248">
        <f>IF(AND([[#This Row],Début]&lt;&gt;"",[[#This Row],[Fin réelle]]&lt;&gt;""),[[#This Row],[Fin réelle]]-[[#This Row],Début]+1,"")</f>
        <v>0</v>
      </c>
      <c r="S248">
        <f>[[#This Row],[Budget réalisé]]-[[#This Row],[Budget prévu]]</f>
        <v>0</v>
      </c>
      <c r="T248">
        <f>IF(OR([[#This Row],[Budget prévu]]="",[[#This Row],[Budget réalisé]]=""),"",IF([[#This Row],[Écart (€)]]=0,"À l'équilibre",IF([[#This Row],[Écart (€)]]&gt;0,"Dépassement","Sous budget")))</f>
        <v>0</v>
      </c>
      <c r="W248">
        <f>[[#This Row],[Risque – Probabilité (1-5)]]*[[#This Row],[Risque – Sévérité (1-5)]]</f>
        <v>0</v>
      </c>
      <c r="AC248">
        <f>IF([[#This Row],Effort (jours)]&gt;0,[[#This Row],[Reach (pers.)]]*[[#This Row],[Impact (1-5)]]*[[#This Row],[Confidence (0-1)]]/[[#This Row],[Effort (jours)]],"")</f>
        <v>0</v>
      </c>
      <c r="AG248">
        <f>IF([[#This Row],[Fin planifiée]]&lt;&gt;"",MONTH([[#This Row],[Fin planifiée]]),"")</f>
        <v>0</v>
      </c>
      <c r="AH248">
        <f>IF([[#This Row],[Fin planifiée]]&lt;&gt;"",YEAR([[#This Row],[Fin planifiée]]),"")</f>
        <v>0</v>
      </c>
      <c r="AI2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8">
        <f>IF(AND([[#This Row],Statut]="Terminé",[[#This Row],[Fin réelle]]&lt;&gt;""),IF([[#This Row],[Fin réelle]]&lt;=[[#This Row],[Fin planifiée]],"Oui","Non"),"")</f>
        <v>0</v>
      </c>
    </row>
    <row r="249" spans="13:36" ht="20" customHeight="1">
      <c r="M249">
        <f>IF(AND([[#This Row],Début]&lt;&gt;"",[[#This Row],[Fin planifiée]]&lt;&gt;""),[[#This Row],[Fin planifiée]]-[[#This Row],Début]+1,"")</f>
        <v>0</v>
      </c>
      <c r="N249">
        <f>IF(AND([[#This Row],Début]&lt;&gt;"",[[#This Row],[Fin réelle]]&lt;&gt;""),[[#This Row],[Fin réelle]]-[[#This Row],Début]+1,"")</f>
        <v>0</v>
      </c>
      <c r="S249">
        <f>[[#This Row],[Budget réalisé]]-[[#This Row],[Budget prévu]]</f>
        <v>0</v>
      </c>
      <c r="T249">
        <f>IF(OR([[#This Row],[Budget prévu]]="",[[#This Row],[Budget réalisé]]=""),"",IF([[#This Row],[Écart (€)]]=0,"À l'équilibre",IF([[#This Row],[Écart (€)]]&gt;0,"Dépassement","Sous budget")))</f>
        <v>0</v>
      </c>
      <c r="W249">
        <f>[[#This Row],[Risque – Probabilité (1-5)]]*[[#This Row],[Risque – Sévérité (1-5)]]</f>
        <v>0</v>
      </c>
      <c r="AC249">
        <f>IF([[#This Row],Effort (jours)]&gt;0,[[#This Row],[Reach (pers.)]]*[[#This Row],[Impact (1-5)]]*[[#This Row],[Confidence (0-1)]]/[[#This Row],[Effort (jours)]],"")</f>
        <v>0</v>
      </c>
      <c r="AG249">
        <f>IF([[#This Row],[Fin planifiée]]&lt;&gt;"",MONTH([[#This Row],[Fin planifiée]]),"")</f>
        <v>0</v>
      </c>
      <c r="AH249">
        <f>IF([[#This Row],[Fin planifiée]]&lt;&gt;"",YEAR([[#This Row],[Fin planifiée]]),"")</f>
        <v>0</v>
      </c>
      <c r="AI2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49">
        <f>IF(AND([[#This Row],Statut]="Terminé",[[#This Row],[Fin réelle]]&lt;&gt;""),IF([[#This Row],[Fin réelle]]&lt;=[[#This Row],[Fin planifiée]],"Oui","Non"),"")</f>
        <v>0</v>
      </c>
    </row>
    <row r="250" spans="13:36" ht="20" customHeight="1">
      <c r="M250">
        <f>IF(AND([[#This Row],Début]&lt;&gt;"",[[#This Row],[Fin planifiée]]&lt;&gt;""),[[#This Row],[Fin planifiée]]-[[#This Row],Début]+1,"")</f>
        <v>0</v>
      </c>
      <c r="N250">
        <f>IF(AND([[#This Row],Début]&lt;&gt;"",[[#This Row],[Fin réelle]]&lt;&gt;""),[[#This Row],[Fin réelle]]-[[#This Row],Début]+1,"")</f>
        <v>0</v>
      </c>
      <c r="S250">
        <f>[[#This Row],[Budget réalisé]]-[[#This Row],[Budget prévu]]</f>
        <v>0</v>
      </c>
      <c r="T250">
        <f>IF(OR([[#This Row],[Budget prévu]]="",[[#This Row],[Budget réalisé]]=""),"",IF([[#This Row],[Écart (€)]]=0,"À l'équilibre",IF([[#This Row],[Écart (€)]]&gt;0,"Dépassement","Sous budget")))</f>
        <v>0</v>
      </c>
      <c r="W250">
        <f>[[#This Row],[Risque – Probabilité (1-5)]]*[[#This Row],[Risque – Sévérité (1-5)]]</f>
        <v>0</v>
      </c>
      <c r="AC250">
        <f>IF([[#This Row],Effort (jours)]&gt;0,[[#This Row],[Reach (pers.)]]*[[#This Row],[Impact (1-5)]]*[[#This Row],[Confidence (0-1)]]/[[#This Row],[Effort (jours)]],"")</f>
        <v>0</v>
      </c>
      <c r="AG250">
        <f>IF([[#This Row],[Fin planifiée]]&lt;&gt;"",MONTH([[#This Row],[Fin planifiée]]),"")</f>
        <v>0</v>
      </c>
      <c r="AH250">
        <f>IF([[#This Row],[Fin planifiée]]&lt;&gt;"",YEAR([[#This Row],[Fin planifiée]]),"")</f>
        <v>0</v>
      </c>
      <c r="AI2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0">
        <f>IF(AND([[#This Row],Statut]="Terminé",[[#This Row],[Fin réelle]]&lt;&gt;""),IF([[#This Row],[Fin réelle]]&lt;=[[#This Row],[Fin planifiée]],"Oui","Non"),"")</f>
        <v>0</v>
      </c>
    </row>
    <row r="251" spans="13:36" ht="20" customHeight="1">
      <c r="M251">
        <f>IF(AND([[#This Row],Début]&lt;&gt;"",[[#This Row],[Fin planifiée]]&lt;&gt;""),[[#This Row],[Fin planifiée]]-[[#This Row],Début]+1,"")</f>
        <v>0</v>
      </c>
      <c r="N251">
        <f>IF(AND([[#This Row],Début]&lt;&gt;"",[[#This Row],[Fin réelle]]&lt;&gt;""),[[#This Row],[Fin réelle]]-[[#This Row],Début]+1,"")</f>
        <v>0</v>
      </c>
      <c r="S251">
        <f>[[#This Row],[Budget réalisé]]-[[#This Row],[Budget prévu]]</f>
        <v>0</v>
      </c>
      <c r="T251">
        <f>IF(OR([[#This Row],[Budget prévu]]="",[[#This Row],[Budget réalisé]]=""),"",IF([[#This Row],[Écart (€)]]=0,"À l'équilibre",IF([[#This Row],[Écart (€)]]&gt;0,"Dépassement","Sous budget")))</f>
        <v>0</v>
      </c>
      <c r="W251">
        <f>[[#This Row],[Risque – Probabilité (1-5)]]*[[#This Row],[Risque – Sévérité (1-5)]]</f>
        <v>0</v>
      </c>
      <c r="AC251">
        <f>IF([[#This Row],Effort (jours)]&gt;0,[[#This Row],[Reach (pers.)]]*[[#This Row],[Impact (1-5)]]*[[#This Row],[Confidence (0-1)]]/[[#This Row],[Effort (jours)]],"")</f>
        <v>0</v>
      </c>
      <c r="AG251">
        <f>IF([[#This Row],[Fin planifiée]]&lt;&gt;"",MONTH([[#This Row],[Fin planifiée]]),"")</f>
        <v>0</v>
      </c>
      <c r="AH251">
        <f>IF([[#This Row],[Fin planifiée]]&lt;&gt;"",YEAR([[#This Row],[Fin planifiée]]),"")</f>
        <v>0</v>
      </c>
      <c r="AI2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1">
        <f>IF(AND([[#This Row],Statut]="Terminé",[[#This Row],[Fin réelle]]&lt;&gt;""),IF([[#This Row],[Fin réelle]]&lt;=[[#This Row],[Fin planifiée]],"Oui","Non"),"")</f>
        <v>0</v>
      </c>
    </row>
    <row r="252" spans="13:36" ht="20" customHeight="1">
      <c r="M252">
        <f>IF(AND([[#This Row],Début]&lt;&gt;"",[[#This Row],[Fin planifiée]]&lt;&gt;""),[[#This Row],[Fin planifiée]]-[[#This Row],Début]+1,"")</f>
        <v>0</v>
      </c>
      <c r="N252">
        <f>IF(AND([[#This Row],Début]&lt;&gt;"",[[#This Row],[Fin réelle]]&lt;&gt;""),[[#This Row],[Fin réelle]]-[[#This Row],Début]+1,"")</f>
        <v>0</v>
      </c>
      <c r="S252">
        <f>[[#This Row],[Budget réalisé]]-[[#This Row],[Budget prévu]]</f>
        <v>0</v>
      </c>
      <c r="T252">
        <f>IF(OR([[#This Row],[Budget prévu]]="",[[#This Row],[Budget réalisé]]=""),"",IF([[#This Row],[Écart (€)]]=0,"À l'équilibre",IF([[#This Row],[Écart (€)]]&gt;0,"Dépassement","Sous budget")))</f>
        <v>0</v>
      </c>
      <c r="W252">
        <f>[[#This Row],[Risque – Probabilité (1-5)]]*[[#This Row],[Risque – Sévérité (1-5)]]</f>
        <v>0</v>
      </c>
      <c r="AC252">
        <f>IF([[#This Row],Effort (jours)]&gt;0,[[#This Row],[Reach (pers.)]]*[[#This Row],[Impact (1-5)]]*[[#This Row],[Confidence (0-1)]]/[[#This Row],[Effort (jours)]],"")</f>
        <v>0</v>
      </c>
      <c r="AG252">
        <f>IF([[#This Row],[Fin planifiée]]&lt;&gt;"",MONTH([[#This Row],[Fin planifiée]]),"")</f>
        <v>0</v>
      </c>
      <c r="AH252">
        <f>IF([[#This Row],[Fin planifiée]]&lt;&gt;"",YEAR([[#This Row],[Fin planifiée]]),"")</f>
        <v>0</v>
      </c>
      <c r="AI2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2">
        <f>IF(AND([[#This Row],Statut]="Terminé",[[#This Row],[Fin réelle]]&lt;&gt;""),IF([[#This Row],[Fin réelle]]&lt;=[[#This Row],[Fin planifiée]],"Oui","Non"),"")</f>
        <v>0</v>
      </c>
    </row>
    <row r="253" spans="13:36" ht="20" customHeight="1">
      <c r="M253">
        <f>IF(AND([[#This Row],Début]&lt;&gt;"",[[#This Row],[Fin planifiée]]&lt;&gt;""),[[#This Row],[Fin planifiée]]-[[#This Row],Début]+1,"")</f>
        <v>0</v>
      </c>
      <c r="N253">
        <f>IF(AND([[#This Row],Début]&lt;&gt;"",[[#This Row],[Fin réelle]]&lt;&gt;""),[[#This Row],[Fin réelle]]-[[#This Row],Début]+1,"")</f>
        <v>0</v>
      </c>
      <c r="S253">
        <f>[[#This Row],[Budget réalisé]]-[[#This Row],[Budget prévu]]</f>
        <v>0</v>
      </c>
      <c r="T253">
        <f>IF(OR([[#This Row],[Budget prévu]]="",[[#This Row],[Budget réalisé]]=""),"",IF([[#This Row],[Écart (€)]]=0,"À l'équilibre",IF([[#This Row],[Écart (€)]]&gt;0,"Dépassement","Sous budget")))</f>
        <v>0</v>
      </c>
      <c r="W253">
        <f>[[#This Row],[Risque – Probabilité (1-5)]]*[[#This Row],[Risque – Sévérité (1-5)]]</f>
        <v>0</v>
      </c>
      <c r="AC253">
        <f>IF([[#This Row],Effort (jours)]&gt;0,[[#This Row],[Reach (pers.)]]*[[#This Row],[Impact (1-5)]]*[[#This Row],[Confidence (0-1)]]/[[#This Row],[Effort (jours)]],"")</f>
        <v>0</v>
      </c>
      <c r="AG253">
        <f>IF([[#This Row],[Fin planifiée]]&lt;&gt;"",MONTH([[#This Row],[Fin planifiée]]),"")</f>
        <v>0</v>
      </c>
      <c r="AH253">
        <f>IF([[#This Row],[Fin planifiée]]&lt;&gt;"",YEAR([[#This Row],[Fin planifiée]]),"")</f>
        <v>0</v>
      </c>
      <c r="AI2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3">
        <f>IF(AND([[#This Row],Statut]="Terminé",[[#This Row],[Fin réelle]]&lt;&gt;""),IF([[#This Row],[Fin réelle]]&lt;=[[#This Row],[Fin planifiée]],"Oui","Non"),"")</f>
        <v>0</v>
      </c>
    </row>
    <row r="254" spans="13:36" ht="20" customHeight="1">
      <c r="M254">
        <f>IF(AND([[#This Row],Début]&lt;&gt;"",[[#This Row],[Fin planifiée]]&lt;&gt;""),[[#This Row],[Fin planifiée]]-[[#This Row],Début]+1,"")</f>
        <v>0</v>
      </c>
      <c r="N254">
        <f>IF(AND([[#This Row],Début]&lt;&gt;"",[[#This Row],[Fin réelle]]&lt;&gt;""),[[#This Row],[Fin réelle]]-[[#This Row],Début]+1,"")</f>
        <v>0</v>
      </c>
      <c r="S254">
        <f>[[#This Row],[Budget réalisé]]-[[#This Row],[Budget prévu]]</f>
        <v>0</v>
      </c>
      <c r="T254">
        <f>IF(OR([[#This Row],[Budget prévu]]="",[[#This Row],[Budget réalisé]]=""),"",IF([[#This Row],[Écart (€)]]=0,"À l'équilibre",IF([[#This Row],[Écart (€)]]&gt;0,"Dépassement","Sous budget")))</f>
        <v>0</v>
      </c>
      <c r="W254">
        <f>[[#This Row],[Risque – Probabilité (1-5)]]*[[#This Row],[Risque – Sévérité (1-5)]]</f>
        <v>0</v>
      </c>
      <c r="AC254">
        <f>IF([[#This Row],Effort (jours)]&gt;0,[[#This Row],[Reach (pers.)]]*[[#This Row],[Impact (1-5)]]*[[#This Row],[Confidence (0-1)]]/[[#This Row],[Effort (jours)]],"")</f>
        <v>0</v>
      </c>
      <c r="AG254">
        <f>IF([[#This Row],[Fin planifiée]]&lt;&gt;"",MONTH([[#This Row],[Fin planifiée]]),"")</f>
        <v>0</v>
      </c>
      <c r="AH254">
        <f>IF([[#This Row],[Fin planifiée]]&lt;&gt;"",YEAR([[#This Row],[Fin planifiée]]),"")</f>
        <v>0</v>
      </c>
      <c r="AI2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4">
        <f>IF(AND([[#This Row],Statut]="Terminé",[[#This Row],[Fin réelle]]&lt;&gt;""),IF([[#This Row],[Fin réelle]]&lt;=[[#This Row],[Fin planifiée]],"Oui","Non"),"")</f>
        <v>0</v>
      </c>
    </row>
    <row r="255" spans="13:36" ht="20" customHeight="1">
      <c r="M255">
        <f>IF(AND([[#This Row],Début]&lt;&gt;"",[[#This Row],[Fin planifiée]]&lt;&gt;""),[[#This Row],[Fin planifiée]]-[[#This Row],Début]+1,"")</f>
        <v>0</v>
      </c>
      <c r="N255">
        <f>IF(AND([[#This Row],Début]&lt;&gt;"",[[#This Row],[Fin réelle]]&lt;&gt;""),[[#This Row],[Fin réelle]]-[[#This Row],Début]+1,"")</f>
        <v>0</v>
      </c>
      <c r="S255">
        <f>[[#This Row],[Budget réalisé]]-[[#This Row],[Budget prévu]]</f>
        <v>0</v>
      </c>
      <c r="T255">
        <f>IF(OR([[#This Row],[Budget prévu]]="",[[#This Row],[Budget réalisé]]=""),"",IF([[#This Row],[Écart (€)]]=0,"À l'équilibre",IF([[#This Row],[Écart (€)]]&gt;0,"Dépassement","Sous budget")))</f>
        <v>0</v>
      </c>
      <c r="W255">
        <f>[[#This Row],[Risque – Probabilité (1-5)]]*[[#This Row],[Risque – Sévérité (1-5)]]</f>
        <v>0</v>
      </c>
      <c r="AC255">
        <f>IF([[#This Row],Effort (jours)]&gt;0,[[#This Row],[Reach (pers.)]]*[[#This Row],[Impact (1-5)]]*[[#This Row],[Confidence (0-1)]]/[[#This Row],[Effort (jours)]],"")</f>
        <v>0</v>
      </c>
      <c r="AG255">
        <f>IF([[#This Row],[Fin planifiée]]&lt;&gt;"",MONTH([[#This Row],[Fin planifiée]]),"")</f>
        <v>0</v>
      </c>
      <c r="AH255">
        <f>IF([[#This Row],[Fin planifiée]]&lt;&gt;"",YEAR([[#This Row],[Fin planifiée]]),"")</f>
        <v>0</v>
      </c>
      <c r="AI2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5">
        <f>IF(AND([[#This Row],Statut]="Terminé",[[#This Row],[Fin réelle]]&lt;&gt;""),IF([[#This Row],[Fin réelle]]&lt;=[[#This Row],[Fin planifiée]],"Oui","Non"),"")</f>
        <v>0</v>
      </c>
    </row>
    <row r="256" spans="13:36" ht="20" customHeight="1">
      <c r="M256">
        <f>IF(AND([[#This Row],Début]&lt;&gt;"",[[#This Row],[Fin planifiée]]&lt;&gt;""),[[#This Row],[Fin planifiée]]-[[#This Row],Début]+1,"")</f>
        <v>0</v>
      </c>
      <c r="N256">
        <f>IF(AND([[#This Row],Début]&lt;&gt;"",[[#This Row],[Fin réelle]]&lt;&gt;""),[[#This Row],[Fin réelle]]-[[#This Row],Début]+1,"")</f>
        <v>0</v>
      </c>
      <c r="S256">
        <f>[[#This Row],[Budget réalisé]]-[[#This Row],[Budget prévu]]</f>
        <v>0</v>
      </c>
      <c r="T256">
        <f>IF(OR([[#This Row],[Budget prévu]]="",[[#This Row],[Budget réalisé]]=""),"",IF([[#This Row],[Écart (€)]]=0,"À l'équilibre",IF([[#This Row],[Écart (€)]]&gt;0,"Dépassement","Sous budget")))</f>
        <v>0</v>
      </c>
      <c r="W256">
        <f>[[#This Row],[Risque – Probabilité (1-5)]]*[[#This Row],[Risque – Sévérité (1-5)]]</f>
        <v>0</v>
      </c>
      <c r="AC256">
        <f>IF([[#This Row],Effort (jours)]&gt;0,[[#This Row],[Reach (pers.)]]*[[#This Row],[Impact (1-5)]]*[[#This Row],[Confidence (0-1)]]/[[#This Row],[Effort (jours)]],"")</f>
        <v>0</v>
      </c>
      <c r="AG256">
        <f>IF([[#This Row],[Fin planifiée]]&lt;&gt;"",MONTH([[#This Row],[Fin planifiée]]),"")</f>
        <v>0</v>
      </c>
      <c r="AH256">
        <f>IF([[#This Row],[Fin planifiée]]&lt;&gt;"",YEAR([[#This Row],[Fin planifiée]]),"")</f>
        <v>0</v>
      </c>
      <c r="AI2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6">
        <f>IF(AND([[#This Row],Statut]="Terminé",[[#This Row],[Fin réelle]]&lt;&gt;""),IF([[#This Row],[Fin réelle]]&lt;=[[#This Row],[Fin planifiée]],"Oui","Non"),"")</f>
        <v>0</v>
      </c>
    </row>
    <row r="257" spans="13:36" ht="20" customHeight="1">
      <c r="M257">
        <f>IF(AND([[#This Row],Début]&lt;&gt;"",[[#This Row],[Fin planifiée]]&lt;&gt;""),[[#This Row],[Fin planifiée]]-[[#This Row],Début]+1,"")</f>
        <v>0</v>
      </c>
      <c r="N257">
        <f>IF(AND([[#This Row],Début]&lt;&gt;"",[[#This Row],[Fin réelle]]&lt;&gt;""),[[#This Row],[Fin réelle]]-[[#This Row],Début]+1,"")</f>
        <v>0</v>
      </c>
      <c r="S257">
        <f>[[#This Row],[Budget réalisé]]-[[#This Row],[Budget prévu]]</f>
        <v>0</v>
      </c>
      <c r="T257">
        <f>IF(OR([[#This Row],[Budget prévu]]="",[[#This Row],[Budget réalisé]]=""),"",IF([[#This Row],[Écart (€)]]=0,"À l'équilibre",IF([[#This Row],[Écart (€)]]&gt;0,"Dépassement","Sous budget")))</f>
        <v>0</v>
      </c>
      <c r="W257">
        <f>[[#This Row],[Risque – Probabilité (1-5)]]*[[#This Row],[Risque – Sévérité (1-5)]]</f>
        <v>0</v>
      </c>
      <c r="AC257">
        <f>IF([[#This Row],Effort (jours)]&gt;0,[[#This Row],[Reach (pers.)]]*[[#This Row],[Impact (1-5)]]*[[#This Row],[Confidence (0-1)]]/[[#This Row],[Effort (jours)]],"")</f>
        <v>0</v>
      </c>
      <c r="AG257">
        <f>IF([[#This Row],[Fin planifiée]]&lt;&gt;"",MONTH([[#This Row],[Fin planifiée]]),"")</f>
        <v>0</v>
      </c>
      <c r="AH257">
        <f>IF([[#This Row],[Fin planifiée]]&lt;&gt;"",YEAR([[#This Row],[Fin planifiée]]),"")</f>
        <v>0</v>
      </c>
      <c r="AI2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7">
        <f>IF(AND([[#This Row],Statut]="Terminé",[[#This Row],[Fin réelle]]&lt;&gt;""),IF([[#This Row],[Fin réelle]]&lt;=[[#This Row],[Fin planifiée]],"Oui","Non"),"")</f>
        <v>0</v>
      </c>
    </row>
    <row r="258" spans="13:36" ht="20" customHeight="1">
      <c r="M258">
        <f>IF(AND([[#This Row],Début]&lt;&gt;"",[[#This Row],[Fin planifiée]]&lt;&gt;""),[[#This Row],[Fin planifiée]]-[[#This Row],Début]+1,"")</f>
        <v>0</v>
      </c>
      <c r="N258">
        <f>IF(AND([[#This Row],Début]&lt;&gt;"",[[#This Row],[Fin réelle]]&lt;&gt;""),[[#This Row],[Fin réelle]]-[[#This Row],Début]+1,"")</f>
        <v>0</v>
      </c>
      <c r="S258">
        <f>[[#This Row],[Budget réalisé]]-[[#This Row],[Budget prévu]]</f>
        <v>0</v>
      </c>
      <c r="T258">
        <f>IF(OR([[#This Row],[Budget prévu]]="",[[#This Row],[Budget réalisé]]=""),"",IF([[#This Row],[Écart (€)]]=0,"À l'équilibre",IF([[#This Row],[Écart (€)]]&gt;0,"Dépassement","Sous budget")))</f>
        <v>0</v>
      </c>
      <c r="W258">
        <f>[[#This Row],[Risque – Probabilité (1-5)]]*[[#This Row],[Risque – Sévérité (1-5)]]</f>
        <v>0</v>
      </c>
      <c r="AC258">
        <f>IF([[#This Row],Effort (jours)]&gt;0,[[#This Row],[Reach (pers.)]]*[[#This Row],[Impact (1-5)]]*[[#This Row],[Confidence (0-1)]]/[[#This Row],[Effort (jours)]],"")</f>
        <v>0</v>
      </c>
      <c r="AG258">
        <f>IF([[#This Row],[Fin planifiée]]&lt;&gt;"",MONTH([[#This Row],[Fin planifiée]]),"")</f>
        <v>0</v>
      </c>
      <c r="AH258">
        <f>IF([[#This Row],[Fin planifiée]]&lt;&gt;"",YEAR([[#This Row],[Fin planifiée]]),"")</f>
        <v>0</v>
      </c>
      <c r="AI2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8">
        <f>IF(AND([[#This Row],Statut]="Terminé",[[#This Row],[Fin réelle]]&lt;&gt;""),IF([[#This Row],[Fin réelle]]&lt;=[[#This Row],[Fin planifiée]],"Oui","Non"),"")</f>
        <v>0</v>
      </c>
    </row>
    <row r="259" spans="13:36" ht="20" customHeight="1">
      <c r="M259">
        <f>IF(AND([[#This Row],Début]&lt;&gt;"",[[#This Row],[Fin planifiée]]&lt;&gt;""),[[#This Row],[Fin planifiée]]-[[#This Row],Début]+1,"")</f>
        <v>0</v>
      </c>
      <c r="N259">
        <f>IF(AND([[#This Row],Début]&lt;&gt;"",[[#This Row],[Fin réelle]]&lt;&gt;""),[[#This Row],[Fin réelle]]-[[#This Row],Début]+1,"")</f>
        <v>0</v>
      </c>
      <c r="S259">
        <f>[[#This Row],[Budget réalisé]]-[[#This Row],[Budget prévu]]</f>
        <v>0</v>
      </c>
      <c r="T259">
        <f>IF(OR([[#This Row],[Budget prévu]]="",[[#This Row],[Budget réalisé]]=""),"",IF([[#This Row],[Écart (€)]]=0,"À l'équilibre",IF([[#This Row],[Écart (€)]]&gt;0,"Dépassement","Sous budget")))</f>
        <v>0</v>
      </c>
      <c r="W259">
        <f>[[#This Row],[Risque – Probabilité (1-5)]]*[[#This Row],[Risque – Sévérité (1-5)]]</f>
        <v>0</v>
      </c>
      <c r="AC259">
        <f>IF([[#This Row],Effort (jours)]&gt;0,[[#This Row],[Reach (pers.)]]*[[#This Row],[Impact (1-5)]]*[[#This Row],[Confidence (0-1)]]/[[#This Row],[Effort (jours)]],"")</f>
        <v>0</v>
      </c>
      <c r="AG259">
        <f>IF([[#This Row],[Fin planifiée]]&lt;&gt;"",MONTH([[#This Row],[Fin planifiée]]),"")</f>
        <v>0</v>
      </c>
      <c r="AH259">
        <f>IF([[#This Row],[Fin planifiée]]&lt;&gt;"",YEAR([[#This Row],[Fin planifiée]]),"")</f>
        <v>0</v>
      </c>
      <c r="AI2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59">
        <f>IF(AND([[#This Row],Statut]="Terminé",[[#This Row],[Fin réelle]]&lt;&gt;""),IF([[#This Row],[Fin réelle]]&lt;=[[#This Row],[Fin planifiée]],"Oui","Non"),"")</f>
        <v>0</v>
      </c>
    </row>
    <row r="260" spans="13:36" ht="20" customHeight="1">
      <c r="M260">
        <f>IF(AND([[#This Row],Début]&lt;&gt;"",[[#This Row],[Fin planifiée]]&lt;&gt;""),[[#This Row],[Fin planifiée]]-[[#This Row],Début]+1,"")</f>
        <v>0</v>
      </c>
      <c r="N260">
        <f>IF(AND([[#This Row],Début]&lt;&gt;"",[[#This Row],[Fin réelle]]&lt;&gt;""),[[#This Row],[Fin réelle]]-[[#This Row],Début]+1,"")</f>
        <v>0</v>
      </c>
      <c r="S260">
        <f>[[#This Row],[Budget réalisé]]-[[#This Row],[Budget prévu]]</f>
        <v>0</v>
      </c>
      <c r="T260">
        <f>IF(OR([[#This Row],[Budget prévu]]="",[[#This Row],[Budget réalisé]]=""),"",IF([[#This Row],[Écart (€)]]=0,"À l'équilibre",IF([[#This Row],[Écart (€)]]&gt;0,"Dépassement","Sous budget")))</f>
        <v>0</v>
      </c>
      <c r="W260">
        <f>[[#This Row],[Risque – Probabilité (1-5)]]*[[#This Row],[Risque – Sévérité (1-5)]]</f>
        <v>0</v>
      </c>
      <c r="AC260">
        <f>IF([[#This Row],Effort (jours)]&gt;0,[[#This Row],[Reach (pers.)]]*[[#This Row],[Impact (1-5)]]*[[#This Row],[Confidence (0-1)]]/[[#This Row],[Effort (jours)]],"")</f>
        <v>0</v>
      </c>
      <c r="AG260">
        <f>IF([[#This Row],[Fin planifiée]]&lt;&gt;"",MONTH([[#This Row],[Fin planifiée]]),"")</f>
        <v>0</v>
      </c>
      <c r="AH260">
        <f>IF([[#This Row],[Fin planifiée]]&lt;&gt;"",YEAR([[#This Row],[Fin planifiée]]),"")</f>
        <v>0</v>
      </c>
      <c r="AI2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0">
        <f>IF(AND([[#This Row],Statut]="Terminé",[[#This Row],[Fin réelle]]&lt;&gt;""),IF([[#This Row],[Fin réelle]]&lt;=[[#This Row],[Fin planifiée]],"Oui","Non"),"")</f>
        <v>0</v>
      </c>
    </row>
    <row r="261" spans="13:36" ht="20" customHeight="1">
      <c r="M261">
        <f>IF(AND([[#This Row],Début]&lt;&gt;"",[[#This Row],[Fin planifiée]]&lt;&gt;""),[[#This Row],[Fin planifiée]]-[[#This Row],Début]+1,"")</f>
        <v>0</v>
      </c>
      <c r="N261">
        <f>IF(AND([[#This Row],Début]&lt;&gt;"",[[#This Row],[Fin réelle]]&lt;&gt;""),[[#This Row],[Fin réelle]]-[[#This Row],Début]+1,"")</f>
        <v>0</v>
      </c>
      <c r="S261">
        <f>[[#This Row],[Budget réalisé]]-[[#This Row],[Budget prévu]]</f>
        <v>0</v>
      </c>
      <c r="T261">
        <f>IF(OR([[#This Row],[Budget prévu]]="",[[#This Row],[Budget réalisé]]=""),"",IF([[#This Row],[Écart (€)]]=0,"À l'équilibre",IF([[#This Row],[Écart (€)]]&gt;0,"Dépassement","Sous budget")))</f>
        <v>0</v>
      </c>
      <c r="W261">
        <f>[[#This Row],[Risque – Probabilité (1-5)]]*[[#This Row],[Risque – Sévérité (1-5)]]</f>
        <v>0</v>
      </c>
      <c r="AC261">
        <f>IF([[#This Row],Effort (jours)]&gt;0,[[#This Row],[Reach (pers.)]]*[[#This Row],[Impact (1-5)]]*[[#This Row],[Confidence (0-1)]]/[[#This Row],[Effort (jours)]],"")</f>
        <v>0</v>
      </c>
      <c r="AG261">
        <f>IF([[#This Row],[Fin planifiée]]&lt;&gt;"",MONTH([[#This Row],[Fin planifiée]]),"")</f>
        <v>0</v>
      </c>
      <c r="AH261">
        <f>IF([[#This Row],[Fin planifiée]]&lt;&gt;"",YEAR([[#This Row],[Fin planifiée]]),"")</f>
        <v>0</v>
      </c>
      <c r="AI2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1">
        <f>IF(AND([[#This Row],Statut]="Terminé",[[#This Row],[Fin réelle]]&lt;&gt;""),IF([[#This Row],[Fin réelle]]&lt;=[[#This Row],[Fin planifiée]],"Oui","Non"),"")</f>
        <v>0</v>
      </c>
    </row>
    <row r="262" spans="13:36" ht="20" customHeight="1">
      <c r="M262">
        <f>IF(AND([[#This Row],Début]&lt;&gt;"",[[#This Row],[Fin planifiée]]&lt;&gt;""),[[#This Row],[Fin planifiée]]-[[#This Row],Début]+1,"")</f>
        <v>0</v>
      </c>
      <c r="N262">
        <f>IF(AND([[#This Row],Début]&lt;&gt;"",[[#This Row],[Fin réelle]]&lt;&gt;""),[[#This Row],[Fin réelle]]-[[#This Row],Début]+1,"")</f>
        <v>0</v>
      </c>
      <c r="S262">
        <f>[[#This Row],[Budget réalisé]]-[[#This Row],[Budget prévu]]</f>
        <v>0</v>
      </c>
      <c r="T262">
        <f>IF(OR([[#This Row],[Budget prévu]]="",[[#This Row],[Budget réalisé]]=""),"",IF([[#This Row],[Écart (€)]]=0,"À l'équilibre",IF([[#This Row],[Écart (€)]]&gt;0,"Dépassement","Sous budget")))</f>
        <v>0</v>
      </c>
      <c r="W262">
        <f>[[#This Row],[Risque – Probabilité (1-5)]]*[[#This Row],[Risque – Sévérité (1-5)]]</f>
        <v>0</v>
      </c>
      <c r="AC262">
        <f>IF([[#This Row],Effort (jours)]&gt;0,[[#This Row],[Reach (pers.)]]*[[#This Row],[Impact (1-5)]]*[[#This Row],[Confidence (0-1)]]/[[#This Row],[Effort (jours)]],"")</f>
        <v>0</v>
      </c>
      <c r="AG262">
        <f>IF([[#This Row],[Fin planifiée]]&lt;&gt;"",MONTH([[#This Row],[Fin planifiée]]),"")</f>
        <v>0</v>
      </c>
      <c r="AH262">
        <f>IF([[#This Row],[Fin planifiée]]&lt;&gt;"",YEAR([[#This Row],[Fin planifiée]]),"")</f>
        <v>0</v>
      </c>
      <c r="AI2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2">
        <f>IF(AND([[#This Row],Statut]="Terminé",[[#This Row],[Fin réelle]]&lt;&gt;""),IF([[#This Row],[Fin réelle]]&lt;=[[#This Row],[Fin planifiée]],"Oui","Non"),"")</f>
        <v>0</v>
      </c>
    </row>
    <row r="263" spans="13:36" ht="20" customHeight="1">
      <c r="M263">
        <f>IF(AND([[#This Row],Début]&lt;&gt;"",[[#This Row],[Fin planifiée]]&lt;&gt;""),[[#This Row],[Fin planifiée]]-[[#This Row],Début]+1,"")</f>
        <v>0</v>
      </c>
      <c r="N263">
        <f>IF(AND([[#This Row],Début]&lt;&gt;"",[[#This Row],[Fin réelle]]&lt;&gt;""),[[#This Row],[Fin réelle]]-[[#This Row],Début]+1,"")</f>
        <v>0</v>
      </c>
      <c r="S263">
        <f>[[#This Row],[Budget réalisé]]-[[#This Row],[Budget prévu]]</f>
        <v>0</v>
      </c>
      <c r="T263">
        <f>IF(OR([[#This Row],[Budget prévu]]="",[[#This Row],[Budget réalisé]]=""),"",IF([[#This Row],[Écart (€)]]=0,"À l'équilibre",IF([[#This Row],[Écart (€)]]&gt;0,"Dépassement","Sous budget")))</f>
        <v>0</v>
      </c>
      <c r="W263">
        <f>[[#This Row],[Risque – Probabilité (1-5)]]*[[#This Row],[Risque – Sévérité (1-5)]]</f>
        <v>0</v>
      </c>
      <c r="AC263">
        <f>IF([[#This Row],Effort (jours)]&gt;0,[[#This Row],[Reach (pers.)]]*[[#This Row],[Impact (1-5)]]*[[#This Row],[Confidence (0-1)]]/[[#This Row],[Effort (jours)]],"")</f>
        <v>0</v>
      </c>
      <c r="AG263">
        <f>IF([[#This Row],[Fin planifiée]]&lt;&gt;"",MONTH([[#This Row],[Fin planifiée]]),"")</f>
        <v>0</v>
      </c>
      <c r="AH263">
        <f>IF([[#This Row],[Fin planifiée]]&lt;&gt;"",YEAR([[#This Row],[Fin planifiée]]),"")</f>
        <v>0</v>
      </c>
      <c r="AI2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3">
        <f>IF(AND([[#This Row],Statut]="Terminé",[[#This Row],[Fin réelle]]&lt;&gt;""),IF([[#This Row],[Fin réelle]]&lt;=[[#This Row],[Fin planifiée]],"Oui","Non"),"")</f>
        <v>0</v>
      </c>
    </row>
    <row r="264" spans="13:36" ht="20" customHeight="1">
      <c r="M264">
        <f>IF(AND([[#This Row],Début]&lt;&gt;"",[[#This Row],[Fin planifiée]]&lt;&gt;""),[[#This Row],[Fin planifiée]]-[[#This Row],Début]+1,"")</f>
        <v>0</v>
      </c>
      <c r="N264">
        <f>IF(AND([[#This Row],Début]&lt;&gt;"",[[#This Row],[Fin réelle]]&lt;&gt;""),[[#This Row],[Fin réelle]]-[[#This Row],Début]+1,"")</f>
        <v>0</v>
      </c>
      <c r="S264">
        <f>[[#This Row],[Budget réalisé]]-[[#This Row],[Budget prévu]]</f>
        <v>0</v>
      </c>
      <c r="T264">
        <f>IF(OR([[#This Row],[Budget prévu]]="",[[#This Row],[Budget réalisé]]=""),"",IF([[#This Row],[Écart (€)]]=0,"À l'équilibre",IF([[#This Row],[Écart (€)]]&gt;0,"Dépassement","Sous budget")))</f>
        <v>0</v>
      </c>
      <c r="W264">
        <f>[[#This Row],[Risque – Probabilité (1-5)]]*[[#This Row],[Risque – Sévérité (1-5)]]</f>
        <v>0</v>
      </c>
      <c r="AC264">
        <f>IF([[#This Row],Effort (jours)]&gt;0,[[#This Row],[Reach (pers.)]]*[[#This Row],[Impact (1-5)]]*[[#This Row],[Confidence (0-1)]]/[[#This Row],[Effort (jours)]],"")</f>
        <v>0</v>
      </c>
      <c r="AG264">
        <f>IF([[#This Row],[Fin planifiée]]&lt;&gt;"",MONTH([[#This Row],[Fin planifiée]]),"")</f>
        <v>0</v>
      </c>
      <c r="AH264">
        <f>IF([[#This Row],[Fin planifiée]]&lt;&gt;"",YEAR([[#This Row],[Fin planifiée]]),"")</f>
        <v>0</v>
      </c>
      <c r="AI2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4">
        <f>IF(AND([[#This Row],Statut]="Terminé",[[#This Row],[Fin réelle]]&lt;&gt;""),IF([[#This Row],[Fin réelle]]&lt;=[[#This Row],[Fin planifiée]],"Oui","Non"),"")</f>
        <v>0</v>
      </c>
    </row>
    <row r="265" spans="13:36" ht="20" customHeight="1">
      <c r="M265">
        <f>IF(AND([[#This Row],Début]&lt;&gt;"",[[#This Row],[Fin planifiée]]&lt;&gt;""),[[#This Row],[Fin planifiée]]-[[#This Row],Début]+1,"")</f>
        <v>0</v>
      </c>
      <c r="N265">
        <f>IF(AND([[#This Row],Début]&lt;&gt;"",[[#This Row],[Fin réelle]]&lt;&gt;""),[[#This Row],[Fin réelle]]-[[#This Row],Début]+1,"")</f>
        <v>0</v>
      </c>
      <c r="S265">
        <f>[[#This Row],[Budget réalisé]]-[[#This Row],[Budget prévu]]</f>
        <v>0</v>
      </c>
      <c r="T265">
        <f>IF(OR([[#This Row],[Budget prévu]]="",[[#This Row],[Budget réalisé]]=""),"",IF([[#This Row],[Écart (€)]]=0,"À l'équilibre",IF([[#This Row],[Écart (€)]]&gt;0,"Dépassement","Sous budget")))</f>
        <v>0</v>
      </c>
      <c r="W265">
        <f>[[#This Row],[Risque – Probabilité (1-5)]]*[[#This Row],[Risque – Sévérité (1-5)]]</f>
        <v>0</v>
      </c>
      <c r="AC265">
        <f>IF([[#This Row],Effort (jours)]&gt;0,[[#This Row],[Reach (pers.)]]*[[#This Row],[Impact (1-5)]]*[[#This Row],[Confidence (0-1)]]/[[#This Row],[Effort (jours)]],"")</f>
        <v>0</v>
      </c>
      <c r="AG265">
        <f>IF([[#This Row],[Fin planifiée]]&lt;&gt;"",MONTH([[#This Row],[Fin planifiée]]),"")</f>
        <v>0</v>
      </c>
      <c r="AH265">
        <f>IF([[#This Row],[Fin planifiée]]&lt;&gt;"",YEAR([[#This Row],[Fin planifiée]]),"")</f>
        <v>0</v>
      </c>
      <c r="AI2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5">
        <f>IF(AND([[#This Row],Statut]="Terminé",[[#This Row],[Fin réelle]]&lt;&gt;""),IF([[#This Row],[Fin réelle]]&lt;=[[#This Row],[Fin planifiée]],"Oui","Non"),"")</f>
        <v>0</v>
      </c>
    </row>
    <row r="266" spans="13:36" ht="20" customHeight="1">
      <c r="M266">
        <f>IF(AND([[#This Row],Début]&lt;&gt;"",[[#This Row],[Fin planifiée]]&lt;&gt;""),[[#This Row],[Fin planifiée]]-[[#This Row],Début]+1,"")</f>
        <v>0</v>
      </c>
      <c r="N266">
        <f>IF(AND([[#This Row],Début]&lt;&gt;"",[[#This Row],[Fin réelle]]&lt;&gt;""),[[#This Row],[Fin réelle]]-[[#This Row],Début]+1,"")</f>
        <v>0</v>
      </c>
      <c r="S266">
        <f>[[#This Row],[Budget réalisé]]-[[#This Row],[Budget prévu]]</f>
        <v>0</v>
      </c>
      <c r="T266">
        <f>IF(OR([[#This Row],[Budget prévu]]="",[[#This Row],[Budget réalisé]]=""),"",IF([[#This Row],[Écart (€)]]=0,"À l'équilibre",IF([[#This Row],[Écart (€)]]&gt;0,"Dépassement","Sous budget")))</f>
        <v>0</v>
      </c>
      <c r="W266">
        <f>[[#This Row],[Risque – Probabilité (1-5)]]*[[#This Row],[Risque – Sévérité (1-5)]]</f>
        <v>0</v>
      </c>
      <c r="AC266">
        <f>IF([[#This Row],Effort (jours)]&gt;0,[[#This Row],[Reach (pers.)]]*[[#This Row],[Impact (1-5)]]*[[#This Row],[Confidence (0-1)]]/[[#This Row],[Effort (jours)]],"")</f>
        <v>0</v>
      </c>
      <c r="AG266">
        <f>IF([[#This Row],[Fin planifiée]]&lt;&gt;"",MONTH([[#This Row],[Fin planifiée]]),"")</f>
        <v>0</v>
      </c>
      <c r="AH266">
        <f>IF([[#This Row],[Fin planifiée]]&lt;&gt;"",YEAR([[#This Row],[Fin planifiée]]),"")</f>
        <v>0</v>
      </c>
      <c r="AI2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6">
        <f>IF(AND([[#This Row],Statut]="Terminé",[[#This Row],[Fin réelle]]&lt;&gt;""),IF([[#This Row],[Fin réelle]]&lt;=[[#This Row],[Fin planifiée]],"Oui","Non"),"")</f>
        <v>0</v>
      </c>
    </row>
    <row r="267" spans="13:36" ht="20" customHeight="1">
      <c r="M267">
        <f>IF(AND([[#This Row],Début]&lt;&gt;"",[[#This Row],[Fin planifiée]]&lt;&gt;""),[[#This Row],[Fin planifiée]]-[[#This Row],Début]+1,"")</f>
        <v>0</v>
      </c>
      <c r="N267">
        <f>IF(AND([[#This Row],Début]&lt;&gt;"",[[#This Row],[Fin réelle]]&lt;&gt;""),[[#This Row],[Fin réelle]]-[[#This Row],Début]+1,"")</f>
        <v>0</v>
      </c>
      <c r="S267">
        <f>[[#This Row],[Budget réalisé]]-[[#This Row],[Budget prévu]]</f>
        <v>0</v>
      </c>
      <c r="T267">
        <f>IF(OR([[#This Row],[Budget prévu]]="",[[#This Row],[Budget réalisé]]=""),"",IF([[#This Row],[Écart (€)]]=0,"À l'équilibre",IF([[#This Row],[Écart (€)]]&gt;0,"Dépassement","Sous budget")))</f>
        <v>0</v>
      </c>
      <c r="W267">
        <f>[[#This Row],[Risque – Probabilité (1-5)]]*[[#This Row],[Risque – Sévérité (1-5)]]</f>
        <v>0</v>
      </c>
      <c r="AC267">
        <f>IF([[#This Row],Effort (jours)]&gt;0,[[#This Row],[Reach (pers.)]]*[[#This Row],[Impact (1-5)]]*[[#This Row],[Confidence (0-1)]]/[[#This Row],[Effort (jours)]],"")</f>
        <v>0</v>
      </c>
      <c r="AG267">
        <f>IF([[#This Row],[Fin planifiée]]&lt;&gt;"",MONTH([[#This Row],[Fin planifiée]]),"")</f>
        <v>0</v>
      </c>
      <c r="AH267">
        <f>IF([[#This Row],[Fin planifiée]]&lt;&gt;"",YEAR([[#This Row],[Fin planifiée]]),"")</f>
        <v>0</v>
      </c>
      <c r="AI2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7">
        <f>IF(AND([[#This Row],Statut]="Terminé",[[#This Row],[Fin réelle]]&lt;&gt;""),IF([[#This Row],[Fin réelle]]&lt;=[[#This Row],[Fin planifiée]],"Oui","Non"),"")</f>
        <v>0</v>
      </c>
    </row>
    <row r="268" spans="13:36" ht="20" customHeight="1">
      <c r="M268">
        <f>IF(AND([[#This Row],Début]&lt;&gt;"",[[#This Row],[Fin planifiée]]&lt;&gt;""),[[#This Row],[Fin planifiée]]-[[#This Row],Début]+1,"")</f>
        <v>0</v>
      </c>
      <c r="N268">
        <f>IF(AND([[#This Row],Début]&lt;&gt;"",[[#This Row],[Fin réelle]]&lt;&gt;""),[[#This Row],[Fin réelle]]-[[#This Row],Début]+1,"")</f>
        <v>0</v>
      </c>
      <c r="S268">
        <f>[[#This Row],[Budget réalisé]]-[[#This Row],[Budget prévu]]</f>
        <v>0</v>
      </c>
      <c r="T268">
        <f>IF(OR([[#This Row],[Budget prévu]]="",[[#This Row],[Budget réalisé]]=""),"",IF([[#This Row],[Écart (€)]]=0,"À l'équilibre",IF([[#This Row],[Écart (€)]]&gt;0,"Dépassement","Sous budget")))</f>
        <v>0</v>
      </c>
      <c r="W268">
        <f>[[#This Row],[Risque – Probabilité (1-5)]]*[[#This Row],[Risque – Sévérité (1-5)]]</f>
        <v>0</v>
      </c>
      <c r="AC268">
        <f>IF([[#This Row],Effort (jours)]&gt;0,[[#This Row],[Reach (pers.)]]*[[#This Row],[Impact (1-5)]]*[[#This Row],[Confidence (0-1)]]/[[#This Row],[Effort (jours)]],"")</f>
        <v>0</v>
      </c>
      <c r="AG268">
        <f>IF([[#This Row],[Fin planifiée]]&lt;&gt;"",MONTH([[#This Row],[Fin planifiée]]),"")</f>
        <v>0</v>
      </c>
      <c r="AH268">
        <f>IF([[#This Row],[Fin planifiée]]&lt;&gt;"",YEAR([[#This Row],[Fin planifiée]]),"")</f>
        <v>0</v>
      </c>
      <c r="AI2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8">
        <f>IF(AND([[#This Row],Statut]="Terminé",[[#This Row],[Fin réelle]]&lt;&gt;""),IF([[#This Row],[Fin réelle]]&lt;=[[#This Row],[Fin planifiée]],"Oui","Non"),"")</f>
        <v>0</v>
      </c>
    </row>
    <row r="269" spans="13:36" ht="20" customHeight="1">
      <c r="M269">
        <f>IF(AND([[#This Row],Début]&lt;&gt;"",[[#This Row],[Fin planifiée]]&lt;&gt;""),[[#This Row],[Fin planifiée]]-[[#This Row],Début]+1,"")</f>
        <v>0</v>
      </c>
      <c r="N269">
        <f>IF(AND([[#This Row],Début]&lt;&gt;"",[[#This Row],[Fin réelle]]&lt;&gt;""),[[#This Row],[Fin réelle]]-[[#This Row],Début]+1,"")</f>
        <v>0</v>
      </c>
      <c r="S269">
        <f>[[#This Row],[Budget réalisé]]-[[#This Row],[Budget prévu]]</f>
        <v>0</v>
      </c>
      <c r="T269">
        <f>IF(OR([[#This Row],[Budget prévu]]="",[[#This Row],[Budget réalisé]]=""),"",IF([[#This Row],[Écart (€)]]=0,"À l'équilibre",IF([[#This Row],[Écart (€)]]&gt;0,"Dépassement","Sous budget")))</f>
        <v>0</v>
      </c>
      <c r="W269">
        <f>[[#This Row],[Risque – Probabilité (1-5)]]*[[#This Row],[Risque – Sévérité (1-5)]]</f>
        <v>0</v>
      </c>
      <c r="AC269">
        <f>IF([[#This Row],Effort (jours)]&gt;0,[[#This Row],[Reach (pers.)]]*[[#This Row],[Impact (1-5)]]*[[#This Row],[Confidence (0-1)]]/[[#This Row],[Effort (jours)]],"")</f>
        <v>0</v>
      </c>
      <c r="AG269">
        <f>IF([[#This Row],[Fin planifiée]]&lt;&gt;"",MONTH([[#This Row],[Fin planifiée]]),"")</f>
        <v>0</v>
      </c>
      <c r="AH269">
        <f>IF([[#This Row],[Fin planifiée]]&lt;&gt;"",YEAR([[#This Row],[Fin planifiée]]),"")</f>
        <v>0</v>
      </c>
      <c r="AI2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69">
        <f>IF(AND([[#This Row],Statut]="Terminé",[[#This Row],[Fin réelle]]&lt;&gt;""),IF([[#This Row],[Fin réelle]]&lt;=[[#This Row],[Fin planifiée]],"Oui","Non"),"")</f>
        <v>0</v>
      </c>
    </row>
    <row r="270" spans="13:36" ht="20" customHeight="1">
      <c r="M270">
        <f>IF(AND([[#This Row],Début]&lt;&gt;"",[[#This Row],[Fin planifiée]]&lt;&gt;""),[[#This Row],[Fin planifiée]]-[[#This Row],Début]+1,"")</f>
        <v>0</v>
      </c>
      <c r="N270">
        <f>IF(AND([[#This Row],Début]&lt;&gt;"",[[#This Row],[Fin réelle]]&lt;&gt;""),[[#This Row],[Fin réelle]]-[[#This Row],Début]+1,"")</f>
        <v>0</v>
      </c>
      <c r="S270">
        <f>[[#This Row],[Budget réalisé]]-[[#This Row],[Budget prévu]]</f>
        <v>0</v>
      </c>
      <c r="T270">
        <f>IF(OR([[#This Row],[Budget prévu]]="",[[#This Row],[Budget réalisé]]=""),"",IF([[#This Row],[Écart (€)]]=0,"À l'équilibre",IF([[#This Row],[Écart (€)]]&gt;0,"Dépassement","Sous budget")))</f>
        <v>0</v>
      </c>
      <c r="W270">
        <f>[[#This Row],[Risque – Probabilité (1-5)]]*[[#This Row],[Risque – Sévérité (1-5)]]</f>
        <v>0</v>
      </c>
      <c r="AC270">
        <f>IF([[#This Row],Effort (jours)]&gt;0,[[#This Row],[Reach (pers.)]]*[[#This Row],[Impact (1-5)]]*[[#This Row],[Confidence (0-1)]]/[[#This Row],[Effort (jours)]],"")</f>
        <v>0</v>
      </c>
      <c r="AG270">
        <f>IF([[#This Row],[Fin planifiée]]&lt;&gt;"",MONTH([[#This Row],[Fin planifiée]]),"")</f>
        <v>0</v>
      </c>
      <c r="AH270">
        <f>IF([[#This Row],[Fin planifiée]]&lt;&gt;"",YEAR([[#This Row],[Fin planifiée]]),"")</f>
        <v>0</v>
      </c>
      <c r="AI2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0">
        <f>IF(AND([[#This Row],Statut]="Terminé",[[#This Row],[Fin réelle]]&lt;&gt;""),IF([[#This Row],[Fin réelle]]&lt;=[[#This Row],[Fin planifiée]],"Oui","Non"),"")</f>
        <v>0</v>
      </c>
    </row>
    <row r="271" spans="13:36" ht="20" customHeight="1">
      <c r="M271">
        <f>IF(AND([[#This Row],Début]&lt;&gt;"",[[#This Row],[Fin planifiée]]&lt;&gt;""),[[#This Row],[Fin planifiée]]-[[#This Row],Début]+1,"")</f>
        <v>0</v>
      </c>
      <c r="N271">
        <f>IF(AND([[#This Row],Début]&lt;&gt;"",[[#This Row],[Fin réelle]]&lt;&gt;""),[[#This Row],[Fin réelle]]-[[#This Row],Début]+1,"")</f>
        <v>0</v>
      </c>
      <c r="S271">
        <f>[[#This Row],[Budget réalisé]]-[[#This Row],[Budget prévu]]</f>
        <v>0</v>
      </c>
      <c r="T271">
        <f>IF(OR([[#This Row],[Budget prévu]]="",[[#This Row],[Budget réalisé]]=""),"",IF([[#This Row],[Écart (€)]]=0,"À l'équilibre",IF([[#This Row],[Écart (€)]]&gt;0,"Dépassement","Sous budget")))</f>
        <v>0</v>
      </c>
      <c r="W271">
        <f>[[#This Row],[Risque – Probabilité (1-5)]]*[[#This Row],[Risque – Sévérité (1-5)]]</f>
        <v>0</v>
      </c>
      <c r="AC271">
        <f>IF([[#This Row],Effort (jours)]&gt;0,[[#This Row],[Reach (pers.)]]*[[#This Row],[Impact (1-5)]]*[[#This Row],[Confidence (0-1)]]/[[#This Row],[Effort (jours)]],"")</f>
        <v>0</v>
      </c>
      <c r="AG271">
        <f>IF([[#This Row],[Fin planifiée]]&lt;&gt;"",MONTH([[#This Row],[Fin planifiée]]),"")</f>
        <v>0</v>
      </c>
      <c r="AH271">
        <f>IF([[#This Row],[Fin planifiée]]&lt;&gt;"",YEAR([[#This Row],[Fin planifiée]]),"")</f>
        <v>0</v>
      </c>
      <c r="AI2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1">
        <f>IF(AND([[#This Row],Statut]="Terminé",[[#This Row],[Fin réelle]]&lt;&gt;""),IF([[#This Row],[Fin réelle]]&lt;=[[#This Row],[Fin planifiée]],"Oui","Non"),"")</f>
        <v>0</v>
      </c>
    </row>
    <row r="272" spans="13:36" ht="20" customHeight="1">
      <c r="M272">
        <f>IF(AND([[#This Row],Début]&lt;&gt;"",[[#This Row],[Fin planifiée]]&lt;&gt;""),[[#This Row],[Fin planifiée]]-[[#This Row],Début]+1,"")</f>
        <v>0</v>
      </c>
      <c r="N272">
        <f>IF(AND([[#This Row],Début]&lt;&gt;"",[[#This Row],[Fin réelle]]&lt;&gt;""),[[#This Row],[Fin réelle]]-[[#This Row],Début]+1,"")</f>
        <v>0</v>
      </c>
      <c r="S272">
        <f>[[#This Row],[Budget réalisé]]-[[#This Row],[Budget prévu]]</f>
        <v>0</v>
      </c>
      <c r="T272">
        <f>IF(OR([[#This Row],[Budget prévu]]="",[[#This Row],[Budget réalisé]]=""),"",IF([[#This Row],[Écart (€)]]=0,"À l'équilibre",IF([[#This Row],[Écart (€)]]&gt;0,"Dépassement","Sous budget")))</f>
        <v>0</v>
      </c>
      <c r="W272">
        <f>[[#This Row],[Risque – Probabilité (1-5)]]*[[#This Row],[Risque – Sévérité (1-5)]]</f>
        <v>0</v>
      </c>
      <c r="AC272">
        <f>IF([[#This Row],Effort (jours)]&gt;0,[[#This Row],[Reach (pers.)]]*[[#This Row],[Impact (1-5)]]*[[#This Row],[Confidence (0-1)]]/[[#This Row],[Effort (jours)]],"")</f>
        <v>0</v>
      </c>
      <c r="AG272">
        <f>IF([[#This Row],[Fin planifiée]]&lt;&gt;"",MONTH([[#This Row],[Fin planifiée]]),"")</f>
        <v>0</v>
      </c>
      <c r="AH272">
        <f>IF([[#This Row],[Fin planifiée]]&lt;&gt;"",YEAR([[#This Row],[Fin planifiée]]),"")</f>
        <v>0</v>
      </c>
      <c r="AI2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2">
        <f>IF(AND([[#This Row],Statut]="Terminé",[[#This Row],[Fin réelle]]&lt;&gt;""),IF([[#This Row],[Fin réelle]]&lt;=[[#This Row],[Fin planifiée]],"Oui","Non"),"")</f>
        <v>0</v>
      </c>
    </row>
    <row r="273" spans="13:36" ht="20" customHeight="1">
      <c r="M273">
        <f>IF(AND([[#This Row],Début]&lt;&gt;"",[[#This Row],[Fin planifiée]]&lt;&gt;""),[[#This Row],[Fin planifiée]]-[[#This Row],Début]+1,"")</f>
        <v>0</v>
      </c>
      <c r="N273">
        <f>IF(AND([[#This Row],Début]&lt;&gt;"",[[#This Row],[Fin réelle]]&lt;&gt;""),[[#This Row],[Fin réelle]]-[[#This Row],Début]+1,"")</f>
        <v>0</v>
      </c>
      <c r="S273">
        <f>[[#This Row],[Budget réalisé]]-[[#This Row],[Budget prévu]]</f>
        <v>0</v>
      </c>
      <c r="T273">
        <f>IF(OR([[#This Row],[Budget prévu]]="",[[#This Row],[Budget réalisé]]=""),"",IF([[#This Row],[Écart (€)]]=0,"À l'équilibre",IF([[#This Row],[Écart (€)]]&gt;0,"Dépassement","Sous budget")))</f>
        <v>0</v>
      </c>
      <c r="W273">
        <f>[[#This Row],[Risque – Probabilité (1-5)]]*[[#This Row],[Risque – Sévérité (1-5)]]</f>
        <v>0</v>
      </c>
      <c r="AC273">
        <f>IF([[#This Row],Effort (jours)]&gt;0,[[#This Row],[Reach (pers.)]]*[[#This Row],[Impact (1-5)]]*[[#This Row],[Confidence (0-1)]]/[[#This Row],[Effort (jours)]],"")</f>
        <v>0</v>
      </c>
      <c r="AG273">
        <f>IF([[#This Row],[Fin planifiée]]&lt;&gt;"",MONTH([[#This Row],[Fin planifiée]]),"")</f>
        <v>0</v>
      </c>
      <c r="AH273">
        <f>IF([[#This Row],[Fin planifiée]]&lt;&gt;"",YEAR([[#This Row],[Fin planifiée]]),"")</f>
        <v>0</v>
      </c>
      <c r="AI2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3">
        <f>IF(AND([[#This Row],Statut]="Terminé",[[#This Row],[Fin réelle]]&lt;&gt;""),IF([[#This Row],[Fin réelle]]&lt;=[[#This Row],[Fin planifiée]],"Oui","Non"),"")</f>
        <v>0</v>
      </c>
    </row>
    <row r="274" spans="13:36" ht="20" customHeight="1">
      <c r="M274">
        <f>IF(AND([[#This Row],Début]&lt;&gt;"",[[#This Row],[Fin planifiée]]&lt;&gt;""),[[#This Row],[Fin planifiée]]-[[#This Row],Début]+1,"")</f>
        <v>0</v>
      </c>
      <c r="N274">
        <f>IF(AND([[#This Row],Début]&lt;&gt;"",[[#This Row],[Fin réelle]]&lt;&gt;""),[[#This Row],[Fin réelle]]-[[#This Row],Début]+1,"")</f>
        <v>0</v>
      </c>
      <c r="S274">
        <f>[[#This Row],[Budget réalisé]]-[[#This Row],[Budget prévu]]</f>
        <v>0</v>
      </c>
      <c r="T274">
        <f>IF(OR([[#This Row],[Budget prévu]]="",[[#This Row],[Budget réalisé]]=""),"",IF([[#This Row],[Écart (€)]]=0,"À l'équilibre",IF([[#This Row],[Écart (€)]]&gt;0,"Dépassement","Sous budget")))</f>
        <v>0</v>
      </c>
      <c r="W274">
        <f>[[#This Row],[Risque – Probabilité (1-5)]]*[[#This Row],[Risque – Sévérité (1-5)]]</f>
        <v>0</v>
      </c>
      <c r="AC274">
        <f>IF([[#This Row],Effort (jours)]&gt;0,[[#This Row],[Reach (pers.)]]*[[#This Row],[Impact (1-5)]]*[[#This Row],[Confidence (0-1)]]/[[#This Row],[Effort (jours)]],"")</f>
        <v>0</v>
      </c>
      <c r="AG274">
        <f>IF([[#This Row],[Fin planifiée]]&lt;&gt;"",MONTH([[#This Row],[Fin planifiée]]),"")</f>
        <v>0</v>
      </c>
      <c r="AH274">
        <f>IF([[#This Row],[Fin planifiée]]&lt;&gt;"",YEAR([[#This Row],[Fin planifiée]]),"")</f>
        <v>0</v>
      </c>
      <c r="AI2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4">
        <f>IF(AND([[#This Row],Statut]="Terminé",[[#This Row],[Fin réelle]]&lt;&gt;""),IF([[#This Row],[Fin réelle]]&lt;=[[#This Row],[Fin planifiée]],"Oui","Non"),"")</f>
        <v>0</v>
      </c>
    </row>
    <row r="275" spans="13:36" ht="20" customHeight="1">
      <c r="M275">
        <f>IF(AND([[#This Row],Début]&lt;&gt;"",[[#This Row],[Fin planifiée]]&lt;&gt;""),[[#This Row],[Fin planifiée]]-[[#This Row],Début]+1,"")</f>
        <v>0</v>
      </c>
      <c r="N275">
        <f>IF(AND([[#This Row],Début]&lt;&gt;"",[[#This Row],[Fin réelle]]&lt;&gt;""),[[#This Row],[Fin réelle]]-[[#This Row],Début]+1,"")</f>
        <v>0</v>
      </c>
      <c r="S275">
        <f>[[#This Row],[Budget réalisé]]-[[#This Row],[Budget prévu]]</f>
        <v>0</v>
      </c>
      <c r="T275">
        <f>IF(OR([[#This Row],[Budget prévu]]="",[[#This Row],[Budget réalisé]]=""),"",IF([[#This Row],[Écart (€)]]=0,"À l'équilibre",IF([[#This Row],[Écart (€)]]&gt;0,"Dépassement","Sous budget")))</f>
        <v>0</v>
      </c>
      <c r="W275">
        <f>[[#This Row],[Risque – Probabilité (1-5)]]*[[#This Row],[Risque – Sévérité (1-5)]]</f>
        <v>0</v>
      </c>
      <c r="AC275">
        <f>IF([[#This Row],Effort (jours)]&gt;0,[[#This Row],[Reach (pers.)]]*[[#This Row],[Impact (1-5)]]*[[#This Row],[Confidence (0-1)]]/[[#This Row],[Effort (jours)]],"")</f>
        <v>0</v>
      </c>
      <c r="AG275">
        <f>IF([[#This Row],[Fin planifiée]]&lt;&gt;"",MONTH([[#This Row],[Fin planifiée]]),"")</f>
        <v>0</v>
      </c>
      <c r="AH275">
        <f>IF([[#This Row],[Fin planifiée]]&lt;&gt;"",YEAR([[#This Row],[Fin planifiée]]),"")</f>
        <v>0</v>
      </c>
      <c r="AI2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5">
        <f>IF(AND([[#This Row],Statut]="Terminé",[[#This Row],[Fin réelle]]&lt;&gt;""),IF([[#This Row],[Fin réelle]]&lt;=[[#This Row],[Fin planifiée]],"Oui","Non"),"")</f>
        <v>0</v>
      </c>
    </row>
    <row r="276" spans="13:36" ht="20" customHeight="1">
      <c r="M276">
        <f>IF(AND([[#This Row],Début]&lt;&gt;"",[[#This Row],[Fin planifiée]]&lt;&gt;""),[[#This Row],[Fin planifiée]]-[[#This Row],Début]+1,"")</f>
        <v>0</v>
      </c>
      <c r="N276">
        <f>IF(AND([[#This Row],Début]&lt;&gt;"",[[#This Row],[Fin réelle]]&lt;&gt;""),[[#This Row],[Fin réelle]]-[[#This Row],Début]+1,"")</f>
        <v>0</v>
      </c>
      <c r="S276">
        <f>[[#This Row],[Budget réalisé]]-[[#This Row],[Budget prévu]]</f>
        <v>0</v>
      </c>
      <c r="T276">
        <f>IF(OR([[#This Row],[Budget prévu]]="",[[#This Row],[Budget réalisé]]=""),"",IF([[#This Row],[Écart (€)]]=0,"À l'équilibre",IF([[#This Row],[Écart (€)]]&gt;0,"Dépassement","Sous budget")))</f>
        <v>0</v>
      </c>
      <c r="W276">
        <f>[[#This Row],[Risque – Probabilité (1-5)]]*[[#This Row],[Risque – Sévérité (1-5)]]</f>
        <v>0</v>
      </c>
      <c r="AC276">
        <f>IF([[#This Row],Effort (jours)]&gt;0,[[#This Row],[Reach (pers.)]]*[[#This Row],[Impact (1-5)]]*[[#This Row],[Confidence (0-1)]]/[[#This Row],[Effort (jours)]],"")</f>
        <v>0</v>
      </c>
      <c r="AG276">
        <f>IF([[#This Row],[Fin planifiée]]&lt;&gt;"",MONTH([[#This Row],[Fin planifiée]]),"")</f>
        <v>0</v>
      </c>
      <c r="AH276">
        <f>IF([[#This Row],[Fin planifiée]]&lt;&gt;"",YEAR([[#This Row],[Fin planifiée]]),"")</f>
        <v>0</v>
      </c>
      <c r="AI2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6">
        <f>IF(AND([[#This Row],Statut]="Terminé",[[#This Row],[Fin réelle]]&lt;&gt;""),IF([[#This Row],[Fin réelle]]&lt;=[[#This Row],[Fin planifiée]],"Oui","Non"),"")</f>
        <v>0</v>
      </c>
    </row>
    <row r="277" spans="13:36" ht="20" customHeight="1">
      <c r="M277">
        <f>IF(AND([[#This Row],Début]&lt;&gt;"",[[#This Row],[Fin planifiée]]&lt;&gt;""),[[#This Row],[Fin planifiée]]-[[#This Row],Début]+1,"")</f>
        <v>0</v>
      </c>
      <c r="N277">
        <f>IF(AND([[#This Row],Début]&lt;&gt;"",[[#This Row],[Fin réelle]]&lt;&gt;""),[[#This Row],[Fin réelle]]-[[#This Row],Début]+1,"")</f>
        <v>0</v>
      </c>
      <c r="S277">
        <f>[[#This Row],[Budget réalisé]]-[[#This Row],[Budget prévu]]</f>
        <v>0</v>
      </c>
      <c r="T277">
        <f>IF(OR([[#This Row],[Budget prévu]]="",[[#This Row],[Budget réalisé]]=""),"",IF([[#This Row],[Écart (€)]]=0,"À l'équilibre",IF([[#This Row],[Écart (€)]]&gt;0,"Dépassement","Sous budget")))</f>
        <v>0</v>
      </c>
      <c r="W277">
        <f>[[#This Row],[Risque – Probabilité (1-5)]]*[[#This Row],[Risque – Sévérité (1-5)]]</f>
        <v>0</v>
      </c>
      <c r="AC277">
        <f>IF([[#This Row],Effort (jours)]&gt;0,[[#This Row],[Reach (pers.)]]*[[#This Row],[Impact (1-5)]]*[[#This Row],[Confidence (0-1)]]/[[#This Row],[Effort (jours)]],"")</f>
        <v>0</v>
      </c>
      <c r="AG277">
        <f>IF([[#This Row],[Fin planifiée]]&lt;&gt;"",MONTH([[#This Row],[Fin planifiée]]),"")</f>
        <v>0</v>
      </c>
      <c r="AH277">
        <f>IF([[#This Row],[Fin planifiée]]&lt;&gt;"",YEAR([[#This Row],[Fin planifiée]]),"")</f>
        <v>0</v>
      </c>
      <c r="AI2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7">
        <f>IF(AND([[#This Row],Statut]="Terminé",[[#This Row],[Fin réelle]]&lt;&gt;""),IF([[#This Row],[Fin réelle]]&lt;=[[#This Row],[Fin planifiée]],"Oui","Non"),"")</f>
        <v>0</v>
      </c>
    </row>
    <row r="278" spans="13:36" ht="20" customHeight="1">
      <c r="M278">
        <f>IF(AND([[#This Row],Début]&lt;&gt;"",[[#This Row],[Fin planifiée]]&lt;&gt;""),[[#This Row],[Fin planifiée]]-[[#This Row],Début]+1,"")</f>
        <v>0</v>
      </c>
      <c r="N278">
        <f>IF(AND([[#This Row],Début]&lt;&gt;"",[[#This Row],[Fin réelle]]&lt;&gt;""),[[#This Row],[Fin réelle]]-[[#This Row],Début]+1,"")</f>
        <v>0</v>
      </c>
      <c r="S278">
        <f>[[#This Row],[Budget réalisé]]-[[#This Row],[Budget prévu]]</f>
        <v>0</v>
      </c>
      <c r="T278">
        <f>IF(OR([[#This Row],[Budget prévu]]="",[[#This Row],[Budget réalisé]]=""),"",IF([[#This Row],[Écart (€)]]=0,"À l'équilibre",IF([[#This Row],[Écart (€)]]&gt;0,"Dépassement","Sous budget")))</f>
        <v>0</v>
      </c>
      <c r="W278">
        <f>[[#This Row],[Risque – Probabilité (1-5)]]*[[#This Row],[Risque – Sévérité (1-5)]]</f>
        <v>0</v>
      </c>
      <c r="AC278">
        <f>IF([[#This Row],Effort (jours)]&gt;0,[[#This Row],[Reach (pers.)]]*[[#This Row],[Impact (1-5)]]*[[#This Row],[Confidence (0-1)]]/[[#This Row],[Effort (jours)]],"")</f>
        <v>0</v>
      </c>
      <c r="AG278">
        <f>IF([[#This Row],[Fin planifiée]]&lt;&gt;"",MONTH([[#This Row],[Fin planifiée]]),"")</f>
        <v>0</v>
      </c>
      <c r="AH278">
        <f>IF([[#This Row],[Fin planifiée]]&lt;&gt;"",YEAR([[#This Row],[Fin planifiée]]),"")</f>
        <v>0</v>
      </c>
      <c r="AI2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8">
        <f>IF(AND([[#This Row],Statut]="Terminé",[[#This Row],[Fin réelle]]&lt;&gt;""),IF([[#This Row],[Fin réelle]]&lt;=[[#This Row],[Fin planifiée]],"Oui","Non"),"")</f>
        <v>0</v>
      </c>
    </row>
    <row r="279" spans="13:36" ht="20" customHeight="1">
      <c r="M279">
        <f>IF(AND([[#This Row],Début]&lt;&gt;"",[[#This Row],[Fin planifiée]]&lt;&gt;""),[[#This Row],[Fin planifiée]]-[[#This Row],Début]+1,"")</f>
        <v>0</v>
      </c>
      <c r="N279">
        <f>IF(AND([[#This Row],Début]&lt;&gt;"",[[#This Row],[Fin réelle]]&lt;&gt;""),[[#This Row],[Fin réelle]]-[[#This Row],Début]+1,"")</f>
        <v>0</v>
      </c>
      <c r="S279">
        <f>[[#This Row],[Budget réalisé]]-[[#This Row],[Budget prévu]]</f>
        <v>0</v>
      </c>
      <c r="T279">
        <f>IF(OR([[#This Row],[Budget prévu]]="",[[#This Row],[Budget réalisé]]=""),"",IF([[#This Row],[Écart (€)]]=0,"À l'équilibre",IF([[#This Row],[Écart (€)]]&gt;0,"Dépassement","Sous budget")))</f>
        <v>0</v>
      </c>
      <c r="W279">
        <f>[[#This Row],[Risque – Probabilité (1-5)]]*[[#This Row],[Risque – Sévérité (1-5)]]</f>
        <v>0</v>
      </c>
      <c r="AC279">
        <f>IF([[#This Row],Effort (jours)]&gt;0,[[#This Row],[Reach (pers.)]]*[[#This Row],[Impact (1-5)]]*[[#This Row],[Confidence (0-1)]]/[[#This Row],[Effort (jours)]],"")</f>
        <v>0</v>
      </c>
      <c r="AG279">
        <f>IF([[#This Row],[Fin planifiée]]&lt;&gt;"",MONTH([[#This Row],[Fin planifiée]]),"")</f>
        <v>0</v>
      </c>
      <c r="AH279">
        <f>IF([[#This Row],[Fin planifiée]]&lt;&gt;"",YEAR([[#This Row],[Fin planifiée]]),"")</f>
        <v>0</v>
      </c>
      <c r="AI2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79">
        <f>IF(AND([[#This Row],Statut]="Terminé",[[#This Row],[Fin réelle]]&lt;&gt;""),IF([[#This Row],[Fin réelle]]&lt;=[[#This Row],[Fin planifiée]],"Oui","Non"),"")</f>
        <v>0</v>
      </c>
    </row>
    <row r="280" spans="13:36" ht="20" customHeight="1">
      <c r="M280">
        <f>IF(AND([[#This Row],Début]&lt;&gt;"",[[#This Row],[Fin planifiée]]&lt;&gt;""),[[#This Row],[Fin planifiée]]-[[#This Row],Début]+1,"")</f>
        <v>0</v>
      </c>
      <c r="N280">
        <f>IF(AND([[#This Row],Début]&lt;&gt;"",[[#This Row],[Fin réelle]]&lt;&gt;""),[[#This Row],[Fin réelle]]-[[#This Row],Début]+1,"")</f>
        <v>0</v>
      </c>
      <c r="S280">
        <f>[[#This Row],[Budget réalisé]]-[[#This Row],[Budget prévu]]</f>
        <v>0</v>
      </c>
      <c r="T280">
        <f>IF(OR([[#This Row],[Budget prévu]]="",[[#This Row],[Budget réalisé]]=""),"",IF([[#This Row],[Écart (€)]]=0,"À l'équilibre",IF([[#This Row],[Écart (€)]]&gt;0,"Dépassement","Sous budget")))</f>
        <v>0</v>
      </c>
      <c r="W280">
        <f>[[#This Row],[Risque – Probabilité (1-5)]]*[[#This Row],[Risque – Sévérité (1-5)]]</f>
        <v>0</v>
      </c>
      <c r="AC280">
        <f>IF([[#This Row],Effort (jours)]&gt;0,[[#This Row],[Reach (pers.)]]*[[#This Row],[Impact (1-5)]]*[[#This Row],[Confidence (0-1)]]/[[#This Row],[Effort (jours)]],"")</f>
        <v>0</v>
      </c>
      <c r="AG280">
        <f>IF([[#This Row],[Fin planifiée]]&lt;&gt;"",MONTH([[#This Row],[Fin planifiée]]),"")</f>
        <v>0</v>
      </c>
      <c r="AH280">
        <f>IF([[#This Row],[Fin planifiée]]&lt;&gt;"",YEAR([[#This Row],[Fin planifiée]]),"")</f>
        <v>0</v>
      </c>
      <c r="AI2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0">
        <f>IF(AND([[#This Row],Statut]="Terminé",[[#This Row],[Fin réelle]]&lt;&gt;""),IF([[#This Row],[Fin réelle]]&lt;=[[#This Row],[Fin planifiée]],"Oui","Non"),"")</f>
        <v>0</v>
      </c>
    </row>
    <row r="281" spans="13:36" ht="20" customHeight="1">
      <c r="M281">
        <f>IF(AND([[#This Row],Début]&lt;&gt;"",[[#This Row],[Fin planifiée]]&lt;&gt;""),[[#This Row],[Fin planifiée]]-[[#This Row],Début]+1,"")</f>
        <v>0</v>
      </c>
      <c r="N281">
        <f>IF(AND([[#This Row],Début]&lt;&gt;"",[[#This Row],[Fin réelle]]&lt;&gt;""),[[#This Row],[Fin réelle]]-[[#This Row],Début]+1,"")</f>
        <v>0</v>
      </c>
      <c r="S281">
        <f>[[#This Row],[Budget réalisé]]-[[#This Row],[Budget prévu]]</f>
        <v>0</v>
      </c>
      <c r="T281">
        <f>IF(OR([[#This Row],[Budget prévu]]="",[[#This Row],[Budget réalisé]]=""),"",IF([[#This Row],[Écart (€)]]=0,"À l'équilibre",IF([[#This Row],[Écart (€)]]&gt;0,"Dépassement","Sous budget")))</f>
        <v>0</v>
      </c>
      <c r="W281">
        <f>[[#This Row],[Risque – Probabilité (1-5)]]*[[#This Row],[Risque – Sévérité (1-5)]]</f>
        <v>0</v>
      </c>
      <c r="AC281">
        <f>IF([[#This Row],Effort (jours)]&gt;0,[[#This Row],[Reach (pers.)]]*[[#This Row],[Impact (1-5)]]*[[#This Row],[Confidence (0-1)]]/[[#This Row],[Effort (jours)]],"")</f>
        <v>0</v>
      </c>
      <c r="AG281">
        <f>IF([[#This Row],[Fin planifiée]]&lt;&gt;"",MONTH([[#This Row],[Fin planifiée]]),"")</f>
        <v>0</v>
      </c>
      <c r="AH281">
        <f>IF([[#This Row],[Fin planifiée]]&lt;&gt;"",YEAR([[#This Row],[Fin planifiée]]),"")</f>
        <v>0</v>
      </c>
      <c r="AI2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1">
        <f>IF(AND([[#This Row],Statut]="Terminé",[[#This Row],[Fin réelle]]&lt;&gt;""),IF([[#This Row],[Fin réelle]]&lt;=[[#This Row],[Fin planifiée]],"Oui","Non"),"")</f>
        <v>0</v>
      </c>
    </row>
    <row r="282" spans="13:36" ht="20" customHeight="1">
      <c r="M282">
        <f>IF(AND([[#This Row],Début]&lt;&gt;"",[[#This Row],[Fin planifiée]]&lt;&gt;""),[[#This Row],[Fin planifiée]]-[[#This Row],Début]+1,"")</f>
        <v>0</v>
      </c>
      <c r="N282">
        <f>IF(AND([[#This Row],Début]&lt;&gt;"",[[#This Row],[Fin réelle]]&lt;&gt;""),[[#This Row],[Fin réelle]]-[[#This Row],Début]+1,"")</f>
        <v>0</v>
      </c>
      <c r="S282">
        <f>[[#This Row],[Budget réalisé]]-[[#This Row],[Budget prévu]]</f>
        <v>0</v>
      </c>
      <c r="T282">
        <f>IF(OR([[#This Row],[Budget prévu]]="",[[#This Row],[Budget réalisé]]=""),"",IF([[#This Row],[Écart (€)]]=0,"À l'équilibre",IF([[#This Row],[Écart (€)]]&gt;0,"Dépassement","Sous budget")))</f>
        <v>0</v>
      </c>
      <c r="W282">
        <f>[[#This Row],[Risque – Probabilité (1-5)]]*[[#This Row],[Risque – Sévérité (1-5)]]</f>
        <v>0</v>
      </c>
      <c r="AC282">
        <f>IF([[#This Row],Effort (jours)]&gt;0,[[#This Row],[Reach (pers.)]]*[[#This Row],[Impact (1-5)]]*[[#This Row],[Confidence (0-1)]]/[[#This Row],[Effort (jours)]],"")</f>
        <v>0</v>
      </c>
      <c r="AG282">
        <f>IF([[#This Row],[Fin planifiée]]&lt;&gt;"",MONTH([[#This Row],[Fin planifiée]]),"")</f>
        <v>0</v>
      </c>
      <c r="AH282">
        <f>IF([[#This Row],[Fin planifiée]]&lt;&gt;"",YEAR([[#This Row],[Fin planifiée]]),"")</f>
        <v>0</v>
      </c>
      <c r="AI2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2">
        <f>IF(AND([[#This Row],Statut]="Terminé",[[#This Row],[Fin réelle]]&lt;&gt;""),IF([[#This Row],[Fin réelle]]&lt;=[[#This Row],[Fin planifiée]],"Oui","Non"),"")</f>
        <v>0</v>
      </c>
    </row>
    <row r="283" spans="13:36" ht="20" customHeight="1">
      <c r="M283">
        <f>IF(AND([[#This Row],Début]&lt;&gt;"",[[#This Row],[Fin planifiée]]&lt;&gt;""),[[#This Row],[Fin planifiée]]-[[#This Row],Début]+1,"")</f>
        <v>0</v>
      </c>
      <c r="N283">
        <f>IF(AND([[#This Row],Début]&lt;&gt;"",[[#This Row],[Fin réelle]]&lt;&gt;""),[[#This Row],[Fin réelle]]-[[#This Row],Début]+1,"")</f>
        <v>0</v>
      </c>
      <c r="S283">
        <f>[[#This Row],[Budget réalisé]]-[[#This Row],[Budget prévu]]</f>
        <v>0</v>
      </c>
      <c r="T283">
        <f>IF(OR([[#This Row],[Budget prévu]]="",[[#This Row],[Budget réalisé]]=""),"",IF([[#This Row],[Écart (€)]]=0,"À l'équilibre",IF([[#This Row],[Écart (€)]]&gt;0,"Dépassement","Sous budget")))</f>
        <v>0</v>
      </c>
      <c r="W283">
        <f>[[#This Row],[Risque – Probabilité (1-5)]]*[[#This Row],[Risque – Sévérité (1-5)]]</f>
        <v>0</v>
      </c>
      <c r="AC283">
        <f>IF([[#This Row],Effort (jours)]&gt;0,[[#This Row],[Reach (pers.)]]*[[#This Row],[Impact (1-5)]]*[[#This Row],[Confidence (0-1)]]/[[#This Row],[Effort (jours)]],"")</f>
        <v>0</v>
      </c>
      <c r="AG283">
        <f>IF([[#This Row],[Fin planifiée]]&lt;&gt;"",MONTH([[#This Row],[Fin planifiée]]),"")</f>
        <v>0</v>
      </c>
      <c r="AH283">
        <f>IF([[#This Row],[Fin planifiée]]&lt;&gt;"",YEAR([[#This Row],[Fin planifiée]]),"")</f>
        <v>0</v>
      </c>
      <c r="AI2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3">
        <f>IF(AND([[#This Row],Statut]="Terminé",[[#This Row],[Fin réelle]]&lt;&gt;""),IF([[#This Row],[Fin réelle]]&lt;=[[#This Row],[Fin planifiée]],"Oui","Non"),"")</f>
        <v>0</v>
      </c>
    </row>
    <row r="284" spans="13:36" ht="20" customHeight="1">
      <c r="M284">
        <f>IF(AND([[#This Row],Début]&lt;&gt;"",[[#This Row],[Fin planifiée]]&lt;&gt;""),[[#This Row],[Fin planifiée]]-[[#This Row],Début]+1,"")</f>
        <v>0</v>
      </c>
      <c r="N284">
        <f>IF(AND([[#This Row],Début]&lt;&gt;"",[[#This Row],[Fin réelle]]&lt;&gt;""),[[#This Row],[Fin réelle]]-[[#This Row],Début]+1,"")</f>
        <v>0</v>
      </c>
      <c r="S284">
        <f>[[#This Row],[Budget réalisé]]-[[#This Row],[Budget prévu]]</f>
        <v>0</v>
      </c>
      <c r="T284">
        <f>IF(OR([[#This Row],[Budget prévu]]="",[[#This Row],[Budget réalisé]]=""),"",IF([[#This Row],[Écart (€)]]=0,"À l'équilibre",IF([[#This Row],[Écart (€)]]&gt;0,"Dépassement","Sous budget")))</f>
        <v>0</v>
      </c>
      <c r="W284">
        <f>[[#This Row],[Risque – Probabilité (1-5)]]*[[#This Row],[Risque – Sévérité (1-5)]]</f>
        <v>0</v>
      </c>
      <c r="AC284">
        <f>IF([[#This Row],Effort (jours)]&gt;0,[[#This Row],[Reach (pers.)]]*[[#This Row],[Impact (1-5)]]*[[#This Row],[Confidence (0-1)]]/[[#This Row],[Effort (jours)]],"")</f>
        <v>0</v>
      </c>
      <c r="AG284">
        <f>IF([[#This Row],[Fin planifiée]]&lt;&gt;"",MONTH([[#This Row],[Fin planifiée]]),"")</f>
        <v>0</v>
      </c>
      <c r="AH284">
        <f>IF([[#This Row],[Fin planifiée]]&lt;&gt;"",YEAR([[#This Row],[Fin planifiée]]),"")</f>
        <v>0</v>
      </c>
      <c r="AI2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4">
        <f>IF(AND([[#This Row],Statut]="Terminé",[[#This Row],[Fin réelle]]&lt;&gt;""),IF([[#This Row],[Fin réelle]]&lt;=[[#This Row],[Fin planifiée]],"Oui","Non"),"")</f>
        <v>0</v>
      </c>
    </row>
    <row r="285" spans="13:36" ht="20" customHeight="1">
      <c r="M285">
        <f>IF(AND([[#This Row],Début]&lt;&gt;"",[[#This Row],[Fin planifiée]]&lt;&gt;""),[[#This Row],[Fin planifiée]]-[[#This Row],Début]+1,"")</f>
        <v>0</v>
      </c>
      <c r="N285">
        <f>IF(AND([[#This Row],Début]&lt;&gt;"",[[#This Row],[Fin réelle]]&lt;&gt;""),[[#This Row],[Fin réelle]]-[[#This Row],Début]+1,"")</f>
        <v>0</v>
      </c>
      <c r="S285">
        <f>[[#This Row],[Budget réalisé]]-[[#This Row],[Budget prévu]]</f>
        <v>0</v>
      </c>
      <c r="T285">
        <f>IF(OR([[#This Row],[Budget prévu]]="",[[#This Row],[Budget réalisé]]=""),"",IF([[#This Row],[Écart (€)]]=0,"À l'équilibre",IF([[#This Row],[Écart (€)]]&gt;0,"Dépassement","Sous budget")))</f>
        <v>0</v>
      </c>
      <c r="W285">
        <f>[[#This Row],[Risque – Probabilité (1-5)]]*[[#This Row],[Risque – Sévérité (1-5)]]</f>
        <v>0</v>
      </c>
      <c r="AC285">
        <f>IF([[#This Row],Effort (jours)]&gt;0,[[#This Row],[Reach (pers.)]]*[[#This Row],[Impact (1-5)]]*[[#This Row],[Confidence (0-1)]]/[[#This Row],[Effort (jours)]],"")</f>
        <v>0</v>
      </c>
      <c r="AG285">
        <f>IF([[#This Row],[Fin planifiée]]&lt;&gt;"",MONTH([[#This Row],[Fin planifiée]]),"")</f>
        <v>0</v>
      </c>
      <c r="AH285">
        <f>IF([[#This Row],[Fin planifiée]]&lt;&gt;"",YEAR([[#This Row],[Fin planifiée]]),"")</f>
        <v>0</v>
      </c>
      <c r="AI2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5">
        <f>IF(AND([[#This Row],Statut]="Terminé",[[#This Row],[Fin réelle]]&lt;&gt;""),IF([[#This Row],[Fin réelle]]&lt;=[[#This Row],[Fin planifiée]],"Oui","Non"),"")</f>
        <v>0</v>
      </c>
    </row>
    <row r="286" spans="13:36" ht="20" customHeight="1">
      <c r="M286">
        <f>IF(AND([[#This Row],Début]&lt;&gt;"",[[#This Row],[Fin planifiée]]&lt;&gt;""),[[#This Row],[Fin planifiée]]-[[#This Row],Début]+1,"")</f>
        <v>0</v>
      </c>
      <c r="N286">
        <f>IF(AND([[#This Row],Début]&lt;&gt;"",[[#This Row],[Fin réelle]]&lt;&gt;""),[[#This Row],[Fin réelle]]-[[#This Row],Début]+1,"")</f>
        <v>0</v>
      </c>
      <c r="S286">
        <f>[[#This Row],[Budget réalisé]]-[[#This Row],[Budget prévu]]</f>
        <v>0</v>
      </c>
      <c r="T286">
        <f>IF(OR([[#This Row],[Budget prévu]]="",[[#This Row],[Budget réalisé]]=""),"",IF([[#This Row],[Écart (€)]]=0,"À l'équilibre",IF([[#This Row],[Écart (€)]]&gt;0,"Dépassement","Sous budget")))</f>
        <v>0</v>
      </c>
      <c r="W286">
        <f>[[#This Row],[Risque – Probabilité (1-5)]]*[[#This Row],[Risque – Sévérité (1-5)]]</f>
        <v>0</v>
      </c>
      <c r="AC286">
        <f>IF([[#This Row],Effort (jours)]&gt;0,[[#This Row],[Reach (pers.)]]*[[#This Row],[Impact (1-5)]]*[[#This Row],[Confidence (0-1)]]/[[#This Row],[Effort (jours)]],"")</f>
        <v>0</v>
      </c>
      <c r="AG286">
        <f>IF([[#This Row],[Fin planifiée]]&lt;&gt;"",MONTH([[#This Row],[Fin planifiée]]),"")</f>
        <v>0</v>
      </c>
      <c r="AH286">
        <f>IF([[#This Row],[Fin planifiée]]&lt;&gt;"",YEAR([[#This Row],[Fin planifiée]]),"")</f>
        <v>0</v>
      </c>
      <c r="AI2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6">
        <f>IF(AND([[#This Row],Statut]="Terminé",[[#This Row],[Fin réelle]]&lt;&gt;""),IF([[#This Row],[Fin réelle]]&lt;=[[#This Row],[Fin planifiée]],"Oui","Non"),"")</f>
        <v>0</v>
      </c>
    </row>
    <row r="287" spans="13:36" ht="20" customHeight="1">
      <c r="M287">
        <f>IF(AND([[#This Row],Début]&lt;&gt;"",[[#This Row],[Fin planifiée]]&lt;&gt;""),[[#This Row],[Fin planifiée]]-[[#This Row],Début]+1,"")</f>
        <v>0</v>
      </c>
      <c r="N287">
        <f>IF(AND([[#This Row],Début]&lt;&gt;"",[[#This Row],[Fin réelle]]&lt;&gt;""),[[#This Row],[Fin réelle]]-[[#This Row],Début]+1,"")</f>
        <v>0</v>
      </c>
      <c r="S287">
        <f>[[#This Row],[Budget réalisé]]-[[#This Row],[Budget prévu]]</f>
        <v>0</v>
      </c>
      <c r="T287">
        <f>IF(OR([[#This Row],[Budget prévu]]="",[[#This Row],[Budget réalisé]]=""),"",IF([[#This Row],[Écart (€)]]=0,"À l'équilibre",IF([[#This Row],[Écart (€)]]&gt;0,"Dépassement","Sous budget")))</f>
        <v>0</v>
      </c>
      <c r="W287">
        <f>[[#This Row],[Risque – Probabilité (1-5)]]*[[#This Row],[Risque – Sévérité (1-5)]]</f>
        <v>0</v>
      </c>
      <c r="AC287">
        <f>IF([[#This Row],Effort (jours)]&gt;0,[[#This Row],[Reach (pers.)]]*[[#This Row],[Impact (1-5)]]*[[#This Row],[Confidence (0-1)]]/[[#This Row],[Effort (jours)]],"")</f>
        <v>0</v>
      </c>
      <c r="AG287">
        <f>IF([[#This Row],[Fin planifiée]]&lt;&gt;"",MONTH([[#This Row],[Fin planifiée]]),"")</f>
        <v>0</v>
      </c>
      <c r="AH287">
        <f>IF([[#This Row],[Fin planifiée]]&lt;&gt;"",YEAR([[#This Row],[Fin planifiée]]),"")</f>
        <v>0</v>
      </c>
      <c r="AI2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7">
        <f>IF(AND([[#This Row],Statut]="Terminé",[[#This Row],[Fin réelle]]&lt;&gt;""),IF([[#This Row],[Fin réelle]]&lt;=[[#This Row],[Fin planifiée]],"Oui","Non"),"")</f>
        <v>0</v>
      </c>
    </row>
    <row r="288" spans="13:36" ht="20" customHeight="1">
      <c r="M288">
        <f>IF(AND([[#This Row],Début]&lt;&gt;"",[[#This Row],[Fin planifiée]]&lt;&gt;""),[[#This Row],[Fin planifiée]]-[[#This Row],Début]+1,"")</f>
        <v>0</v>
      </c>
      <c r="N288">
        <f>IF(AND([[#This Row],Début]&lt;&gt;"",[[#This Row],[Fin réelle]]&lt;&gt;""),[[#This Row],[Fin réelle]]-[[#This Row],Début]+1,"")</f>
        <v>0</v>
      </c>
      <c r="S288">
        <f>[[#This Row],[Budget réalisé]]-[[#This Row],[Budget prévu]]</f>
        <v>0</v>
      </c>
      <c r="T288">
        <f>IF(OR([[#This Row],[Budget prévu]]="",[[#This Row],[Budget réalisé]]=""),"",IF([[#This Row],[Écart (€)]]=0,"À l'équilibre",IF([[#This Row],[Écart (€)]]&gt;0,"Dépassement","Sous budget")))</f>
        <v>0</v>
      </c>
      <c r="W288">
        <f>[[#This Row],[Risque – Probabilité (1-5)]]*[[#This Row],[Risque – Sévérité (1-5)]]</f>
        <v>0</v>
      </c>
      <c r="AC288">
        <f>IF([[#This Row],Effort (jours)]&gt;0,[[#This Row],[Reach (pers.)]]*[[#This Row],[Impact (1-5)]]*[[#This Row],[Confidence (0-1)]]/[[#This Row],[Effort (jours)]],"")</f>
        <v>0</v>
      </c>
      <c r="AG288">
        <f>IF([[#This Row],[Fin planifiée]]&lt;&gt;"",MONTH([[#This Row],[Fin planifiée]]),"")</f>
        <v>0</v>
      </c>
      <c r="AH288">
        <f>IF([[#This Row],[Fin planifiée]]&lt;&gt;"",YEAR([[#This Row],[Fin planifiée]]),"")</f>
        <v>0</v>
      </c>
      <c r="AI2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8">
        <f>IF(AND([[#This Row],Statut]="Terminé",[[#This Row],[Fin réelle]]&lt;&gt;""),IF([[#This Row],[Fin réelle]]&lt;=[[#This Row],[Fin planifiée]],"Oui","Non"),"")</f>
        <v>0</v>
      </c>
    </row>
    <row r="289" spans="13:36" ht="20" customHeight="1">
      <c r="M289">
        <f>IF(AND([[#This Row],Début]&lt;&gt;"",[[#This Row],[Fin planifiée]]&lt;&gt;""),[[#This Row],[Fin planifiée]]-[[#This Row],Début]+1,"")</f>
        <v>0</v>
      </c>
      <c r="N289">
        <f>IF(AND([[#This Row],Début]&lt;&gt;"",[[#This Row],[Fin réelle]]&lt;&gt;""),[[#This Row],[Fin réelle]]-[[#This Row],Début]+1,"")</f>
        <v>0</v>
      </c>
      <c r="S289">
        <f>[[#This Row],[Budget réalisé]]-[[#This Row],[Budget prévu]]</f>
        <v>0</v>
      </c>
      <c r="T289">
        <f>IF(OR([[#This Row],[Budget prévu]]="",[[#This Row],[Budget réalisé]]=""),"",IF([[#This Row],[Écart (€)]]=0,"À l'équilibre",IF([[#This Row],[Écart (€)]]&gt;0,"Dépassement","Sous budget")))</f>
        <v>0</v>
      </c>
      <c r="W289">
        <f>[[#This Row],[Risque – Probabilité (1-5)]]*[[#This Row],[Risque – Sévérité (1-5)]]</f>
        <v>0</v>
      </c>
      <c r="AC289">
        <f>IF([[#This Row],Effort (jours)]&gt;0,[[#This Row],[Reach (pers.)]]*[[#This Row],[Impact (1-5)]]*[[#This Row],[Confidence (0-1)]]/[[#This Row],[Effort (jours)]],"")</f>
        <v>0</v>
      </c>
      <c r="AG289">
        <f>IF([[#This Row],[Fin planifiée]]&lt;&gt;"",MONTH([[#This Row],[Fin planifiée]]),"")</f>
        <v>0</v>
      </c>
      <c r="AH289">
        <f>IF([[#This Row],[Fin planifiée]]&lt;&gt;"",YEAR([[#This Row],[Fin planifiée]]),"")</f>
        <v>0</v>
      </c>
      <c r="AI2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89">
        <f>IF(AND([[#This Row],Statut]="Terminé",[[#This Row],[Fin réelle]]&lt;&gt;""),IF([[#This Row],[Fin réelle]]&lt;=[[#This Row],[Fin planifiée]],"Oui","Non"),"")</f>
        <v>0</v>
      </c>
    </row>
    <row r="290" spans="13:36" ht="20" customHeight="1">
      <c r="M290">
        <f>IF(AND([[#This Row],Début]&lt;&gt;"",[[#This Row],[Fin planifiée]]&lt;&gt;""),[[#This Row],[Fin planifiée]]-[[#This Row],Début]+1,"")</f>
        <v>0</v>
      </c>
      <c r="N290">
        <f>IF(AND([[#This Row],Début]&lt;&gt;"",[[#This Row],[Fin réelle]]&lt;&gt;""),[[#This Row],[Fin réelle]]-[[#This Row],Début]+1,"")</f>
        <v>0</v>
      </c>
      <c r="S290">
        <f>[[#This Row],[Budget réalisé]]-[[#This Row],[Budget prévu]]</f>
        <v>0</v>
      </c>
      <c r="T290">
        <f>IF(OR([[#This Row],[Budget prévu]]="",[[#This Row],[Budget réalisé]]=""),"",IF([[#This Row],[Écart (€)]]=0,"À l'équilibre",IF([[#This Row],[Écart (€)]]&gt;0,"Dépassement","Sous budget")))</f>
        <v>0</v>
      </c>
      <c r="W290">
        <f>[[#This Row],[Risque – Probabilité (1-5)]]*[[#This Row],[Risque – Sévérité (1-5)]]</f>
        <v>0</v>
      </c>
      <c r="AC290">
        <f>IF([[#This Row],Effort (jours)]&gt;0,[[#This Row],[Reach (pers.)]]*[[#This Row],[Impact (1-5)]]*[[#This Row],[Confidence (0-1)]]/[[#This Row],[Effort (jours)]],"")</f>
        <v>0</v>
      </c>
      <c r="AG290">
        <f>IF([[#This Row],[Fin planifiée]]&lt;&gt;"",MONTH([[#This Row],[Fin planifiée]]),"")</f>
        <v>0</v>
      </c>
      <c r="AH290">
        <f>IF([[#This Row],[Fin planifiée]]&lt;&gt;"",YEAR([[#This Row],[Fin planifiée]]),"")</f>
        <v>0</v>
      </c>
      <c r="AI2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0">
        <f>IF(AND([[#This Row],Statut]="Terminé",[[#This Row],[Fin réelle]]&lt;&gt;""),IF([[#This Row],[Fin réelle]]&lt;=[[#This Row],[Fin planifiée]],"Oui","Non"),"")</f>
        <v>0</v>
      </c>
    </row>
    <row r="291" spans="13:36" ht="20" customHeight="1">
      <c r="M291">
        <f>IF(AND([[#This Row],Début]&lt;&gt;"",[[#This Row],[Fin planifiée]]&lt;&gt;""),[[#This Row],[Fin planifiée]]-[[#This Row],Début]+1,"")</f>
        <v>0</v>
      </c>
      <c r="N291">
        <f>IF(AND([[#This Row],Début]&lt;&gt;"",[[#This Row],[Fin réelle]]&lt;&gt;""),[[#This Row],[Fin réelle]]-[[#This Row],Début]+1,"")</f>
        <v>0</v>
      </c>
      <c r="S291">
        <f>[[#This Row],[Budget réalisé]]-[[#This Row],[Budget prévu]]</f>
        <v>0</v>
      </c>
      <c r="T291">
        <f>IF(OR([[#This Row],[Budget prévu]]="",[[#This Row],[Budget réalisé]]=""),"",IF([[#This Row],[Écart (€)]]=0,"À l'équilibre",IF([[#This Row],[Écart (€)]]&gt;0,"Dépassement","Sous budget")))</f>
        <v>0</v>
      </c>
      <c r="W291">
        <f>[[#This Row],[Risque – Probabilité (1-5)]]*[[#This Row],[Risque – Sévérité (1-5)]]</f>
        <v>0</v>
      </c>
      <c r="AC291">
        <f>IF([[#This Row],Effort (jours)]&gt;0,[[#This Row],[Reach (pers.)]]*[[#This Row],[Impact (1-5)]]*[[#This Row],[Confidence (0-1)]]/[[#This Row],[Effort (jours)]],"")</f>
        <v>0</v>
      </c>
      <c r="AG291">
        <f>IF([[#This Row],[Fin planifiée]]&lt;&gt;"",MONTH([[#This Row],[Fin planifiée]]),"")</f>
        <v>0</v>
      </c>
      <c r="AH291">
        <f>IF([[#This Row],[Fin planifiée]]&lt;&gt;"",YEAR([[#This Row],[Fin planifiée]]),"")</f>
        <v>0</v>
      </c>
      <c r="AI2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1">
        <f>IF(AND([[#This Row],Statut]="Terminé",[[#This Row],[Fin réelle]]&lt;&gt;""),IF([[#This Row],[Fin réelle]]&lt;=[[#This Row],[Fin planifiée]],"Oui","Non"),"")</f>
        <v>0</v>
      </c>
    </row>
    <row r="292" spans="13:36" ht="20" customHeight="1">
      <c r="M292">
        <f>IF(AND([[#This Row],Début]&lt;&gt;"",[[#This Row],[Fin planifiée]]&lt;&gt;""),[[#This Row],[Fin planifiée]]-[[#This Row],Début]+1,"")</f>
        <v>0</v>
      </c>
      <c r="N292">
        <f>IF(AND([[#This Row],Début]&lt;&gt;"",[[#This Row],[Fin réelle]]&lt;&gt;""),[[#This Row],[Fin réelle]]-[[#This Row],Début]+1,"")</f>
        <v>0</v>
      </c>
      <c r="S292">
        <f>[[#This Row],[Budget réalisé]]-[[#This Row],[Budget prévu]]</f>
        <v>0</v>
      </c>
      <c r="T292">
        <f>IF(OR([[#This Row],[Budget prévu]]="",[[#This Row],[Budget réalisé]]=""),"",IF([[#This Row],[Écart (€)]]=0,"À l'équilibre",IF([[#This Row],[Écart (€)]]&gt;0,"Dépassement","Sous budget")))</f>
        <v>0</v>
      </c>
      <c r="W292">
        <f>[[#This Row],[Risque – Probabilité (1-5)]]*[[#This Row],[Risque – Sévérité (1-5)]]</f>
        <v>0</v>
      </c>
      <c r="AC292">
        <f>IF([[#This Row],Effort (jours)]&gt;0,[[#This Row],[Reach (pers.)]]*[[#This Row],[Impact (1-5)]]*[[#This Row],[Confidence (0-1)]]/[[#This Row],[Effort (jours)]],"")</f>
        <v>0</v>
      </c>
      <c r="AG292">
        <f>IF([[#This Row],[Fin planifiée]]&lt;&gt;"",MONTH([[#This Row],[Fin planifiée]]),"")</f>
        <v>0</v>
      </c>
      <c r="AH292">
        <f>IF([[#This Row],[Fin planifiée]]&lt;&gt;"",YEAR([[#This Row],[Fin planifiée]]),"")</f>
        <v>0</v>
      </c>
      <c r="AI2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2">
        <f>IF(AND([[#This Row],Statut]="Terminé",[[#This Row],[Fin réelle]]&lt;&gt;""),IF([[#This Row],[Fin réelle]]&lt;=[[#This Row],[Fin planifiée]],"Oui","Non"),"")</f>
        <v>0</v>
      </c>
    </row>
    <row r="293" spans="13:36" ht="20" customHeight="1">
      <c r="M293">
        <f>IF(AND([[#This Row],Début]&lt;&gt;"",[[#This Row],[Fin planifiée]]&lt;&gt;""),[[#This Row],[Fin planifiée]]-[[#This Row],Début]+1,"")</f>
        <v>0</v>
      </c>
      <c r="N293">
        <f>IF(AND([[#This Row],Début]&lt;&gt;"",[[#This Row],[Fin réelle]]&lt;&gt;""),[[#This Row],[Fin réelle]]-[[#This Row],Début]+1,"")</f>
        <v>0</v>
      </c>
      <c r="S293">
        <f>[[#This Row],[Budget réalisé]]-[[#This Row],[Budget prévu]]</f>
        <v>0</v>
      </c>
      <c r="T293">
        <f>IF(OR([[#This Row],[Budget prévu]]="",[[#This Row],[Budget réalisé]]=""),"",IF([[#This Row],[Écart (€)]]=0,"À l'équilibre",IF([[#This Row],[Écart (€)]]&gt;0,"Dépassement","Sous budget")))</f>
        <v>0</v>
      </c>
      <c r="W293">
        <f>[[#This Row],[Risque – Probabilité (1-5)]]*[[#This Row],[Risque – Sévérité (1-5)]]</f>
        <v>0</v>
      </c>
      <c r="AC293">
        <f>IF([[#This Row],Effort (jours)]&gt;0,[[#This Row],[Reach (pers.)]]*[[#This Row],[Impact (1-5)]]*[[#This Row],[Confidence (0-1)]]/[[#This Row],[Effort (jours)]],"")</f>
        <v>0</v>
      </c>
      <c r="AG293">
        <f>IF([[#This Row],[Fin planifiée]]&lt;&gt;"",MONTH([[#This Row],[Fin planifiée]]),"")</f>
        <v>0</v>
      </c>
      <c r="AH293">
        <f>IF([[#This Row],[Fin planifiée]]&lt;&gt;"",YEAR([[#This Row],[Fin planifiée]]),"")</f>
        <v>0</v>
      </c>
      <c r="AI2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3">
        <f>IF(AND([[#This Row],Statut]="Terminé",[[#This Row],[Fin réelle]]&lt;&gt;""),IF([[#This Row],[Fin réelle]]&lt;=[[#This Row],[Fin planifiée]],"Oui","Non"),"")</f>
        <v>0</v>
      </c>
    </row>
    <row r="294" spans="13:36" ht="20" customHeight="1">
      <c r="M294">
        <f>IF(AND([[#This Row],Début]&lt;&gt;"",[[#This Row],[Fin planifiée]]&lt;&gt;""),[[#This Row],[Fin planifiée]]-[[#This Row],Début]+1,"")</f>
        <v>0</v>
      </c>
      <c r="N294">
        <f>IF(AND([[#This Row],Début]&lt;&gt;"",[[#This Row],[Fin réelle]]&lt;&gt;""),[[#This Row],[Fin réelle]]-[[#This Row],Début]+1,"")</f>
        <v>0</v>
      </c>
      <c r="S294">
        <f>[[#This Row],[Budget réalisé]]-[[#This Row],[Budget prévu]]</f>
        <v>0</v>
      </c>
      <c r="T294">
        <f>IF(OR([[#This Row],[Budget prévu]]="",[[#This Row],[Budget réalisé]]=""),"",IF([[#This Row],[Écart (€)]]=0,"À l'équilibre",IF([[#This Row],[Écart (€)]]&gt;0,"Dépassement","Sous budget")))</f>
        <v>0</v>
      </c>
      <c r="W294">
        <f>[[#This Row],[Risque – Probabilité (1-5)]]*[[#This Row],[Risque – Sévérité (1-5)]]</f>
        <v>0</v>
      </c>
      <c r="AC294">
        <f>IF([[#This Row],Effort (jours)]&gt;0,[[#This Row],[Reach (pers.)]]*[[#This Row],[Impact (1-5)]]*[[#This Row],[Confidence (0-1)]]/[[#This Row],[Effort (jours)]],"")</f>
        <v>0</v>
      </c>
      <c r="AG294">
        <f>IF([[#This Row],[Fin planifiée]]&lt;&gt;"",MONTH([[#This Row],[Fin planifiée]]),"")</f>
        <v>0</v>
      </c>
      <c r="AH294">
        <f>IF([[#This Row],[Fin planifiée]]&lt;&gt;"",YEAR([[#This Row],[Fin planifiée]]),"")</f>
        <v>0</v>
      </c>
      <c r="AI2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4">
        <f>IF(AND([[#This Row],Statut]="Terminé",[[#This Row],[Fin réelle]]&lt;&gt;""),IF([[#This Row],[Fin réelle]]&lt;=[[#This Row],[Fin planifiée]],"Oui","Non"),"")</f>
        <v>0</v>
      </c>
    </row>
    <row r="295" spans="13:36" ht="20" customHeight="1">
      <c r="M295">
        <f>IF(AND([[#This Row],Début]&lt;&gt;"",[[#This Row],[Fin planifiée]]&lt;&gt;""),[[#This Row],[Fin planifiée]]-[[#This Row],Début]+1,"")</f>
        <v>0</v>
      </c>
      <c r="N295">
        <f>IF(AND([[#This Row],Début]&lt;&gt;"",[[#This Row],[Fin réelle]]&lt;&gt;""),[[#This Row],[Fin réelle]]-[[#This Row],Début]+1,"")</f>
        <v>0</v>
      </c>
      <c r="S295">
        <f>[[#This Row],[Budget réalisé]]-[[#This Row],[Budget prévu]]</f>
        <v>0</v>
      </c>
      <c r="T295">
        <f>IF(OR([[#This Row],[Budget prévu]]="",[[#This Row],[Budget réalisé]]=""),"",IF([[#This Row],[Écart (€)]]=0,"À l'équilibre",IF([[#This Row],[Écart (€)]]&gt;0,"Dépassement","Sous budget")))</f>
        <v>0</v>
      </c>
      <c r="W295">
        <f>[[#This Row],[Risque – Probabilité (1-5)]]*[[#This Row],[Risque – Sévérité (1-5)]]</f>
        <v>0</v>
      </c>
      <c r="AC295">
        <f>IF([[#This Row],Effort (jours)]&gt;0,[[#This Row],[Reach (pers.)]]*[[#This Row],[Impact (1-5)]]*[[#This Row],[Confidence (0-1)]]/[[#This Row],[Effort (jours)]],"")</f>
        <v>0</v>
      </c>
      <c r="AG295">
        <f>IF([[#This Row],[Fin planifiée]]&lt;&gt;"",MONTH([[#This Row],[Fin planifiée]]),"")</f>
        <v>0</v>
      </c>
      <c r="AH295">
        <f>IF([[#This Row],[Fin planifiée]]&lt;&gt;"",YEAR([[#This Row],[Fin planifiée]]),"")</f>
        <v>0</v>
      </c>
      <c r="AI2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5">
        <f>IF(AND([[#This Row],Statut]="Terminé",[[#This Row],[Fin réelle]]&lt;&gt;""),IF([[#This Row],[Fin réelle]]&lt;=[[#This Row],[Fin planifiée]],"Oui","Non"),"")</f>
        <v>0</v>
      </c>
    </row>
    <row r="296" spans="13:36" ht="20" customHeight="1">
      <c r="M296">
        <f>IF(AND([[#This Row],Début]&lt;&gt;"",[[#This Row],[Fin planifiée]]&lt;&gt;""),[[#This Row],[Fin planifiée]]-[[#This Row],Début]+1,"")</f>
        <v>0</v>
      </c>
      <c r="N296">
        <f>IF(AND([[#This Row],Début]&lt;&gt;"",[[#This Row],[Fin réelle]]&lt;&gt;""),[[#This Row],[Fin réelle]]-[[#This Row],Début]+1,"")</f>
        <v>0</v>
      </c>
      <c r="S296">
        <f>[[#This Row],[Budget réalisé]]-[[#This Row],[Budget prévu]]</f>
        <v>0</v>
      </c>
      <c r="T296">
        <f>IF(OR([[#This Row],[Budget prévu]]="",[[#This Row],[Budget réalisé]]=""),"",IF([[#This Row],[Écart (€)]]=0,"À l'équilibre",IF([[#This Row],[Écart (€)]]&gt;0,"Dépassement","Sous budget")))</f>
        <v>0</v>
      </c>
      <c r="W296">
        <f>[[#This Row],[Risque – Probabilité (1-5)]]*[[#This Row],[Risque – Sévérité (1-5)]]</f>
        <v>0</v>
      </c>
      <c r="AC296">
        <f>IF([[#This Row],Effort (jours)]&gt;0,[[#This Row],[Reach (pers.)]]*[[#This Row],[Impact (1-5)]]*[[#This Row],[Confidence (0-1)]]/[[#This Row],[Effort (jours)]],"")</f>
        <v>0</v>
      </c>
      <c r="AG296">
        <f>IF([[#This Row],[Fin planifiée]]&lt;&gt;"",MONTH([[#This Row],[Fin planifiée]]),"")</f>
        <v>0</v>
      </c>
      <c r="AH296">
        <f>IF([[#This Row],[Fin planifiée]]&lt;&gt;"",YEAR([[#This Row],[Fin planifiée]]),"")</f>
        <v>0</v>
      </c>
      <c r="AI2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6">
        <f>IF(AND([[#This Row],Statut]="Terminé",[[#This Row],[Fin réelle]]&lt;&gt;""),IF([[#This Row],[Fin réelle]]&lt;=[[#This Row],[Fin planifiée]],"Oui","Non"),"")</f>
        <v>0</v>
      </c>
    </row>
    <row r="297" spans="13:36" ht="20" customHeight="1">
      <c r="M297">
        <f>IF(AND([[#This Row],Début]&lt;&gt;"",[[#This Row],[Fin planifiée]]&lt;&gt;""),[[#This Row],[Fin planifiée]]-[[#This Row],Début]+1,"")</f>
        <v>0</v>
      </c>
      <c r="N297">
        <f>IF(AND([[#This Row],Début]&lt;&gt;"",[[#This Row],[Fin réelle]]&lt;&gt;""),[[#This Row],[Fin réelle]]-[[#This Row],Début]+1,"")</f>
        <v>0</v>
      </c>
      <c r="S297">
        <f>[[#This Row],[Budget réalisé]]-[[#This Row],[Budget prévu]]</f>
        <v>0</v>
      </c>
      <c r="T297">
        <f>IF(OR([[#This Row],[Budget prévu]]="",[[#This Row],[Budget réalisé]]=""),"",IF([[#This Row],[Écart (€)]]=0,"À l'équilibre",IF([[#This Row],[Écart (€)]]&gt;0,"Dépassement","Sous budget")))</f>
        <v>0</v>
      </c>
      <c r="W297">
        <f>[[#This Row],[Risque – Probabilité (1-5)]]*[[#This Row],[Risque – Sévérité (1-5)]]</f>
        <v>0</v>
      </c>
      <c r="AC297">
        <f>IF([[#This Row],Effort (jours)]&gt;0,[[#This Row],[Reach (pers.)]]*[[#This Row],[Impact (1-5)]]*[[#This Row],[Confidence (0-1)]]/[[#This Row],[Effort (jours)]],"")</f>
        <v>0</v>
      </c>
      <c r="AG297">
        <f>IF([[#This Row],[Fin planifiée]]&lt;&gt;"",MONTH([[#This Row],[Fin planifiée]]),"")</f>
        <v>0</v>
      </c>
      <c r="AH297">
        <f>IF([[#This Row],[Fin planifiée]]&lt;&gt;"",YEAR([[#This Row],[Fin planifiée]]),"")</f>
        <v>0</v>
      </c>
      <c r="AI2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7">
        <f>IF(AND([[#This Row],Statut]="Terminé",[[#This Row],[Fin réelle]]&lt;&gt;""),IF([[#This Row],[Fin réelle]]&lt;=[[#This Row],[Fin planifiée]],"Oui","Non"),"")</f>
        <v>0</v>
      </c>
    </row>
    <row r="298" spans="13:36" ht="20" customHeight="1">
      <c r="M298">
        <f>IF(AND([[#This Row],Début]&lt;&gt;"",[[#This Row],[Fin planifiée]]&lt;&gt;""),[[#This Row],[Fin planifiée]]-[[#This Row],Début]+1,"")</f>
        <v>0</v>
      </c>
      <c r="N298">
        <f>IF(AND([[#This Row],Début]&lt;&gt;"",[[#This Row],[Fin réelle]]&lt;&gt;""),[[#This Row],[Fin réelle]]-[[#This Row],Début]+1,"")</f>
        <v>0</v>
      </c>
      <c r="S298">
        <f>[[#This Row],[Budget réalisé]]-[[#This Row],[Budget prévu]]</f>
        <v>0</v>
      </c>
      <c r="T298">
        <f>IF(OR([[#This Row],[Budget prévu]]="",[[#This Row],[Budget réalisé]]=""),"",IF([[#This Row],[Écart (€)]]=0,"À l'équilibre",IF([[#This Row],[Écart (€)]]&gt;0,"Dépassement","Sous budget")))</f>
        <v>0</v>
      </c>
      <c r="W298">
        <f>[[#This Row],[Risque – Probabilité (1-5)]]*[[#This Row],[Risque – Sévérité (1-5)]]</f>
        <v>0</v>
      </c>
      <c r="AC298">
        <f>IF([[#This Row],Effort (jours)]&gt;0,[[#This Row],[Reach (pers.)]]*[[#This Row],[Impact (1-5)]]*[[#This Row],[Confidence (0-1)]]/[[#This Row],[Effort (jours)]],"")</f>
        <v>0</v>
      </c>
      <c r="AG298">
        <f>IF([[#This Row],[Fin planifiée]]&lt;&gt;"",MONTH([[#This Row],[Fin planifiée]]),"")</f>
        <v>0</v>
      </c>
      <c r="AH298">
        <f>IF([[#This Row],[Fin planifiée]]&lt;&gt;"",YEAR([[#This Row],[Fin planifiée]]),"")</f>
        <v>0</v>
      </c>
      <c r="AI2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8">
        <f>IF(AND([[#This Row],Statut]="Terminé",[[#This Row],[Fin réelle]]&lt;&gt;""),IF([[#This Row],[Fin réelle]]&lt;=[[#This Row],[Fin planifiée]],"Oui","Non"),"")</f>
        <v>0</v>
      </c>
    </row>
    <row r="299" spans="13:36" ht="20" customHeight="1">
      <c r="M299">
        <f>IF(AND([[#This Row],Début]&lt;&gt;"",[[#This Row],[Fin planifiée]]&lt;&gt;""),[[#This Row],[Fin planifiée]]-[[#This Row],Début]+1,"")</f>
        <v>0</v>
      </c>
      <c r="N299">
        <f>IF(AND([[#This Row],Début]&lt;&gt;"",[[#This Row],[Fin réelle]]&lt;&gt;""),[[#This Row],[Fin réelle]]-[[#This Row],Début]+1,"")</f>
        <v>0</v>
      </c>
      <c r="S299">
        <f>[[#This Row],[Budget réalisé]]-[[#This Row],[Budget prévu]]</f>
        <v>0</v>
      </c>
      <c r="T299">
        <f>IF(OR([[#This Row],[Budget prévu]]="",[[#This Row],[Budget réalisé]]=""),"",IF([[#This Row],[Écart (€)]]=0,"À l'équilibre",IF([[#This Row],[Écart (€)]]&gt;0,"Dépassement","Sous budget")))</f>
        <v>0</v>
      </c>
      <c r="W299">
        <f>[[#This Row],[Risque – Probabilité (1-5)]]*[[#This Row],[Risque – Sévérité (1-5)]]</f>
        <v>0</v>
      </c>
      <c r="AC299">
        <f>IF([[#This Row],Effort (jours)]&gt;0,[[#This Row],[Reach (pers.)]]*[[#This Row],[Impact (1-5)]]*[[#This Row],[Confidence (0-1)]]/[[#This Row],[Effort (jours)]],"")</f>
        <v>0</v>
      </c>
      <c r="AG299">
        <f>IF([[#This Row],[Fin planifiée]]&lt;&gt;"",MONTH([[#This Row],[Fin planifiée]]),"")</f>
        <v>0</v>
      </c>
      <c r="AH299">
        <f>IF([[#This Row],[Fin planifiée]]&lt;&gt;"",YEAR([[#This Row],[Fin planifiée]]),"")</f>
        <v>0</v>
      </c>
      <c r="AI2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299">
        <f>IF(AND([[#This Row],Statut]="Terminé",[[#This Row],[Fin réelle]]&lt;&gt;""),IF([[#This Row],[Fin réelle]]&lt;=[[#This Row],[Fin planifiée]],"Oui","Non"),"")</f>
        <v>0</v>
      </c>
    </row>
    <row r="300" spans="13:36" ht="20" customHeight="1">
      <c r="M300">
        <f>IF(AND([[#This Row],Début]&lt;&gt;"",[[#This Row],[Fin planifiée]]&lt;&gt;""),[[#This Row],[Fin planifiée]]-[[#This Row],Début]+1,"")</f>
        <v>0</v>
      </c>
      <c r="N300">
        <f>IF(AND([[#This Row],Début]&lt;&gt;"",[[#This Row],[Fin réelle]]&lt;&gt;""),[[#This Row],[Fin réelle]]-[[#This Row],Début]+1,"")</f>
        <v>0</v>
      </c>
      <c r="S300">
        <f>[[#This Row],[Budget réalisé]]-[[#This Row],[Budget prévu]]</f>
        <v>0</v>
      </c>
      <c r="T300">
        <f>IF(OR([[#This Row],[Budget prévu]]="",[[#This Row],[Budget réalisé]]=""),"",IF([[#This Row],[Écart (€)]]=0,"À l'équilibre",IF([[#This Row],[Écart (€)]]&gt;0,"Dépassement","Sous budget")))</f>
        <v>0</v>
      </c>
      <c r="W300">
        <f>[[#This Row],[Risque – Probabilité (1-5)]]*[[#This Row],[Risque – Sévérité (1-5)]]</f>
        <v>0</v>
      </c>
      <c r="AC300">
        <f>IF([[#This Row],Effort (jours)]&gt;0,[[#This Row],[Reach (pers.)]]*[[#This Row],[Impact (1-5)]]*[[#This Row],[Confidence (0-1)]]/[[#This Row],[Effort (jours)]],"")</f>
        <v>0</v>
      </c>
      <c r="AG300">
        <f>IF([[#This Row],[Fin planifiée]]&lt;&gt;"",MONTH([[#This Row],[Fin planifiée]]),"")</f>
        <v>0</v>
      </c>
      <c r="AH300">
        <f>IF([[#This Row],[Fin planifiée]]&lt;&gt;"",YEAR([[#This Row],[Fin planifiée]]),"")</f>
        <v>0</v>
      </c>
      <c r="AI3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0">
        <f>IF(AND([[#This Row],Statut]="Terminé",[[#This Row],[Fin réelle]]&lt;&gt;""),IF([[#This Row],[Fin réelle]]&lt;=[[#This Row],[Fin planifiée]],"Oui","Non"),"")</f>
        <v>0</v>
      </c>
    </row>
    <row r="301" spans="13:36" ht="20" customHeight="1">
      <c r="M301">
        <f>IF(AND([[#This Row],Début]&lt;&gt;"",[[#This Row],[Fin planifiée]]&lt;&gt;""),[[#This Row],[Fin planifiée]]-[[#This Row],Début]+1,"")</f>
        <v>0</v>
      </c>
      <c r="N301">
        <f>IF(AND([[#This Row],Début]&lt;&gt;"",[[#This Row],[Fin réelle]]&lt;&gt;""),[[#This Row],[Fin réelle]]-[[#This Row],Début]+1,"")</f>
        <v>0</v>
      </c>
      <c r="S301">
        <f>[[#This Row],[Budget réalisé]]-[[#This Row],[Budget prévu]]</f>
        <v>0</v>
      </c>
      <c r="T301">
        <f>IF(OR([[#This Row],[Budget prévu]]="",[[#This Row],[Budget réalisé]]=""),"",IF([[#This Row],[Écart (€)]]=0,"À l'équilibre",IF([[#This Row],[Écart (€)]]&gt;0,"Dépassement","Sous budget")))</f>
        <v>0</v>
      </c>
      <c r="W301">
        <f>[[#This Row],[Risque – Probabilité (1-5)]]*[[#This Row],[Risque – Sévérité (1-5)]]</f>
        <v>0</v>
      </c>
      <c r="AC301">
        <f>IF([[#This Row],Effort (jours)]&gt;0,[[#This Row],[Reach (pers.)]]*[[#This Row],[Impact (1-5)]]*[[#This Row],[Confidence (0-1)]]/[[#This Row],[Effort (jours)]],"")</f>
        <v>0</v>
      </c>
      <c r="AG301">
        <f>IF([[#This Row],[Fin planifiée]]&lt;&gt;"",MONTH([[#This Row],[Fin planifiée]]),"")</f>
        <v>0</v>
      </c>
      <c r="AH301">
        <f>IF([[#This Row],[Fin planifiée]]&lt;&gt;"",YEAR([[#This Row],[Fin planifiée]]),"")</f>
        <v>0</v>
      </c>
      <c r="AI3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1">
        <f>IF(AND([[#This Row],Statut]="Terminé",[[#This Row],[Fin réelle]]&lt;&gt;""),IF([[#This Row],[Fin réelle]]&lt;=[[#This Row],[Fin planifiée]],"Oui","Non"),"")</f>
        <v>0</v>
      </c>
    </row>
    <row r="302" spans="13:36" ht="20" customHeight="1">
      <c r="M302">
        <f>IF(AND([[#This Row],Début]&lt;&gt;"",[[#This Row],[Fin planifiée]]&lt;&gt;""),[[#This Row],[Fin planifiée]]-[[#This Row],Début]+1,"")</f>
        <v>0</v>
      </c>
      <c r="N302">
        <f>IF(AND([[#This Row],Début]&lt;&gt;"",[[#This Row],[Fin réelle]]&lt;&gt;""),[[#This Row],[Fin réelle]]-[[#This Row],Début]+1,"")</f>
        <v>0</v>
      </c>
      <c r="S302">
        <f>[[#This Row],[Budget réalisé]]-[[#This Row],[Budget prévu]]</f>
        <v>0</v>
      </c>
      <c r="T302">
        <f>IF(OR([[#This Row],[Budget prévu]]="",[[#This Row],[Budget réalisé]]=""),"",IF([[#This Row],[Écart (€)]]=0,"À l'équilibre",IF([[#This Row],[Écart (€)]]&gt;0,"Dépassement","Sous budget")))</f>
        <v>0</v>
      </c>
      <c r="W302">
        <f>[[#This Row],[Risque – Probabilité (1-5)]]*[[#This Row],[Risque – Sévérité (1-5)]]</f>
        <v>0</v>
      </c>
      <c r="AC302">
        <f>IF([[#This Row],Effort (jours)]&gt;0,[[#This Row],[Reach (pers.)]]*[[#This Row],[Impact (1-5)]]*[[#This Row],[Confidence (0-1)]]/[[#This Row],[Effort (jours)]],"")</f>
        <v>0</v>
      </c>
      <c r="AG302">
        <f>IF([[#This Row],[Fin planifiée]]&lt;&gt;"",MONTH([[#This Row],[Fin planifiée]]),"")</f>
        <v>0</v>
      </c>
      <c r="AH302">
        <f>IF([[#This Row],[Fin planifiée]]&lt;&gt;"",YEAR([[#This Row],[Fin planifiée]]),"")</f>
        <v>0</v>
      </c>
      <c r="AI3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2">
        <f>IF(AND([[#This Row],Statut]="Terminé",[[#This Row],[Fin réelle]]&lt;&gt;""),IF([[#This Row],[Fin réelle]]&lt;=[[#This Row],[Fin planifiée]],"Oui","Non"),"")</f>
        <v>0</v>
      </c>
    </row>
    <row r="303" spans="13:36" ht="20" customHeight="1">
      <c r="M303">
        <f>IF(AND([[#This Row],Début]&lt;&gt;"",[[#This Row],[Fin planifiée]]&lt;&gt;""),[[#This Row],[Fin planifiée]]-[[#This Row],Début]+1,"")</f>
        <v>0</v>
      </c>
      <c r="N303">
        <f>IF(AND([[#This Row],Début]&lt;&gt;"",[[#This Row],[Fin réelle]]&lt;&gt;""),[[#This Row],[Fin réelle]]-[[#This Row],Début]+1,"")</f>
        <v>0</v>
      </c>
      <c r="S303">
        <f>[[#This Row],[Budget réalisé]]-[[#This Row],[Budget prévu]]</f>
        <v>0</v>
      </c>
      <c r="T303">
        <f>IF(OR([[#This Row],[Budget prévu]]="",[[#This Row],[Budget réalisé]]=""),"",IF([[#This Row],[Écart (€)]]=0,"À l'équilibre",IF([[#This Row],[Écart (€)]]&gt;0,"Dépassement","Sous budget")))</f>
        <v>0</v>
      </c>
      <c r="W303">
        <f>[[#This Row],[Risque – Probabilité (1-5)]]*[[#This Row],[Risque – Sévérité (1-5)]]</f>
        <v>0</v>
      </c>
      <c r="AC303">
        <f>IF([[#This Row],Effort (jours)]&gt;0,[[#This Row],[Reach (pers.)]]*[[#This Row],[Impact (1-5)]]*[[#This Row],[Confidence (0-1)]]/[[#This Row],[Effort (jours)]],"")</f>
        <v>0</v>
      </c>
      <c r="AG303">
        <f>IF([[#This Row],[Fin planifiée]]&lt;&gt;"",MONTH([[#This Row],[Fin planifiée]]),"")</f>
        <v>0</v>
      </c>
      <c r="AH303">
        <f>IF([[#This Row],[Fin planifiée]]&lt;&gt;"",YEAR([[#This Row],[Fin planifiée]]),"")</f>
        <v>0</v>
      </c>
      <c r="AI3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3">
        <f>IF(AND([[#This Row],Statut]="Terminé",[[#This Row],[Fin réelle]]&lt;&gt;""),IF([[#This Row],[Fin réelle]]&lt;=[[#This Row],[Fin planifiée]],"Oui","Non"),"")</f>
        <v>0</v>
      </c>
    </row>
    <row r="304" spans="13:36" ht="20" customHeight="1">
      <c r="M304">
        <f>IF(AND([[#This Row],Début]&lt;&gt;"",[[#This Row],[Fin planifiée]]&lt;&gt;""),[[#This Row],[Fin planifiée]]-[[#This Row],Début]+1,"")</f>
        <v>0</v>
      </c>
      <c r="N304">
        <f>IF(AND([[#This Row],Début]&lt;&gt;"",[[#This Row],[Fin réelle]]&lt;&gt;""),[[#This Row],[Fin réelle]]-[[#This Row],Début]+1,"")</f>
        <v>0</v>
      </c>
      <c r="S304">
        <f>[[#This Row],[Budget réalisé]]-[[#This Row],[Budget prévu]]</f>
        <v>0</v>
      </c>
      <c r="T304">
        <f>IF(OR([[#This Row],[Budget prévu]]="",[[#This Row],[Budget réalisé]]=""),"",IF([[#This Row],[Écart (€)]]=0,"À l'équilibre",IF([[#This Row],[Écart (€)]]&gt;0,"Dépassement","Sous budget")))</f>
        <v>0</v>
      </c>
      <c r="W304">
        <f>[[#This Row],[Risque – Probabilité (1-5)]]*[[#This Row],[Risque – Sévérité (1-5)]]</f>
        <v>0</v>
      </c>
      <c r="AC304">
        <f>IF([[#This Row],Effort (jours)]&gt;0,[[#This Row],[Reach (pers.)]]*[[#This Row],[Impact (1-5)]]*[[#This Row],[Confidence (0-1)]]/[[#This Row],[Effort (jours)]],"")</f>
        <v>0</v>
      </c>
      <c r="AG304">
        <f>IF([[#This Row],[Fin planifiée]]&lt;&gt;"",MONTH([[#This Row],[Fin planifiée]]),"")</f>
        <v>0</v>
      </c>
      <c r="AH304">
        <f>IF([[#This Row],[Fin planifiée]]&lt;&gt;"",YEAR([[#This Row],[Fin planifiée]]),"")</f>
        <v>0</v>
      </c>
      <c r="AI3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4">
        <f>IF(AND([[#This Row],Statut]="Terminé",[[#This Row],[Fin réelle]]&lt;&gt;""),IF([[#This Row],[Fin réelle]]&lt;=[[#This Row],[Fin planifiée]],"Oui","Non"),"")</f>
        <v>0</v>
      </c>
    </row>
    <row r="305" spans="13:36" ht="20" customHeight="1">
      <c r="M305">
        <f>IF(AND([[#This Row],Début]&lt;&gt;"",[[#This Row],[Fin planifiée]]&lt;&gt;""),[[#This Row],[Fin planifiée]]-[[#This Row],Début]+1,"")</f>
        <v>0</v>
      </c>
      <c r="N305">
        <f>IF(AND([[#This Row],Début]&lt;&gt;"",[[#This Row],[Fin réelle]]&lt;&gt;""),[[#This Row],[Fin réelle]]-[[#This Row],Début]+1,"")</f>
        <v>0</v>
      </c>
      <c r="S305">
        <f>[[#This Row],[Budget réalisé]]-[[#This Row],[Budget prévu]]</f>
        <v>0</v>
      </c>
      <c r="T305">
        <f>IF(OR([[#This Row],[Budget prévu]]="",[[#This Row],[Budget réalisé]]=""),"",IF([[#This Row],[Écart (€)]]=0,"À l'équilibre",IF([[#This Row],[Écart (€)]]&gt;0,"Dépassement","Sous budget")))</f>
        <v>0</v>
      </c>
      <c r="W305">
        <f>[[#This Row],[Risque – Probabilité (1-5)]]*[[#This Row],[Risque – Sévérité (1-5)]]</f>
        <v>0</v>
      </c>
      <c r="AC305">
        <f>IF([[#This Row],Effort (jours)]&gt;0,[[#This Row],[Reach (pers.)]]*[[#This Row],[Impact (1-5)]]*[[#This Row],[Confidence (0-1)]]/[[#This Row],[Effort (jours)]],"")</f>
        <v>0</v>
      </c>
      <c r="AG305">
        <f>IF([[#This Row],[Fin planifiée]]&lt;&gt;"",MONTH([[#This Row],[Fin planifiée]]),"")</f>
        <v>0</v>
      </c>
      <c r="AH305">
        <f>IF([[#This Row],[Fin planifiée]]&lt;&gt;"",YEAR([[#This Row],[Fin planifiée]]),"")</f>
        <v>0</v>
      </c>
      <c r="AI3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5">
        <f>IF(AND([[#This Row],Statut]="Terminé",[[#This Row],[Fin réelle]]&lt;&gt;""),IF([[#This Row],[Fin réelle]]&lt;=[[#This Row],[Fin planifiée]],"Oui","Non"),"")</f>
        <v>0</v>
      </c>
    </row>
    <row r="306" spans="13:36" ht="20" customHeight="1">
      <c r="M306">
        <f>IF(AND([[#This Row],Début]&lt;&gt;"",[[#This Row],[Fin planifiée]]&lt;&gt;""),[[#This Row],[Fin planifiée]]-[[#This Row],Début]+1,"")</f>
        <v>0</v>
      </c>
      <c r="N306">
        <f>IF(AND([[#This Row],Début]&lt;&gt;"",[[#This Row],[Fin réelle]]&lt;&gt;""),[[#This Row],[Fin réelle]]-[[#This Row],Début]+1,"")</f>
        <v>0</v>
      </c>
      <c r="S306">
        <f>[[#This Row],[Budget réalisé]]-[[#This Row],[Budget prévu]]</f>
        <v>0</v>
      </c>
      <c r="T306">
        <f>IF(OR([[#This Row],[Budget prévu]]="",[[#This Row],[Budget réalisé]]=""),"",IF([[#This Row],[Écart (€)]]=0,"À l'équilibre",IF([[#This Row],[Écart (€)]]&gt;0,"Dépassement","Sous budget")))</f>
        <v>0</v>
      </c>
      <c r="W306">
        <f>[[#This Row],[Risque – Probabilité (1-5)]]*[[#This Row],[Risque – Sévérité (1-5)]]</f>
        <v>0</v>
      </c>
      <c r="AC306">
        <f>IF([[#This Row],Effort (jours)]&gt;0,[[#This Row],[Reach (pers.)]]*[[#This Row],[Impact (1-5)]]*[[#This Row],[Confidence (0-1)]]/[[#This Row],[Effort (jours)]],"")</f>
        <v>0</v>
      </c>
      <c r="AG306">
        <f>IF([[#This Row],[Fin planifiée]]&lt;&gt;"",MONTH([[#This Row],[Fin planifiée]]),"")</f>
        <v>0</v>
      </c>
      <c r="AH306">
        <f>IF([[#This Row],[Fin planifiée]]&lt;&gt;"",YEAR([[#This Row],[Fin planifiée]]),"")</f>
        <v>0</v>
      </c>
      <c r="AI3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6">
        <f>IF(AND([[#This Row],Statut]="Terminé",[[#This Row],[Fin réelle]]&lt;&gt;""),IF([[#This Row],[Fin réelle]]&lt;=[[#This Row],[Fin planifiée]],"Oui","Non"),"")</f>
        <v>0</v>
      </c>
    </row>
    <row r="307" spans="13:36" ht="20" customHeight="1">
      <c r="M307">
        <f>IF(AND([[#This Row],Début]&lt;&gt;"",[[#This Row],[Fin planifiée]]&lt;&gt;""),[[#This Row],[Fin planifiée]]-[[#This Row],Début]+1,"")</f>
        <v>0</v>
      </c>
      <c r="N307">
        <f>IF(AND([[#This Row],Début]&lt;&gt;"",[[#This Row],[Fin réelle]]&lt;&gt;""),[[#This Row],[Fin réelle]]-[[#This Row],Début]+1,"")</f>
        <v>0</v>
      </c>
      <c r="S307">
        <f>[[#This Row],[Budget réalisé]]-[[#This Row],[Budget prévu]]</f>
        <v>0</v>
      </c>
      <c r="T307">
        <f>IF(OR([[#This Row],[Budget prévu]]="",[[#This Row],[Budget réalisé]]=""),"",IF([[#This Row],[Écart (€)]]=0,"À l'équilibre",IF([[#This Row],[Écart (€)]]&gt;0,"Dépassement","Sous budget")))</f>
        <v>0</v>
      </c>
      <c r="W307">
        <f>[[#This Row],[Risque – Probabilité (1-5)]]*[[#This Row],[Risque – Sévérité (1-5)]]</f>
        <v>0</v>
      </c>
      <c r="AC307">
        <f>IF([[#This Row],Effort (jours)]&gt;0,[[#This Row],[Reach (pers.)]]*[[#This Row],[Impact (1-5)]]*[[#This Row],[Confidence (0-1)]]/[[#This Row],[Effort (jours)]],"")</f>
        <v>0</v>
      </c>
      <c r="AG307">
        <f>IF([[#This Row],[Fin planifiée]]&lt;&gt;"",MONTH([[#This Row],[Fin planifiée]]),"")</f>
        <v>0</v>
      </c>
      <c r="AH307">
        <f>IF([[#This Row],[Fin planifiée]]&lt;&gt;"",YEAR([[#This Row],[Fin planifiée]]),"")</f>
        <v>0</v>
      </c>
      <c r="AI3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7">
        <f>IF(AND([[#This Row],Statut]="Terminé",[[#This Row],[Fin réelle]]&lt;&gt;""),IF([[#This Row],[Fin réelle]]&lt;=[[#This Row],[Fin planifiée]],"Oui","Non"),"")</f>
        <v>0</v>
      </c>
    </row>
    <row r="308" spans="13:36" ht="20" customHeight="1">
      <c r="M308">
        <f>IF(AND([[#This Row],Début]&lt;&gt;"",[[#This Row],[Fin planifiée]]&lt;&gt;""),[[#This Row],[Fin planifiée]]-[[#This Row],Début]+1,"")</f>
        <v>0</v>
      </c>
      <c r="N308">
        <f>IF(AND([[#This Row],Début]&lt;&gt;"",[[#This Row],[Fin réelle]]&lt;&gt;""),[[#This Row],[Fin réelle]]-[[#This Row],Début]+1,"")</f>
        <v>0</v>
      </c>
      <c r="S308">
        <f>[[#This Row],[Budget réalisé]]-[[#This Row],[Budget prévu]]</f>
        <v>0</v>
      </c>
      <c r="T308">
        <f>IF(OR([[#This Row],[Budget prévu]]="",[[#This Row],[Budget réalisé]]=""),"",IF([[#This Row],[Écart (€)]]=0,"À l'équilibre",IF([[#This Row],[Écart (€)]]&gt;0,"Dépassement","Sous budget")))</f>
        <v>0</v>
      </c>
      <c r="W308">
        <f>[[#This Row],[Risque – Probabilité (1-5)]]*[[#This Row],[Risque – Sévérité (1-5)]]</f>
        <v>0</v>
      </c>
      <c r="AC308">
        <f>IF([[#This Row],Effort (jours)]&gt;0,[[#This Row],[Reach (pers.)]]*[[#This Row],[Impact (1-5)]]*[[#This Row],[Confidence (0-1)]]/[[#This Row],[Effort (jours)]],"")</f>
        <v>0</v>
      </c>
      <c r="AG308">
        <f>IF([[#This Row],[Fin planifiée]]&lt;&gt;"",MONTH([[#This Row],[Fin planifiée]]),"")</f>
        <v>0</v>
      </c>
      <c r="AH308">
        <f>IF([[#This Row],[Fin planifiée]]&lt;&gt;"",YEAR([[#This Row],[Fin planifiée]]),"")</f>
        <v>0</v>
      </c>
      <c r="AI3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8">
        <f>IF(AND([[#This Row],Statut]="Terminé",[[#This Row],[Fin réelle]]&lt;&gt;""),IF([[#This Row],[Fin réelle]]&lt;=[[#This Row],[Fin planifiée]],"Oui","Non"),"")</f>
        <v>0</v>
      </c>
    </row>
    <row r="309" spans="13:36" ht="20" customHeight="1">
      <c r="M309">
        <f>IF(AND([[#This Row],Début]&lt;&gt;"",[[#This Row],[Fin planifiée]]&lt;&gt;""),[[#This Row],[Fin planifiée]]-[[#This Row],Début]+1,"")</f>
        <v>0</v>
      </c>
      <c r="N309">
        <f>IF(AND([[#This Row],Début]&lt;&gt;"",[[#This Row],[Fin réelle]]&lt;&gt;""),[[#This Row],[Fin réelle]]-[[#This Row],Début]+1,"")</f>
        <v>0</v>
      </c>
      <c r="S309">
        <f>[[#This Row],[Budget réalisé]]-[[#This Row],[Budget prévu]]</f>
        <v>0</v>
      </c>
      <c r="T309">
        <f>IF(OR([[#This Row],[Budget prévu]]="",[[#This Row],[Budget réalisé]]=""),"",IF([[#This Row],[Écart (€)]]=0,"À l'équilibre",IF([[#This Row],[Écart (€)]]&gt;0,"Dépassement","Sous budget")))</f>
        <v>0</v>
      </c>
      <c r="W309">
        <f>[[#This Row],[Risque – Probabilité (1-5)]]*[[#This Row],[Risque – Sévérité (1-5)]]</f>
        <v>0</v>
      </c>
      <c r="AC309">
        <f>IF([[#This Row],Effort (jours)]&gt;0,[[#This Row],[Reach (pers.)]]*[[#This Row],[Impact (1-5)]]*[[#This Row],[Confidence (0-1)]]/[[#This Row],[Effort (jours)]],"")</f>
        <v>0</v>
      </c>
      <c r="AG309">
        <f>IF([[#This Row],[Fin planifiée]]&lt;&gt;"",MONTH([[#This Row],[Fin planifiée]]),"")</f>
        <v>0</v>
      </c>
      <c r="AH309">
        <f>IF([[#This Row],[Fin planifiée]]&lt;&gt;"",YEAR([[#This Row],[Fin planifiée]]),"")</f>
        <v>0</v>
      </c>
      <c r="AI3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09">
        <f>IF(AND([[#This Row],Statut]="Terminé",[[#This Row],[Fin réelle]]&lt;&gt;""),IF([[#This Row],[Fin réelle]]&lt;=[[#This Row],[Fin planifiée]],"Oui","Non"),"")</f>
        <v>0</v>
      </c>
    </row>
    <row r="310" spans="13:36" ht="20" customHeight="1">
      <c r="M310">
        <f>IF(AND([[#This Row],Début]&lt;&gt;"",[[#This Row],[Fin planifiée]]&lt;&gt;""),[[#This Row],[Fin planifiée]]-[[#This Row],Début]+1,"")</f>
        <v>0</v>
      </c>
      <c r="N310">
        <f>IF(AND([[#This Row],Début]&lt;&gt;"",[[#This Row],[Fin réelle]]&lt;&gt;""),[[#This Row],[Fin réelle]]-[[#This Row],Début]+1,"")</f>
        <v>0</v>
      </c>
      <c r="S310">
        <f>[[#This Row],[Budget réalisé]]-[[#This Row],[Budget prévu]]</f>
        <v>0</v>
      </c>
      <c r="T310">
        <f>IF(OR([[#This Row],[Budget prévu]]="",[[#This Row],[Budget réalisé]]=""),"",IF([[#This Row],[Écart (€)]]=0,"À l'équilibre",IF([[#This Row],[Écart (€)]]&gt;0,"Dépassement","Sous budget")))</f>
        <v>0</v>
      </c>
      <c r="W310">
        <f>[[#This Row],[Risque – Probabilité (1-5)]]*[[#This Row],[Risque – Sévérité (1-5)]]</f>
        <v>0</v>
      </c>
      <c r="AC310">
        <f>IF([[#This Row],Effort (jours)]&gt;0,[[#This Row],[Reach (pers.)]]*[[#This Row],[Impact (1-5)]]*[[#This Row],[Confidence (0-1)]]/[[#This Row],[Effort (jours)]],"")</f>
        <v>0</v>
      </c>
      <c r="AG310">
        <f>IF([[#This Row],[Fin planifiée]]&lt;&gt;"",MONTH([[#This Row],[Fin planifiée]]),"")</f>
        <v>0</v>
      </c>
      <c r="AH310">
        <f>IF([[#This Row],[Fin planifiée]]&lt;&gt;"",YEAR([[#This Row],[Fin planifiée]]),"")</f>
        <v>0</v>
      </c>
      <c r="AI3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0">
        <f>IF(AND([[#This Row],Statut]="Terminé",[[#This Row],[Fin réelle]]&lt;&gt;""),IF([[#This Row],[Fin réelle]]&lt;=[[#This Row],[Fin planifiée]],"Oui","Non"),"")</f>
        <v>0</v>
      </c>
    </row>
    <row r="311" spans="13:36" ht="20" customHeight="1">
      <c r="M311">
        <f>IF(AND([[#This Row],Début]&lt;&gt;"",[[#This Row],[Fin planifiée]]&lt;&gt;""),[[#This Row],[Fin planifiée]]-[[#This Row],Début]+1,"")</f>
        <v>0</v>
      </c>
      <c r="N311">
        <f>IF(AND([[#This Row],Début]&lt;&gt;"",[[#This Row],[Fin réelle]]&lt;&gt;""),[[#This Row],[Fin réelle]]-[[#This Row],Début]+1,"")</f>
        <v>0</v>
      </c>
      <c r="S311">
        <f>[[#This Row],[Budget réalisé]]-[[#This Row],[Budget prévu]]</f>
        <v>0</v>
      </c>
      <c r="T311">
        <f>IF(OR([[#This Row],[Budget prévu]]="",[[#This Row],[Budget réalisé]]=""),"",IF([[#This Row],[Écart (€)]]=0,"À l'équilibre",IF([[#This Row],[Écart (€)]]&gt;0,"Dépassement","Sous budget")))</f>
        <v>0</v>
      </c>
      <c r="W311">
        <f>[[#This Row],[Risque – Probabilité (1-5)]]*[[#This Row],[Risque – Sévérité (1-5)]]</f>
        <v>0</v>
      </c>
      <c r="AC311">
        <f>IF([[#This Row],Effort (jours)]&gt;0,[[#This Row],[Reach (pers.)]]*[[#This Row],[Impact (1-5)]]*[[#This Row],[Confidence (0-1)]]/[[#This Row],[Effort (jours)]],"")</f>
        <v>0</v>
      </c>
      <c r="AG311">
        <f>IF([[#This Row],[Fin planifiée]]&lt;&gt;"",MONTH([[#This Row],[Fin planifiée]]),"")</f>
        <v>0</v>
      </c>
      <c r="AH311">
        <f>IF([[#This Row],[Fin planifiée]]&lt;&gt;"",YEAR([[#This Row],[Fin planifiée]]),"")</f>
        <v>0</v>
      </c>
      <c r="AI3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1">
        <f>IF(AND([[#This Row],Statut]="Terminé",[[#This Row],[Fin réelle]]&lt;&gt;""),IF([[#This Row],[Fin réelle]]&lt;=[[#This Row],[Fin planifiée]],"Oui","Non"),"")</f>
        <v>0</v>
      </c>
    </row>
    <row r="312" spans="13:36" ht="20" customHeight="1">
      <c r="M312">
        <f>IF(AND([[#This Row],Début]&lt;&gt;"",[[#This Row],[Fin planifiée]]&lt;&gt;""),[[#This Row],[Fin planifiée]]-[[#This Row],Début]+1,"")</f>
        <v>0</v>
      </c>
      <c r="N312">
        <f>IF(AND([[#This Row],Début]&lt;&gt;"",[[#This Row],[Fin réelle]]&lt;&gt;""),[[#This Row],[Fin réelle]]-[[#This Row],Début]+1,"")</f>
        <v>0</v>
      </c>
      <c r="S312">
        <f>[[#This Row],[Budget réalisé]]-[[#This Row],[Budget prévu]]</f>
        <v>0</v>
      </c>
      <c r="T312">
        <f>IF(OR([[#This Row],[Budget prévu]]="",[[#This Row],[Budget réalisé]]=""),"",IF([[#This Row],[Écart (€)]]=0,"À l'équilibre",IF([[#This Row],[Écart (€)]]&gt;0,"Dépassement","Sous budget")))</f>
        <v>0</v>
      </c>
      <c r="W312">
        <f>[[#This Row],[Risque – Probabilité (1-5)]]*[[#This Row],[Risque – Sévérité (1-5)]]</f>
        <v>0</v>
      </c>
      <c r="AC312">
        <f>IF([[#This Row],Effort (jours)]&gt;0,[[#This Row],[Reach (pers.)]]*[[#This Row],[Impact (1-5)]]*[[#This Row],[Confidence (0-1)]]/[[#This Row],[Effort (jours)]],"")</f>
        <v>0</v>
      </c>
      <c r="AG312">
        <f>IF([[#This Row],[Fin planifiée]]&lt;&gt;"",MONTH([[#This Row],[Fin planifiée]]),"")</f>
        <v>0</v>
      </c>
      <c r="AH312">
        <f>IF([[#This Row],[Fin planifiée]]&lt;&gt;"",YEAR([[#This Row],[Fin planifiée]]),"")</f>
        <v>0</v>
      </c>
      <c r="AI3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2">
        <f>IF(AND([[#This Row],Statut]="Terminé",[[#This Row],[Fin réelle]]&lt;&gt;""),IF([[#This Row],[Fin réelle]]&lt;=[[#This Row],[Fin planifiée]],"Oui","Non"),"")</f>
        <v>0</v>
      </c>
    </row>
    <row r="313" spans="13:36" ht="20" customHeight="1">
      <c r="M313">
        <f>IF(AND([[#This Row],Début]&lt;&gt;"",[[#This Row],[Fin planifiée]]&lt;&gt;""),[[#This Row],[Fin planifiée]]-[[#This Row],Début]+1,"")</f>
        <v>0</v>
      </c>
      <c r="N313">
        <f>IF(AND([[#This Row],Début]&lt;&gt;"",[[#This Row],[Fin réelle]]&lt;&gt;""),[[#This Row],[Fin réelle]]-[[#This Row],Début]+1,"")</f>
        <v>0</v>
      </c>
      <c r="S313">
        <f>[[#This Row],[Budget réalisé]]-[[#This Row],[Budget prévu]]</f>
        <v>0</v>
      </c>
      <c r="T313">
        <f>IF(OR([[#This Row],[Budget prévu]]="",[[#This Row],[Budget réalisé]]=""),"",IF([[#This Row],[Écart (€)]]=0,"À l'équilibre",IF([[#This Row],[Écart (€)]]&gt;0,"Dépassement","Sous budget")))</f>
        <v>0</v>
      </c>
      <c r="W313">
        <f>[[#This Row],[Risque – Probabilité (1-5)]]*[[#This Row],[Risque – Sévérité (1-5)]]</f>
        <v>0</v>
      </c>
      <c r="AC313">
        <f>IF([[#This Row],Effort (jours)]&gt;0,[[#This Row],[Reach (pers.)]]*[[#This Row],[Impact (1-5)]]*[[#This Row],[Confidence (0-1)]]/[[#This Row],[Effort (jours)]],"")</f>
        <v>0</v>
      </c>
      <c r="AG313">
        <f>IF([[#This Row],[Fin planifiée]]&lt;&gt;"",MONTH([[#This Row],[Fin planifiée]]),"")</f>
        <v>0</v>
      </c>
      <c r="AH313">
        <f>IF([[#This Row],[Fin planifiée]]&lt;&gt;"",YEAR([[#This Row],[Fin planifiée]]),"")</f>
        <v>0</v>
      </c>
      <c r="AI3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3">
        <f>IF(AND([[#This Row],Statut]="Terminé",[[#This Row],[Fin réelle]]&lt;&gt;""),IF([[#This Row],[Fin réelle]]&lt;=[[#This Row],[Fin planifiée]],"Oui","Non"),"")</f>
        <v>0</v>
      </c>
    </row>
    <row r="314" spans="13:36" ht="20" customHeight="1">
      <c r="M314">
        <f>IF(AND([[#This Row],Début]&lt;&gt;"",[[#This Row],[Fin planifiée]]&lt;&gt;""),[[#This Row],[Fin planifiée]]-[[#This Row],Début]+1,"")</f>
        <v>0</v>
      </c>
      <c r="N314">
        <f>IF(AND([[#This Row],Début]&lt;&gt;"",[[#This Row],[Fin réelle]]&lt;&gt;""),[[#This Row],[Fin réelle]]-[[#This Row],Début]+1,"")</f>
        <v>0</v>
      </c>
      <c r="S314">
        <f>[[#This Row],[Budget réalisé]]-[[#This Row],[Budget prévu]]</f>
        <v>0</v>
      </c>
      <c r="T314">
        <f>IF(OR([[#This Row],[Budget prévu]]="",[[#This Row],[Budget réalisé]]=""),"",IF([[#This Row],[Écart (€)]]=0,"À l'équilibre",IF([[#This Row],[Écart (€)]]&gt;0,"Dépassement","Sous budget")))</f>
        <v>0</v>
      </c>
      <c r="W314">
        <f>[[#This Row],[Risque – Probabilité (1-5)]]*[[#This Row],[Risque – Sévérité (1-5)]]</f>
        <v>0</v>
      </c>
      <c r="AC314">
        <f>IF([[#This Row],Effort (jours)]&gt;0,[[#This Row],[Reach (pers.)]]*[[#This Row],[Impact (1-5)]]*[[#This Row],[Confidence (0-1)]]/[[#This Row],[Effort (jours)]],"")</f>
        <v>0</v>
      </c>
      <c r="AG314">
        <f>IF([[#This Row],[Fin planifiée]]&lt;&gt;"",MONTH([[#This Row],[Fin planifiée]]),"")</f>
        <v>0</v>
      </c>
      <c r="AH314">
        <f>IF([[#This Row],[Fin planifiée]]&lt;&gt;"",YEAR([[#This Row],[Fin planifiée]]),"")</f>
        <v>0</v>
      </c>
      <c r="AI3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4">
        <f>IF(AND([[#This Row],Statut]="Terminé",[[#This Row],[Fin réelle]]&lt;&gt;""),IF([[#This Row],[Fin réelle]]&lt;=[[#This Row],[Fin planifiée]],"Oui","Non"),"")</f>
        <v>0</v>
      </c>
    </row>
    <row r="315" spans="13:36" ht="20" customHeight="1">
      <c r="M315">
        <f>IF(AND([[#This Row],Début]&lt;&gt;"",[[#This Row],[Fin planifiée]]&lt;&gt;""),[[#This Row],[Fin planifiée]]-[[#This Row],Début]+1,"")</f>
        <v>0</v>
      </c>
      <c r="N315">
        <f>IF(AND([[#This Row],Début]&lt;&gt;"",[[#This Row],[Fin réelle]]&lt;&gt;""),[[#This Row],[Fin réelle]]-[[#This Row],Début]+1,"")</f>
        <v>0</v>
      </c>
      <c r="S315">
        <f>[[#This Row],[Budget réalisé]]-[[#This Row],[Budget prévu]]</f>
        <v>0</v>
      </c>
      <c r="T315">
        <f>IF(OR([[#This Row],[Budget prévu]]="",[[#This Row],[Budget réalisé]]=""),"",IF([[#This Row],[Écart (€)]]=0,"À l'équilibre",IF([[#This Row],[Écart (€)]]&gt;0,"Dépassement","Sous budget")))</f>
        <v>0</v>
      </c>
      <c r="W315">
        <f>[[#This Row],[Risque – Probabilité (1-5)]]*[[#This Row],[Risque – Sévérité (1-5)]]</f>
        <v>0</v>
      </c>
      <c r="AC315">
        <f>IF([[#This Row],Effort (jours)]&gt;0,[[#This Row],[Reach (pers.)]]*[[#This Row],[Impact (1-5)]]*[[#This Row],[Confidence (0-1)]]/[[#This Row],[Effort (jours)]],"")</f>
        <v>0</v>
      </c>
      <c r="AG315">
        <f>IF([[#This Row],[Fin planifiée]]&lt;&gt;"",MONTH([[#This Row],[Fin planifiée]]),"")</f>
        <v>0</v>
      </c>
      <c r="AH315">
        <f>IF([[#This Row],[Fin planifiée]]&lt;&gt;"",YEAR([[#This Row],[Fin planifiée]]),"")</f>
        <v>0</v>
      </c>
      <c r="AI3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5">
        <f>IF(AND([[#This Row],Statut]="Terminé",[[#This Row],[Fin réelle]]&lt;&gt;""),IF([[#This Row],[Fin réelle]]&lt;=[[#This Row],[Fin planifiée]],"Oui","Non"),"")</f>
        <v>0</v>
      </c>
    </row>
    <row r="316" spans="13:36" ht="20" customHeight="1">
      <c r="M316">
        <f>IF(AND([[#This Row],Début]&lt;&gt;"",[[#This Row],[Fin planifiée]]&lt;&gt;""),[[#This Row],[Fin planifiée]]-[[#This Row],Début]+1,"")</f>
        <v>0</v>
      </c>
      <c r="N316">
        <f>IF(AND([[#This Row],Début]&lt;&gt;"",[[#This Row],[Fin réelle]]&lt;&gt;""),[[#This Row],[Fin réelle]]-[[#This Row],Début]+1,"")</f>
        <v>0</v>
      </c>
      <c r="S316">
        <f>[[#This Row],[Budget réalisé]]-[[#This Row],[Budget prévu]]</f>
        <v>0</v>
      </c>
      <c r="T316">
        <f>IF(OR([[#This Row],[Budget prévu]]="",[[#This Row],[Budget réalisé]]=""),"",IF([[#This Row],[Écart (€)]]=0,"À l'équilibre",IF([[#This Row],[Écart (€)]]&gt;0,"Dépassement","Sous budget")))</f>
        <v>0</v>
      </c>
      <c r="W316">
        <f>[[#This Row],[Risque – Probabilité (1-5)]]*[[#This Row],[Risque – Sévérité (1-5)]]</f>
        <v>0</v>
      </c>
      <c r="AC316">
        <f>IF([[#This Row],Effort (jours)]&gt;0,[[#This Row],[Reach (pers.)]]*[[#This Row],[Impact (1-5)]]*[[#This Row],[Confidence (0-1)]]/[[#This Row],[Effort (jours)]],"")</f>
        <v>0</v>
      </c>
      <c r="AG316">
        <f>IF([[#This Row],[Fin planifiée]]&lt;&gt;"",MONTH([[#This Row],[Fin planifiée]]),"")</f>
        <v>0</v>
      </c>
      <c r="AH316">
        <f>IF([[#This Row],[Fin planifiée]]&lt;&gt;"",YEAR([[#This Row],[Fin planifiée]]),"")</f>
        <v>0</v>
      </c>
      <c r="AI3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6">
        <f>IF(AND([[#This Row],Statut]="Terminé",[[#This Row],[Fin réelle]]&lt;&gt;""),IF([[#This Row],[Fin réelle]]&lt;=[[#This Row],[Fin planifiée]],"Oui","Non"),"")</f>
        <v>0</v>
      </c>
    </row>
    <row r="317" spans="13:36" ht="20" customHeight="1">
      <c r="M317">
        <f>IF(AND([[#This Row],Début]&lt;&gt;"",[[#This Row],[Fin planifiée]]&lt;&gt;""),[[#This Row],[Fin planifiée]]-[[#This Row],Début]+1,"")</f>
        <v>0</v>
      </c>
      <c r="N317">
        <f>IF(AND([[#This Row],Début]&lt;&gt;"",[[#This Row],[Fin réelle]]&lt;&gt;""),[[#This Row],[Fin réelle]]-[[#This Row],Début]+1,"")</f>
        <v>0</v>
      </c>
      <c r="S317">
        <f>[[#This Row],[Budget réalisé]]-[[#This Row],[Budget prévu]]</f>
        <v>0</v>
      </c>
      <c r="T317">
        <f>IF(OR([[#This Row],[Budget prévu]]="",[[#This Row],[Budget réalisé]]=""),"",IF([[#This Row],[Écart (€)]]=0,"À l'équilibre",IF([[#This Row],[Écart (€)]]&gt;0,"Dépassement","Sous budget")))</f>
        <v>0</v>
      </c>
      <c r="W317">
        <f>[[#This Row],[Risque – Probabilité (1-5)]]*[[#This Row],[Risque – Sévérité (1-5)]]</f>
        <v>0</v>
      </c>
      <c r="AC317">
        <f>IF([[#This Row],Effort (jours)]&gt;0,[[#This Row],[Reach (pers.)]]*[[#This Row],[Impact (1-5)]]*[[#This Row],[Confidence (0-1)]]/[[#This Row],[Effort (jours)]],"")</f>
        <v>0</v>
      </c>
      <c r="AG317">
        <f>IF([[#This Row],[Fin planifiée]]&lt;&gt;"",MONTH([[#This Row],[Fin planifiée]]),"")</f>
        <v>0</v>
      </c>
      <c r="AH317">
        <f>IF([[#This Row],[Fin planifiée]]&lt;&gt;"",YEAR([[#This Row],[Fin planifiée]]),"")</f>
        <v>0</v>
      </c>
      <c r="AI3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7">
        <f>IF(AND([[#This Row],Statut]="Terminé",[[#This Row],[Fin réelle]]&lt;&gt;""),IF([[#This Row],[Fin réelle]]&lt;=[[#This Row],[Fin planifiée]],"Oui","Non"),"")</f>
        <v>0</v>
      </c>
    </row>
    <row r="318" spans="13:36" ht="20" customHeight="1">
      <c r="M318">
        <f>IF(AND([[#This Row],Début]&lt;&gt;"",[[#This Row],[Fin planifiée]]&lt;&gt;""),[[#This Row],[Fin planifiée]]-[[#This Row],Début]+1,"")</f>
        <v>0</v>
      </c>
      <c r="N318">
        <f>IF(AND([[#This Row],Début]&lt;&gt;"",[[#This Row],[Fin réelle]]&lt;&gt;""),[[#This Row],[Fin réelle]]-[[#This Row],Début]+1,"")</f>
        <v>0</v>
      </c>
      <c r="S318">
        <f>[[#This Row],[Budget réalisé]]-[[#This Row],[Budget prévu]]</f>
        <v>0</v>
      </c>
      <c r="T318">
        <f>IF(OR([[#This Row],[Budget prévu]]="",[[#This Row],[Budget réalisé]]=""),"",IF([[#This Row],[Écart (€)]]=0,"À l'équilibre",IF([[#This Row],[Écart (€)]]&gt;0,"Dépassement","Sous budget")))</f>
        <v>0</v>
      </c>
      <c r="W318">
        <f>[[#This Row],[Risque – Probabilité (1-5)]]*[[#This Row],[Risque – Sévérité (1-5)]]</f>
        <v>0</v>
      </c>
      <c r="AC318">
        <f>IF([[#This Row],Effort (jours)]&gt;0,[[#This Row],[Reach (pers.)]]*[[#This Row],[Impact (1-5)]]*[[#This Row],[Confidence (0-1)]]/[[#This Row],[Effort (jours)]],"")</f>
        <v>0</v>
      </c>
      <c r="AG318">
        <f>IF([[#This Row],[Fin planifiée]]&lt;&gt;"",MONTH([[#This Row],[Fin planifiée]]),"")</f>
        <v>0</v>
      </c>
      <c r="AH318">
        <f>IF([[#This Row],[Fin planifiée]]&lt;&gt;"",YEAR([[#This Row],[Fin planifiée]]),"")</f>
        <v>0</v>
      </c>
      <c r="AI3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8">
        <f>IF(AND([[#This Row],Statut]="Terminé",[[#This Row],[Fin réelle]]&lt;&gt;""),IF([[#This Row],[Fin réelle]]&lt;=[[#This Row],[Fin planifiée]],"Oui","Non"),"")</f>
        <v>0</v>
      </c>
    </row>
    <row r="319" spans="13:36" ht="20" customHeight="1">
      <c r="M319">
        <f>IF(AND([[#This Row],Début]&lt;&gt;"",[[#This Row],[Fin planifiée]]&lt;&gt;""),[[#This Row],[Fin planifiée]]-[[#This Row],Début]+1,"")</f>
        <v>0</v>
      </c>
      <c r="N319">
        <f>IF(AND([[#This Row],Début]&lt;&gt;"",[[#This Row],[Fin réelle]]&lt;&gt;""),[[#This Row],[Fin réelle]]-[[#This Row],Début]+1,"")</f>
        <v>0</v>
      </c>
      <c r="S319">
        <f>[[#This Row],[Budget réalisé]]-[[#This Row],[Budget prévu]]</f>
        <v>0</v>
      </c>
      <c r="T319">
        <f>IF(OR([[#This Row],[Budget prévu]]="",[[#This Row],[Budget réalisé]]=""),"",IF([[#This Row],[Écart (€)]]=0,"À l'équilibre",IF([[#This Row],[Écart (€)]]&gt;0,"Dépassement","Sous budget")))</f>
        <v>0</v>
      </c>
      <c r="W319">
        <f>[[#This Row],[Risque – Probabilité (1-5)]]*[[#This Row],[Risque – Sévérité (1-5)]]</f>
        <v>0</v>
      </c>
      <c r="AC319">
        <f>IF([[#This Row],Effort (jours)]&gt;0,[[#This Row],[Reach (pers.)]]*[[#This Row],[Impact (1-5)]]*[[#This Row],[Confidence (0-1)]]/[[#This Row],[Effort (jours)]],"")</f>
        <v>0</v>
      </c>
      <c r="AG319">
        <f>IF([[#This Row],[Fin planifiée]]&lt;&gt;"",MONTH([[#This Row],[Fin planifiée]]),"")</f>
        <v>0</v>
      </c>
      <c r="AH319">
        <f>IF([[#This Row],[Fin planifiée]]&lt;&gt;"",YEAR([[#This Row],[Fin planifiée]]),"")</f>
        <v>0</v>
      </c>
      <c r="AI3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19">
        <f>IF(AND([[#This Row],Statut]="Terminé",[[#This Row],[Fin réelle]]&lt;&gt;""),IF([[#This Row],[Fin réelle]]&lt;=[[#This Row],[Fin planifiée]],"Oui","Non"),"")</f>
        <v>0</v>
      </c>
    </row>
    <row r="320" spans="13:36" ht="20" customHeight="1">
      <c r="M320">
        <f>IF(AND([[#This Row],Début]&lt;&gt;"",[[#This Row],[Fin planifiée]]&lt;&gt;""),[[#This Row],[Fin planifiée]]-[[#This Row],Début]+1,"")</f>
        <v>0</v>
      </c>
      <c r="N320">
        <f>IF(AND([[#This Row],Début]&lt;&gt;"",[[#This Row],[Fin réelle]]&lt;&gt;""),[[#This Row],[Fin réelle]]-[[#This Row],Début]+1,"")</f>
        <v>0</v>
      </c>
      <c r="S320">
        <f>[[#This Row],[Budget réalisé]]-[[#This Row],[Budget prévu]]</f>
        <v>0</v>
      </c>
      <c r="T320">
        <f>IF(OR([[#This Row],[Budget prévu]]="",[[#This Row],[Budget réalisé]]=""),"",IF([[#This Row],[Écart (€)]]=0,"À l'équilibre",IF([[#This Row],[Écart (€)]]&gt;0,"Dépassement","Sous budget")))</f>
        <v>0</v>
      </c>
      <c r="W320">
        <f>[[#This Row],[Risque – Probabilité (1-5)]]*[[#This Row],[Risque – Sévérité (1-5)]]</f>
        <v>0</v>
      </c>
      <c r="AC320">
        <f>IF([[#This Row],Effort (jours)]&gt;0,[[#This Row],[Reach (pers.)]]*[[#This Row],[Impact (1-5)]]*[[#This Row],[Confidence (0-1)]]/[[#This Row],[Effort (jours)]],"")</f>
        <v>0</v>
      </c>
      <c r="AG320">
        <f>IF([[#This Row],[Fin planifiée]]&lt;&gt;"",MONTH([[#This Row],[Fin planifiée]]),"")</f>
        <v>0</v>
      </c>
      <c r="AH320">
        <f>IF([[#This Row],[Fin planifiée]]&lt;&gt;"",YEAR([[#This Row],[Fin planifiée]]),"")</f>
        <v>0</v>
      </c>
      <c r="AI3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0">
        <f>IF(AND([[#This Row],Statut]="Terminé",[[#This Row],[Fin réelle]]&lt;&gt;""),IF([[#This Row],[Fin réelle]]&lt;=[[#This Row],[Fin planifiée]],"Oui","Non"),"")</f>
        <v>0</v>
      </c>
    </row>
    <row r="321" spans="13:36" ht="20" customHeight="1">
      <c r="M321">
        <f>IF(AND([[#This Row],Début]&lt;&gt;"",[[#This Row],[Fin planifiée]]&lt;&gt;""),[[#This Row],[Fin planifiée]]-[[#This Row],Début]+1,"")</f>
        <v>0</v>
      </c>
      <c r="N321">
        <f>IF(AND([[#This Row],Début]&lt;&gt;"",[[#This Row],[Fin réelle]]&lt;&gt;""),[[#This Row],[Fin réelle]]-[[#This Row],Début]+1,"")</f>
        <v>0</v>
      </c>
      <c r="S321">
        <f>[[#This Row],[Budget réalisé]]-[[#This Row],[Budget prévu]]</f>
        <v>0</v>
      </c>
      <c r="T321">
        <f>IF(OR([[#This Row],[Budget prévu]]="",[[#This Row],[Budget réalisé]]=""),"",IF([[#This Row],[Écart (€)]]=0,"À l'équilibre",IF([[#This Row],[Écart (€)]]&gt;0,"Dépassement","Sous budget")))</f>
        <v>0</v>
      </c>
      <c r="W321">
        <f>[[#This Row],[Risque – Probabilité (1-5)]]*[[#This Row],[Risque – Sévérité (1-5)]]</f>
        <v>0</v>
      </c>
      <c r="AC321">
        <f>IF([[#This Row],Effort (jours)]&gt;0,[[#This Row],[Reach (pers.)]]*[[#This Row],[Impact (1-5)]]*[[#This Row],[Confidence (0-1)]]/[[#This Row],[Effort (jours)]],"")</f>
        <v>0</v>
      </c>
      <c r="AG321">
        <f>IF([[#This Row],[Fin planifiée]]&lt;&gt;"",MONTH([[#This Row],[Fin planifiée]]),"")</f>
        <v>0</v>
      </c>
      <c r="AH321">
        <f>IF([[#This Row],[Fin planifiée]]&lt;&gt;"",YEAR([[#This Row],[Fin planifiée]]),"")</f>
        <v>0</v>
      </c>
      <c r="AI3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1">
        <f>IF(AND([[#This Row],Statut]="Terminé",[[#This Row],[Fin réelle]]&lt;&gt;""),IF([[#This Row],[Fin réelle]]&lt;=[[#This Row],[Fin planifiée]],"Oui","Non"),"")</f>
        <v>0</v>
      </c>
    </row>
    <row r="322" spans="13:36" ht="20" customHeight="1">
      <c r="M322">
        <f>IF(AND([[#This Row],Début]&lt;&gt;"",[[#This Row],[Fin planifiée]]&lt;&gt;""),[[#This Row],[Fin planifiée]]-[[#This Row],Début]+1,"")</f>
        <v>0</v>
      </c>
      <c r="N322">
        <f>IF(AND([[#This Row],Début]&lt;&gt;"",[[#This Row],[Fin réelle]]&lt;&gt;""),[[#This Row],[Fin réelle]]-[[#This Row],Début]+1,"")</f>
        <v>0</v>
      </c>
      <c r="S322">
        <f>[[#This Row],[Budget réalisé]]-[[#This Row],[Budget prévu]]</f>
        <v>0</v>
      </c>
      <c r="T322">
        <f>IF(OR([[#This Row],[Budget prévu]]="",[[#This Row],[Budget réalisé]]=""),"",IF([[#This Row],[Écart (€)]]=0,"À l'équilibre",IF([[#This Row],[Écart (€)]]&gt;0,"Dépassement","Sous budget")))</f>
        <v>0</v>
      </c>
      <c r="W322">
        <f>[[#This Row],[Risque – Probabilité (1-5)]]*[[#This Row],[Risque – Sévérité (1-5)]]</f>
        <v>0</v>
      </c>
      <c r="AC322">
        <f>IF([[#This Row],Effort (jours)]&gt;0,[[#This Row],[Reach (pers.)]]*[[#This Row],[Impact (1-5)]]*[[#This Row],[Confidence (0-1)]]/[[#This Row],[Effort (jours)]],"")</f>
        <v>0</v>
      </c>
      <c r="AG322">
        <f>IF([[#This Row],[Fin planifiée]]&lt;&gt;"",MONTH([[#This Row],[Fin planifiée]]),"")</f>
        <v>0</v>
      </c>
      <c r="AH322">
        <f>IF([[#This Row],[Fin planifiée]]&lt;&gt;"",YEAR([[#This Row],[Fin planifiée]]),"")</f>
        <v>0</v>
      </c>
      <c r="AI3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2">
        <f>IF(AND([[#This Row],Statut]="Terminé",[[#This Row],[Fin réelle]]&lt;&gt;""),IF([[#This Row],[Fin réelle]]&lt;=[[#This Row],[Fin planifiée]],"Oui","Non"),"")</f>
        <v>0</v>
      </c>
    </row>
    <row r="323" spans="13:36" ht="20" customHeight="1">
      <c r="M323">
        <f>IF(AND([[#This Row],Début]&lt;&gt;"",[[#This Row],[Fin planifiée]]&lt;&gt;""),[[#This Row],[Fin planifiée]]-[[#This Row],Début]+1,"")</f>
        <v>0</v>
      </c>
      <c r="N323">
        <f>IF(AND([[#This Row],Début]&lt;&gt;"",[[#This Row],[Fin réelle]]&lt;&gt;""),[[#This Row],[Fin réelle]]-[[#This Row],Début]+1,"")</f>
        <v>0</v>
      </c>
      <c r="S323">
        <f>[[#This Row],[Budget réalisé]]-[[#This Row],[Budget prévu]]</f>
        <v>0</v>
      </c>
      <c r="T323">
        <f>IF(OR([[#This Row],[Budget prévu]]="",[[#This Row],[Budget réalisé]]=""),"",IF([[#This Row],[Écart (€)]]=0,"À l'équilibre",IF([[#This Row],[Écart (€)]]&gt;0,"Dépassement","Sous budget")))</f>
        <v>0</v>
      </c>
      <c r="W323">
        <f>[[#This Row],[Risque – Probabilité (1-5)]]*[[#This Row],[Risque – Sévérité (1-5)]]</f>
        <v>0</v>
      </c>
      <c r="AC323">
        <f>IF([[#This Row],Effort (jours)]&gt;0,[[#This Row],[Reach (pers.)]]*[[#This Row],[Impact (1-5)]]*[[#This Row],[Confidence (0-1)]]/[[#This Row],[Effort (jours)]],"")</f>
        <v>0</v>
      </c>
      <c r="AG323">
        <f>IF([[#This Row],[Fin planifiée]]&lt;&gt;"",MONTH([[#This Row],[Fin planifiée]]),"")</f>
        <v>0</v>
      </c>
      <c r="AH323">
        <f>IF([[#This Row],[Fin planifiée]]&lt;&gt;"",YEAR([[#This Row],[Fin planifiée]]),"")</f>
        <v>0</v>
      </c>
      <c r="AI3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3">
        <f>IF(AND([[#This Row],Statut]="Terminé",[[#This Row],[Fin réelle]]&lt;&gt;""),IF([[#This Row],[Fin réelle]]&lt;=[[#This Row],[Fin planifiée]],"Oui","Non"),"")</f>
        <v>0</v>
      </c>
    </row>
    <row r="324" spans="13:36" ht="20" customHeight="1">
      <c r="M324">
        <f>IF(AND([[#This Row],Début]&lt;&gt;"",[[#This Row],[Fin planifiée]]&lt;&gt;""),[[#This Row],[Fin planifiée]]-[[#This Row],Début]+1,"")</f>
        <v>0</v>
      </c>
      <c r="N324">
        <f>IF(AND([[#This Row],Début]&lt;&gt;"",[[#This Row],[Fin réelle]]&lt;&gt;""),[[#This Row],[Fin réelle]]-[[#This Row],Début]+1,"")</f>
        <v>0</v>
      </c>
      <c r="S324">
        <f>[[#This Row],[Budget réalisé]]-[[#This Row],[Budget prévu]]</f>
        <v>0</v>
      </c>
      <c r="T324">
        <f>IF(OR([[#This Row],[Budget prévu]]="",[[#This Row],[Budget réalisé]]=""),"",IF([[#This Row],[Écart (€)]]=0,"À l'équilibre",IF([[#This Row],[Écart (€)]]&gt;0,"Dépassement","Sous budget")))</f>
        <v>0</v>
      </c>
      <c r="W324">
        <f>[[#This Row],[Risque – Probabilité (1-5)]]*[[#This Row],[Risque – Sévérité (1-5)]]</f>
        <v>0</v>
      </c>
      <c r="AC324">
        <f>IF([[#This Row],Effort (jours)]&gt;0,[[#This Row],[Reach (pers.)]]*[[#This Row],[Impact (1-5)]]*[[#This Row],[Confidence (0-1)]]/[[#This Row],[Effort (jours)]],"")</f>
        <v>0</v>
      </c>
      <c r="AG324">
        <f>IF([[#This Row],[Fin planifiée]]&lt;&gt;"",MONTH([[#This Row],[Fin planifiée]]),"")</f>
        <v>0</v>
      </c>
      <c r="AH324">
        <f>IF([[#This Row],[Fin planifiée]]&lt;&gt;"",YEAR([[#This Row],[Fin planifiée]]),"")</f>
        <v>0</v>
      </c>
      <c r="AI3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4">
        <f>IF(AND([[#This Row],Statut]="Terminé",[[#This Row],[Fin réelle]]&lt;&gt;""),IF([[#This Row],[Fin réelle]]&lt;=[[#This Row],[Fin planifiée]],"Oui","Non"),"")</f>
        <v>0</v>
      </c>
    </row>
    <row r="325" spans="13:36" ht="20" customHeight="1">
      <c r="M325">
        <f>IF(AND([[#This Row],Début]&lt;&gt;"",[[#This Row],[Fin planifiée]]&lt;&gt;""),[[#This Row],[Fin planifiée]]-[[#This Row],Début]+1,"")</f>
        <v>0</v>
      </c>
      <c r="N325">
        <f>IF(AND([[#This Row],Début]&lt;&gt;"",[[#This Row],[Fin réelle]]&lt;&gt;""),[[#This Row],[Fin réelle]]-[[#This Row],Début]+1,"")</f>
        <v>0</v>
      </c>
      <c r="S325">
        <f>[[#This Row],[Budget réalisé]]-[[#This Row],[Budget prévu]]</f>
        <v>0</v>
      </c>
      <c r="T325">
        <f>IF(OR([[#This Row],[Budget prévu]]="",[[#This Row],[Budget réalisé]]=""),"",IF([[#This Row],[Écart (€)]]=0,"À l'équilibre",IF([[#This Row],[Écart (€)]]&gt;0,"Dépassement","Sous budget")))</f>
        <v>0</v>
      </c>
      <c r="W325">
        <f>[[#This Row],[Risque – Probabilité (1-5)]]*[[#This Row],[Risque – Sévérité (1-5)]]</f>
        <v>0</v>
      </c>
      <c r="AC325">
        <f>IF([[#This Row],Effort (jours)]&gt;0,[[#This Row],[Reach (pers.)]]*[[#This Row],[Impact (1-5)]]*[[#This Row],[Confidence (0-1)]]/[[#This Row],[Effort (jours)]],"")</f>
        <v>0</v>
      </c>
      <c r="AG325">
        <f>IF([[#This Row],[Fin planifiée]]&lt;&gt;"",MONTH([[#This Row],[Fin planifiée]]),"")</f>
        <v>0</v>
      </c>
      <c r="AH325">
        <f>IF([[#This Row],[Fin planifiée]]&lt;&gt;"",YEAR([[#This Row],[Fin planifiée]]),"")</f>
        <v>0</v>
      </c>
      <c r="AI3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5">
        <f>IF(AND([[#This Row],Statut]="Terminé",[[#This Row],[Fin réelle]]&lt;&gt;""),IF([[#This Row],[Fin réelle]]&lt;=[[#This Row],[Fin planifiée]],"Oui","Non"),"")</f>
        <v>0</v>
      </c>
    </row>
    <row r="326" spans="13:36" ht="20" customHeight="1">
      <c r="M326">
        <f>IF(AND([[#This Row],Début]&lt;&gt;"",[[#This Row],[Fin planifiée]]&lt;&gt;""),[[#This Row],[Fin planifiée]]-[[#This Row],Début]+1,"")</f>
        <v>0</v>
      </c>
      <c r="N326">
        <f>IF(AND([[#This Row],Début]&lt;&gt;"",[[#This Row],[Fin réelle]]&lt;&gt;""),[[#This Row],[Fin réelle]]-[[#This Row],Début]+1,"")</f>
        <v>0</v>
      </c>
      <c r="S326">
        <f>[[#This Row],[Budget réalisé]]-[[#This Row],[Budget prévu]]</f>
        <v>0</v>
      </c>
      <c r="T326">
        <f>IF(OR([[#This Row],[Budget prévu]]="",[[#This Row],[Budget réalisé]]=""),"",IF([[#This Row],[Écart (€)]]=0,"À l'équilibre",IF([[#This Row],[Écart (€)]]&gt;0,"Dépassement","Sous budget")))</f>
        <v>0</v>
      </c>
      <c r="W326">
        <f>[[#This Row],[Risque – Probabilité (1-5)]]*[[#This Row],[Risque – Sévérité (1-5)]]</f>
        <v>0</v>
      </c>
      <c r="AC326">
        <f>IF([[#This Row],Effort (jours)]&gt;0,[[#This Row],[Reach (pers.)]]*[[#This Row],[Impact (1-5)]]*[[#This Row],[Confidence (0-1)]]/[[#This Row],[Effort (jours)]],"")</f>
        <v>0</v>
      </c>
      <c r="AG326">
        <f>IF([[#This Row],[Fin planifiée]]&lt;&gt;"",MONTH([[#This Row],[Fin planifiée]]),"")</f>
        <v>0</v>
      </c>
      <c r="AH326">
        <f>IF([[#This Row],[Fin planifiée]]&lt;&gt;"",YEAR([[#This Row],[Fin planifiée]]),"")</f>
        <v>0</v>
      </c>
      <c r="AI3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6">
        <f>IF(AND([[#This Row],Statut]="Terminé",[[#This Row],[Fin réelle]]&lt;&gt;""),IF([[#This Row],[Fin réelle]]&lt;=[[#This Row],[Fin planifiée]],"Oui","Non"),"")</f>
        <v>0</v>
      </c>
    </row>
    <row r="327" spans="13:36" ht="20" customHeight="1">
      <c r="M327">
        <f>IF(AND([[#This Row],Début]&lt;&gt;"",[[#This Row],[Fin planifiée]]&lt;&gt;""),[[#This Row],[Fin planifiée]]-[[#This Row],Début]+1,"")</f>
        <v>0</v>
      </c>
      <c r="N327">
        <f>IF(AND([[#This Row],Début]&lt;&gt;"",[[#This Row],[Fin réelle]]&lt;&gt;""),[[#This Row],[Fin réelle]]-[[#This Row],Début]+1,"")</f>
        <v>0</v>
      </c>
      <c r="S327">
        <f>[[#This Row],[Budget réalisé]]-[[#This Row],[Budget prévu]]</f>
        <v>0</v>
      </c>
      <c r="T327">
        <f>IF(OR([[#This Row],[Budget prévu]]="",[[#This Row],[Budget réalisé]]=""),"",IF([[#This Row],[Écart (€)]]=0,"À l'équilibre",IF([[#This Row],[Écart (€)]]&gt;0,"Dépassement","Sous budget")))</f>
        <v>0</v>
      </c>
      <c r="W327">
        <f>[[#This Row],[Risque – Probabilité (1-5)]]*[[#This Row],[Risque – Sévérité (1-5)]]</f>
        <v>0</v>
      </c>
      <c r="AC327">
        <f>IF([[#This Row],Effort (jours)]&gt;0,[[#This Row],[Reach (pers.)]]*[[#This Row],[Impact (1-5)]]*[[#This Row],[Confidence (0-1)]]/[[#This Row],[Effort (jours)]],"")</f>
        <v>0</v>
      </c>
      <c r="AG327">
        <f>IF([[#This Row],[Fin planifiée]]&lt;&gt;"",MONTH([[#This Row],[Fin planifiée]]),"")</f>
        <v>0</v>
      </c>
      <c r="AH327">
        <f>IF([[#This Row],[Fin planifiée]]&lt;&gt;"",YEAR([[#This Row],[Fin planifiée]]),"")</f>
        <v>0</v>
      </c>
      <c r="AI3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7">
        <f>IF(AND([[#This Row],Statut]="Terminé",[[#This Row],[Fin réelle]]&lt;&gt;""),IF([[#This Row],[Fin réelle]]&lt;=[[#This Row],[Fin planifiée]],"Oui","Non"),"")</f>
        <v>0</v>
      </c>
    </row>
    <row r="328" spans="13:36" ht="20" customHeight="1">
      <c r="M328">
        <f>IF(AND([[#This Row],Début]&lt;&gt;"",[[#This Row],[Fin planifiée]]&lt;&gt;""),[[#This Row],[Fin planifiée]]-[[#This Row],Début]+1,"")</f>
        <v>0</v>
      </c>
      <c r="N328">
        <f>IF(AND([[#This Row],Début]&lt;&gt;"",[[#This Row],[Fin réelle]]&lt;&gt;""),[[#This Row],[Fin réelle]]-[[#This Row],Début]+1,"")</f>
        <v>0</v>
      </c>
      <c r="S328">
        <f>[[#This Row],[Budget réalisé]]-[[#This Row],[Budget prévu]]</f>
        <v>0</v>
      </c>
      <c r="T328">
        <f>IF(OR([[#This Row],[Budget prévu]]="",[[#This Row],[Budget réalisé]]=""),"",IF([[#This Row],[Écart (€)]]=0,"À l'équilibre",IF([[#This Row],[Écart (€)]]&gt;0,"Dépassement","Sous budget")))</f>
        <v>0</v>
      </c>
      <c r="W328">
        <f>[[#This Row],[Risque – Probabilité (1-5)]]*[[#This Row],[Risque – Sévérité (1-5)]]</f>
        <v>0</v>
      </c>
      <c r="AC328">
        <f>IF([[#This Row],Effort (jours)]&gt;0,[[#This Row],[Reach (pers.)]]*[[#This Row],[Impact (1-5)]]*[[#This Row],[Confidence (0-1)]]/[[#This Row],[Effort (jours)]],"")</f>
        <v>0</v>
      </c>
      <c r="AG328">
        <f>IF([[#This Row],[Fin planifiée]]&lt;&gt;"",MONTH([[#This Row],[Fin planifiée]]),"")</f>
        <v>0</v>
      </c>
      <c r="AH328">
        <f>IF([[#This Row],[Fin planifiée]]&lt;&gt;"",YEAR([[#This Row],[Fin planifiée]]),"")</f>
        <v>0</v>
      </c>
      <c r="AI3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8">
        <f>IF(AND([[#This Row],Statut]="Terminé",[[#This Row],[Fin réelle]]&lt;&gt;""),IF([[#This Row],[Fin réelle]]&lt;=[[#This Row],[Fin planifiée]],"Oui","Non"),"")</f>
        <v>0</v>
      </c>
    </row>
    <row r="329" spans="13:36" ht="20" customHeight="1">
      <c r="M329">
        <f>IF(AND([[#This Row],Début]&lt;&gt;"",[[#This Row],[Fin planifiée]]&lt;&gt;""),[[#This Row],[Fin planifiée]]-[[#This Row],Début]+1,"")</f>
        <v>0</v>
      </c>
      <c r="N329">
        <f>IF(AND([[#This Row],Début]&lt;&gt;"",[[#This Row],[Fin réelle]]&lt;&gt;""),[[#This Row],[Fin réelle]]-[[#This Row],Début]+1,"")</f>
        <v>0</v>
      </c>
      <c r="S329">
        <f>[[#This Row],[Budget réalisé]]-[[#This Row],[Budget prévu]]</f>
        <v>0</v>
      </c>
      <c r="T329">
        <f>IF(OR([[#This Row],[Budget prévu]]="",[[#This Row],[Budget réalisé]]=""),"",IF([[#This Row],[Écart (€)]]=0,"À l'équilibre",IF([[#This Row],[Écart (€)]]&gt;0,"Dépassement","Sous budget")))</f>
        <v>0</v>
      </c>
      <c r="W329">
        <f>[[#This Row],[Risque – Probabilité (1-5)]]*[[#This Row],[Risque – Sévérité (1-5)]]</f>
        <v>0</v>
      </c>
      <c r="AC329">
        <f>IF([[#This Row],Effort (jours)]&gt;0,[[#This Row],[Reach (pers.)]]*[[#This Row],[Impact (1-5)]]*[[#This Row],[Confidence (0-1)]]/[[#This Row],[Effort (jours)]],"")</f>
        <v>0</v>
      </c>
      <c r="AG329">
        <f>IF([[#This Row],[Fin planifiée]]&lt;&gt;"",MONTH([[#This Row],[Fin planifiée]]),"")</f>
        <v>0</v>
      </c>
      <c r="AH329">
        <f>IF([[#This Row],[Fin planifiée]]&lt;&gt;"",YEAR([[#This Row],[Fin planifiée]]),"")</f>
        <v>0</v>
      </c>
      <c r="AI3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29">
        <f>IF(AND([[#This Row],Statut]="Terminé",[[#This Row],[Fin réelle]]&lt;&gt;""),IF([[#This Row],[Fin réelle]]&lt;=[[#This Row],[Fin planifiée]],"Oui","Non"),"")</f>
        <v>0</v>
      </c>
    </row>
    <row r="330" spans="13:36" ht="20" customHeight="1">
      <c r="M330">
        <f>IF(AND([[#This Row],Début]&lt;&gt;"",[[#This Row],[Fin planifiée]]&lt;&gt;""),[[#This Row],[Fin planifiée]]-[[#This Row],Début]+1,"")</f>
        <v>0</v>
      </c>
      <c r="N330">
        <f>IF(AND([[#This Row],Début]&lt;&gt;"",[[#This Row],[Fin réelle]]&lt;&gt;""),[[#This Row],[Fin réelle]]-[[#This Row],Début]+1,"")</f>
        <v>0</v>
      </c>
      <c r="S330">
        <f>[[#This Row],[Budget réalisé]]-[[#This Row],[Budget prévu]]</f>
        <v>0</v>
      </c>
      <c r="T330">
        <f>IF(OR([[#This Row],[Budget prévu]]="",[[#This Row],[Budget réalisé]]=""),"",IF([[#This Row],[Écart (€)]]=0,"À l'équilibre",IF([[#This Row],[Écart (€)]]&gt;0,"Dépassement","Sous budget")))</f>
        <v>0</v>
      </c>
      <c r="W330">
        <f>[[#This Row],[Risque – Probabilité (1-5)]]*[[#This Row],[Risque – Sévérité (1-5)]]</f>
        <v>0</v>
      </c>
      <c r="AC330">
        <f>IF([[#This Row],Effort (jours)]&gt;0,[[#This Row],[Reach (pers.)]]*[[#This Row],[Impact (1-5)]]*[[#This Row],[Confidence (0-1)]]/[[#This Row],[Effort (jours)]],"")</f>
        <v>0</v>
      </c>
      <c r="AG330">
        <f>IF([[#This Row],[Fin planifiée]]&lt;&gt;"",MONTH([[#This Row],[Fin planifiée]]),"")</f>
        <v>0</v>
      </c>
      <c r="AH330">
        <f>IF([[#This Row],[Fin planifiée]]&lt;&gt;"",YEAR([[#This Row],[Fin planifiée]]),"")</f>
        <v>0</v>
      </c>
      <c r="AI3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0">
        <f>IF(AND([[#This Row],Statut]="Terminé",[[#This Row],[Fin réelle]]&lt;&gt;""),IF([[#This Row],[Fin réelle]]&lt;=[[#This Row],[Fin planifiée]],"Oui","Non"),"")</f>
        <v>0</v>
      </c>
    </row>
    <row r="331" spans="13:36" ht="20" customHeight="1">
      <c r="M331">
        <f>IF(AND([[#This Row],Début]&lt;&gt;"",[[#This Row],[Fin planifiée]]&lt;&gt;""),[[#This Row],[Fin planifiée]]-[[#This Row],Début]+1,"")</f>
        <v>0</v>
      </c>
      <c r="N331">
        <f>IF(AND([[#This Row],Début]&lt;&gt;"",[[#This Row],[Fin réelle]]&lt;&gt;""),[[#This Row],[Fin réelle]]-[[#This Row],Début]+1,"")</f>
        <v>0</v>
      </c>
      <c r="S331">
        <f>[[#This Row],[Budget réalisé]]-[[#This Row],[Budget prévu]]</f>
        <v>0</v>
      </c>
      <c r="T331">
        <f>IF(OR([[#This Row],[Budget prévu]]="",[[#This Row],[Budget réalisé]]=""),"",IF([[#This Row],[Écart (€)]]=0,"À l'équilibre",IF([[#This Row],[Écart (€)]]&gt;0,"Dépassement","Sous budget")))</f>
        <v>0</v>
      </c>
      <c r="W331">
        <f>[[#This Row],[Risque – Probabilité (1-5)]]*[[#This Row],[Risque – Sévérité (1-5)]]</f>
        <v>0</v>
      </c>
      <c r="AC331">
        <f>IF([[#This Row],Effort (jours)]&gt;0,[[#This Row],[Reach (pers.)]]*[[#This Row],[Impact (1-5)]]*[[#This Row],[Confidence (0-1)]]/[[#This Row],[Effort (jours)]],"")</f>
        <v>0</v>
      </c>
      <c r="AG331">
        <f>IF([[#This Row],[Fin planifiée]]&lt;&gt;"",MONTH([[#This Row],[Fin planifiée]]),"")</f>
        <v>0</v>
      </c>
      <c r="AH331">
        <f>IF([[#This Row],[Fin planifiée]]&lt;&gt;"",YEAR([[#This Row],[Fin planifiée]]),"")</f>
        <v>0</v>
      </c>
      <c r="AI3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1">
        <f>IF(AND([[#This Row],Statut]="Terminé",[[#This Row],[Fin réelle]]&lt;&gt;""),IF([[#This Row],[Fin réelle]]&lt;=[[#This Row],[Fin planifiée]],"Oui","Non"),"")</f>
        <v>0</v>
      </c>
    </row>
    <row r="332" spans="13:36" ht="20" customHeight="1">
      <c r="M332">
        <f>IF(AND([[#This Row],Début]&lt;&gt;"",[[#This Row],[Fin planifiée]]&lt;&gt;""),[[#This Row],[Fin planifiée]]-[[#This Row],Début]+1,"")</f>
        <v>0</v>
      </c>
      <c r="N332">
        <f>IF(AND([[#This Row],Début]&lt;&gt;"",[[#This Row],[Fin réelle]]&lt;&gt;""),[[#This Row],[Fin réelle]]-[[#This Row],Début]+1,"")</f>
        <v>0</v>
      </c>
      <c r="S332">
        <f>[[#This Row],[Budget réalisé]]-[[#This Row],[Budget prévu]]</f>
        <v>0</v>
      </c>
      <c r="T332">
        <f>IF(OR([[#This Row],[Budget prévu]]="",[[#This Row],[Budget réalisé]]=""),"",IF([[#This Row],[Écart (€)]]=0,"À l'équilibre",IF([[#This Row],[Écart (€)]]&gt;0,"Dépassement","Sous budget")))</f>
        <v>0</v>
      </c>
      <c r="W332">
        <f>[[#This Row],[Risque – Probabilité (1-5)]]*[[#This Row],[Risque – Sévérité (1-5)]]</f>
        <v>0</v>
      </c>
      <c r="AC332">
        <f>IF([[#This Row],Effort (jours)]&gt;0,[[#This Row],[Reach (pers.)]]*[[#This Row],[Impact (1-5)]]*[[#This Row],[Confidence (0-1)]]/[[#This Row],[Effort (jours)]],"")</f>
        <v>0</v>
      </c>
      <c r="AG332">
        <f>IF([[#This Row],[Fin planifiée]]&lt;&gt;"",MONTH([[#This Row],[Fin planifiée]]),"")</f>
        <v>0</v>
      </c>
      <c r="AH332">
        <f>IF([[#This Row],[Fin planifiée]]&lt;&gt;"",YEAR([[#This Row],[Fin planifiée]]),"")</f>
        <v>0</v>
      </c>
      <c r="AI3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2">
        <f>IF(AND([[#This Row],Statut]="Terminé",[[#This Row],[Fin réelle]]&lt;&gt;""),IF([[#This Row],[Fin réelle]]&lt;=[[#This Row],[Fin planifiée]],"Oui","Non"),"")</f>
        <v>0</v>
      </c>
    </row>
    <row r="333" spans="13:36" ht="20" customHeight="1">
      <c r="M333">
        <f>IF(AND([[#This Row],Début]&lt;&gt;"",[[#This Row],[Fin planifiée]]&lt;&gt;""),[[#This Row],[Fin planifiée]]-[[#This Row],Début]+1,"")</f>
        <v>0</v>
      </c>
      <c r="N333">
        <f>IF(AND([[#This Row],Début]&lt;&gt;"",[[#This Row],[Fin réelle]]&lt;&gt;""),[[#This Row],[Fin réelle]]-[[#This Row],Début]+1,"")</f>
        <v>0</v>
      </c>
      <c r="S333">
        <f>[[#This Row],[Budget réalisé]]-[[#This Row],[Budget prévu]]</f>
        <v>0</v>
      </c>
      <c r="T333">
        <f>IF(OR([[#This Row],[Budget prévu]]="",[[#This Row],[Budget réalisé]]=""),"",IF([[#This Row],[Écart (€)]]=0,"À l'équilibre",IF([[#This Row],[Écart (€)]]&gt;0,"Dépassement","Sous budget")))</f>
        <v>0</v>
      </c>
      <c r="W333">
        <f>[[#This Row],[Risque – Probabilité (1-5)]]*[[#This Row],[Risque – Sévérité (1-5)]]</f>
        <v>0</v>
      </c>
      <c r="AC333">
        <f>IF([[#This Row],Effort (jours)]&gt;0,[[#This Row],[Reach (pers.)]]*[[#This Row],[Impact (1-5)]]*[[#This Row],[Confidence (0-1)]]/[[#This Row],[Effort (jours)]],"")</f>
        <v>0</v>
      </c>
      <c r="AG333">
        <f>IF([[#This Row],[Fin planifiée]]&lt;&gt;"",MONTH([[#This Row],[Fin planifiée]]),"")</f>
        <v>0</v>
      </c>
      <c r="AH333">
        <f>IF([[#This Row],[Fin planifiée]]&lt;&gt;"",YEAR([[#This Row],[Fin planifiée]]),"")</f>
        <v>0</v>
      </c>
      <c r="AI3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3">
        <f>IF(AND([[#This Row],Statut]="Terminé",[[#This Row],[Fin réelle]]&lt;&gt;""),IF([[#This Row],[Fin réelle]]&lt;=[[#This Row],[Fin planifiée]],"Oui","Non"),"")</f>
        <v>0</v>
      </c>
    </row>
    <row r="334" spans="13:36" ht="20" customHeight="1">
      <c r="M334">
        <f>IF(AND([[#This Row],Début]&lt;&gt;"",[[#This Row],[Fin planifiée]]&lt;&gt;""),[[#This Row],[Fin planifiée]]-[[#This Row],Début]+1,"")</f>
        <v>0</v>
      </c>
      <c r="N334">
        <f>IF(AND([[#This Row],Début]&lt;&gt;"",[[#This Row],[Fin réelle]]&lt;&gt;""),[[#This Row],[Fin réelle]]-[[#This Row],Début]+1,"")</f>
        <v>0</v>
      </c>
      <c r="S334">
        <f>[[#This Row],[Budget réalisé]]-[[#This Row],[Budget prévu]]</f>
        <v>0</v>
      </c>
      <c r="T334">
        <f>IF(OR([[#This Row],[Budget prévu]]="",[[#This Row],[Budget réalisé]]=""),"",IF([[#This Row],[Écart (€)]]=0,"À l'équilibre",IF([[#This Row],[Écart (€)]]&gt;0,"Dépassement","Sous budget")))</f>
        <v>0</v>
      </c>
      <c r="W334">
        <f>[[#This Row],[Risque – Probabilité (1-5)]]*[[#This Row],[Risque – Sévérité (1-5)]]</f>
        <v>0</v>
      </c>
      <c r="AC334">
        <f>IF([[#This Row],Effort (jours)]&gt;0,[[#This Row],[Reach (pers.)]]*[[#This Row],[Impact (1-5)]]*[[#This Row],[Confidence (0-1)]]/[[#This Row],[Effort (jours)]],"")</f>
        <v>0</v>
      </c>
      <c r="AG334">
        <f>IF([[#This Row],[Fin planifiée]]&lt;&gt;"",MONTH([[#This Row],[Fin planifiée]]),"")</f>
        <v>0</v>
      </c>
      <c r="AH334">
        <f>IF([[#This Row],[Fin planifiée]]&lt;&gt;"",YEAR([[#This Row],[Fin planifiée]]),"")</f>
        <v>0</v>
      </c>
      <c r="AI3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4">
        <f>IF(AND([[#This Row],Statut]="Terminé",[[#This Row],[Fin réelle]]&lt;&gt;""),IF([[#This Row],[Fin réelle]]&lt;=[[#This Row],[Fin planifiée]],"Oui","Non"),"")</f>
        <v>0</v>
      </c>
    </row>
    <row r="335" spans="13:36" ht="20" customHeight="1">
      <c r="M335">
        <f>IF(AND([[#This Row],Début]&lt;&gt;"",[[#This Row],[Fin planifiée]]&lt;&gt;""),[[#This Row],[Fin planifiée]]-[[#This Row],Début]+1,"")</f>
        <v>0</v>
      </c>
      <c r="N335">
        <f>IF(AND([[#This Row],Début]&lt;&gt;"",[[#This Row],[Fin réelle]]&lt;&gt;""),[[#This Row],[Fin réelle]]-[[#This Row],Début]+1,"")</f>
        <v>0</v>
      </c>
      <c r="S335">
        <f>[[#This Row],[Budget réalisé]]-[[#This Row],[Budget prévu]]</f>
        <v>0</v>
      </c>
      <c r="T335">
        <f>IF(OR([[#This Row],[Budget prévu]]="",[[#This Row],[Budget réalisé]]=""),"",IF([[#This Row],[Écart (€)]]=0,"À l'équilibre",IF([[#This Row],[Écart (€)]]&gt;0,"Dépassement","Sous budget")))</f>
        <v>0</v>
      </c>
      <c r="W335">
        <f>[[#This Row],[Risque – Probabilité (1-5)]]*[[#This Row],[Risque – Sévérité (1-5)]]</f>
        <v>0</v>
      </c>
      <c r="AC335">
        <f>IF([[#This Row],Effort (jours)]&gt;0,[[#This Row],[Reach (pers.)]]*[[#This Row],[Impact (1-5)]]*[[#This Row],[Confidence (0-1)]]/[[#This Row],[Effort (jours)]],"")</f>
        <v>0</v>
      </c>
      <c r="AG335">
        <f>IF([[#This Row],[Fin planifiée]]&lt;&gt;"",MONTH([[#This Row],[Fin planifiée]]),"")</f>
        <v>0</v>
      </c>
      <c r="AH335">
        <f>IF([[#This Row],[Fin planifiée]]&lt;&gt;"",YEAR([[#This Row],[Fin planifiée]]),"")</f>
        <v>0</v>
      </c>
      <c r="AI3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5">
        <f>IF(AND([[#This Row],Statut]="Terminé",[[#This Row],[Fin réelle]]&lt;&gt;""),IF([[#This Row],[Fin réelle]]&lt;=[[#This Row],[Fin planifiée]],"Oui","Non"),"")</f>
        <v>0</v>
      </c>
    </row>
    <row r="336" spans="13:36" ht="20" customHeight="1">
      <c r="M336">
        <f>IF(AND([[#This Row],Début]&lt;&gt;"",[[#This Row],[Fin planifiée]]&lt;&gt;""),[[#This Row],[Fin planifiée]]-[[#This Row],Début]+1,"")</f>
        <v>0</v>
      </c>
      <c r="N336">
        <f>IF(AND([[#This Row],Début]&lt;&gt;"",[[#This Row],[Fin réelle]]&lt;&gt;""),[[#This Row],[Fin réelle]]-[[#This Row],Début]+1,"")</f>
        <v>0</v>
      </c>
      <c r="S336">
        <f>[[#This Row],[Budget réalisé]]-[[#This Row],[Budget prévu]]</f>
        <v>0</v>
      </c>
      <c r="T336">
        <f>IF(OR([[#This Row],[Budget prévu]]="",[[#This Row],[Budget réalisé]]=""),"",IF([[#This Row],[Écart (€)]]=0,"À l'équilibre",IF([[#This Row],[Écart (€)]]&gt;0,"Dépassement","Sous budget")))</f>
        <v>0</v>
      </c>
      <c r="W336">
        <f>[[#This Row],[Risque – Probabilité (1-5)]]*[[#This Row],[Risque – Sévérité (1-5)]]</f>
        <v>0</v>
      </c>
      <c r="AC336">
        <f>IF([[#This Row],Effort (jours)]&gt;0,[[#This Row],[Reach (pers.)]]*[[#This Row],[Impact (1-5)]]*[[#This Row],[Confidence (0-1)]]/[[#This Row],[Effort (jours)]],"")</f>
        <v>0</v>
      </c>
      <c r="AG336">
        <f>IF([[#This Row],[Fin planifiée]]&lt;&gt;"",MONTH([[#This Row],[Fin planifiée]]),"")</f>
        <v>0</v>
      </c>
      <c r="AH336">
        <f>IF([[#This Row],[Fin planifiée]]&lt;&gt;"",YEAR([[#This Row],[Fin planifiée]]),"")</f>
        <v>0</v>
      </c>
      <c r="AI3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6">
        <f>IF(AND([[#This Row],Statut]="Terminé",[[#This Row],[Fin réelle]]&lt;&gt;""),IF([[#This Row],[Fin réelle]]&lt;=[[#This Row],[Fin planifiée]],"Oui","Non"),"")</f>
        <v>0</v>
      </c>
    </row>
    <row r="337" spans="13:36" ht="20" customHeight="1">
      <c r="M337">
        <f>IF(AND([[#This Row],Début]&lt;&gt;"",[[#This Row],[Fin planifiée]]&lt;&gt;""),[[#This Row],[Fin planifiée]]-[[#This Row],Début]+1,"")</f>
        <v>0</v>
      </c>
      <c r="N337">
        <f>IF(AND([[#This Row],Début]&lt;&gt;"",[[#This Row],[Fin réelle]]&lt;&gt;""),[[#This Row],[Fin réelle]]-[[#This Row],Début]+1,"")</f>
        <v>0</v>
      </c>
      <c r="S337">
        <f>[[#This Row],[Budget réalisé]]-[[#This Row],[Budget prévu]]</f>
        <v>0</v>
      </c>
      <c r="T337">
        <f>IF(OR([[#This Row],[Budget prévu]]="",[[#This Row],[Budget réalisé]]=""),"",IF([[#This Row],[Écart (€)]]=0,"À l'équilibre",IF([[#This Row],[Écart (€)]]&gt;0,"Dépassement","Sous budget")))</f>
        <v>0</v>
      </c>
      <c r="W337">
        <f>[[#This Row],[Risque – Probabilité (1-5)]]*[[#This Row],[Risque – Sévérité (1-5)]]</f>
        <v>0</v>
      </c>
      <c r="AC337">
        <f>IF([[#This Row],Effort (jours)]&gt;0,[[#This Row],[Reach (pers.)]]*[[#This Row],[Impact (1-5)]]*[[#This Row],[Confidence (0-1)]]/[[#This Row],[Effort (jours)]],"")</f>
        <v>0</v>
      </c>
      <c r="AG337">
        <f>IF([[#This Row],[Fin planifiée]]&lt;&gt;"",MONTH([[#This Row],[Fin planifiée]]),"")</f>
        <v>0</v>
      </c>
      <c r="AH337">
        <f>IF([[#This Row],[Fin planifiée]]&lt;&gt;"",YEAR([[#This Row],[Fin planifiée]]),"")</f>
        <v>0</v>
      </c>
      <c r="AI3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7">
        <f>IF(AND([[#This Row],Statut]="Terminé",[[#This Row],[Fin réelle]]&lt;&gt;""),IF([[#This Row],[Fin réelle]]&lt;=[[#This Row],[Fin planifiée]],"Oui","Non"),"")</f>
        <v>0</v>
      </c>
    </row>
    <row r="338" spans="13:36" ht="20" customHeight="1">
      <c r="M338">
        <f>IF(AND([[#This Row],Début]&lt;&gt;"",[[#This Row],[Fin planifiée]]&lt;&gt;""),[[#This Row],[Fin planifiée]]-[[#This Row],Début]+1,"")</f>
        <v>0</v>
      </c>
      <c r="N338">
        <f>IF(AND([[#This Row],Début]&lt;&gt;"",[[#This Row],[Fin réelle]]&lt;&gt;""),[[#This Row],[Fin réelle]]-[[#This Row],Début]+1,"")</f>
        <v>0</v>
      </c>
      <c r="S338">
        <f>[[#This Row],[Budget réalisé]]-[[#This Row],[Budget prévu]]</f>
        <v>0</v>
      </c>
      <c r="T338">
        <f>IF(OR([[#This Row],[Budget prévu]]="",[[#This Row],[Budget réalisé]]=""),"",IF([[#This Row],[Écart (€)]]=0,"À l'équilibre",IF([[#This Row],[Écart (€)]]&gt;0,"Dépassement","Sous budget")))</f>
        <v>0</v>
      </c>
      <c r="W338">
        <f>[[#This Row],[Risque – Probabilité (1-5)]]*[[#This Row],[Risque – Sévérité (1-5)]]</f>
        <v>0</v>
      </c>
      <c r="AC338">
        <f>IF([[#This Row],Effort (jours)]&gt;0,[[#This Row],[Reach (pers.)]]*[[#This Row],[Impact (1-5)]]*[[#This Row],[Confidence (0-1)]]/[[#This Row],[Effort (jours)]],"")</f>
        <v>0</v>
      </c>
      <c r="AG338">
        <f>IF([[#This Row],[Fin planifiée]]&lt;&gt;"",MONTH([[#This Row],[Fin planifiée]]),"")</f>
        <v>0</v>
      </c>
      <c r="AH338">
        <f>IF([[#This Row],[Fin planifiée]]&lt;&gt;"",YEAR([[#This Row],[Fin planifiée]]),"")</f>
        <v>0</v>
      </c>
      <c r="AI3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8">
        <f>IF(AND([[#This Row],Statut]="Terminé",[[#This Row],[Fin réelle]]&lt;&gt;""),IF([[#This Row],[Fin réelle]]&lt;=[[#This Row],[Fin planifiée]],"Oui","Non"),"")</f>
        <v>0</v>
      </c>
    </row>
    <row r="339" spans="13:36" ht="20" customHeight="1">
      <c r="M339">
        <f>IF(AND([[#This Row],Début]&lt;&gt;"",[[#This Row],[Fin planifiée]]&lt;&gt;""),[[#This Row],[Fin planifiée]]-[[#This Row],Début]+1,"")</f>
        <v>0</v>
      </c>
      <c r="N339">
        <f>IF(AND([[#This Row],Début]&lt;&gt;"",[[#This Row],[Fin réelle]]&lt;&gt;""),[[#This Row],[Fin réelle]]-[[#This Row],Début]+1,"")</f>
        <v>0</v>
      </c>
      <c r="S339">
        <f>[[#This Row],[Budget réalisé]]-[[#This Row],[Budget prévu]]</f>
        <v>0</v>
      </c>
      <c r="T339">
        <f>IF(OR([[#This Row],[Budget prévu]]="",[[#This Row],[Budget réalisé]]=""),"",IF([[#This Row],[Écart (€)]]=0,"À l'équilibre",IF([[#This Row],[Écart (€)]]&gt;0,"Dépassement","Sous budget")))</f>
        <v>0</v>
      </c>
      <c r="W339">
        <f>[[#This Row],[Risque – Probabilité (1-5)]]*[[#This Row],[Risque – Sévérité (1-5)]]</f>
        <v>0</v>
      </c>
      <c r="AC339">
        <f>IF([[#This Row],Effort (jours)]&gt;0,[[#This Row],[Reach (pers.)]]*[[#This Row],[Impact (1-5)]]*[[#This Row],[Confidence (0-1)]]/[[#This Row],[Effort (jours)]],"")</f>
        <v>0</v>
      </c>
      <c r="AG339">
        <f>IF([[#This Row],[Fin planifiée]]&lt;&gt;"",MONTH([[#This Row],[Fin planifiée]]),"")</f>
        <v>0</v>
      </c>
      <c r="AH339">
        <f>IF([[#This Row],[Fin planifiée]]&lt;&gt;"",YEAR([[#This Row],[Fin planifiée]]),"")</f>
        <v>0</v>
      </c>
      <c r="AI3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39">
        <f>IF(AND([[#This Row],Statut]="Terminé",[[#This Row],[Fin réelle]]&lt;&gt;""),IF([[#This Row],[Fin réelle]]&lt;=[[#This Row],[Fin planifiée]],"Oui","Non"),"")</f>
        <v>0</v>
      </c>
    </row>
    <row r="340" spans="13:36" ht="20" customHeight="1">
      <c r="M340">
        <f>IF(AND([[#This Row],Début]&lt;&gt;"",[[#This Row],[Fin planifiée]]&lt;&gt;""),[[#This Row],[Fin planifiée]]-[[#This Row],Début]+1,"")</f>
        <v>0</v>
      </c>
      <c r="N340">
        <f>IF(AND([[#This Row],Début]&lt;&gt;"",[[#This Row],[Fin réelle]]&lt;&gt;""),[[#This Row],[Fin réelle]]-[[#This Row],Début]+1,"")</f>
        <v>0</v>
      </c>
      <c r="S340">
        <f>[[#This Row],[Budget réalisé]]-[[#This Row],[Budget prévu]]</f>
        <v>0</v>
      </c>
      <c r="T340">
        <f>IF(OR([[#This Row],[Budget prévu]]="",[[#This Row],[Budget réalisé]]=""),"",IF([[#This Row],[Écart (€)]]=0,"À l'équilibre",IF([[#This Row],[Écart (€)]]&gt;0,"Dépassement","Sous budget")))</f>
        <v>0</v>
      </c>
      <c r="W340">
        <f>[[#This Row],[Risque – Probabilité (1-5)]]*[[#This Row],[Risque – Sévérité (1-5)]]</f>
        <v>0</v>
      </c>
      <c r="AC340">
        <f>IF([[#This Row],Effort (jours)]&gt;0,[[#This Row],[Reach (pers.)]]*[[#This Row],[Impact (1-5)]]*[[#This Row],[Confidence (0-1)]]/[[#This Row],[Effort (jours)]],"")</f>
        <v>0</v>
      </c>
      <c r="AG340">
        <f>IF([[#This Row],[Fin planifiée]]&lt;&gt;"",MONTH([[#This Row],[Fin planifiée]]),"")</f>
        <v>0</v>
      </c>
      <c r="AH340">
        <f>IF([[#This Row],[Fin planifiée]]&lt;&gt;"",YEAR([[#This Row],[Fin planifiée]]),"")</f>
        <v>0</v>
      </c>
      <c r="AI3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0">
        <f>IF(AND([[#This Row],Statut]="Terminé",[[#This Row],[Fin réelle]]&lt;&gt;""),IF([[#This Row],[Fin réelle]]&lt;=[[#This Row],[Fin planifiée]],"Oui","Non"),"")</f>
        <v>0</v>
      </c>
    </row>
    <row r="341" spans="13:36" ht="20" customHeight="1">
      <c r="M341">
        <f>IF(AND([[#This Row],Début]&lt;&gt;"",[[#This Row],[Fin planifiée]]&lt;&gt;""),[[#This Row],[Fin planifiée]]-[[#This Row],Début]+1,"")</f>
        <v>0</v>
      </c>
      <c r="N341">
        <f>IF(AND([[#This Row],Début]&lt;&gt;"",[[#This Row],[Fin réelle]]&lt;&gt;""),[[#This Row],[Fin réelle]]-[[#This Row],Début]+1,"")</f>
        <v>0</v>
      </c>
      <c r="S341">
        <f>[[#This Row],[Budget réalisé]]-[[#This Row],[Budget prévu]]</f>
        <v>0</v>
      </c>
      <c r="T341">
        <f>IF(OR([[#This Row],[Budget prévu]]="",[[#This Row],[Budget réalisé]]=""),"",IF([[#This Row],[Écart (€)]]=0,"À l'équilibre",IF([[#This Row],[Écart (€)]]&gt;0,"Dépassement","Sous budget")))</f>
        <v>0</v>
      </c>
      <c r="W341">
        <f>[[#This Row],[Risque – Probabilité (1-5)]]*[[#This Row],[Risque – Sévérité (1-5)]]</f>
        <v>0</v>
      </c>
      <c r="AC341">
        <f>IF([[#This Row],Effort (jours)]&gt;0,[[#This Row],[Reach (pers.)]]*[[#This Row],[Impact (1-5)]]*[[#This Row],[Confidence (0-1)]]/[[#This Row],[Effort (jours)]],"")</f>
        <v>0</v>
      </c>
      <c r="AG341">
        <f>IF([[#This Row],[Fin planifiée]]&lt;&gt;"",MONTH([[#This Row],[Fin planifiée]]),"")</f>
        <v>0</v>
      </c>
      <c r="AH341">
        <f>IF([[#This Row],[Fin planifiée]]&lt;&gt;"",YEAR([[#This Row],[Fin planifiée]]),"")</f>
        <v>0</v>
      </c>
      <c r="AI3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1">
        <f>IF(AND([[#This Row],Statut]="Terminé",[[#This Row],[Fin réelle]]&lt;&gt;""),IF([[#This Row],[Fin réelle]]&lt;=[[#This Row],[Fin planifiée]],"Oui","Non"),"")</f>
        <v>0</v>
      </c>
    </row>
    <row r="342" spans="13:36" ht="20" customHeight="1">
      <c r="M342">
        <f>IF(AND([[#This Row],Début]&lt;&gt;"",[[#This Row],[Fin planifiée]]&lt;&gt;""),[[#This Row],[Fin planifiée]]-[[#This Row],Début]+1,"")</f>
        <v>0</v>
      </c>
      <c r="N342">
        <f>IF(AND([[#This Row],Début]&lt;&gt;"",[[#This Row],[Fin réelle]]&lt;&gt;""),[[#This Row],[Fin réelle]]-[[#This Row],Début]+1,"")</f>
        <v>0</v>
      </c>
      <c r="S342">
        <f>[[#This Row],[Budget réalisé]]-[[#This Row],[Budget prévu]]</f>
        <v>0</v>
      </c>
      <c r="T342">
        <f>IF(OR([[#This Row],[Budget prévu]]="",[[#This Row],[Budget réalisé]]=""),"",IF([[#This Row],[Écart (€)]]=0,"À l'équilibre",IF([[#This Row],[Écart (€)]]&gt;0,"Dépassement","Sous budget")))</f>
        <v>0</v>
      </c>
      <c r="W342">
        <f>[[#This Row],[Risque – Probabilité (1-5)]]*[[#This Row],[Risque – Sévérité (1-5)]]</f>
        <v>0</v>
      </c>
      <c r="AC342">
        <f>IF([[#This Row],Effort (jours)]&gt;0,[[#This Row],[Reach (pers.)]]*[[#This Row],[Impact (1-5)]]*[[#This Row],[Confidence (0-1)]]/[[#This Row],[Effort (jours)]],"")</f>
        <v>0</v>
      </c>
      <c r="AG342">
        <f>IF([[#This Row],[Fin planifiée]]&lt;&gt;"",MONTH([[#This Row],[Fin planifiée]]),"")</f>
        <v>0</v>
      </c>
      <c r="AH342">
        <f>IF([[#This Row],[Fin planifiée]]&lt;&gt;"",YEAR([[#This Row],[Fin planifiée]]),"")</f>
        <v>0</v>
      </c>
      <c r="AI3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2">
        <f>IF(AND([[#This Row],Statut]="Terminé",[[#This Row],[Fin réelle]]&lt;&gt;""),IF([[#This Row],[Fin réelle]]&lt;=[[#This Row],[Fin planifiée]],"Oui","Non"),"")</f>
        <v>0</v>
      </c>
    </row>
    <row r="343" spans="13:36" ht="20" customHeight="1">
      <c r="M343">
        <f>IF(AND([[#This Row],Début]&lt;&gt;"",[[#This Row],[Fin planifiée]]&lt;&gt;""),[[#This Row],[Fin planifiée]]-[[#This Row],Début]+1,"")</f>
        <v>0</v>
      </c>
      <c r="N343">
        <f>IF(AND([[#This Row],Début]&lt;&gt;"",[[#This Row],[Fin réelle]]&lt;&gt;""),[[#This Row],[Fin réelle]]-[[#This Row],Début]+1,"")</f>
        <v>0</v>
      </c>
      <c r="S343">
        <f>[[#This Row],[Budget réalisé]]-[[#This Row],[Budget prévu]]</f>
        <v>0</v>
      </c>
      <c r="T343">
        <f>IF(OR([[#This Row],[Budget prévu]]="",[[#This Row],[Budget réalisé]]=""),"",IF([[#This Row],[Écart (€)]]=0,"À l'équilibre",IF([[#This Row],[Écart (€)]]&gt;0,"Dépassement","Sous budget")))</f>
        <v>0</v>
      </c>
      <c r="W343">
        <f>[[#This Row],[Risque – Probabilité (1-5)]]*[[#This Row],[Risque – Sévérité (1-5)]]</f>
        <v>0</v>
      </c>
      <c r="AC343">
        <f>IF([[#This Row],Effort (jours)]&gt;0,[[#This Row],[Reach (pers.)]]*[[#This Row],[Impact (1-5)]]*[[#This Row],[Confidence (0-1)]]/[[#This Row],[Effort (jours)]],"")</f>
        <v>0</v>
      </c>
      <c r="AG343">
        <f>IF([[#This Row],[Fin planifiée]]&lt;&gt;"",MONTH([[#This Row],[Fin planifiée]]),"")</f>
        <v>0</v>
      </c>
      <c r="AH343">
        <f>IF([[#This Row],[Fin planifiée]]&lt;&gt;"",YEAR([[#This Row],[Fin planifiée]]),"")</f>
        <v>0</v>
      </c>
      <c r="AI3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3">
        <f>IF(AND([[#This Row],Statut]="Terminé",[[#This Row],[Fin réelle]]&lt;&gt;""),IF([[#This Row],[Fin réelle]]&lt;=[[#This Row],[Fin planifiée]],"Oui","Non"),"")</f>
        <v>0</v>
      </c>
    </row>
    <row r="344" spans="13:36" ht="20" customHeight="1">
      <c r="M344">
        <f>IF(AND([[#This Row],Début]&lt;&gt;"",[[#This Row],[Fin planifiée]]&lt;&gt;""),[[#This Row],[Fin planifiée]]-[[#This Row],Début]+1,"")</f>
        <v>0</v>
      </c>
      <c r="N344">
        <f>IF(AND([[#This Row],Début]&lt;&gt;"",[[#This Row],[Fin réelle]]&lt;&gt;""),[[#This Row],[Fin réelle]]-[[#This Row],Début]+1,"")</f>
        <v>0</v>
      </c>
      <c r="S344">
        <f>[[#This Row],[Budget réalisé]]-[[#This Row],[Budget prévu]]</f>
        <v>0</v>
      </c>
      <c r="T344">
        <f>IF(OR([[#This Row],[Budget prévu]]="",[[#This Row],[Budget réalisé]]=""),"",IF([[#This Row],[Écart (€)]]=0,"À l'équilibre",IF([[#This Row],[Écart (€)]]&gt;0,"Dépassement","Sous budget")))</f>
        <v>0</v>
      </c>
      <c r="W344">
        <f>[[#This Row],[Risque – Probabilité (1-5)]]*[[#This Row],[Risque – Sévérité (1-5)]]</f>
        <v>0</v>
      </c>
      <c r="AC344">
        <f>IF([[#This Row],Effort (jours)]&gt;0,[[#This Row],[Reach (pers.)]]*[[#This Row],[Impact (1-5)]]*[[#This Row],[Confidence (0-1)]]/[[#This Row],[Effort (jours)]],"")</f>
        <v>0</v>
      </c>
      <c r="AG344">
        <f>IF([[#This Row],[Fin planifiée]]&lt;&gt;"",MONTH([[#This Row],[Fin planifiée]]),"")</f>
        <v>0</v>
      </c>
      <c r="AH344">
        <f>IF([[#This Row],[Fin planifiée]]&lt;&gt;"",YEAR([[#This Row],[Fin planifiée]]),"")</f>
        <v>0</v>
      </c>
      <c r="AI3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4">
        <f>IF(AND([[#This Row],Statut]="Terminé",[[#This Row],[Fin réelle]]&lt;&gt;""),IF([[#This Row],[Fin réelle]]&lt;=[[#This Row],[Fin planifiée]],"Oui","Non"),"")</f>
        <v>0</v>
      </c>
    </row>
    <row r="345" spans="13:36" ht="20" customHeight="1">
      <c r="M345">
        <f>IF(AND([[#This Row],Début]&lt;&gt;"",[[#This Row],[Fin planifiée]]&lt;&gt;""),[[#This Row],[Fin planifiée]]-[[#This Row],Début]+1,"")</f>
        <v>0</v>
      </c>
      <c r="N345">
        <f>IF(AND([[#This Row],Début]&lt;&gt;"",[[#This Row],[Fin réelle]]&lt;&gt;""),[[#This Row],[Fin réelle]]-[[#This Row],Début]+1,"")</f>
        <v>0</v>
      </c>
      <c r="S345">
        <f>[[#This Row],[Budget réalisé]]-[[#This Row],[Budget prévu]]</f>
        <v>0</v>
      </c>
      <c r="T345">
        <f>IF(OR([[#This Row],[Budget prévu]]="",[[#This Row],[Budget réalisé]]=""),"",IF([[#This Row],[Écart (€)]]=0,"À l'équilibre",IF([[#This Row],[Écart (€)]]&gt;0,"Dépassement","Sous budget")))</f>
        <v>0</v>
      </c>
      <c r="W345">
        <f>[[#This Row],[Risque – Probabilité (1-5)]]*[[#This Row],[Risque – Sévérité (1-5)]]</f>
        <v>0</v>
      </c>
      <c r="AC345">
        <f>IF([[#This Row],Effort (jours)]&gt;0,[[#This Row],[Reach (pers.)]]*[[#This Row],[Impact (1-5)]]*[[#This Row],[Confidence (0-1)]]/[[#This Row],[Effort (jours)]],"")</f>
        <v>0</v>
      </c>
      <c r="AG345">
        <f>IF([[#This Row],[Fin planifiée]]&lt;&gt;"",MONTH([[#This Row],[Fin planifiée]]),"")</f>
        <v>0</v>
      </c>
      <c r="AH345">
        <f>IF([[#This Row],[Fin planifiée]]&lt;&gt;"",YEAR([[#This Row],[Fin planifiée]]),"")</f>
        <v>0</v>
      </c>
      <c r="AI3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5">
        <f>IF(AND([[#This Row],Statut]="Terminé",[[#This Row],[Fin réelle]]&lt;&gt;""),IF([[#This Row],[Fin réelle]]&lt;=[[#This Row],[Fin planifiée]],"Oui","Non"),"")</f>
        <v>0</v>
      </c>
    </row>
    <row r="346" spans="13:36" ht="20" customHeight="1">
      <c r="M346">
        <f>IF(AND([[#This Row],Début]&lt;&gt;"",[[#This Row],[Fin planifiée]]&lt;&gt;""),[[#This Row],[Fin planifiée]]-[[#This Row],Début]+1,"")</f>
        <v>0</v>
      </c>
      <c r="N346">
        <f>IF(AND([[#This Row],Début]&lt;&gt;"",[[#This Row],[Fin réelle]]&lt;&gt;""),[[#This Row],[Fin réelle]]-[[#This Row],Début]+1,"")</f>
        <v>0</v>
      </c>
      <c r="S346">
        <f>[[#This Row],[Budget réalisé]]-[[#This Row],[Budget prévu]]</f>
        <v>0</v>
      </c>
      <c r="T346">
        <f>IF(OR([[#This Row],[Budget prévu]]="",[[#This Row],[Budget réalisé]]=""),"",IF([[#This Row],[Écart (€)]]=0,"À l'équilibre",IF([[#This Row],[Écart (€)]]&gt;0,"Dépassement","Sous budget")))</f>
        <v>0</v>
      </c>
      <c r="W346">
        <f>[[#This Row],[Risque – Probabilité (1-5)]]*[[#This Row],[Risque – Sévérité (1-5)]]</f>
        <v>0</v>
      </c>
      <c r="AC346">
        <f>IF([[#This Row],Effort (jours)]&gt;0,[[#This Row],[Reach (pers.)]]*[[#This Row],[Impact (1-5)]]*[[#This Row],[Confidence (0-1)]]/[[#This Row],[Effort (jours)]],"")</f>
        <v>0</v>
      </c>
      <c r="AG346">
        <f>IF([[#This Row],[Fin planifiée]]&lt;&gt;"",MONTH([[#This Row],[Fin planifiée]]),"")</f>
        <v>0</v>
      </c>
      <c r="AH346">
        <f>IF([[#This Row],[Fin planifiée]]&lt;&gt;"",YEAR([[#This Row],[Fin planifiée]]),"")</f>
        <v>0</v>
      </c>
      <c r="AI3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6">
        <f>IF(AND([[#This Row],Statut]="Terminé",[[#This Row],[Fin réelle]]&lt;&gt;""),IF([[#This Row],[Fin réelle]]&lt;=[[#This Row],[Fin planifiée]],"Oui","Non"),"")</f>
        <v>0</v>
      </c>
    </row>
    <row r="347" spans="13:36" ht="20" customHeight="1">
      <c r="M347">
        <f>IF(AND([[#This Row],Début]&lt;&gt;"",[[#This Row],[Fin planifiée]]&lt;&gt;""),[[#This Row],[Fin planifiée]]-[[#This Row],Début]+1,"")</f>
        <v>0</v>
      </c>
      <c r="N347">
        <f>IF(AND([[#This Row],Début]&lt;&gt;"",[[#This Row],[Fin réelle]]&lt;&gt;""),[[#This Row],[Fin réelle]]-[[#This Row],Début]+1,"")</f>
        <v>0</v>
      </c>
      <c r="S347">
        <f>[[#This Row],[Budget réalisé]]-[[#This Row],[Budget prévu]]</f>
        <v>0</v>
      </c>
      <c r="T347">
        <f>IF(OR([[#This Row],[Budget prévu]]="",[[#This Row],[Budget réalisé]]=""),"",IF([[#This Row],[Écart (€)]]=0,"À l'équilibre",IF([[#This Row],[Écart (€)]]&gt;0,"Dépassement","Sous budget")))</f>
        <v>0</v>
      </c>
      <c r="W347">
        <f>[[#This Row],[Risque – Probabilité (1-5)]]*[[#This Row],[Risque – Sévérité (1-5)]]</f>
        <v>0</v>
      </c>
      <c r="AC347">
        <f>IF([[#This Row],Effort (jours)]&gt;0,[[#This Row],[Reach (pers.)]]*[[#This Row],[Impact (1-5)]]*[[#This Row],[Confidence (0-1)]]/[[#This Row],[Effort (jours)]],"")</f>
        <v>0</v>
      </c>
      <c r="AG347">
        <f>IF([[#This Row],[Fin planifiée]]&lt;&gt;"",MONTH([[#This Row],[Fin planifiée]]),"")</f>
        <v>0</v>
      </c>
      <c r="AH347">
        <f>IF([[#This Row],[Fin planifiée]]&lt;&gt;"",YEAR([[#This Row],[Fin planifiée]]),"")</f>
        <v>0</v>
      </c>
      <c r="AI3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7">
        <f>IF(AND([[#This Row],Statut]="Terminé",[[#This Row],[Fin réelle]]&lt;&gt;""),IF([[#This Row],[Fin réelle]]&lt;=[[#This Row],[Fin planifiée]],"Oui","Non"),"")</f>
        <v>0</v>
      </c>
    </row>
    <row r="348" spans="13:36" ht="20" customHeight="1">
      <c r="M348">
        <f>IF(AND([[#This Row],Début]&lt;&gt;"",[[#This Row],[Fin planifiée]]&lt;&gt;""),[[#This Row],[Fin planifiée]]-[[#This Row],Début]+1,"")</f>
        <v>0</v>
      </c>
      <c r="N348">
        <f>IF(AND([[#This Row],Début]&lt;&gt;"",[[#This Row],[Fin réelle]]&lt;&gt;""),[[#This Row],[Fin réelle]]-[[#This Row],Début]+1,"")</f>
        <v>0</v>
      </c>
      <c r="S348">
        <f>[[#This Row],[Budget réalisé]]-[[#This Row],[Budget prévu]]</f>
        <v>0</v>
      </c>
      <c r="T348">
        <f>IF(OR([[#This Row],[Budget prévu]]="",[[#This Row],[Budget réalisé]]=""),"",IF([[#This Row],[Écart (€)]]=0,"À l'équilibre",IF([[#This Row],[Écart (€)]]&gt;0,"Dépassement","Sous budget")))</f>
        <v>0</v>
      </c>
      <c r="W348">
        <f>[[#This Row],[Risque – Probabilité (1-5)]]*[[#This Row],[Risque – Sévérité (1-5)]]</f>
        <v>0</v>
      </c>
      <c r="AC348">
        <f>IF([[#This Row],Effort (jours)]&gt;0,[[#This Row],[Reach (pers.)]]*[[#This Row],[Impact (1-5)]]*[[#This Row],[Confidence (0-1)]]/[[#This Row],[Effort (jours)]],"")</f>
        <v>0</v>
      </c>
      <c r="AG348">
        <f>IF([[#This Row],[Fin planifiée]]&lt;&gt;"",MONTH([[#This Row],[Fin planifiée]]),"")</f>
        <v>0</v>
      </c>
      <c r="AH348">
        <f>IF([[#This Row],[Fin planifiée]]&lt;&gt;"",YEAR([[#This Row],[Fin planifiée]]),"")</f>
        <v>0</v>
      </c>
      <c r="AI3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8">
        <f>IF(AND([[#This Row],Statut]="Terminé",[[#This Row],[Fin réelle]]&lt;&gt;""),IF([[#This Row],[Fin réelle]]&lt;=[[#This Row],[Fin planifiée]],"Oui","Non"),"")</f>
        <v>0</v>
      </c>
    </row>
    <row r="349" spans="13:36" ht="20" customHeight="1">
      <c r="M349">
        <f>IF(AND([[#This Row],Début]&lt;&gt;"",[[#This Row],[Fin planifiée]]&lt;&gt;""),[[#This Row],[Fin planifiée]]-[[#This Row],Début]+1,"")</f>
        <v>0</v>
      </c>
      <c r="N349">
        <f>IF(AND([[#This Row],Début]&lt;&gt;"",[[#This Row],[Fin réelle]]&lt;&gt;""),[[#This Row],[Fin réelle]]-[[#This Row],Début]+1,"")</f>
        <v>0</v>
      </c>
      <c r="S349">
        <f>[[#This Row],[Budget réalisé]]-[[#This Row],[Budget prévu]]</f>
        <v>0</v>
      </c>
      <c r="T349">
        <f>IF(OR([[#This Row],[Budget prévu]]="",[[#This Row],[Budget réalisé]]=""),"",IF([[#This Row],[Écart (€)]]=0,"À l'équilibre",IF([[#This Row],[Écart (€)]]&gt;0,"Dépassement","Sous budget")))</f>
        <v>0</v>
      </c>
      <c r="W349">
        <f>[[#This Row],[Risque – Probabilité (1-5)]]*[[#This Row],[Risque – Sévérité (1-5)]]</f>
        <v>0</v>
      </c>
      <c r="AC349">
        <f>IF([[#This Row],Effort (jours)]&gt;0,[[#This Row],[Reach (pers.)]]*[[#This Row],[Impact (1-5)]]*[[#This Row],[Confidence (0-1)]]/[[#This Row],[Effort (jours)]],"")</f>
        <v>0</v>
      </c>
      <c r="AG349">
        <f>IF([[#This Row],[Fin planifiée]]&lt;&gt;"",MONTH([[#This Row],[Fin planifiée]]),"")</f>
        <v>0</v>
      </c>
      <c r="AH349">
        <f>IF([[#This Row],[Fin planifiée]]&lt;&gt;"",YEAR([[#This Row],[Fin planifiée]]),"")</f>
        <v>0</v>
      </c>
      <c r="AI3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49">
        <f>IF(AND([[#This Row],Statut]="Terminé",[[#This Row],[Fin réelle]]&lt;&gt;""),IF([[#This Row],[Fin réelle]]&lt;=[[#This Row],[Fin planifiée]],"Oui","Non"),"")</f>
        <v>0</v>
      </c>
    </row>
    <row r="350" spans="13:36" ht="20" customHeight="1">
      <c r="M350">
        <f>IF(AND([[#This Row],Début]&lt;&gt;"",[[#This Row],[Fin planifiée]]&lt;&gt;""),[[#This Row],[Fin planifiée]]-[[#This Row],Début]+1,"")</f>
        <v>0</v>
      </c>
      <c r="N350">
        <f>IF(AND([[#This Row],Début]&lt;&gt;"",[[#This Row],[Fin réelle]]&lt;&gt;""),[[#This Row],[Fin réelle]]-[[#This Row],Début]+1,"")</f>
        <v>0</v>
      </c>
      <c r="S350">
        <f>[[#This Row],[Budget réalisé]]-[[#This Row],[Budget prévu]]</f>
        <v>0</v>
      </c>
      <c r="T350">
        <f>IF(OR([[#This Row],[Budget prévu]]="",[[#This Row],[Budget réalisé]]=""),"",IF([[#This Row],[Écart (€)]]=0,"À l'équilibre",IF([[#This Row],[Écart (€)]]&gt;0,"Dépassement","Sous budget")))</f>
        <v>0</v>
      </c>
      <c r="W350">
        <f>[[#This Row],[Risque – Probabilité (1-5)]]*[[#This Row],[Risque – Sévérité (1-5)]]</f>
        <v>0</v>
      </c>
      <c r="AC350">
        <f>IF([[#This Row],Effort (jours)]&gt;0,[[#This Row],[Reach (pers.)]]*[[#This Row],[Impact (1-5)]]*[[#This Row],[Confidence (0-1)]]/[[#This Row],[Effort (jours)]],"")</f>
        <v>0</v>
      </c>
      <c r="AG350">
        <f>IF([[#This Row],[Fin planifiée]]&lt;&gt;"",MONTH([[#This Row],[Fin planifiée]]),"")</f>
        <v>0</v>
      </c>
      <c r="AH350">
        <f>IF([[#This Row],[Fin planifiée]]&lt;&gt;"",YEAR([[#This Row],[Fin planifiée]]),"")</f>
        <v>0</v>
      </c>
      <c r="AI3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0">
        <f>IF(AND([[#This Row],Statut]="Terminé",[[#This Row],[Fin réelle]]&lt;&gt;""),IF([[#This Row],[Fin réelle]]&lt;=[[#This Row],[Fin planifiée]],"Oui","Non"),"")</f>
        <v>0</v>
      </c>
    </row>
    <row r="351" spans="13:36" ht="20" customHeight="1">
      <c r="M351">
        <f>IF(AND([[#This Row],Début]&lt;&gt;"",[[#This Row],[Fin planifiée]]&lt;&gt;""),[[#This Row],[Fin planifiée]]-[[#This Row],Début]+1,"")</f>
        <v>0</v>
      </c>
      <c r="N351">
        <f>IF(AND([[#This Row],Début]&lt;&gt;"",[[#This Row],[Fin réelle]]&lt;&gt;""),[[#This Row],[Fin réelle]]-[[#This Row],Début]+1,"")</f>
        <v>0</v>
      </c>
      <c r="S351">
        <f>[[#This Row],[Budget réalisé]]-[[#This Row],[Budget prévu]]</f>
        <v>0</v>
      </c>
      <c r="T351">
        <f>IF(OR([[#This Row],[Budget prévu]]="",[[#This Row],[Budget réalisé]]=""),"",IF([[#This Row],[Écart (€)]]=0,"À l'équilibre",IF([[#This Row],[Écart (€)]]&gt;0,"Dépassement","Sous budget")))</f>
        <v>0</v>
      </c>
      <c r="W351">
        <f>[[#This Row],[Risque – Probabilité (1-5)]]*[[#This Row],[Risque – Sévérité (1-5)]]</f>
        <v>0</v>
      </c>
      <c r="AC351">
        <f>IF([[#This Row],Effort (jours)]&gt;0,[[#This Row],[Reach (pers.)]]*[[#This Row],[Impact (1-5)]]*[[#This Row],[Confidence (0-1)]]/[[#This Row],[Effort (jours)]],"")</f>
        <v>0</v>
      </c>
      <c r="AG351">
        <f>IF([[#This Row],[Fin planifiée]]&lt;&gt;"",MONTH([[#This Row],[Fin planifiée]]),"")</f>
        <v>0</v>
      </c>
      <c r="AH351">
        <f>IF([[#This Row],[Fin planifiée]]&lt;&gt;"",YEAR([[#This Row],[Fin planifiée]]),"")</f>
        <v>0</v>
      </c>
      <c r="AI3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1">
        <f>IF(AND([[#This Row],Statut]="Terminé",[[#This Row],[Fin réelle]]&lt;&gt;""),IF([[#This Row],[Fin réelle]]&lt;=[[#This Row],[Fin planifiée]],"Oui","Non"),"")</f>
        <v>0</v>
      </c>
    </row>
    <row r="352" spans="13:36" ht="20" customHeight="1">
      <c r="M352">
        <f>IF(AND([[#This Row],Début]&lt;&gt;"",[[#This Row],[Fin planifiée]]&lt;&gt;""),[[#This Row],[Fin planifiée]]-[[#This Row],Début]+1,"")</f>
        <v>0</v>
      </c>
      <c r="N352">
        <f>IF(AND([[#This Row],Début]&lt;&gt;"",[[#This Row],[Fin réelle]]&lt;&gt;""),[[#This Row],[Fin réelle]]-[[#This Row],Début]+1,"")</f>
        <v>0</v>
      </c>
      <c r="S352">
        <f>[[#This Row],[Budget réalisé]]-[[#This Row],[Budget prévu]]</f>
        <v>0</v>
      </c>
      <c r="T352">
        <f>IF(OR([[#This Row],[Budget prévu]]="",[[#This Row],[Budget réalisé]]=""),"",IF([[#This Row],[Écart (€)]]=0,"À l'équilibre",IF([[#This Row],[Écart (€)]]&gt;0,"Dépassement","Sous budget")))</f>
        <v>0</v>
      </c>
      <c r="W352">
        <f>[[#This Row],[Risque – Probabilité (1-5)]]*[[#This Row],[Risque – Sévérité (1-5)]]</f>
        <v>0</v>
      </c>
      <c r="AC352">
        <f>IF([[#This Row],Effort (jours)]&gt;0,[[#This Row],[Reach (pers.)]]*[[#This Row],[Impact (1-5)]]*[[#This Row],[Confidence (0-1)]]/[[#This Row],[Effort (jours)]],"")</f>
        <v>0</v>
      </c>
      <c r="AG352">
        <f>IF([[#This Row],[Fin planifiée]]&lt;&gt;"",MONTH([[#This Row],[Fin planifiée]]),"")</f>
        <v>0</v>
      </c>
      <c r="AH352">
        <f>IF([[#This Row],[Fin planifiée]]&lt;&gt;"",YEAR([[#This Row],[Fin planifiée]]),"")</f>
        <v>0</v>
      </c>
      <c r="AI3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2">
        <f>IF(AND([[#This Row],Statut]="Terminé",[[#This Row],[Fin réelle]]&lt;&gt;""),IF([[#This Row],[Fin réelle]]&lt;=[[#This Row],[Fin planifiée]],"Oui","Non"),"")</f>
        <v>0</v>
      </c>
    </row>
    <row r="353" spans="13:36" ht="20" customHeight="1">
      <c r="M353">
        <f>IF(AND([[#This Row],Début]&lt;&gt;"",[[#This Row],[Fin planifiée]]&lt;&gt;""),[[#This Row],[Fin planifiée]]-[[#This Row],Début]+1,"")</f>
        <v>0</v>
      </c>
      <c r="N353">
        <f>IF(AND([[#This Row],Début]&lt;&gt;"",[[#This Row],[Fin réelle]]&lt;&gt;""),[[#This Row],[Fin réelle]]-[[#This Row],Début]+1,"")</f>
        <v>0</v>
      </c>
      <c r="S353">
        <f>[[#This Row],[Budget réalisé]]-[[#This Row],[Budget prévu]]</f>
        <v>0</v>
      </c>
      <c r="T353">
        <f>IF(OR([[#This Row],[Budget prévu]]="",[[#This Row],[Budget réalisé]]=""),"",IF([[#This Row],[Écart (€)]]=0,"À l'équilibre",IF([[#This Row],[Écart (€)]]&gt;0,"Dépassement","Sous budget")))</f>
        <v>0</v>
      </c>
      <c r="W353">
        <f>[[#This Row],[Risque – Probabilité (1-5)]]*[[#This Row],[Risque – Sévérité (1-5)]]</f>
        <v>0</v>
      </c>
      <c r="AC353">
        <f>IF([[#This Row],Effort (jours)]&gt;0,[[#This Row],[Reach (pers.)]]*[[#This Row],[Impact (1-5)]]*[[#This Row],[Confidence (0-1)]]/[[#This Row],[Effort (jours)]],"")</f>
        <v>0</v>
      </c>
      <c r="AG353">
        <f>IF([[#This Row],[Fin planifiée]]&lt;&gt;"",MONTH([[#This Row],[Fin planifiée]]),"")</f>
        <v>0</v>
      </c>
      <c r="AH353">
        <f>IF([[#This Row],[Fin planifiée]]&lt;&gt;"",YEAR([[#This Row],[Fin planifiée]]),"")</f>
        <v>0</v>
      </c>
      <c r="AI3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3">
        <f>IF(AND([[#This Row],Statut]="Terminé",[[#This Row],[Fin réelle]]&lt;&gt;""),IF([[#This Row],[Fin réelle]]&lt;=[[#This Row],[Fin planifiée]],"Oui","Non"),"")</f>
        <v>0</v>
      </c>
    </row>
    <row r="354" spans="13:36" ht="20" customHeight="1">
      <c r="M354">
        <f>IF(AND([[#This Row],Début]&lt;&gt;"",[[#This Row],[Fin planifiée]]&lt;&gt;""),[[#This Row],[Fin planifiée]]-[[#This Row],Début]+1,"")</f>
        <v>0</v>
      </c>
      <c r="N354">
        <f>IF(AND([[#This Row],Début]&lt;&gt;"",[[#This Row],[Fin réelle]]&lt;&gt;""),[[#This Row],[Fin réelle]]-[[#This Row],Début]+1,"")</f>
        <v>0</v>
      </c>
      <c r="S354">
        <f>[[#This Row],[Budget réalisé]]-[[#This Row],[Budget prévu]]</f>
        <v>0</v>
      </c>
      <c r="T354">
        <f>IF(OR([[#This Row],[Budget prévu]]="",[[#This Row],[Budget réalisé]]=""),"",IF([[#This Row],[Écart (€)]]=0,"À l'équilibre",IF([[#This Row],[Écart (€)]]&gt;0,"Dépassement","Sous budget")))</f>
        <v>0</v>
      </c>
      <c r="W354">
        <f>[[#This Row],[Risque – Probabilité (1-5)]]*[[#This Row],[Risque – Sévérité (1-5)]]</f>
        <v>0</v>
      </c>
      <c r="AC354">
        <f>IF([[#This Row],Effort (jours)]&gt;0,[[#This Row],[Reach (pers.)]]*[[#This Row],[Impact (1-5)]]*[[#This Row],[Confidence (0-1)]]/[[#This Row],[Effort (jours)]],"")</f>
        <v>0</v>
      </c>
      <c r="AG354">
        <f>IF([[#This Row],[Fin planifiée]]&lt;&gt;"",MONTH([[#This Row],[Fin planifiée]]),"")</f>
        <v>0</v>
      </c>
      <c r="AH354">
        <f>IF([[#This Row],[Fin planifiée]]&lt;&gt;"",YEAR([[#This Row],[Fin planifiée]]),"")</f>
        <v>0</v>
      </c>
      <c r="AI3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4">
        <f>IF(AND([[#This Row],Statut]="Terminé",[[#This Row],[Fin réelle]]&lt;&gt;""),IF([[#This Row],[Fin réelle]]&lt;=[[#This Row],[Fin planifiée]],"Oui","Non"),"")</f>
        <v>0</v>
      </c>
    </row>
    <row r="355" spans="13:36" ht="20" customHeight="1">
      <c r="M355">
        <f>IF(AND([[#This Row],Début]&lt;&gt;"",[[#This Row],[Fin planifiée]]&lt;&gt;""),[[#This Row],[Fin planifiée]]-[[#This Row],Début]+1,"")</f>
        <v>0</v>
      </c>
      <c r="N355">
        <f>IF(AND([[#This Row],Début]&lt;&gt;"",[[#This Row],[Fin réelle]]&lt;&gt;""),[[#This Row],[Fin réelle]]-[[#This Row],Début]+1,"")</f>
        <v>0</v>
      </c>
      <c r="S355">
        <f>[[#This Row],[Budget réalisé]]-[[#This Row],[Budget prévu]]</f>
        <v>0</v>
      </c>
      <c r="T355">
        <f>IF(OR([[#This Row],[Budget prévu]]="",[[#This Row],[Budget réalisé]]=""),"",IF([[#This Row],[Écart (€)]]=0,"À l'équilibre",IF([[#This Row],[Écart (€)]]&gt;0,"Dépassement","Sous budget")))</f>
        <v>0</v>
      </c>
      <c r="W355">
        <f>[[#This Row],[Risque – Probabilité (1-5)]]*[[#This Row],[Risque – Sévérité (1-5)]]</f>
        <v>0</v>
      </c>
      <c r="AC355">
        <f>IF([[#This Row],Effort (jours)]&gt;0,[[#This Row],[Reach (pers.)]]*[[#This Row],[Impact (1-5)]]*[[#This Row],[Confidence (0-1)]]/[[#This Row],[Effort (jours)]],"")</f>
        <v>0</v>
      </c>
      <c r="AG355">
        <f>IF([[#This Row],[Fin planifiée]]&lt;&gt;"",MONTH([[#This Row],[Fin planifiée]]),"")</f>
        <v>0</v>
      </c>
      <c r="AH355">
        <f>IF([[#This Row],[Fin planifiée]]&lt;&gt;"",YEAR([[#This Row],[Fin planifiée]]),"")</f>
        <v>0</v>
      </c>
      <c r="AI3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5">
        <f>IF(AND([[#This Row],Statut]="Terminé",[[#This Row],[Fin réelle]]&lt;&gt;""),IF([[#This Row],[Fin réelle]]&lt;=[[#This Row],[Fin planifiée]],"Oui","Non"),"")</f>
        <v>0</v>
      </c>
    </row>
    <row r="356" spans="13:36" ht="20" customHeight="1">
      <c r="M356">
        <f>IF(AND([[#This Row],Début]&lt;&gt;"",[[#This Row],[Fin planifiée]]&lt;&gt;""),[[#This Row],[Fin planifiée]]-[[#This Row],Début]+1,"")</f>
        <v>0</v>
      </c>
      <c r="N356">
        <f>IF(AND([[#This Row],Début]&lt;&gt;"",[[#This Row],[Fin réelle]]&lt;&gt;""),[[#This Row],[Fin réelle]]-[[#This Row],Début]+1,"")</f>
        <v>0</v>
      </c>
      <c r="S356">
        <f>[[#This Row],[Budget réalisé]]-[[#This Row],[Budget prévu]]</f>
        <v>0</v>
      </c>
      <c r="T356">
        <f>IF(OR([[#This Row],[Budget prévu]]="",[[#This Row],[Budget réalisé]]=""),"",IF([[#This Row],[Écart (€)]]=0,"À l'équilibre",IF([[#This Row],[Écart (€)]]&gt;0,"Dépassement","Sous budget")))</f>
        <v>0</v>
      </c>
      <c r="W356">
        <f>[[#This Row],[Risque – Probabilité (1-5)]]*[[#This Row],[Risque – Sévérité (1-5)]]</f>
        <v>0</v>
      </c>
      <c r="AC356">
        <f>IF([[#This Row],Effort (jours)]&gt;0,[[#This Row],[Reach (pers.)]]*[[#This Row],[Impact (1-5)]]*[[#This Row],[Confidence (0-1)]]/[[#This Row],[Effort (jours)]],"")</f>
        <v>0</v>
      </c>
      <c r="AG356">
        <f>IF([[#This Row],[Fin planifiée]]&lt;&gt;"",MONTH([[#This Row],[Fin planifiée]]),"")</f>
        <v>0</v>
      </c>
      <c r="AH356">
        <f>IF([[#This Row],[Fin planifiée]]&lt;&gt;"",YEAR([[#This Row],[Fin planifiée]]),"")</f>
        <v>0</v>
      </c>
      <c r="AI3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6">
        <f>IF(AND([[#This Row],Statut]="Terminé",[[#This Row],[Fin réelle]]&lt;&gt;""),IF([[#This Row],[Fin réelle]]&lt;=[[#This Row],[Fin planifiée]],"Oui","Non"),"")</f>
        <v>0</v>
      </c>
    </row>
    <row r="357" spans="13:36" ht="20" customHeight="1">
      <c r="M357">
        <f>IF(AND([[#This Row],Début]&lt;&gt;"",[[#This Row],[Fin planifiée]]&lt;&gt;""),[[#This Row],[Fin planifiée]]-[[#This Row],Début]+1,"")</f>
        <v>0</v>
      </c>
      <c r="N357">
        <f>IF(AND([[#This Row],Début]&lt;&gt;"",[[#This Row],[Fin réelle]]&lt;&gt;""),[[#This Row],[Fin réelle]]-[[#This Row],Début]+1,"")</f>
        <v>0</v>
      </c>
      <c r="S357">
        <f>[[#This Row],[Budget réalisé]]-[[#This Row],[Budget prévu]]</f>
        <v>0</v>
      </c>
      <c r="T357">
        <f>IF(OR([[#This Row],[Budget prévu]]="",[[#This Row],[Budget réalisé]]=""),"",IF([[#This Row],[Écart (€)]]=0,"À l'équilibre",IF([[#This Row],[Écart (€)]]&gt;0,"Dépassement","Sous budget")))</f>
        <v>0</v>
      </c>
      <c r="W357">
        <f>[[#This Row],[Risque – Probabilité (1-5)]]*[[#This Row],[Risque – Sévérité (1-5)]]</f>
        <v>0</v>
      </c>
      <c r="AC357">
        <f>IF([[#This Row],Effort (jours)]&gt;0,[[#This Row],[Reach (pers.)]]*[[#This Row],[Impact (1-5)]]*[[#This Row],[Confidence (0-1)]]/[[#This Row],[Effort (jours)]],"")</f>
        <v>0</v>
      </c>
      <c r="AG357">
        <f>IF([[#This Row],[Fin planifiée]]&lt;&gt;"",MONTH([[#This Row],[Fin planifiée]]),"")</f>
        <v>0</v>
      </c>
      <c r="AH357">
        <f>IF([[#This Row],[Fin planifiée]]&lt;&gt;"",YEAR([[#This Row],[Fin planifiée]]),"")</f>
        <v>0</v>
      </c>
      <c r="AI3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7">
        <f>IF(AND([[#This Row],Statut]="Terminé",[[#This Row],[Fin réelle]]&lt;&gt;""),IF([[#This Row],[Fin réelle]]&lt;=[[#This Row],[Fin planifiée]],"Oui","Non"),"")</f>
        <v>0</v>
      </c>
    </row>
    <row r="358" spans="13:36" ht="20" customHeight="1">
      <c r="M358">
        <f>IF(AND([[#This Row],Début]&lt;&gt;"",[[#This Row],[Fin planifiée]]&lt;&gt;""),[[#This Row],[Fin planifiée]]-[[#This Row],Début]+1,"")</f>
        <v>0</v>
      </c>
      <c r="N358">
        <f>IF(AND([[#This Row],Début]&lt;&gt;"",[[#This Row],[Fin réelle]]&lt;&gt;""),[[#This Row],[Fin réelle]]-[[#This Row],Début]+1,"")</f>
        <v>0</v>
      </c>
      <c r="S358">
        <f>[[#This Row],[Budget réalisé]]-[[#This Row],[Budget prévu]]</f>
        <v>0</v>
      </c>
      <c r="T358">
        <f>IF(OR([[#This Row],[Budget prévu]]="",[[#This Row],[Budget réalisé]]=""),"",IF([[#This Row],[Écart (€)]]=0,"À l'équilibre",IF([[#This Row],[Écart (€)]]&gt;0,"Dépassement","Sous budget")))</f>
        <v>0</v>
      </c>
      <c r="W358">
        <f>[[#This Row],[Risque – Probabilité (1-5)]]*[[#This Row],[Risque – Sévérité (1-5)]]</f>
        <v>0</v>
      </c>
      <c r="AC358">
        <f>IF([[#This Row],Effort (jours)]&gt;0,[[#This Row],[Reach (pers.)]]*[[#This Row],[Impact (1-5)]]*[[#This Row],[Confidence (0-1)]]/[[#This Row],[Effort (jours)]],"")</f>
        <v>0</v>
      </c>
      <c r="AG358">
        <f>IF([[#This Row],[Fin planifiée]]&lt;&gt;"",MONTH([[#This Row],[Fin planifiée]]),"")</f>
        <v>0</v>
      </c>
      <c r="AH358">
        <f>IF([[#This Row],[Fin planifiée]]&lt;&gt;"",YEAR([[#This Row],[Fin planifiée]]),"")</f>
        <v>0</v>
      </c>
      <c r="AI3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8">
        <f>IF(AND([[#This Row],Statut]="Terminé",[[#This Row],[Fin réelle]]&lt;&gt;""),IF([[#This Row],[Fin réelle]]&lt;=[[#This Row],[Fin planifiée]],"Oui","Non"),"")</f>
        <v>0</v>
      </c>
    </row>
    <row r="359" spans="13:36" ht="20" customHeight="1">
      <c r="M359">
        <f>IF(AND([[#This Row],Début]&lt;&gt;"",[[#This Row],[Fin planifiée]]&lt;&gt;""),[[#This Row],[Fin planifiée]]-[[#This Row],Début]+1,"")</f>
        <v>0</v>
      </c>
      <c r="N359">
        <f>IF(AND([[#This Row],Début]&lt;&gt;"",[[#This Row],[Fin réelle]]&lt;&gt;""),[[#This Row],[Fin réelle]]-[[#This Row],Début]+1,"")</f>
        <v>0</v>
      </c>
      <c r="S359">
        <f>[[#This Row],[Budget réalisé]]-[[#This Row],[Budget prévu]]</f>
        <v>0</v>
      </c>
      <c r="T359">
        <f>IF(OR([[#This Row],[Budget prévu]]="",[[#This Row],[Budget réalisé]]=""),"",IF([[#This Row],[Écart (€)]]=0,"À l'équilibre",IF([[#This Row],[Écart (€)]]&gt;0,"Dépassement","Sous budget")))</f>
        <v>0</v>
      </c>
      <c r="W359">
        <f>[[#This Row],[Risque – Probabilité (1-5)]]*[[#This Row],[Risque – Sévérité (1-5)]]</f>
        <v>0</v>
      </c>
      <c r="AC359">
        <f>IF([[#This Row],Effort (jours)]&gt;0,[[#This Row],[Reach (pers.)]]*[[#This Row],[Impact (1-5)]]*[[#This Row],[Confidence (0-1)]]/[[#This Row],[Effort (jours)]],"")</f>
        <v>0</v>
      </c>
      <c r="AG359">
        <f>IF([[#This Row],[Fin planifiée]]&lt;&gt;"",MONTH([[#This Row],[Fin planifiée]]),"")</f>
        <v>0</v>
      </c>
      <c r="AH359">
        <f>IF([[#This Row],[Fin planifiée]]&lt;&gt;"",YEAR([[#This Row],[Fin planifiée]]),"")</f>
        <v>0</v>
      </c>
      <c r="AI3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59">
        <f>IF(AND([[#This Row],Statut]="Terminé",[[#This Row],[Fin réelle]]&lt;&gt;""),IF([[#This Row],[Fin réelle]]&lt;=[[#This Row],[Fin planifiée]],"Oui","Non"),"")</f>
        <v>0</v>
      </c>
    </row>
    <row r="360" spans="13:36" ht="20" customHeight="1">
      <c r="M360">
        <f>IF(AND([[#This Row],Début]&lt;&gt;"",[[#This Row],[Fin planifiée]]&lt;&gt;""),[[#This Row],[Fin planifiée]]-[[#This Row],Début]+1,"")</f>
        <v>0</v>
      </c>
      <c r="N360">
        <f>IF(AND([[#This Row],Début]&lt;&gt;"",[[#This Row],[Fin réelle]]&lt;&gt;""),[[#This Row],[Fin réelle]]-[[#This Row],Début]+1,"")</f>
        <v>0</v>
      </c>
      <c r="S360">
        <f>[[#This Row],[Budget réalisé]]-[[#This Row],[Budget prévu]]</f>
        <v>0</v>
      </c>
      <c r="T360">
        <f>IF(OR([[#This Row],[Budget prévu]]="",[[#This Row],[Budget réalisé]]=""),"",IF([[#This Row],[Écart (€)]]=0,"À l'équilibre",IF([[#This Row],[Écart (€)]]&gt;0,"Dépassement","Sous budget")))</f>
        <v>0</v>
      </c>
      <c r="W360">
        <f>[[#This Row],[Risque – Probabilité (1-5)]]*[[#This Row],[Risque – Sévérité (1-5)]]</f>
        <v>0</v>
      </c>
      <c r="AC360">
        <f>IF([[#This Row],Effort (jours)]&gt;0,[[#This Row],[Reach (pers.)]]*[[#This Row],[Impact (1-5)]]*[[#This Row],[Confidence (0-1)]]/[[#This Row],[Effort (jours)]],"")</f>
        <v>0</v>
      </c>
      <c r="AG360">
        <f>IF([[#This Row],[Fin planifiée]]&lt;&gt;"",MONTH([[#This Row],[Fin planifiée]]),"")</f>
        <v>0</v>
      </c>
      <c r="AH360">
        <f>IF([[#This Row],[Fin planifiée]]&lt;&gt;"",YEAR([[#This Row],[Fin planifiée]]),"")</f>
        <v>0</v>
      </c>
      <c r="AI3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0">
        <f>IF(AND([[#This Row],Statut]="Terminé",[[#This Row],[Fin réelle]]&lt;&gt;""),IF([[#This Row],[Fin réelle]]&lt;=[[#This Row],[Fin planifiée]],"Oui","Non"),"")</f>
        <v>0</v>
      </c>
    </row>
    <row r="361" spans="13:36" ht="20" customHeight="1">
      <c r="M361">
        <f>IF(AND([[#This Row],Début]&lt;&gt;"",[[#This Row],[Fin planifiée]]&lt;&gt;""),[[#This Row],[Fin planifiée]]-[[#This Row],Début]+1,"")</f>
        <v>0</v>
      </c>
      <c r="N361">
        <f>IF(AND([[#This Row],Début]&lt;&gt;"",[[#This Row],[Fin réelle]]&lt;&gt;""),[[#This Row],[Fin réelle]]-[[#This Row],Début]+1,"")</f>
        <v>0</v>
      </c>
      <c r="S361">
        <f>[[#This Row],[Budget réalisé]]-[[#This Row],[Budget prévu]]</f>
        <v>0</v>
      </c>
      <c r="T361">
        <f>IF(OR([[#This Row],[Budget prévu]]="",[[#This Row],[Budget réalisé]]=""),"",IF([[#This Row],[Écart (€)]]=0,"À l'équilibre",IF([[#This Row],[Écart (€)]]&gt;0,"Dépassement","Sous budget")))</f>
        <v>0</v>
      </c>
      <c r="W361">
        <f>[[#This Row],[Risque – Probabilité (1-5)]]*[[#This Row],[Risque – Sévérité (1-5)]]</f>
        <v>0</v>
      </c>
      <c r="AC361">
        <f>IF([[#This Row],Effort (jours)]&gt;0,[[#This Row],[Reach (pers.)]]*[[#This Row],[Impact (1-5)]]*[[#This Row],[Confidence (0-1)]]/[[#This Row],[Effort (jours)]],"")</f>
        <v>0</v>
      </c>
      <c r="AG361">
        <f>IF([[#This Row],[Fin planifiée]]&lt;&gt;"",MONTH([[#This Row],[Fin planifiée]]),"")</f>
        <v>0</v>
      </c>
      <c r="AH361">
        <f>IF([[#This Row],[Fin planifiée]]&lt;&gt;"",YEAR([[#This Row],[Fin planifiée]]),"")</f>
        <v>0</v>
      </c>
      <c r="AI3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1">
        <f>IF(AND([[#This Row],Statut]="Terminé",[[#This Row],[Fin réelle]]&lt;&gt;""),IF([[#This Row],[Fin réelle]]&lt;=[[#This Row],[Fin planifiée]],"Oui","Non"),"")</f>
        <v>0</v>
      </c>
    </row>
    <row r="362" spans="13:36" ht="20" customHeight="1">
      <c r="M362">
        <f>IF(AND([[#This Row],Début]&lt;&gt;"",[[#This Row],[Fin planifiée]]&lt;&gt;""),[[#This Row],[Fin planifiée]]-[[#This Row],Début]+1,"")</f>
        <v>0</v>
      </c>
      <c r="N362">
        <f>IF(AND([[#This Row],Début]&lt;&gt;"",[[#This Row],[Fin réelle]]&lt;&gt;""),[[#This Row],[Fin réelle]]-[[#This Row],Début]+1,"")</f>
        <v>0</v>
      </c>
      <c r="S362">
        <f>[[#This Row],[Budget réalisé]]-[[#This Row],[Budget prévu]]</f>
        <v>0</v>
      </c>
      <c r="T362">
        <f>IF(OR([[#This Row],[Budget prévu]]="",[[#This Row],[Budget réalisé]]=""),"",IF([[#This Row],[Écart (€)]]=0,"À l'équilibre",IF([[#This Row],[Écart (€)]]&gt;0,"Dépassement","Sous budget")))</f>
        <v>0</v>
      </c>
      <c r="W362">
        <f>[[#This Row],[Risque – Probabilité (1-5)]]*[[#This Row],[Risque – Sévérité (1-5)]]</f>
        <v>0</v>
      </c>
      <c r="AC362">
        <f>IF([[#This Row],Effort (jours)]&gt;0,[[#This Row],[Reach (pers.)]]*[[#This Row],[Impact (1-5)]]*[[#This Row],[Confidence (0-1)]]/[[#This Row],[Effort (jours)]],"")</f>
        <v>0</v>
      </c>
      <c r="AG362">
        <f>IF([[#This Row],[Fin planifiée]]&lt;&gt;"",MONTH([[#This Row],[Fin planifiée]]),"")</f>
        <v>0</v>
      </c>
      <c r="AH362">
        <f>IF([[#This Row],[Fin planifiée]]&lt;&gt;"",YEAR([[#This Row],[Fin planifiée]]),"")</f>
        <v>0</v>
      </c>
      <c r="AI3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2">
        <f>IF(AND([[#This Row],Statut]="Terminé",[[#This Row],[Fin réelle]]&lt;&gt;""),IF([[#This Row],[Fin réelle]]&lt;=[[#This Row],[Fin planifiée]],"Oui","Non"),"")</f>
        <v>0</v>
      </c>
    </row>
    <row r="363" spans="13:36" ht="20" customHeight="1">
      <c r="M363">
        <f>IF(AND([[#This Row],Début]&lt;&gt;"",[[#This Row],[Fin planifiée]]&lt;&gt;""),[[#This Row],[Fin planifiée]]-[[#This Row],Début]+1,"")</f>
        <v>0</v>
      </c>
      <c r="N363">
        <f>IF(AND([[#This Row],Début]&lt;&gt;"",[[#This Row],[Fin réelle]]&lt;&gt;""),[[#This Row],[Fin réelle]]-[[#This Row],Début]+1,"")</f>
        <v>0</v>
      </c>
      <c r="S363">
        <f>[[#This Row],[Budget réalisé]]-[[#This Row],[Budget prévu]]</f>
        <v>0</v>
      </c>
      <c r="T363">
        <f>IF(OR([[#This Row],[Budget prévu]]="",[[#This Row],[Budget réalisé]]=""),"",IF([[#This Row],[Écart (€)]]=0,"À l'équilibre",IF([[#This Row],[Écart (€)]]&gt;0,"Dépassement","Sous budget")))</f>
        <v>0</v>
      </c>
      <c r="W363">
        <f>[[#This Row],[Risque – Probabilité (1-5)]]*[[#This Row],[Risque – Sévérité (1-5)]]</f>
        <v>0</v>
      </c>
      <c r="AC363">
        <f>IF([[#This Row],Effort (jours)]&gt;0,[[#This Row],[Reach (pers.)]]*[[#This Row],[Impact (1-5)]]*[[#This Row],[Confidence (0-1)]]/[[#This Row],[Effort (jours)]],"")</f>
        <v>0</v>
      </c>
      <c r="AG363">
        <f>IF([[#This Row],[Fin planifiée]]&lt;&gt;"",MONTH([[#This Row],[Fin planifiée]]),"")</f>
        <v>0</v>
      </c>
      <c r="AH363">
        <f>IF([[#This Row],[Fin planifiée]]&lt;&gt;"",YEAR([[#This Row],[Fin planifiée]]),"")</f>
        <v>0</v>
      </c>
      <c r="AI3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3">
        <f>IF(AND([[#This Row],Statut]="Terminé",[[#This Row],[Fin réelle]]&lt;&gt;""),IF([[#This Row],[Fin réelle]]&lt;=[[#This Row],[Fin planifiée]],"Oui","Non"),"")</f>
        <v>0</v>
      </c>
    </row>
    <row r="364" spans="13:36" ht="20" customHeight="1">
      <c r="M364">
        <f>IF(AND([[#This Row],Début]&lt;&gt;"",[[#This Row],[Fin planifiée]]&lt;&gt;""),[[#This Row],[Fin planifiée]]-[[#This Row],Début]+1,"")</f>
        <v>0</v>
      </c>
      <c r="N364">
        <f>IF(AND([[#This Row],Début]&lt;&gt;"",[[#This Row],[Fin réelle]]&lt;&gt;""),[[#This Row],[Fin réelle]]-[[#This Row],Début]+1,"")</f>
        <v>0</v>
      </c>
      <c r="S364">
        <f>[[#This Row],[Budget réalisé]]-[[#This Row],[Budget prévu]]</f>
        <v>0</v>
      </c>
      <c r="T364">
        <f>IF(OR([[#This Row],[Budget prévu]]="",[[#This Row],[Budget réalisé]]=""),"",IF([[#This Row],[Écart (€)]]=0,"À l'équilibre",IF([[#This Row],[Écart (€)]]&gt;0,"Dépassement","Sous budget")))</f>
        <v>0</v>
      </c>
      <c r="W364">
        <f>[[#This Row],[Risque – Probabilité (1-5)]]*[[#This Row],[Risque – Sévérité (1-5)]]</f>
        <v>0</v>
      </c>
      <c r="AC364">
        <f>IF([[#This Row],Effort (jours)]&gt;0,[[#This Row],[Reach (pers.)]]*[[#This Row],[Impact (1-5)]]*[[#This Row],[Confidence (0-1)]]/[[#This Row],[Effort (jours)]],"")</f>
        <v>0</v>
      </c>
      <c r="AG364">
        <f>IF([[#This Row],[Fin planifiée]]&lt;&gt;"",MONTH([[#This Row],[Fin planifiée]]),"")</f>
        <v>0</v>
      </c>
      <c r="AH364">
        <f>IF([[#This Row],[Fin planifiée]]&lt;&gt;"",YEAR([[#This Row],[Fin planifiée]]),"")</f>
        <v>0</v>
      </c>
      <c r="AI3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4">
        <f>IF(AND([[#This Row],Statut]="Terminé",[[#This Row],[Fin réelle]]&lt;&gt;""),IF([[#This Row],[Fin réelle]]&lt;=[[#This Row],[Fin planifiée]],"Oui","Non"),"")</f>
        <v>0</v>
      </c>
    </row>
    <row r="365" spans="13:36" ht="20" customHeight="1">
      <c r="M365">
        <f>IF(AND([[#This Row],Début]&lt;&gt;"",[[#This Row],[Fin planifiée]]&lt;&gt;""),[[#This Row],[Fin planifiée]]-[[#This Row],Début]+1,"")</f>
        <v>0</v>
      </c>
      <c r="N365">
        <f>IF(AND([[#This Row],Début]&lt;&gt;"",[[#This Row],[Fin réelle]]&lt;&gt;""),[[#This Row],[Fin réelle]]-[[#This Row],Début]+1,"")</f>
        <v>0</v>
      </c>
      <c r="S365">
        <f>[[#This Row],[Budget réalisé]]-[[#This Row],[Budget prévu]]</f>
        <v>0</v>
      </c>
      <c r="T365">
        <f>IF(OR([[#This Row],[Budget prévu]]="",[[#This Row],[Budget réalisé]]=""),"",IF([[#This Row],[Écart (€)]]=0,"À l'équilibre",IF([[#This Row],[Écart (€)]]&gt;0,"Dépassement","Sous budget")))</f>
        <v>0</v>
      </c>
      <c r="W365">
        <f>[[#This Row],[Risque – Probabilité (1-5)]]*[[#This Row],[Risque – Sévérité (1-5)]]</f>
        <v>0</v>
      </c>
      <c r="AC365">
        <f>IF([[#This Row],Effort (jours)]&gt;0,[[#This Row],[Reach (pers.)]]*[[#This Row],[Impact (1-5)]]*[[#This Row],[Confidence (0-1)]]/[[#This Row],[Effort (jours)]],"")</f>
        <v>0</v>
      </c>
      <c r="AG365">
        <f>IF([[#This Row],[Fin planifiée]]&lt;&gt;"",MONTH([[#This Row],[Fin planifiée]]),"")</f>
        <v>0</v>
      </c>
      <c r="AH365">
        <f>IF([[#This Row],[Fin planifiée]]&lt;&gt;"",YEAR([[#This Row],[Fin planifiée]]),"")</f>
        <v>0</v>
      </c>
      <c r="AI3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5">
        <f>IF(AND([[#This Row],Statut]="Terminé",[[#This Row],[Fin réelle]]&lt;&gt;""),IF([[#This Row],[Fin réelle]]&lt;=[[#This Row],[Fin planifiée]],"Oui","Non"),"")</f>
        <v>0</v>
      </c>
    </row>
    <row r="366" spans="13:36" ht="20" customHeight="1">
      <c r="M366">
        <f>IF(AND([[#This Row],Début]&lt;&gt;"",[[#This Row],[Fin planifiée]]&lt;&gt;""),[[#This Row],[Fin planifiée]]-[[#This Row],Début]+1,"")</f>
        <v>0</v>
      </c>
      <c r="N366">
        <f>IF(AND([[#This Row],Début]&lt;&gt;"",[[#This Row],[Fin réelle]]&lt;&gt;""),[[#This Row],[Fin réelle]]-[[#This Row],Début]+1,"")</f>
        <v>0</v>
      </c>
      <c r="S366">
        <f>[[#This Row],[Budget réalisé]]-[[#This Row],[Budget prévu]]</f>
        <v>0</v>
      </c>
      <c r="T366">
        <f>IF(OR([[#This Row],[Budget prévu]]="",[[#This Row],[Budget réalisé]]=""),"",IF([[#This Row],[Écart (€)]]=0,"À l'équilibre",IF([[#This Row],[Écart (€)]]&gt;0,"Dépassement","Sous budget")))</f>
        <v>0</v>
      </c>
      <c r="W366">
        <f>[[#This Row],[Risque – Probabilité (1-5)]]*[[#This Row],[Risque – Sévérité (1-5)]]</f>
        <v>0</v>
      </c>
      <c r="AC366">
        <f>IF([[#This Row],Effort (jours)]&gt;0,[[#This Row],[Reach (pers.)]]*[[#This Row],[Impact (1-5)]]*[[#This Row],[Confidence (0-1)]]/[[#This Row],[Effort (jours)]],"")</f>
        <v>0</v>
      </c>
      <c r="AG366">
        <f>IF([[#This Row],[Fin planifiée]]&lt;&gt;"",MONTH([[#This Row],[Fin planifiée]]),"")</f>
        <v>0</v>
      </c>
      <c r="AH366">
        <f>IF([[#This Row],[Fin planifiée]]&lt;&gt;"",YEAR([[#This Row],[Fin planifiée]]),"")</f>
        <v>0</v>
      </c>
      <c r="AI3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6">
        <f>IF(AND([[#This Row],Statut]="Terminé",[[#This Row],[Fin réelle]]&lt;&gt;""),IF([[#This Row],[Fin réelle]]&lt;=[[#This Row],[Fin planifiée]],"Oui","Non"),"")</f>
        <v>0</v>
      </c>
    </row>
    <row r="367" spans="13:36" ht="20" customHeight="1">
      <c r="M367">
        <f>IF(AND([[#This Row],Début]&lt;&gt;"",[[#This Row],[Fin planifiée]]&lt;&gt;""),[[#This Row],[Fin planifiée]]-[[#This Row],Début]+1,"")</f>
        <v>0</v>
      </c>
      <c r="N367">
        <f>IF(AND([[#This Row],Début]&lt;&gt;"",[[#This Row],[Fin réelle]]&lt;&gt;""),[[#This Row],[Fin réelle]]-[[#This Row],Début]+1,"")</f>
        <v>0</v>
      </c>
      <c r="S367">
        <f>[[#This Row],[Budget réalisé]]-[[#This Row],[Budget prévu]]</f>
        <v>0</v>
      </c>
      <c r="T367">
        <f>IF(OR([[#This Row],[Budget prévu]]="",[[#This Row],[Budget réalisé]]=""),"",IF([[#This Row],[Écart (€)]]=0,"À l'équilibre",IF([[#This Row],[Écart (€)]]&gt;0,"Dépassement","Sous budget")))</f>
        <v>0</v>
      </c>
      <c r="W367">
        <f>[[#This Row],[Risque – Probabilité (1-5)]]*[[#This Row],[Risque – Sévérité (1-5)]]</f>
        <v>0</v>
      </c>
      <c r="AC367">
        <f>IF([[#This Row],Effort (jours)]&gt;0,[[#This Row],[Reach (pers.)]]*[[#This Row],[Impact (1-5)]]*[[#This Row],[Confidence (0-1)]]/[[#This Row],[Effort (jours)]],"")</f>
        <v>0</v>
      </c>
      <c r="AG367">
        <f>IF([[#This Row],[Fin planifiée]]&lt;&gt;"",MONTH([[#This Row],[Fin planifiée]]),"")</f>
        <v>0</v>
      </c>
      <c r="AH367">
        <f>IF([[#This Row],[Fin planifiée]]&lt;&gt;"",YEAR([[#This Row],[Fin planifiée]]),"")</f>
        <v>0</v>
      </c>
      <c r="AI3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7">
        <f>IF(AND([[#This Row],Statut]="Terminé",[[#This Row],[Fin réelle]]&lt;&gt;""),IF([[#This Row],[Fin réelle]]&lt;=[[#This Row],[Fin planifiée]],"Oui","Non"),"")</f>
        <v>0</v>
      </c>
    </row>
    <row r="368" spans="13:36" ht="20" customHeight="1">
      <c r="M368">
        <f>IF(AND([[#This Row],Début]&lt;&gt;"",[[#This Row],[Fin planifiée]]&lt;&gt;""),[[#This Row],[Fin planifiée]]-[[#This Row],Début]+1,"")</f>
        <v>0</v>
      </c>
      <c r="N368">
        <f>IF(AND([[#This Row],Début]&lt;&gt;"",[[#This Row],[Fin réelle]]&lt;&gt;""),[[#This Row],[Fin réelle]]-[[#This Row],Début]+1,"")</f>
        <v>0</v>
      </c>
      <c r="S368">
        <f>[[#This Row],[Budget réalisé]]-[[#This Row],[Budget prévu]]</f>
        <v>0</v>
      </c>
      <c r="T368">
        <f>IF(OR([[#This Row],[Budget prévu]]="",[[#This Row],[Budget réalisé]]=""),"",IF([[#This Row],[Écart (€)]]=0,"À l'équilibre",IF([[#This Row],[Écart (€)]]&gt;0,"Dépassement","Sous budget")))</f>
        <v>0</v>
      </c>
      <c r="W368">
        <f>[[#This Row],[Risque – Probabilité (1-5)]]*[[#This Row],[Risque – Sévérité (1-5)]]</f>
        <v>0</v>
      </c>
      <c r="AC368">
        <f>IF([[#This Row],Effort (jours)]&gt;0,[[#This Row],[Reach (pers.)]]*[[#This Row],[Impact (1-5)]]*[[#This Row],[Confidence (0-1)]]/[[#This Row],[Effort (jours)]],"")</f>
        <v>0</v>
      </c>
      <c r="AG368">
        <f>IF([[#This Row],[Fin planifiée]]&lt;&gt;"",MONTH([[#This Row],[Fin planifiée]]),"")</f>
        <v>0</v>
      </c>
      <c r="AH368">
        <f>IF([[#This Row],[Fin planifiée]]&lt;&gt;"",YEAR([[#This Row],[Fin planifiée]]),"")</f>
        <v>0</v>
      </c>
      <c r="AI3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8">
        <f>IF(AND([[#This Row],Statut]="Terminé",[[#This Row],[Fin réelle]]&lt;&gt;""),IF([[#This Row],[Fin réelle]]&lt;=[[#This Row],[Fin planifiée]],"Oui","Non"),"")</f>
        <v>0</v>
      </c>
    </row>
    <row r="369" spans="13:36" ht="20" customHeight="1">
      <c r="M369">
        <f>IF(AND([[#This Row],Début]&lt;&gt;"",[[#This Row],[Fin planifiée]]&lt;&gt;""),[[#This Row],[Fin planifiée]]-[[#This Row],Début]+1,"")</f>
        <v>0</v>
      </c>
      <c r="N369">
        <f>IF(AND([[#This Row],Début]&lt;&gt;"",[[#This Row],[Fin réelle]]&lt;&gt;""),[[#This Row],[Fin réelle]]-[[#This Row],Début]+1,"")</f>
        <v>0</v>
      </c>
      <c r="S369">
        <f>[[#This Row],[Budget réalisé]]-[[#This Row],[Budget prévu]]</f>
        <v>0</v>
      </c>
      <c r="T369">
        <f>IF(OR([[#This Row],[Budget prévu]]="",[[#This Row],[Budget réalisé]]=""),"",IF([[#This Row],[Écart (€)]]=0,"À l'équilibre",IF([[#This Row],[Écart (€)]]&gt;0,"Dépassement","Sous budget")))</f>
        <v>0</v>
      </c>
      <c r="W369">
        <f>[[#This Row],[Risque – Probabilité (1-5)]]*[[#This Row],[Risque – Sévérité (1-5)]]</f>
        <v>0</v>
      </c>
      <c r="AC369">
        <f>IF([[#This Row],Effort (jours)]&gt;0,[[#This Row],[Reach (pers.)]]*[[#This Row],[Impact (1-5)]]*[[#This Row],[Confidence (0-1)]]/[[#This Row],[Effort (jours)]],"")</f>
        <v>0</v>
      </c>
      <c r="AG369">
        <f>IF([[#This Row],[Fin planifiée]]&lt;&gt;"",MONTH([[#This Row],[Fin planifiée]]),"")</f>
        <v>0</v>
      </c>
      <c r="AH369">
        <f>IF([[#This Row],[Fin planifiée]]&lt;&gt;"",YEAR([[#This Row],[Fin planifiée]]),"")</f>
        <v>0</v>
      </c>
      <c r="AI3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69">
        <f>IF(AND([[#This Row],Statut]="Terminé",[[#This Row],[Fin réelle]]&lt;&gt;""),IF([[#This Row],[Fin réelle]]&lt;=[[#This Row],[Fin planifiée]],"Oui","Non"),"")</f>
        <v>0</v>
      </c>
    </row>
    <row r="370" spans="13:36" ht="20" customHeight="1">
      <c r="M370">
        <f>IF(AND([[#This Row],Début]&lt;&gt;"",[[#This Row],[Fin planifiée]]&lt;&gt;""),[[#This Row],[Fin planifiée]]-[[#This Row],Début]+1,"")</f>
        <v>0</v>
      </c>
      <c r="N370">
        <f>IF(AND([[#This Row],Début]&lt;&gt;"",[[#This Row],[Fin réelle]]&lt;&gt;""),[[#This Row],[Fin réelle]]-[[#This Row],Début]+1,"")</f>
        <v>0</v>
      </c>
      <c r="S370">
        <f>[[#This Row],[Budget réalisé]]-[[#This Row],[Budget prévu]]</f>
        <v>0</v>
      </c>
      <c r="T370">
        <f>IF(OR([[#This Row],[Budget prévu]]="",[[#This Row],[Budget réalisé]]=""),"",IF([[#This Row],[Écart (€)]]=0,"À l'équilibre",IF([[#This Row],[Écart (€)]]&gt;0,"Dépassement","Sous budget")))</f>
        <v>0</v>
      </c>
      <c r="W370">
        <f>[[#This Row],[Risque – Probabilité (1-5)]]*[[#This Row],[Risque – Sévérité (1-5)]]</f>
        <v>0</v>
      </c>
      <c r="AC370">
        <f>IF([[#This Row],Effort (jours)]&gt;0,[[#This Row],[Reach (pers.)]]*[[#This Row],[Impact (1-5)]]*[[#This Row],[Confidence (0-1)]]/[[#This Row],[Effort (jours)]],"")</f>
        <v>0</v>
      </c>
      <c r="AG370">
        <f>IF([[#This Row],[Fin planifiée]]&lt;&gt;"",MONTH([[#This Row],[Fin planifiée]]),"")</f>
        <v>0</v>
      </c>
      <c r="AH370">
        <f>IF([[#This Row],[Fin planifiée]]&lt;&gt;"",YEAR([[#This Row],[Fin planifiée]]),"")</f>
        <v>0</v>
      </c>
      <c r="AI3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0">
        <f>IF(AND([[#This Row],Statut]="Terminé",[[#This Row],[Fin réelle]]&lt;&gt;""),IF([[#This Row],[Fin réelle]]&lt;=[[#This Row],[Fin planifiée]],"Oui","Non"),"")</f>
        <v>0</v>
      </c>
    </row>
    <row r="371" spans="13:36" ht="20" customHeight="1">
      <c r="M371">
        <f>IF(AND([[#This Row],Début]&lt;&gt;"",[[#This Row],[Fin planifiée]]&lt;&gt;""),[[#This Row],[Fin planifiée]]-[[#This Row],Début]+1,"")</f>
        <v>0</v>
      </c>
      <c r="N371">
        <f>IF(AND([[#This Row],Début]&lt;&gt;"",[[#This Row],[Fin réelle]]&lt;&gt;""),[[#This Row],[Fin réelle]]-[[#This Row],Début]+1,"")</f>
        <v>0</v>
      </c>
      <c r="S371">
        <f>[[#This Row],[Budget réalisé]]-[[#This Row],[Budget prévu]]</f>
        <v>0</v>
      </c>
      <c r="T371">
        <f>IF(OR([[#This Row],[Budget prévu]]="",[[#This Row],[Budget réalisé]]=""),"",IF([[#This Row],[Écart (€)]]=0,"À l'équilibre",IF([[#This Row],[Écart (€)]]&gt;0,"Dépassement","Sous budget")))</f>
        <v>0</v>
      </c>
      <c r="W371">
        <f>[[#This Row],[Risque – Probabilité (1-5)]]*[[#This Row],[Risque – Sévérité (1-5)]]</f>
        <v>0</v>
      </c>
      <c r="AC371">
        <f>IF([[#This Row],Effort (jours)]&gt;0,[[#This Row],[Reach (pers.)]]*[[#This Row],[Impact (1-5)]]*[[#This Row],[Confidence (0-1)]]/[[#This Row],[Effort (jours)]],"")</f>
        <v>0</v>
      </c>
      <c r="AG371">
        <f>IF([[#This Row],[Fin planifiée]]&lt;&gt;"",MONTH([[#This Row],[Fin planifiée]]),"")</f>
        <v>0</v>
      </c>
      <c r="AH371">
        <f>IF([[#This Row],[Fin planifiée]]&lt;&gt;"",YEAR([[#This Row],[Fin planifiée]]),"")</f>
        <v>0</v>
      </c>
      <c r="AI3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1">
        <f>IF(AND([[#This Row],Statut]="Terminé",[[#This Row],[Fin réelle]]&lt;&gt;""),IF([[#This Row],[Fin réelle]]&lt;=[[#This Row],[Fin planifiée]],"Oui","Non"),"")</f>
        <v>0</v>
      </c>
    </row>
    <row r="372" spans="13:36" ht="20" customHeight="1">
      <c r="M372">
        <f>IF(AND([[#This Row],Début]&lt;&gt;"",[[#This Row],[Fin planifiée]]&lt;&gt;""),[[#This Row],[Fin planifiée]]-[[#This Row],Début]+1,"")</f>
        <v>0</v>
      </c>
      <c r="N372">
        <f>IF(AND([[#This Row],Début]&lt;&gt;"",[[#This Row],[Fin réelle]]&lt;&gt;""),[[#This Row],[Fin réelle]]-[[#This Row],Début]+1,"")</f>
        <v>0</v>
      </c>
      <c r="S372">
        <f>[[#This Row],[Budget réalisé]]-[[#This Row],[Budget prévu]]</f>
        <v>0</v>
      </c>
      <c r="T372">
        <f>IF(OR([[#This Row],[Budget prévu]]="",[[#This Row],[Budget réalisé]]=""),"",IF([[#This Row],[Écart (€)]]=0,"À l'équilibre",IF([[#This Row],[Écart (€)]]&gt;0,"Dépassement","Sous budget")))</f>
        <v>0</v>
      </c>
      <c r="W372">
        <f>[[#This Row],[Risque – Probabilité (1-5)]]*[[#This Row],[Risque – Sévérité (1-5)]]</f>
        <v>0</v>
      </c>
      <c r="AC372">
        <f>IF([[#This Row],Effort (jours)]&gt;0,[[#This Row],[Reach (pers.)]]*[[#This Row],[Impact (1-5)]]*[[#This Row],[Confidence (0-1)]]/[[#This Row],[Effort (jours)]],"")</f>
        <v>0</v>
      </c>
      <c r="AG372">
        <f>IF([[#This Row],[Fin planifiée]]&lt;&gt;"",MONTH([[#This Row],[Fin planifiée]]),"")</f>
        <v>0</v>
      </c>
      <c r="AH372">
        <f>IF([[#This Row],[Fin planifiée]]&lt;&gt;"",YEAR([[#This Row],[Fin planifiée]]),"")</f>
        <v>0</v>
      </c>
      <c r="AI3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2">
        <f>IF(AND([[#This Row],Statut]="Terminé",[[#This Row],[Fin réelle]]&lt;&gt;""),IF([[#This Row],[Fin réelle]]&lt;=[[#This Row],[Fin planifiée]],"Oui","Non"),"")</f>
        <v>0</v>
      </c>
    </row>
    <row r="373" spans="13:36" ht="20" customHeight="1">
      <c r="M373">
        <f>IF(AND([[#This Row],Début]&lt;&gt;"",[[#This Row],[Fin planifiée]]&lt;&gt;""),[[#This Row],[Fin planifiée]]-[[#This Row],Début]+1,"")</f>
        <v>0</v>
      </c>
      <c r="N373">
        <f>IF(AND([[#This Row],Début]&lt;&gt;"",[[#This Row],[Fin réelle]]&lt;&gt;""),[[#This Row],[Fin réelle]]-[[#This Row],Début]+1,"")</f>
        <v>0</v>
      </c>
      <c r="S373">
        <f>[[#This Row],[Budget réalisé]]-[[#This Row],[Budget prévu]]</f>
        <v>0</v>
      </c>
      <c r="T373">
        <f>IF(OR([[#This Row],[Budget prévu]]="",[[#This Row],[Budget réalisé]]=""),"",IF([[#This Row],[Écart (€)]]=0,"À l'équilibre",IF([[#This Row],[Écart (€)]]&gt;0,"Dépassement","Sous budget")))</f>
        <v>0</v>
      </c>
      <c r="W373">
        <f>[[#This Row],[Risque – Probabilité (1-5)]]*[[#This Row],[Risque – Sévérité (1-5)]]</f>
        <v>0</v>
      </c>
      <c r="AC373">
        <f>IF([[#This Row],Effort (jours)]&gt;0,[[#This Row],[Reach (pers.)]]*[[#This Row],[Impact (1-5)]]*[[#This Row],[Confidence (0-1)]]/[[#This Row],[Effort (jours)]],"")</f>
        <v>0</v>
      </c>
      <c r="AG373">
        <f>IF([[#This Row],[Fin planifiée]]&lt;&gt;"",MONTH([[#This Row],[Fin planifiée]]),"")</f>
        <v>0</v>
      </c>
      <c r="AH373">
        <f>IF([[#This Row],[Fin planifiée]]&lt;&gt;"",YEAR([[#This Row],[Fin planifiée]]),"")</f>
        <v>0</v>
      </c>
      <c r="AI3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3">
        <f>IF(AND([[#This Row],Statut]="Terminé",[[#This Row],[Fin réelle]]&lt;&gt;""),IF([[#This Row],[Fin réelle]]&lt;=[[#This Row],[Fin planifiée]],"Oui","Non"),"")</f>
        <v>0</v>
      </c>
    </row>
    <row r="374" spans="13:36" ht="20" customHeight="1">
      <c r="M374">
        <f>IF(AND([[#This Row],Début]&lt;&gt;"",[[#This Row],[Fin planifiée]]&lt;&gt;""),[[#This Row],[Fin planifiée]]-[[#This Row],Début]+1,"")</f>
        <v>0</v>
      </c>
      <c r="N374">
        <f>IF(AND([[#This Row],Début]&lt;&gt;"",[[#This Row],[Fin réelle]]&lt;&gt;""),[[#This Row],[Fin réelle]]-[[#This Row],Début]+1,"")</f>
        <v>0</v>
      </c>
      <c r="S374">
        <f>[[#This Row],[Budget réalisé]]-[[#This Row],[Budget prévu]]</f>
        <v>0</v>
      </c>
      <c r="T374">
        <f>IF(OR([[#This Row],[Budget prévu]]="",[[#This Row],[Budget réalisé]]=""),"",IF([[#This Row],[Écart (€)]]=0,"À l'équilibre",IF([[#This Row],[Écart (€)]]&gt;0,"Dépassement","Sous budget")))</f>
        <v>0</v>
      </c>
      <c r="W374">
        <f>[[#This Row],[Risque – Probabilité (1-5)]]*[[#This Row],[Risque – Sévérité (1-5)]]</f>
        <v>0</v>
      </c>
      <c r="AC374">
        <f>IF([[#This Row],Effort (jours)]&gt;0,[[#This Row],[Reach (pers.)]]*[[#This Row],[Impact (1-5)]]*[[#This Row],[Confidence (0-1)]]/[[#This Row],[Effort (jours)]],"")</f>
        <v>0</v>
      </c>
      <c r="AG374">
        <f>IF([[#This Row],[Fin planifiée]]&lt;&gt;"",MONTH([[#This Row],[Fin planifiée]]),"")</f>
        <v>0</v>
      </c>
      <c r="AH374">
        <f>IF([[#This Row],[Fin planifiée]]&lt;&gt;"",YEAR([[#This Row],[Fin planifiée]]),"")</f>
        <v>0</v>
      </c>
      <c r="AI3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4">
        <f>IF(AND([[#This Row],Statut]="Terminé",[[#This Row],[Fin réelle]]&lt;&gt;""),IF([[#This Row],[Fin réelle]]&lt;=[[#This Row],[Fin planifiée]],"Oui","Non"),"")</f>
        <v>0</v>
      </c>
    </row>
    <row r="375" spans="13:36" ht="20" customHeight="1">
      <c r="M375">
        <f>IF(AND([[#This Row],Début]&lt;&gt;"",[[#This Row],[Fin planifiée]]&lt;&gt;""),[[#This Row],[Fin planifiée]]-[[#This Row],Début]+1,"")</f>
        <v>0</v>
      </c>
      <c r="N375">
        <f>IF(AND([[#This Row],Début]&lt;&gt;"",[[#This Row],[Fin réelle]]&lt;&gt;""),[[#This Row],[Fin réelle]]-[[#This Row],Début]+1,"")</f>
        <v>0</v>
      </c>
      <c r="S375">
        <f>[[#This Row],[Budget réalisé]]-[[#This Row],[Budget prévu]]</f>
        <v>0</v>
      </c>
      <c r="T375">
        <f>IF(OR([[#This Row],[Budget prévu]]="",[[#This Row],[Budget réalisé]]=""),"",IF([[#This Row],[Écart (€)]]=0,"À l'équilibre",IF([[#This Row],[Écart (€)]]&gt;0,"Dépassement","Sous budget")))</f>
        <v>0</v>
      </c>
      <c r="W375">
        <f>[[#This Row],[Risque – Probabilité (1-5)]]*[[#This Row],[Risque – Sévérité (1-5)]]</f>
        <v>0</v>
      </c>
      <c r="AC375">
        <f>IF([[#This Row],Effort (jours)]&gt;0,[[#This Row],[Reach (pers.)]]*[[#This Row],[Impact (1-5)]]*[[#This Row],[Confidence (0-1)]]/[[#This Row],[Effort (jours)]],"")</f>
        <v>0</v>
      </c>
      <c r="AG375">
        <f>IF([[#This Row],[Fin planifiée]]&lt;&gt;"",MONTH([[#This Row],[Fin planifiée]]),"")</f>
        <v>0</v>
      </c>
      <c r="AH375">
        <f>IF([[#This Row],[Fin planifiée]]&lt;&gt;"",YEAR([[#This Row],[Fin planifiée]]),"")</f>
        <v>0</v>
      </c>
      <c r="AI3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5">
        <f>IF(AND([[#This Row],Statut]="Terminé",[[#This Row],[Fin réelle]]&lt;&gt;""),IF([[#This Row],[Fin réelle]]&lt;=[[#This Row],[Fin planifiée]],"Oui","Non"),"")</f>
        <v>0</v>
      </c>
    </row>
    <row r="376" spans="13:36" ht="20" customHeight="1">
      <c r="M376">
        <f>IF(AND([[#This Row],Début]&lt;&gt;"",[[#This Row],[Fin planifiée]]&lt;&gt;""),[[#This Row],[Fin planifiée]]-[[#This Row],Début]+1,"")</f>
        <v>0</v>
      </c>
      <c r="N376">
        <f>IF(AND([[#This Row],Début]&lt;&gt;"",[[#This Row],[Fin réelle]]&lt;&gt;""),[[#This Row],[Fin réelle]]-[[#This Row],Début]+1,"")</f>
        <v>0</v>
      </c>
      <c r="S376">
        <f>[[#This Row],[Budget réalisé]]-[[#This Row],[Budget prévu]]</f>
        <v>0</v>
      </c>
      <c r="T376">
        <f>IF(OR([[#This Row],[Budget prévu]]="",[[#This Row],[Budget réalisé]]=""),"",IF([[#This Row],[Écart (€)]]=0,"À l'équilibre",IF([[#This Row],[Écart (€)]]&gt;0,"Dépassement","Sous budget")))</f>
        <v>0</v>
      </c>
      <c r="W376">
        <f>[[#This Row],[Risque – Probabilité (1-5)]]*[[#This Row],[Risque – Sévérité (1-5)]]</f>
        <v>0</v>
      </c>
      <c r="AC376">
        <f>IF([[#This Row],Effort (jours)]&gt;0,[[#This Row],[Reach (pers.)]]*[[#This Row],[Impact (1-5)]]*[[#This Row],[Confidence (0-1)]]/[[#This Row],[Effort (jours)]],"")</f>
        <v>0</v>
      </c>
      <c r="AG376">
        <f>IF([[#This Row],[Fin planifiée]]&lt;&gt;"",MONTH([[#This Row],[Fin planifiée]]),"")</f>
        <v>0</v>
      </c>
      <c r="AH376">
        <f>IF([[#This Row],[Fin planifiée]]&lt;&gt;"",YEAR([[#This Row],[Fin planifiée]]),"")</f>
        <v>0</v>
      </c>
      <c r="AI3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6">
        <f>IF(AND([[#This Row],Statut]="Terminé",[[#This Row],[Fin réelle]]&lt;&gt;""),IF([[#This Row],[Fin réelle]]&lt;=[[#This Row],[Fin planifiée]],"Oui","Non"),"")</f>
        <v>0</v>
      </c>
    </row>
    <row r="377" spans="13:36" ht="20" customHeight="1">
      <c r="M377">
        <f>IF(AND([[#This Row],Début]&lt;&gt;"",[[#This Row],[Fin planifiée]]&lt;&gt;""),[[#This Row],[Fin planifiée]]-[[#This Row],Début]+1,"")</f>
        <v>0</v>
      </c>
      <c r="N377">
        <f>IF(AND([[#This Row],Début]&lt;&gt;"",[[#This Row],[Fin réelle]]&lt;&gt;""),[[#This Row],[Fin réelle]]-[[#This Row],Début]+1,"")</f>
        <v>0</v>
      </c>
      <c r="S377">
        <f>[[#This Row],[Budget réalisé]]-[[#This Row],[Budget prévu]]</f>
        <v>0</v>
      </c>
      <c r="T377">
        <f>IF(OR([[#This Row],[Budget prévu]]="",[[#This Row],[Budget réalisé]]=""),"",IF([[#This Row],[Écart (€)]]=0,"À l'équilibre",IF([[#This Row],[Écart (€)]]&gt;0,"Dépassement","Sous budget")))</f>
        <v>0</v>
      </c>
      <c r="W377">
        <f>[[#This Row],[Risque – Probabilité (1-5)]]*[[#This Row],[Risque – Sévérité (1-5)]]</f>
        <v>0</v>
      </c>
      <c r="AC377">
        <f>IF([[#This Row],Effort (jours)]&gt;0,[[#This Row],[Reach (pers.)]]*[[#This Row],[Impact (1-5)]]*[[#This Row],[Confidence (0-1)]]/[[#This Row],[Effort (jours)]],"")</f>
        <v>0</v>
      </c>
      <c r="AG377">
        <f>IF([[#This Row],[Fin planifiée]]&lt;&gt;"",MONTH([[#This Row],[Fin planifiée]]),"")</f>
        <v>0</v>
      </c>
      <c r="AH377">
        <f>IF([[#This Row],[Fin planifiée]]&lt;&gt;"",YEAR([[#This Row],[Fin planifiée]]),"")</f>
        <v>0</v>
      </c>
      <c r="AI3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7">
        <f>IF(AND([[#This Row],Statut]="Terminé",[[#This Row],[Fin réelle]]&lt;&gt;""),IF([[#This Row],[Fin réelle]]&lt;=[[#This Row],[Fin planifiée]],"Oui","Non"),"")</f>
        <v>0</v>
      </c>
    </row>
    <row r="378" spans="13:36" ht="20" customHeight="1">
      <c r="M378">
        <f>IF(AND([[#This Row],Début]&lt;&gt;"",[[#This Row],[Fin planifiée]]&lt;&gt;""),[[#This Row],[Fin planifiée]]-[[#This Row],Début]+1,"")</f>
        <v>0</v>
      </c>
      <c r="N378">
        <f>IF(AND([[#This Row],Début]&lt;&gt;"",[[#This Row],[Fin réelle]]&lt;&gt;""),[[#This Row],[Fin réelle]]-[[#This Row],Début]+1,"")</f>
        <v>0</v>
      </c>
      <c r="S378">
        <f>[[#This Row],[Budget réalisé]]-[[#This Row],[Budget prévu]]</f>
        <v>0</v>
      </c>
      <c r="T378">
        <f>IF(OR([[#This Row],[Budget prévu]]="",[[#This Row],[Budget réalisé]]=""),"",IF([[#This Row],[Écart (€)]]=0,"À l'équilibre",IF([[#This Row],[Écart (€)]]&gt;0,"Dépassement","Sous budget")))</f>
        <v>0</v>
      </c>
      <c r="W378">
        <f>[[#This Row],[Risque – Probabilité (1-5)]]*[[#This Row],[Risque – Sévérité (1-5)]]</f>
        <v>0</v>
      </c>
      <c r="AC378">
        <f>IF([[#This Row],Effort (jours)]&gt;0,[[#This Row],[Reach (pers.)]]*[[#This Row],[Impact (1-5)]]*[[#This Row],[Confidence (0-1)]]/[[#This Row],[Effort (jours)]],"")</f>
        <v>0</v>
      </c>
      <c r="AG378">
        <f>IF([[#This Row],[Fin planifiée]]&lt;&gt;"",MONTH([[#This Row],[Fin planifiée]]),"")</f>
        <v>0</v>
      </c>
      <c r="AH378">
        <f>IF([[#This Row],[Fin planifiée]]&lt;&gt;"",YEAR([[#This Row],[Fin planifiée]]),"")</f>
        <v>0</v>
      </c>
      <c r="AI3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8">
        <f>IF(AND([[#This Row],Statut]="Terminé",[[#This Row],[Fin réelle]]&lt;&gt;""),IF([[#This Row],[Fin réelle]]&lt;=[[#This Row],[Fin planifiée]],"Oui","Non"),"")</f>
        <v>0</v>
      </c>
    </row>
    <row r="379" spans="13:36" ht="20" customHeight="1">
      <c r="M379">
        <f>IF(AND([[#This Row],Début]&lt;&gt;"",[[#This Row],[Fin planifiée]]&lt;&gt;""),[[#This Row],[Fin planifiée]]-[[#This Row],Début]+1,"")</f>
        <v>0</v>
      </c>
      <c r="N379">
        <f>IF(AND([[#This Row],Début]&lt;&gt;"",[[#This Row],[Fin réelle]]&lt;&gt;""),[[#This Row],[Fin réelle]]-[[#This Row],Début]+1,"")</f>
        <v>0</v>
      </c>
      <c r="S379">
        <f>[[#This Row],[Budget réalisé]]-[[#This Row],[Budget prévu]]</f>
        <v>0</v>
      </c>
      <c r="T379">
        <f>IF(OR([[#This Row],[Budget prévu]]="",[[#This Row],[Budget réalisé]]=""),"",IF([[#This Row],[Écart (€)]]=0,"À l'équilibre",IF([[#This Row],[Écart (€)]]&gt;0,"Dépassement","Sous budget")))</f>
        <v>0</v>
      </c>
      <c r="W379">
        <f>[[#This Row],[Risque – Probabilité (1-5)]]*[[#This Row],[Risque – Sévérité (1-5)]]</f>
        <v>0</v>
      </c>
      <c r="AC379">
        <f>IF([[#This Row],Effort (jours)]&gt;0,[[#This Row],[Reach (pers.)]]*[[#This Row],[Impact (1-5)]]*[[#This Row],[Confidence (0-1)]]/[[#This Row],[Effort (jours)]],"")</f>
        <v>0</v>
      </c>
      <c r="AG379">
        <f>IF([[#This Row],[Fin planifiée]]&lt;&gt;"",MONTH([[#This Row],[Fin planifiée]]),"")</f>
        <v>0</v>
      </c>
      <c r="AH379">
        <f>IF([[#This Row],[Fin planifiée]]&lt;&gt;"",YEAR([[#This Row],[Fin planifiée]]),"")</f>
        <v>0</v>
      </c>
      <c r="AI3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79">
        <f>IF(AND([[#This Row],Statut]="Terminé",[[#This Row],[Fin réelle]]&lt;&gt;""),IF([[#This Row],[Fin réelle]]&lt;=[[#This Row],[Fin planifiée]],"Oui","Non"),"")</f>
        <v>0</v>
      </c>
    </row>
    <row r="380" spans="13:36" ht="20" customHeight="1">
      <c r="M380">
        <f>IF(AND([[#This Row],Début]&lt;&gt;"",[[#This Row],[Fin planifiée]]&lt;&gt;""),[[#This Row],[Fin planifiée]]-[[#This Row],Début]+1,"")</f>
        <v>0</v>
      </c>
      <c r="N380">
        <f>IF(AND([[#This Row],Début]&lt;&gt;"",[[#This Row],[Fin réelle]]&lt;&gt;""),[[#This Row],[Fin réelle]]-[[#This Row],Début]+1,"")</f>
        <v>0</v>
      </c>
      <c r="S380">
        <f>[[#This Row],[Budget réalisé]]-[[#This Row],[Budget prévu]]</f>
        <v>0</v>
      </c>
      <c r="T380">
        <f>IF(OR([[#This Row],[Budget prévu]]="",[[#This Row],[Budget réalisé]]=""),"",IF([[#This Row],[Écart (€)]]=0,"À l'équilibre",IF([[#This Row],[Écart (€)]]&gt;0,"Dépassement","Sous budget")))</f>
        <v>0</v>
      </c>
      <c r="W380">
        <f>[[#This Row],[Risque – Probabilité (1-5)]]*[[#This Row],[Risque – Sévérité (1-5)]]</f>
        <v>0</v>
      </c>
      <c r="AC380">
        <f>IF([[#This Row],Effort (jours)]&gt;0,[[#This Row],[Reach (pers.)]]*[[#This Row],[Impact (1-5)]]*[[#This Row],[Confidence (0-1)]]/[[#This Row],[Effort (jours)]],"")</f>
        <v>0</v>
      </c>
      <c r="AG380">
        <f>IF([[#This Row],[Fin planifiée]]&lt;&gt;"",MONTH([[#This Row],[Fin planifiée]]),"")</f>
        <v>0</v>
      </c>
      <c r="AH380">
        <f>IF([[#This Row],[Fin planifiée]]&lt;&gt;"",YEAR([[#This Row],[Fin planifiée]]),"")</f>
        <v>0</v>
      </c>
      <c r="AI3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0">
        <f>IF(AND([[#This Row],Statut]="Terminé",[[#This Row],[Fin réelle]]&lt;&gt;""),IF([[#This Row],[Fin réelle]]&lt;=[[#This Row],[Fin planifiée]],"Oui","Non"),"")</f>
        <v>0</v>
      </c>
    </row>
    <row r="381" spans="13:36" ht="20" customHeight="1">
      <c r="M381">
        <f>IF(AND([[#This Row],Début]&lt;&gt;"",[[#This Row],[Fin planifiée]]&lt;&gt;""),[[#This Row],[Fin planifiée]]-[[#This Row],Début]+1,"")</f>
        <v>0</v>
      </c>
      <c r="N381">
        <f>IF(AND([[#This Row],Début]&lt;&gt;"",[[#This Row],[Fin réelle]]&lt;&gt;""),[[#This Row],[Fin réelle]]-[[#This Row],Début]+1,"")</f>
        <v>0</v>
      </c>
      <c r="S381">
        <f>[[#This Row],[Budget réalisé]]-[[#This Row],[Budget prévu]]</f>
        <v>0</v>
      </c>
      <c r="T381">
        <f>IF(OR([[#This Row],[Budget prévu]]="",[[#This Row],[Budget réalisé]]=""),"",IF([[#This Row],[Écart (€)]]=0,"À l'équilibre",IF([[#This Row],[Écart (€)]]&gt;0,"Dépassement","Sous budget")))</f>
        <v>0</v>
      </c>
      <c r="W381">
        <f>[[#This Row],[Risque – Probabilité (1-5)]]*[[#This Row],[Risque – Sévérité (1-5)]]</f>
        <v>0</v>
      </c>
      <c r="AC381">
        <f>IF([[#This Row],Effort (jours)]&gt;0,[[#This Row],[Reach (pers.)]]*[[#This Row],[Impact (1-5)]]*[[#This Row],[Confidence (0-1)]]/[[#This Row],[Effort (jours)]],"")</f>
        <v>0</v>
      </c>
      <c r="AG381">
        <f>IF([[#This Row],[Fin planifiée]]&lt;&gt;"",MONTH([[#This Row],[Fin planifiée]]),"")</f>
        <v>0</v>
      </c>
      <c r="AH381">
        <f>IF([[#This Row],[Fin planifiée]]&lt;&gt;"",YEAR([[#This Row],[Fin planifiée]]),"")</f>
        <v>0</v>
      </c>
      <c r="AI3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1">
        <f>IF(AND([[#This Row],Statut]="Terminé",[[#This Row],[Fin réelle]]&lt;&gt;""),IF([[#This Row],[Fin réelle]]&lt;=[[#This Row],[Fin planifiée]],"Oui","Non"),"")</f>
        <v>0</v>
      </c>
    </row>
    <row r="382" spans="13:36" ht="20" customHeight="1">
      <c r="M382">
        <f>IF(AND([[#This Row],Début]&lt;&gt;"",[[#This Row],[Fin planifiée]]&lt;&gt;""),[[#This Row],[Fin planifiée]]-[[#This Row],Début]+1,"")</f>
        <v>0</v>
      </c>
      <c r="N382">
        <f>IF(AND([[#This Row],Début]&lt;&gt;"",[[#This Row],[Fin réelle]]&lt;&gt;""),[[#This Row],[Fin réelle]]-[[#This Row],Début]+1,"")</f>
        <v>0</v>
      </c>
      <c r="S382">
        <f>[[#This Row],[Budget réalisé]]-[[#This Row],[Budget prévu]]</f>
        <v>0</v>
      </c>
      <c r="T382">
        <f>IF(OR([[#This Row],[Budget prévu]]="",[[#This Row],[Budget réalisé]]=""),"",IF([[#This Row],[Écart (€)]]=0,"À l'équilibre",IF([[#This Row],[Écart (€)]]&gt;0,"Dépassement","Sous budget")))</f>
        <v>0</v>
      </c>
      <c r="W382">
        <f>[[#This Row],[Risque – Probabilité (1-5)]]*[[#This Row],[Risque – Sévérité (1-5)]]</f>
        <v>0</v>
      </c>
      <c r="AC382">
        <f>IF([[#This Row],Effort (jours)]&gt;0,[[#This Row],[Reach (pers.)]]*[[#This Row],[Impact (1-5)]]*[[#This Row],[Confidence (0-1)]]/[[#This Row],[Effort (jours)]],"")</f>
        <v>0</v>
      </c>
      <c r="AG382">
        <f>IF([[#This Row],[Fin planifiée]]&lt;&gt;"",MONTH([[#This Row],[Fin planifiée]]),"")</f>
        <v>0</v>
      </c>
      <c r="AH382">
        <f>IF([[#This Row],[Fin planifiée]]&lt;&gt;"",YEAR([[#This Row],[Fin planifiée]]),"")</f>
        <v>0</v>
      </c>
      <c r="AI3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2">
        <f>IF(AND([[#This Row],Statut]="Terminé",[[#This Row],[Fin réelle]]&lt;&gt;""),IF([[#This Row],[Fin réelle]]&lt;=[[#This Row],[Fin planifiée]],"Oui","Non"),"")</f>
        <v>0</v>
      </c>
    </row>
    <row r="383" spans="13:36" ht="20" customHeight="1">
      <c r="M383">
        <f>IF(AND([[#This Row],Début]&lt;&gt;"",[[#This Row],[Fin planifiée]]&lt;&gt;""),[[#This Row],[Fin planifiée]]-[[#This Row],Début]+1,"")</f>
        <v>0</v>
      </c>
      <c r="N383">
        <f>IF(AND([[#This Row],Début]&lt;&gt;"",[[#This Row],[Fin réelle]]&lt;&gt;""),[[#This Row],[Fin réelle]]-[[#This Row],Début]+1,"")</f>
        <v>0</v>
      </c>
      <c r="S383">
        <f>[[#This Row],[Budget réalisé]]-[[#This Row],[Budget prévu]]</f>
        <v>0</v>
      </c>
      <c r="T383">
        <f>IF(OR([[#This Row],[Budget prévu]]="",[[#This Row],[Budget réalisé]]=""),"",IF([[#This Row],[Écart (€)]]=0,"À l'équilibre",IF([[#This Row],[Écart (€)]]&gt;0,"Dépassement","Sous budget")))</f>
        <v>0</v>
      </c>
      <c r="W383">
        <f>[[#This Row],[Risque – Probabilité (1-5)]]*[[#This Row],[Risque – Sévérité (1-5)]]</f>
        <v>0</v>
      </c>
      <c r="AC383">
        <f>IF([[#This Row],Effort (jours)]&gt;0,[[#This Row],[Reach (pers.)]]*[[#This Row],[Impact (1-5)]]*[[#This Row],[Confidence (0-1)]]/[[#This Row],[Effort (jours)]],"")</f>
        <v>0</v>
      </c>
      <c r="AG383">
        <f>IF([[#This Row],[Fin planifiée]]&lt;&gt;"",MONTH([[#This Row],[Fin planifiée]]),"")</f>
        <v>0</v>
      </c>
      <c r="AH383">
        <f>IF([[#This Row],[Fin planifiée]]&lt;&gt;"",YEAR([[#This Row],[Fin planifiée]]),"")</f>
        <v>0</v>
      </c>
      <c r="AI3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3">
        <f>IF(AND([[#This Row],Statut]="Terminé",[[#This Row],[Fin réelle]]&lt;&gt;""),IF([[#This Row],[Fin réelle]]&lt;=[[#This Row],[Fin planifiée]],"Oui","Non"),"")</f>
        <v>0</v>
      </c>
    </row>
    <row r="384" spans="13:36" ht="20" customHeight="1">
      <c r="M384">
        <f>IF(AND([[#This Row],Début]&lt;&gt;"",[[#This Row],[Fin planifiée]]&lt;&gt;""),[[#This Row],[Fin planifiée]]-[[#This Row],Début]+1,"")</f>
        <v>0</v>
      </c>
      <c r="N384">
        <f>IF(AND([[#This Row],Début]&lt;&gt;"",[[#This Row],[Fin réelle]]&lt;&gt;""),[[#This Row],[Fin réelle]]-[[#This Row],Début]+1,"")</f>
        <v>0</v>
      </c>
      <c r="S384">
        <f>[[#This Row],[Budget réalisé]]-[[#This Row],[Budget prévu]]</f>
        <v>0</v>
      </c>
      <c r="T384">
        <f>IF(OR([[#This Row],[Budget prévu]]="",[[#This Row],[Budget réalisé]]=""),"",IF([[#This Row],[Écart (€)]]=0,"À l'équilibre",IF([[#This Row],[Écart (€)]]&gt;0,"Dépassement","Sous budget")))</f>
        <v>0</v>
      </c>
      <c r="W384">
        <f>[[#This Row],[Risque – Probabilité (1-5)]]*[[#This Row],[Risque – Sévérité (1-5)]]</f>
        <v>0</v>
      </c>
      <c r="AC384">
        <f>IF([[#This Row],Effort (jours)]&gt;0,[[#This Row],[Reach (pers.)]]*[[#This Row],[Impact (1-5)]]*[[#This Row],[Confidence (0-1)]]/[[#This Row],[Effort (jours)]],"")</f>
        <v>0</v>
      </c>
      <c r="AG384">
        <f>IF([[#This Row],[Fin planifiée]]&lt;&gt;"",MONTH([[#This Row],[Fin planifiée]]),"")</f>
        <v>0</v>
      </c>
      <c r="AH384">
        <f>IF([[#This Row],[Fin planifiée]]&lt;&gt;"",YEAR([[#This Row],[Fin planifiée]]),"")</f>
        <v>0</v>
      </c>
      <c r="AI3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4">
        <f>IF(AND([[#This Row],Statut]="Terminé",[[#This Row],[Fin réelle]]&lt;&gt;""),IF([[#This Row],[Fin réelle]]&lt;=[[#This Row],[Fin planifiée]],"Oui","Non"),"")</f>
        <v>0</v>
      </c>
    </row>
    <row r="385" spans="13:36" ht="20" customHeight="1">
      <c r="M385">
        <f>IF(AND([[#This Row],Début]&lt;&gt;"",[[#This Row],[Fin planifiée]]&lt;&gt;""),[[#This Row],[Fin planifiée]]-[[#This Row],Début]+1,"")</f>
        <v>0</v>
      </c>
      <c r="N385">
        <f>IF(AND([[#This Row],Début]&lt;&gt;"",[[#This Row],[Fin réelle]]&lt;&gt;""),[[#This Row],[Fin réelle]]-[[#This Row],Début]+1,"")</f>
        <v>0</v>
      </c>
      <c r="S385">
        <f>[[#This Row],[Budget réalisé]]-[[#This Row],[Budget prévu]]</f>
        <v>0</v>
      </c>
      <c r="T385">
        <f>IF(OR([[#This Row],[Budget prévu]]="",[[#This Row],[Budget réalisé]]=""),"",IF([[#This Row],[Écart (€)]]=0,"À l'équilibre",IF([[#This Row],[Écart (€)]]&gt;0,"Dépassement","Sous budget")))</f>
        <v>0</v>
      </c>
      <c r="W385">
        <f>[[#This Row],[Risque – Probabilité (1-5)]]*[[#This Row],[Risque – Sévérité (1-5)]]</f>
        <v>0</v>
      </c>
      <c r="AC385">
        <f>IF([[#This Row],Effort (jours)]&gt;0,[[#This Row],[Reach (pers.)]]*[[#This Row],[Impact (1-5)]]*[[#This Row],[Confidence (0-1)]]/[[#This Row],[Effort (jours)]],"")</f>
        <v>0</v>
      </c>
      <c r="AG385">
        <f>IF([[#This Row],[Fin planifiée]]&lt;&gt;"",MONTH([[#This Row],[Fin planifiée]]),"")</f>
        <v>0</v>
      </c>
      <c r="AH385">
        <f>IF([[#This Row],[Fin planifiée]]&lt;&gt;"",YEAR([[#This Row],[Fin planifiée]]),"")</f>
        <v>0</v>
      </c>
      <c r="AI3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5">
        <f>IF(AND([[#This Row],Statut]="Terminé",[[#This Row],[Fin réelle]]&lt;&gt;""),IF([[#This Row],[Fin réelle]]&lt;=[[#This Row],[Fin planifiée]],"Oui","Non"),"")</f>
        <v>0</v>
      </c>
    </row>
    <row r="386" spans="13:36" ht="20" customHeight="1">
      <c r="M386">
        <f>IF(AND([[#This Row],Début]&lt;&gt;"",[[#This Row],[Fin planifiée]]&lt;&gt;""),[[#This Row],[Fin planifiée]]-[[#This Row],Début]+1,"")</f>
        <v>0</v>
      </c>
      <c r="N386">
        <f>IF(AND([[#This Row],Début]&lt;&gt;"",[[#This Row],[Fin réelle]]&lt;&gt;""),[[#This Row],[Fin réelle]]-[[#This Row],Début]+1,"")</f>
        <v>0</v>
      </c>
      <c r="S386">
        <f>[[#This Row],[Budget réalisé]]-[[#This Row],[Budget prévu]]</f>
        <v>0</v>
      </c>
      <c r="T386">
        <f>IF(OR([[#This Row],[Budget prévu]]="",[[#This Row],[Budget réalisé]]=""),"",IF([[#This Row],[Écart (€)]]=0,"À l'équilibre",IF([[#This Row],[Écart (€)]]&gt;0,"Dépassement","Sous budget")))</f>
        <v>0</v>
      </c>
      <c r="W386">
        <f>[[#This Row],[Risque – Probabilité (1-5)]]*[[#This Row],[Risque – Sévérité (1-5)]]</f>
        <v>0</v>
      </c>
      <c r="AC386">
        <f>IF([[#This Row],Effort (jours)]&gt;0,[[#This Row],[Reach (pers.)]]*[[#This Row],[Impact (1-5)]]*[[#This Row],[Confidence (0-1)]]/[[#This Row],[Effort (jours)]],"")</f>
        <v>0</v>
      </c>
      <c r="AG386">
        <f>IF([[#This Row],[Fin planifiée]]&lt;&gt;"",MONTH([[#This Row],[Fin planifiée]]),"")</f>
        <v>0</v>
      </c>
      <c r="AH386">
        <f>IF([[#This Row],[Fin planifiée]]&lt;&gt;"",YEAR([[#This Row],[Fin planifiée]]),"")</f>
        <v>0</v>
      </c>
      <c r="AI3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6">
        <f>IF(AND([[#This Row],Statut]="Terminé",[[#This Row],[Fin réelle]]&lt;&gt;""),IF([[#This Row],[Fin réelle]]&lt;=[[#This Row],[Fin planifiée]],"Oui","Non"),"")</f>
        <v>0</v>
      </c>
    </row>
    <row r="387" spans="13:36" ht="20" customHeight="1">
      <c r="M387">
        <f>IF(AND([[#This Row],Début]&lt;&gt;"",[[#This Row],[Fin planifiée]]&lt;&gt;""),[[#This Row],[Fin planifiée]]-[[#This Row],Début]+1,"")</f>
        <v>0</v>
      </c>
      <c r="N387">
        <f>IF(AND([[#This Row],Début]&lt;&gt;"",[[#This Row],[Fin réelle]]&lt;&gt;""),[[#This Row],[Fin réelle]]-[[#This Row],Début]+1,"")</f>
        <v>0</v>
      </c>
      <c r="S387">
        <f>[[#This Row],[Budget réalisé]]-[[#This Row],[Budget prévu]]</f>
        <v>0</v>
      </c>
      <c r="T387">
        <f>IF(OR([[#This Row],[Budget prévu]]="",[[#This Row],[Budget réalisé]]=""),"",IF([[#This Row],[Écart (€)]]=0,"À l'équilibre",IF([[#This Row],[Écart (€)]]&gt;0,"Dépassement","Sous budget")))</f>
        <v>0</v>
      </c>
      <c r="W387">
        <f>[[#This Row],[Risque – Probabilité (1-5)]]*[[#This Row],[Risque – Sévérité (1-5)]]</f>
        <v>0</v>
      </c>
      <c r="AC387">
        <f>IF([[#This Row],Effort (jours)]&gt;0,[[#This Row],[Reach (pers.)]]*[[#This Row],[Impact (1-5)]]*[[#This Row],[Confidence (0-1)]]/[[#This Row],[Effort (jours)]],"")</f>
        <v>0</v>
      </c>
      <c r="AG387">
        <f>IF([[#This Row],[Fin planifiée]]&lt;&gt;"",MONTH([[#This Row],[Fin planifiée]]),"")</f>
        <v>0</v>
      </c>
      <c r="AH387">
        <f>IF([[#This Row],[Fin planifiée]]&lt;&gt;"",YEAR([[#This Row],[Fin planifiée]]),"")</f>
        <v>0</v>
      </c>
      <c r="AI3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7">
        <f>IF(AND([[#This Row],Statut]="Terminé",[[#This Row],[Fin réelle]]&lt;&gt;""),IF([[#This Row],[Fin réelle]]&lt;=[[#This Row],[Fin planifiée]],"Oui","Non"),"")</f>
        <v>0</v>
      </c>
    </row>
    <row r="388" spans="13:36" ht="20" customHeight="1">
      <c r="M388">
        <f>IF(AND([[#This Row],Début]&lt;&gt;"",[[#This Row],[Fin planifiée]]&lt;&gt;""),[[#This Row],[Fin planifiée]]-[[#This Row],Début]+1,"")</f>
        <v>0</v>
      </c>
      <c r="N388">
        <f>IF(AND([[#This Row],Début]&lt;&gt;"",[[#This Row],[Fin réelle]]&lt;&gt;""),[[#This Row],[Fin réelle]]-[[#This Row],Début]+1,"")</f>
        <v>0</v>
      </c>
      <c r="S388">
        <f>[[#This Row],[Budget réalisé]]-[[#This Row],[Budget prévu]]</f>
        <v>0</v>
      </c>
      <c r="T388">
        <f>IF(OR([[#This Row],[Budget prévu]]="",[[#This Row],[Budget réalisé]]=""),"",IF([[#This Row],[Écart (€)]]=0,"À l'équilibre",IF([[#This Row],[Écart (€)]]&gt;0,"Dépassement","Sous budget")))</f>
        <v>0</v>
      </c>
      <c r="W388">
        <f>[[#This Row],[Risque – Probabilité (1-5)]]*[[#This Row],[Risque – Sévérité (1-5)]]</f>
        <v>0</v>
      </c>
      <c r="AC388">
        <f>IF([[#This Row],Effort (jours)]&gt;0,[[#This Row],[Reach (pers.)]]*[[#This Row],[Impact (1-5)]]*[[#This Row],[Confidence (0-1)]]/[[#This Row],[Effort (jours)]],"")</f>
        <v>0</v>
      </c>
      <c r="AG388">
        <f>IF([[#This Row],[Fin planifiée]]&lt;&gt;"",MONTH([[#This Row],[Fin planifiée]]),"")</f>
        <v>0</v>
      </c>
      <c r="AH388">
        <f>IF([[#This Row],[Fin planifiée]]&lt;&gt;"",YEAR([[#This Row],[Fin planifiée]]),"")</f>
        <v>0</v>
      </c>
      <c r="AI3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8">
        <f>IF(AND([[#This Row],Statut]="Terminé",[[#This Row],[Fin réelle]]&lt;&gt;""),IF([[#This Row],[Fin réelle]]&lt;=[[#This Row],[Fin planifiée]],"Oui","Non"),"")</f>
        <v>0</v>
      </c>
    </row>
    <row r="389" spans="13:36" ht="20" customHeight="1">
      <c r="M389">
        <f>IF(AND([[#This Row],Début]&lt;&gt;"",[[#This Row],[Fin planifiée]]&lt;&gt;""),[[#This Row],[Fin planifiée]]-[[#This Row],Début]+1,"")</f>
        <v>0</v>
      </c>
      <c r="N389">
        <f>IF(AND([[#This Row],Début]&lt;&gt;"",[[#This Row],[Fin réelle]]&lt;&gt;""),[[#This Row],[Fin réelle]]-[[#This Row],Début]+1,"")</f>
        <v>0</v>
      </c>
      <c r="S389">
        <f>[[#This Row],[Budget réalisé]]-[[#This Row],[Budget prévu]]</f>
        <v>0</v>
      </c>
      <c r="T389">
        <f>IF(OR([[#This Row],[Budget prévu]]="",[[#This Row],[Budget réalisé]]=""),"",IF([[#This Row],[Écart (€)]]=0,"À l'équilibre",IF([[#This Row],[Écart (€)]]&gt;0,"Dépassement","Sous budget")))</f>
        <v>0</v>
      </c>
      <c r="W389">
        <f>[[#This Row],[Risque – Probabilité (1-5)]]*[[#This Row],[Risque – Sévérité (1-5)]]</f>
        <v>0</v>
      </c>
      <c r="AC389">
        <f>IF([[#This Row],Effort (jours)]&gt;0,[[#This Row],[Reach (pers.)]]*[[#This Row],[Impact (1-5)]]*[[#This Row],[Confidence (0-1)]]/[[#This Row],[Effort (jours)]],"")</f>
        <v>0</v>
      </c>
      <c r="AG389">
        <f>IF([[#This Row],[Fin planifiée]]&lt;&gt;"",MONTH([[#This Row],[Fin planifiée]]),"")</f>
        <v>0</v>
      </c>
      <c r="AH389">
        <f>IF([[#This Row],[Fin planifiée]]&lt;&gt;"",YEAR([[#This Row],[Fin planifiée]]),"")</f>
        <v>0</v>
      </c>
      <c r="AI3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89">
        <f>IF(AND([[#This Row],Statut]="Terminé",[[#This Row],[Fin réelle]]&lt;&gt;""),IF([[#This Row],[Fin réelle]]&lt;=[[#This Row],[Fin planifiée]],"Oui","Non"),"")</f>
        <v>0</v>
      </c>
    </row>
    <row r="390" spans="13:36" ht="20" customHeight="1">
      <c r="M390">
        <f>IF(AND([[#This Row],Début]&lt;&gt;"",[[#This Row],[Fin planifiée]]&lt;&gt;""),[[#This Row],[Fin planifiée]]-[[#This Row],Début]+1,"")</f>
        <v>0</v>
      </c>
      <c r="N390">
        <f>IF(AND([[#This Row],Début]&lt;&gt;"",[[#This Row],[Fin réelle]]&lt;&gt;""),[[#This Row],[Fin réelle]]-[[#This Row],Début]+1,"")</f>
        <v>0</v>
      </c>
      <c r="S390">
        <f>[[#This Row],[Budget réalisé]]-[[#This Row],[Budget prévu]]</f>
        <v>0</v>
      </c>
      <c r="T390">
        <f>IF(OR([[#This Row],[Budget prévu]]="",[[#This Row],[Budget réalisé]]=""),"",IF([[#This Row],[Écart (€)]]=0,"À l'équilibre",IF([[#This Row],[Écart (€)]]&gt;0,"Dépassement","Sous budget")))</f>
        <v>0</v>
      </c>
      <c r="W390">
        <f>[[#This Row],[Risque – Probabilité (1-5)]]*[[#This Row],[Risque – Sévérité (1-5)]]</f>
        <v>0</v>
      </c>
      <c r="AC390">
        <f>IF([[#This Row],Effort (jours)]&gt;0,[[#This Row],[Reach (pers.)]]*[[#This Row],[Impact (1-5)]]*[[#This Row],[Confidence (0-1)]]/[[#This Row],[Effort (jours)]],"")</f>
        <v>0</v>
      </c>
      <c r="AG390">
        <f>IF([[#This Row],[Fin planifiée]]&lt;&gt;"",MONTH([[#This Row],[Fin planifiée]]),"")</f>
        <v>0</v>
      </c>
      <c r="AH390">
        <f>IF([[#This Row],[Fin planifiée]]&lt;&gt;"",YEAR([[#This Row],[Fin planifiée]]),"")</f>
        <v>0</v>
      </c>
      <c r="AI3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0">
        <f>IF(AND([[#This Row],Statut]="Terminé",[[#This Row],[Fin réelle]]&lt;&gt;""),IF([[#This Row],[Fin réelle]]&lt;=[[#This Row],[Fin planifiée]],"Oui","Non"),"")</f>
        <v>0</v>
      </c>
    </row>
    <row r="391" spans="13:36" ht="20" customHeight="1">
      <c r="M391">
        <f>IF(AND([[#This Row],Début]&lt;&gt;"",[[#This Row],[Fin planifiée]]&lt;&gt;""),[[#This Row],[Fin planifiée]]-[[#This Row],Début]+1,"")</f>
        <v>0</v>
      </c>
      <c r="N391">
        <f>IF(AND([[#This Row],Début]&lt;&gt;"",[[#This Row],[Fin réelle]]&lt;&gt;""),[[#This Row],[Fin réelle]]-[[#This Row],Début]+1,"")</f>
        <v>0</v>
      </c>
      <c r="S391">
        <f>[[#This Row],[Budget réalisé]]-[[#This Row],[Budget prévu]]</f>
        <v>0</v>
      </c>
      <c r="T391">
        <f>IF(OR([[#This Row],[Budget prévu]]="",[[#This Row],[Budget réalisé]]=""),"",IF([[#This Row],[Écart (€)]]=0,"À l'équilibre",IF([[#This Row],[Écart (€)]]&gt;0,"Dépassement","Sous budget")))</f>
        <v>0</v>
      </c>
      <c r="W391">
        <f>[[#This Row],[Risque – Probabilité (1-5)]]*[[#This Row],[Risque – Sévérité (1-5)]]</f>
        <v>0</v>
      </c>
      <c r="AC391">
        <f>IF([[#This Row],Effort (jours)]&gt;0,[[#This Row],[Reach (pers.)]]*[[#This Row],[Impact (1-5)]]*[[#This Row],[Confidence (0-1)]]/[[#This Row],[Effort (jours)]],"")</f>
        <v>0</v>
      </c>
      <c r="AG391">
        <f>IF([[#This Row],[Fin planifiée]]&lt;&gt;"",MONTH([[#This Row],[Fin planifiée]]),"")</f>
        <v>0</v>
      </c>
      <c r="AH391">
        <f>IF([[#This Row],[Fin planifiée]]&lt;&gt;"",YEAR([[#This Row],[Fin planifiée]]),"")</f>
        <v>0</v>
      </c>
      <c r="AI3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1">
        <f>IF(AND([[#This Row],Statut]="Terminé",[[#This Row],[Fin réelle]]&lt;&gt;""),IF([[#This Row],[Fin réelle]]&lt;=[[#This Row],[Fin planifiée]],"Oui","Non"),"")</f>
        <v>0</v>
      </c>
    </row>
    <row r="392" spans="13:36" ht="20" customHeight="1">
      <c r="M392">
        <f>IF(AND([[#This Row],Début]&lt;&gt;"",[[#This Row],[Fin planifiée]]&lt;&gt;""),[[#This Row],[Fin planifiée]]-[[#This Row],Début]+1,"")</f>
        <v>0</v>
      </c>
      <c r="N392">
        <f>IF(AND([[#This Row],Début]&lt;&gt;"",[[#This Row],[Fin réelle]]&lt;&gt;""),[[#This Row],[Fin réelle]]-[[#This Row],Début]+1,"")</f>
        <v>0</v>
      </c>
      <c r="S392">
        <f>[[#This Row],[Budget réalisé]]-[[#This Row],[Budget prévu]]</f>
        <v>0</v>
      </c>
      <c r="T392">
        <f>IF(OR([[#This Row],[Budget prévu]]="",[[#This Row],[Budget réalisé]]=""),"",IF([[#This Row],[Écart (€)]]=0,"À l'équilibre",IF([[#This Row],[Écart (€)]]&gt;0,"Dépassement","Sous budget")))</f>
        <v>0</v>
      </c>
      <c r="W392">
        <f>[[#This Row],[Risque – Probabilité (1-5)]]*[[#This Row],[Risque – Sévérité (1-5)]]</f>
        <v>0</v>
      </c>
      <c r="AC392">
        <f>IF([[#This Row],Effort (jours)]&gt;0,[[#This Row],[Reach (pers.)]]*[[#This Row],[Impact (1-5)]]*[[#This Row],[Confidence (0-1)]]/[[#This Row],[Effort (jours)]],"")</f>
        <v>0</v>
      </c>
      <c r="AG392">
        <f>IF([[#This Row],[Fin planifiée]]&lt;&gt;"",MONTH([[#This Row],[Fin planifiée]]),"")</f>
        <v>0</v>
      </c>
      <c r="AH392">
        <f>IF([[#This Row],[Fin planifiée]]&lt;&gt;"",YEAR([[#This Row],[Fin planifiée]]),"")</f>
        <v>0</v>
      </c>
      <c r="AI3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2">
        <f>IF(AND([[#This Row],Statut]="Terminé",[[#This Row],[Fin réelle]]&lt;&gt;""),IF([[#This Row],[Fin réelle]]&lt;=[[#This Row],[Fin planifiée]],"Oui","Non"),"")</f>
        <v>0</v>
      </c>
    </row>
    <row r="393" spans="13:36" ht="20" customHeight="1">
      <c r="M393">
        <f>IF(AND([[#This Row],Début]&lt;&gt;"",[[#This Row],[Fin planifiée]]&lt;&gt;""),[[#This Row],[Fin planifiée]]-[[#This Row],Début]+1,"")</f>
        <v>0</v>
      </c>
      <c r="N393">
        <f>IF(AND([[#This Row],Début]&lt;&gt;"",[[#This Row],[Fin réelle]]&lt;&gt;""),[[#This Row],[Fin réelle]]-[[#This Row],Début]+1,"")</f>
        <v>0</v>
      </c>
      <c r="S393">
        <f>[[#This Row],[Budget réalisé]]-[[#This Row],[Budget prévu]]</f>
        <v>0</v>
      </c>
      <c r="T393">
        <f>IF(OR([[#This Row],[Budget prévu]]="",[[#This Row],[Budget réalisé]]=""),"",IF([[#This Row],[Écart (€)]]=0,"À l'équilibre",IF([[#This Row],[Écart (€)]]&gt;0,"Dépassement","Sous budget")))</f>
        <v>0</v>
      </c>
      <c r="W393">
        <f>[[#This Row],[Risque – Probabilité (1-5)]]*[[#This Row],[Risque – Sévérité (1-5)]]</f>
        <v>0</v>
      </c>
      <c r="AC393">
        <f>IF([[#This Row],Effort (jours)]&gt;0,[[#This Row],[Reach (pers.)]]*[[#This Row],[Impact (1-5)]]*[[#This Row],[Confidence (0-1)]]/[[#This Row],[Effort (jours)]],"")</f>
        <v>0</v>
      </c>
      <c r="AG393">
        <f>IF([[#This Row],[Fin planifiée]]&lt;&gt;"",MONTH([[#This Row],[Fin planifiée]]),"")</f>
        <v>0</v>
      </c>
      <c r="AH393">
        <f>IF([[#This Row],[Fin planifiée]]&lt;&gt;"",YEAR([[#This Row],[Fin planifiée]]),"")</f>
        <v>0</v>
      </c>
      <c r="AI3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3">
        <f>IF(AND([[#This Row],Statut]="Terminé",[[#This Row],[Fin réelle]]&lt;&gt;""),IF([[#This Row],[Fin réelle]]&lt;=[[#This Row],[Fin planifiée]],"Oui","Non"),"")</f>
        <v>0</v>
      </c>
    </row>
    <row r="394" spans="13:36" ht="20" customHeight="1">
      <c r="M394">
        <f>IF(AND([[#This Row],Début]&lt;&gt;"",[[#This Row],[Fin planifiée]]&lt;&gt;""),[[#This Row],[Fin planifiée]]-[[#This Row],Début]+1,"")</f>
        <v>0</v>
      </c>
      <c r="N394">
        <f>IF(AND([[#This Row],Début]&lt;&gt;"",[[#This Row],[Fin réelle]]&lt;&gt;""),[[#This Row],[Fin réelle]]-[[#This Row],Début]+1,"")</f>
        <v>0</v>
      </c>
      <c r="S394">
        <f>[[#This Row],[Budget réalisé]]-[[#This Row],[Budget prévu]]</f>
        <v>0</v>
      </c>
      <c r="T394">
        <f>IF(OR([[#This Row],[Budget prévu]]="",[[#This Row],[Budget réalisé]]=""),"",IF([[#This Row],[Écart (€)]]=0,"À l'équilibre",IF([[#This Row],[Écart (€)]]&gt;0,"Dépassement","Sous budget")))</f>
        <v>0</v>
      </c>
      <c r="W394">
        <f>[[#This Row],[Risque – Probabilité (1-5)]]*[[#This Row],[Risque – Sévérité (1-5)]]</f>
        <v>0</v>
      </c>
      <c r="AC394">
        <f>IF([[#This Row],Effort (jours)]&gt;0,[[#This Row],[Reach (pers.)]]*[[#This Row],[Impact (1-5)]]*[[#This Row],[Confidence (0-1)]]/[[#This Row],[Effort (jours)]],"")</f>
        <v>0</v>
      </c>
      <c r="AG394">
        <f>IF([[#This Row],[Fin planifiée]]&lt;&gt;"",MONTH([[#This Row],[Fin planifiée]]),"")</f>
        <v>0</v>
      </c>
      <c r="AH394">
        <f>IF([[#This Row],[Fin planifiée]]&lt;&gt;"",YEAR([[#This Row],[Fin planifiée]]),"")</f>
        <v>0</v>
      </c>
      <c r="AI3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4">
        <f>IF(AND([[#This Row],Statut]="Terminé",[[#This Row],[Fin réelle]]&lt;&gt;""),IF([[#This Row],[Fin réelle]]&lt;=[[#This Row],[Fin planifiée]],"Oui","Non"),"")</f>
        <v>0</v>
      </c>
    </row>
    <row r="395" spans="13:36" ht="20" customHeight="1">
      <c r="M395">
        <f>IF(AND([[#This Row],Début]&lt;&gt;"",[[#This Row],[Fin planifiée]]&lt;&gt;""),[[#This Row],[Fin planifiée]]-[[#This Row],Début]+1,"")</f>
        <v>0</v>
      </c>
      <c r="N395">
        <f>IF(AND([[#This Row],Début]&lt;&gt;"",[[#This Row],[Fin réelle]]&lt;&gt;""),[[#This Row],[Fin réelle]]-[[#This Row],Début]+1,"")</f>
        <v>0</v>
      </c>
      <c r="S395">
        <f>[[#This Row],[Budget réalisé]]-[[#This Row],[Budget prévu]]</f>
        <v>0</v>
      </c>
      <c r="T395">
        <f>IF(OR([[#This Row],[Budget prévu]]="",[[#This Row],[Budget réalisé]]=""),"",IF([[#This Row],[Écart (€)]]=0,"À l'équilibre",IF([[#This Row],[Écart (€)]]&gt;0,"Dépassement","Sous budget")))</f>
        <v>0</v>
      </c>
      <c r="W395">
        <f>[[#This Row],[Risque – Probabilité (1-5)]]*[[#This Row],[Risque – Sévérité (1-5)]]</f>
        <v>0</v>
      </c>
      <c r="AC395">
        <f>IF([[#This Row],Effort (jours)]&gt;0,[[#This Row],[Reach (pers.)]]*[[#This Row],[Impact (1-5)]]*[[#This Row],[Confidence (0-1)]]/[[#This Row],[Effort (jours)]],"")</f>
        <v>0</v>
      </c>
      <c r="AG395">
        <f>IF([[#This Row],[Fin planifiée]]&lt;&gt;"",MONTH([[#This Row],[Fin planifiée]]),"")</f>
        <v>0</v>
      </c>
      <c r="AH395">
        <f>IF([[#This Row],[Fin planifiée]]&lt;&gt;"",YEAR([[#This Row],[Fin planifiée]]),"")</f>
        <v>0</v>
      </c>
      <c r="AI3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5">
        <f>IF(AND([[#This Row],Statut]="Terminé",[[#This Row],[Fin réelle]]&lt;&gt;""),IF([[#This Row],[Fin réelle]]&lt;=[[#This Row],[Fin planifiée]],"Oui","Non"),"")</f>
        <v>0</v>
      </c>
    </row>
    <row r="396" spans="13:36" ht="20" customHeight="1">
      <c r="M396">
        <f>IF(AND([[#This Row],Début]&lt;&gt;"",[[#This Row],[Fin planifiée]]&lt;&gt;""),[[#This Row],[Fin planifiée]]-[[#This Row],Début]+1,"")</f>
        <v>0</v>
      </c>
      <c r="N396">
        <f>IF(AND([[#This Row],Début]&lt;&gt;"",[[#This Row],[Fin réelle]]&lt;&gt;""),[[#This Row],[Fin réelle]]-[[#This Row],Début]+1,"")</f>
        <v>0</v>
      </c>
      <c r="S396">
        <f>[[#This Row],[Budget réalisé]]-[[#This Row],[Budget prévu]]</f>
        <v>0</v>
      </c>
      <c r="T396">
        <f>IF(OR([[#This Row],[Budget prévu]]="",[[#This Row],[Budget réalisé]]=""),"",IF([[#This Row],[Écart (€)]]=0,"À l'équilibre",IF([[#This Row],[Écart (€)]]&gt;0,"Dépassement","Sous budget")))</f>
        <v>0</v>
      </c>
      <c r="W396">
        <f>[[#This Row],[Risque – Probabilité (1-5)]]*[[#This Row],[Risque – Sévérité (1-5)]]</f>
        <v>0</v>
      </c>
      <c r="AC396">
        <f>IF([[#This Row],Effort (jours)]&gt;0,[[#This Row],[Reach (pers.)]]*[[#This Row],[Impact (1-5)]]*[[#This Row],[Confidence (0-1)]]/[[#This Row],[Effort (jours)]],"")</f>
        <v>0</v>
      </c>
      <c r="AG396">
        <f>IF([[#This Row],[Fin planifiée]]&lt;&gt;"",MONTH([[#This Row],[Fin planifiée]]),"")</f>
        <v>0</v>
      </c>
      <c r="AH396">
        <f>IF([[#This Row],[Fin planifiée]]&lt;&gt;"",YEAR([[#This Row],[Fin planifiée]]),"")</f>
        <v>0</v>
      </c>
      <c r="AI3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6">
        <f>IF(AND([[#This Row],Statut]="Terminé",[[#This Row],[Fin réelle]]&lt;&gt;""),IF([[#This Row],[Fin réelle]]&lt;=[[#This Row],[Fin planifiée]],"Oui","Non"),"")</f>
        <v>0</v>
      </c>
    </row>
    <row r="397" spans="13:36" ht="20" customHeight="1">
      <c r="M397">
        <f>IF(AND([[#This Row],Début]&lt;&gt;"",[[#This Row],[Fin planifiée]]&lt;&gt;""),[[#This Row],[Fin planifiée]]-[[#This Row],Début]+1,"")</f>
        <v>0</v>
      </c>
      <c r="N397">
        <f>IF(AND([[#This Row],Début]&lt;&gt;"",[[#This Row],[Fin réelle]]&lt;&gt;""),[[#This Row],[Fin réelle]]-[[#This Row],Début]+1,"")</f>
        <v>0</v>
      </c>
      <c r="S397">
        <f>[[#This Row],[Budget réalisé]]-[[#This Row],[Budget prévu]]</f>
        <v>0</v>
      </c>
      <c r="T397">
        <f>IF(OR([[#This Row],[Budget prévu]]="",[[#This Row],[Budget réalisé]]=""),"",IF([[#This Row],[Écart (€)]]=0,"À l'équilibre",IF([[#This Row],[Écart (€)]]&gt;0,"Dépassement","Sous budget")))</f>
        <v>0</v>
      </c>
      <c r="W397">
        <f>[[#This Row],[Risque – Probabilité (1-5)]]*[[#This Row],[Risque – Sévérité (1-5)]]</f>
        <v>0</v>
      </c>
      <c r="AC397">
        <f>IF([[#This Row],Effort (jours)]&gt;0,[[#This Row],[Reach (pers.)]]*[[#This Row],[Impact (1-5)]]*[[#This Row],[Confidence (0-1)]]/[[#This Row],[Effort (jours)]],"")</f>
        <v>0</v>
      </c>
      <c r="AG397">
        <f>IF([[#This Row],[Fin planifiée]]&lt;&gt;"",MONTH([[#This Row],[Fin planifiée]]),"")</f>
        <v>0</v>
      </c>
      <c r="AH397">
        <f>IF([[#This Row],[Fin planifiée]]&lt;&gt;"",YEAR([[#This Row],[Fin planifiée]]),"")</f>
        <v>0</v>
      </c>
      <c r="AI3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7">
        <f>IF(AND([[#This Row],Statut]="Terminé",[[#This Row],[Fin réelle]]&lt;&gt;""),IF([[#This Row],[Fin réelle]]&lt;=[[#This Row],[Fin planifiée]],"Oui","Non"),"")</f>
        <v>0</v>
      </c>
    </row>
    <row r="398" spans="13:36" ht="20" customHeight="1">
      <c r="M398">
        <f>IF(AND([[#This Row],Début]&lt;&gt;"",[[#This Row],[Fin planifiée]]&lt;&gt;""),[[#This Row],[Fin planifiée]]-[[#This Row],Début]+1,"")</f>
        <v>0</v>
      </c>
      <c r="N398">
        <f>IF(AND([[#This Row],Début]&lt;&gt;"",[[#This Row],[Fin réelle]]&lt;&gt;""),[[#This Row],[Fin réelle]]-[[#This Row],Début]+1,"")</f>
        <v>0</v>
      </c>
      <c r="S398">
        <f>[[#This Row],[Budget réalisé]]-[[#This Row],[Budget prévu]]</f>
        <v>0</v>
      </c>
      <c r="T398">
        <f>IF(OR([[#This Row],[Budget prévu]]="",[[#This Row],[Budget réalisé]]=""),"",IF([[#This Row],[Écart (€)]]=0,"À l'équilibre",IF([[#This Row],[Écart (€)]]&gt;0,"Dépassement","Sous budget")))</f>
        <v>0</v>
      </c>
      <c r="W398">
        <f>[[#This Row],[Risque – Probabilité (1-5)]]*[[#This Row],[Risque – Sévérité (1-5)]]</f>
        <v>0</v>
      </c>
      <c r="AC398">
        <f>IF([[#This Row],Effort (jours)]&gt;0,[[#This Row],[Reach (pers.)]]*[[#This Row],[Impact (1-5)]]*[[#This Row],[Confidence (0-1)]]/[[#This Row],[Effort (jours)]],"")</f>
        <v>0</v>
      </c>
      <c r="AG398">
        <f>IF([[#This Row],[Fin planifiée]]&lt;&gt;"",MONTH([[#This Row],[Fin planifiée]]),"")</f>
        <v>0</v>
      </c>
      <c r="AH398">
        <f>IF([[#This Row],[Fin planifiée]]&lt;&gt;"",YEAR([[#This Row],[Fin planifiée]]),"")</f>
        <v>0</v>
      </c>
      <c r="AI3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8">
        <f>IF(AND([[#This Row],Statut]="Terminé",[[#This Row],[Fin réelle]]&lt;&gt;""),IF([[#This Row],[Fin réelle]]&lt;=[[#This Row],[Fin planifiée]],"Oui","Non"),"")</f>
        <v>0</v>
      </c>
    </row>
    <row r="399" spans="13:36" ht="20" customHeight="1">
      <c r="M399">
        <f>IF(AND([[#This Row],Début]&lt;&gt;"",[[#This Row],[Fin planifiée]]&lt;&gt;""),[[#This Row],[Fin planifiée]]-[[#This Row],Début]+1,"")</f>
        <v>0</v>
      </c>
      <c r="N399">
        <f>IF(AND([[#This Row],Début]&lt;&gt;"",[[#This Row],[Fin réelle]]&lt;&gt;""),[[#This Row],[Fin réelle]]-[[#This Row],Début]+1,"")</f>
        <v>0</v>
      </c>
      <c r="S399">
        <f>[[#This Row],[Budget réalisé]]-[[#This Row],[Budget prévu]]</f>
        <v>0</v>
      </c>
      <c r="T399">
        <f>IF(OR([[#This Row],[Budget prévu]]="",[[#This Row],[Budget réalisé]]=""),"",IF([[#This Row],[Écart (€)]]=0,"À l'équilibre",IF([[#This Row],[Écart (€)]]&gt;0,"Dépassement","Sous budget")))</f>
        <v>0</v>
      </c>
      <c r="W399">
        <f>[[#This Row],[Risque – Probabilité (1-5)]]*[[#This Row],[Risque – Sévérité (1-5)]]</f>
        <v>0</v>
      </c>
      <c r="AC399">
        <f>IF([[#This Row],Effort (jours)]&gt;0,[[#This Row],[Reach (pers.)]]*[[#This Row],[Impact (1-5)]]*[[#This Row],[Confidence (0-1)]]/[[#This Row],[Effort (jours)]],"")</f>
        <v>0</v>
      </c>
      <c r="AG399">
        <f>IF([[#This Row],[Fin planifiée]]&lt;&gt;"",MONTH([[#This Row],[Fin planifiée]]),"")</f>
        <v>0</v>
      </c>
      <c r="AH399">
        <f>IF([[#This Row],[Fin planifiée]]&lt;&gt;"",YEAR([[#This Row],[Fin planifiée]]),"")</f>
        <v>0</v>
      </c>
      <c r="AI3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399">
        <f>IF(AND([[#This Row],Statut]="Terminé",[[#This Row],[Fin réelle]]&lt;&gt;""),IF([[#This Row],[Fin réelle]]&lt;=[[#This Row],[Fin planifiée]],"Oui","Non"),"")</f>
        <v>0</v>
      </c>
    </row>
    <row r="400" spans="13:36" ht="20" customHeight="1">
      <c r="M400">
        <f>IF(AND([[#This Row],Début]&lt;&gt;"",[[#This Row],[Fin planifiée]]&lt;&gt;""),[[#This Row],[Fin planifiée]]-[[#This Row],Début]+1,"")</f>
        <v>0</v>
      </c>
      <c r="N400">
        <f>IF(AND([[#This Row],Début]&lt;&gt;"",[[#This Row],[Fin réelle]]&lt;&gt;""),[[#This Row],[Fin réelle]]-[[#This Row],Début]+1,"")</f>
        <v>0</v>
      </c>
      <c r="S400">
        <f>[[#This Row],[Budget réalisé]]-[[#This Row],[Budget prévu]]</f>
        <v>0</v>
      </c>
      <c r="T400">
        <f>IF(OR([[#This Row],[Budget prévu]]="",[[#This Row],[Budget réalisé]]=""),"",IF([[#This Row],[Écart (€)]]=0,"À l'équilibre",IF([[#This Row],[Écart (€)]]&gt;0,"Dépassement","Sous budget")))</f>
        <v>0</v>
      </c>
      <c r="W400">
        <f>[[#This Row],[Risque – Probabilité (1-5)]]*[[#This Row],[Risque – Sévérité (1-5)]]</f>
        <v>0</v>
      </c>
      <c r="AC400">
        <f>IF([[#This Row],Effort (jours)]&gt;0,[[#This Row],[Reach (pers.)]]*[[#This Row],[Impact (1-5)]]*[[#This Row],[Confidence (0-1)]]/[[#This Row],[Effort (jours)]],"")</f>
        <v>0</v>
      </c>
      <c r="AG400">
        <f>IF([[#This Row],[Fin planifiée]]&lt;&gt;"",MONTH([[#This Row],[Fin planifiée]]),"")</f>
        <v>0</v>
      </c>
      <c r="AH400">
        <f>IF([[#This Row],[Fin planifiée]]&lt;&gt;"",YEAR([[#This Row],[Fin planifiée]]),"")</f>
        <v>0</v>
      </c>
      <c r="AI4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0">
        <f>IF(AND([[#This Row],Statut]="Terminé",[[#This Row],[Fin réelle]]&lt;&gt;""),IF([[#This Row],[Fin réelle]]&lt;=[[#This Row],[Fin planifiée]],"Oui","Non"),"")</f>
        <v>0</v>
      </c>
    </row>
    <row r="401" spans="13:36" ht="20" customHeight="1">
      <c r="M401">
        <f>IF(AND([[#This Row],Début]&lt;&gt;"",[[#This Row],[Fin planifiée]]&lt;&gt;""),[[#This Row],[Fin planifiée]]-[[#This Row],Début]+1,"")</f>
        <v>0</v>
      </c>
      <c r="N401">
        <f>IF(AND([[#This Row],Début]&lt;&gt;"",[[#This Row],[Fin réelle]]&lt;&gt;""),[[#This Row],[Fin réelle]]-[[#This Row],Début]+1,"")</f>
        <v>0</v>
      </c>
      <c r="S401">
        <f>[[#This Row],[Budget réalisé]]-[[#This Row],[Budget prévu]]</f>
        <v>0</v>
      </c>
      <c r="T401">
        <f>IF(OR([[#This Row],[Budget prévu]]="",[[#This Row],[Budget réalisé]]=""),"",IF([[#This Row],[Écart (€)]]=0,"À l'équilibre",IF([[#This Row],[Écart (€)]]&gt;0,"Dépassement","Sous budget")))</f>
        <v>0</v>
      </c>
      <c r="W401">
        <f>[[#This Row],[Risque – Probabilité (1-5)]]*[[#This Row],[Risque – Sévérité (1-5)]]</f>
        <v>0</v>
      </c>
      <c r="AC401">
        <f>IF([[#This Row],Effort (jours)]&gt;0,[[#This Row],[Reach (pers.)]]*[[#This Row],[Impact (1-5)]]*[[#This Row],[Confidence (0-1)]]/[[#This Row],[Effort (jours)]],"")</f>
        <v>0</v>
      </c>
      <c r="AG401">
        <f>IF([[#This Row],[Fin planifiée]]&lt;&gt;"",MONTH([[#This Row],[Fin planifiée]]),"")</f>
        <v>0</v>
      </c>
      <c r="AH401">
        <f>IF([[#This Row],[Fin planifiée]]&lt;&gt;"",YEAR([[#This Row],[Fin planifiée]]),"")</f>
        <v>0</v>
      </c>
      <c r="AI4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1">
        <f>IF(AND([[#This Row],Statut]="Terminé",[[#This Row],[Fin réelle]]&lt;&gt;""),IF([[#This Row],[Fin réelle]]&lt;=[[#This Row],[Fin planifiée]],"Oui","Non"),"")</f>
        <v>0</v>
      </c>
    </row>
    <row r="402" spans="13:36" ht="20" customHeight="1">
      <c r="M402">
        <f>IF(AND([[#This Row],Début]&lt;&gt;"",[[#This Row],[Fin planifiée]]&lt;&gt;""),[[#This Row],[Fin planifiée]]-[[#This Row],Début]+1,"")</f>
        <v>0</v>
      </c>
      <c r="N402">
        <f>IF(AND([[#This Row],Début]&lt;&gt;"",[[#This Row],[Fin réelle]]&lt;&gt;""),[[#This Row],[Fin réelle]]-[[#This Row],Début]+1,"")</f>
        <v>0</v>
      </c>
      <c r="S402">
        <f>[[#This Row],[Budget réalisé]]-[[#This Row],[Budget prévu]]</f>
        <v>0</v>
      </c>
      <c r="T402">
        <f>IF(OR([[#This Row],[Budget prévu]]="",[[#This Row],[Budget réalisé]]=""),"",IF([[#This Row],[Écart (€)]]=0,"À l'équilibre",IF([[#This Row],[Écart (€)]]&gt;0,"Dépassement","Sous budget")))</f>
        <v>0</v>
      </c>
      <c r="W402">
        <f>[[#This Row],[Risque – Probabilité (1-5)]]*[[#This Row],[Risque – Sévérité (1-5)]]</f>
        <v>0</v>
      </c>
      <c r="AC402">
        <f>IF([[#This Row],Effort (jours)]&gt;0,[[#This Row],[Reach (pers.)]]*[[#This Row],[Impact (1-5)]]*[[#This Row],[Confidence (0-1)]]/[[#This Row],[Effort (jours)]],"")</f>
        <v>0</v>
      </c>
      <c r="AG402">
        <f>IF([[#This Row],[Fin planifiée]]&lt;&gt;"",MONTH([[#This Row],[Fin planifiée]]),"")</f>
        <v>0</v>
      </c>
      <c r="AH402">
        <f>IF([[#This Row],[Fin planifiée]]&lt;&gt;"",YEAR([[#This Row],[Fin planifiée]]),"")</f>
        <v>0</v>
      </c>
      <c r="AI4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2">
        <f>IF(AND([[#This Row],Statut]="Terminé",[[#This Row],[Fin réelle]]&lt;&gt;""),IF([[#This Row],[Fin réelle]]&lt;=[[#This Row],[Fin planifiée]],"Oui","Non"),"")</f>
        <v>0</v>
      </c>
    </row>
    <row r="403" spans="13:36" ht="20" customHeight="1">
      <c r="M403">
        <f>IF(AND([[#This Row],Début]&lt;&gt;"",[[#This Row],[Fin planifiée]]&lt;&gt;""),[[#This Row],[Fin planifiée]]-[[#This Row],Début]+1,"")</f>
        <v>0</v>
      </c>
      <c r="N403">
        <f>IF(AND([[#This Row],Début]&lt;&gt;"",[[#This Row],[Fin réelle]]&lt;&gt;""),[[#This Row],[Fin réelle]]-[[#This Row],Début]+1,"")</f>
        <v>0</v>
      </c>
      <c r="S403">
        <f>[[#This Row],[Budget réalisé]]-[[#This Row],[Budget prévu]]</f>
        <v>0</v>
      </c>
      <c r="T403">
        <f>IF(OR([[#This Row],[Budget prévu]]="",[[#This Row],[Budget réalisé]]=""),"",IF([[#This Row],[Écart (€)]]=0,"À l'équilibre",IF([[#This Row],[Écart (€)]]&gt;0,"Dépassement","Sous budget")))</f>
        <v>0</v>
      </c>
      <c r="W403">
        <f>[[#This Row],[Risque – Probabilité (1-5)]]*[[#This Row],[Risque – Sévérité (1-5)]]</f>
        <v>0</v>
      </c>
      <c r="AC403">
        <f>IF([[#This Row],Effort (jours)]&gt;0,[[#This Row],[Reach (pers.)]]*[[#This Row],[Impact (1-5)]]*[[#This Row],[Confidence (0-1)]]/[[#This Row],[Effort (jours)]],"")</f>
        <v>0</v>
      </c>
      <c r="AG403">
        <f>IF([[#This Row],[Fin planifiée]]&lt;&gt;"",MONTH([[#This Row],[Fin planifiée]]),"")</f>
        <v>0</v>
      </c>
      <c r="AH403">
        <f>IF([[#This Row],[Fin planifiée]]&lt;&gt;"",YEAR([[#This Row],[Fin planifiée]]),"")</f>
        <v>0</v>
      </c>
      <c r="AI4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3">
        <f>IF(AND([[#This Row],Statut]="Terminé",[[#This Row],[Fin réelle]]&lt;&gt;""),IF([[#This Row],[Fin réelle]]&lt;=[[#This Row],[Fin planifiée]],"Oui","Non"),"")</f>
        <v>0</v>
      </c>
    </row>
    <row r="404" spans="13:36" ht="20" customHeight="1">
      <c r="M404">
        <f>IF(AND([[#This Row],Début]&lt;&gt;"",[[#This Row],[Fin planifiée]]&lt;&gt;""),[[#This Row],[Fin planifiée]]-[[#This Row],Début]+1,"")</f>
        <v>0</v>
      </c>
      <c r="N404">
        <f>IF(AND([[#This Row],Début]&lt;&gt;"",[[#This Row],[Fin réelle]]&lt;&gt;""),[[#This Row],[Fin réelle]]-[[#This Row],Début]+1,"")</f>
        <v>0</v>
      </c>
      <c r="S404">
        <f>[[#This Row],[Budget réalisé]]-[[#This Row],[Budget prévu]]</f>
        <v>0</v>
      </c>
      <c r="T404">
        <f>IF(OR([[#This Row],[Budget prévu]]="",[[#This Row],[Budget réalisé]]=""),"",IF([[#This Row],[Écart (€)]]=0,"À l'équilibre",IF([[#This Row],[Écart (€)]]&gt;0,"Dépassement","Sous budget")))</f>
        <v>0</v>
      </c>
      <c r="W404">
        <f>[[#This Row],[Risque – Probabilité (1-5)]]*[[#This Row],[Risque – Sévérité (1-5)]]</f>
        <v>0</v>
      </c>
      <c r="AC404">
        <f>IF([[#This Row],Effort (jours)]&gt;0,[[#This Row],[Reach (pers.)]]*[[#This Row],[Impact (1-5)]]*[[#This Row],[Confidence (0-1)]]/[[#This Row],[Effort (jours)]],"")</f>
        <v>0</v>
      </c>
      <c r="AG404">
        <f>IF([[#This Row],[Fin planifiée]]&lt;&gt;"",MONTH([[#This Row],[Fin planifiée]]),"")</f>
        <v>0</v>
      </c>
      <c r="AH404">
        <f>IF([[#This Row],[Fin planifiée]]&lt;&gt;"",YEAR([[#This Row],[Fin planifiée]]),"")</f>
        <v>0</v>
      </c>
      <c r="AI4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4">
        <f>IF(AND([[#This Row],Statut]="Terminé",[[#This Row],[Fin réelle]]&lt;&gt;""),IF([[#This Row],[Fin réelle]]&lt;=[[#This Row],[Fin planifiée]],"Oui","Non"),"")</f>
        <v>0</v>
      </c>
    </row>
    <row r="405" spans="13:36" ht="20" customHeight="1">
      <c r="M405">
        <f>IF(AND([[#This Row],Début]&lt;&gt;"",[[#This Row],[Fin planifiée]]&lt;&gt;""),[[#This Row],[Fin planifiée]]-[[#This Row],Début]+1,"")</f>
        <v>0</v>
      </c>
      <c r="N405">
        <f>IF(AND([[#This Row],Début]&lt;&gt;"",[[#This Row],[Fin réelle]]&lt;&gt;""),[[#This Row],[Fin réelle]]-[[#This Row],Début]+1,"")</f>
        <v>0</v>
      </c>
      <c r="S405">
        <f>[[#This Row],[Budget réalisé]]-[[#This Row],[Budget prévu]]</f>
        <v>0</v>
      </c>
      <c r="T405">
        <f>IF(OR([[#This Row],[Budget prévu]]="",[[#This Row],[Budget réalisé]]=""),"",IF([[#This Row],[Écart (€)]]=0,"À l'équilibre",IF([[#This Row],[Écart (€)]]&gt;0,"Dépassement","Sous budget")))</f>
        <v>0</v>
      </c>
      <c r="W405">
        <f>[[#This Row],[Risque – Probabilité (1-5)]]*[[#This Row],[Risque – Sévérité (1-5)]]</f>
        <v>0</v>
      </c>
      <c r="AC405">
        <f>IF([[#This Row],Effort (jours)]&gt;0,[[#This Row],[Reach (pers.)]]*[[#This Row],[Impact (1-5)]]*[[#This Row],[Confidence (0-1)]]/[[#This Row],[Effort (jours)]],"")</f>
        <v>0</v>
      </c>
      <c r="AG405">
        <f>IF([[#This Row],[Fin planifiée]]&lt;&gt;"",MONTH([[#This Row],[Fin planifiée]]),"")</f>
        <v>0</v>
      </c>
      <c r="AH405">
        <f>IF([[#This Row],[Fin planifiée]]&lt;&gt;"",YEAR([[#This Row],[Fin planifiée]]),"")</f>
        <v>0</v>
      </c>
      <c r="AI4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5">
        <f>IF(AND([[#This Row],Statut]="Terminé",[[#This Row],[Fin réelle]]&lt;&gt;""),IF([[#This Row],[Fin réelle]]&lt;=[[#This Row],[Fin planifiée]],"Oui","Non"),"")</f>
        <v>0</v>
      </c>
    </row>
    <row r="406" spans="13:36" ht="20" customHeight="1">
      <c r="M406">
        <f>IF(AND([[#This Row],Début]&lt;&gt;"",[[#This Row],[Fin planifiée]]&lt;&gt;""),[[#This Row],[Fin planifiée]]-[[#This Row],Début]+1,"")</f>
        <v>0</v>
      </c>
      <c r="N406">
        <f>IF(AND([[#This Row],Début]&lt;&gt;"",[[#This Row],[Fin réelle]]&lt;&gt;""),[[#This Row],[Fin réelle]]-[[#This Row],Début]+1,"")</f>
        <v>0</v>
      </c>
      <c r="S406">
        <f>[[#This Row],[Budget réalisé]]-[[#This Row],[Budget prévu]]</f>
        <v>0</v>
      </c>
      <c r="T406">
        <f>IF(OR([[#This Row],[Budget prévu]]="",[[#This Row],[Budget réalisé]]=""),"",IF([[#This Row],[Écart (€)]]=0,"À l'équilibre",IF([[#This Row],[Écart (€)]]&gt;0,"Dépassement","Sous budget")))</f>
        <v>0</v>
      </c>
      <c r="W406">
        <f>[[#This Row],[Risque – Probabilité (1-5)]]*[[#This Row],[Risque – Sévérité (1-5)]]</f>
        <v>0</v>
      </c>
      <c r="AC406">
        <f>IF([[#This Row],Effort (jours)]&gt;0,[[#This Row],[Reach (pers.)]]*[[#This Row],[Impact (1-5)]]*[[#This Row],[Confidence (0-1)]]/[[#This Row],[Effort (jours)]],"")</f>
        <v>0</v>
      </c>
      <c r="AG406">
        <f>IF([[#This Row],[Fin planifiée]]&lt;&gt;"",MONTH([[#This Row],[Fin planifiée]]),"")</f>
        <v>0</v>
      </c>
      <c r="AH406">
        <f>IF([[#This Row],[Fin planifiée]]&lt;&gt;"",YEAR([[#This Row],[Fin planifiée]]),"")</f>
        <v>0</v>
      </c>
      <c r="AI4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6">
        <f>IF(AND([[#This Row],Statut]="Terminé",[[#This Row],[Fin réelle]]&lt;&gt;""),IF([[#This Row],[Fin réelle]]&lt;=[[#This Row],[Fin planifiée]],"Oui","Non"),"")</f>
        <v>0</v>
      </c>
    </row>
    <row r="407" spans="13:36" ht="20" customHeight="1">
      <c r="M407">
        <f>IF(AND([[#This Row],Début]&lt;&gt;"",[[#This Row],[Fin planifiée]]&lt;&gt;""),[[#This Row],[Fin planifiée]]-[[#This Row],Début]+1,"")</f>
        <v>0</v>
      </c>
      <c r="N407">
        <f>IF(AND([[#This Row],Début]&lt;&gt;"",[[#This Row],[Fin réelle]]&lt;&gt;""),[[#This Row],[Fin réelle]]-[[#This Row],Début]+1,"")</f>
        <v>0</v>
      </c>
      <c r="S407">
        <f>[[#This Row],[Budget réalisé]]-[[#This Row],[Budget prévu]]</f>
        <v>0</v>
      </c>
      <c r="T407">
        <f>IF(OR([[#This Row],[Budget prévu]]="",[[#This Row],[Budget réalisé]]=""),"",IF([[#This Row],[Écart (€)]]=0,"À l'équilibre",IF([[#This Row],[Écart (€)]]&gt;0,"Dépassement","Sous budget")))</f>
        <v>0</v>
      </c>
      <c r="W407">
        <f>[[#This Row],[Risque – Probabilité (1-5)]]*[[#This Row],[Risque – Sévérité (1-5)]]</f>
        <v>0</v>
      </c>
      <c r="AC407">
        <f>IF([[#This Row],Effort (jours)]&gt;0,[[#This Row],[Reach (pers.)]]*[[#This Row],[Impact (1-5)]]*[[#This Row],[Confidence (0-1)]]/[[#This Row],[Effort (jours)]],"")</f>
        <v>0</v>
      </c>
      <c r="AG407">
        <f>IF([[#This Row],[Fin planifiée]]&lt;&gt;"",MONTH([[#This Row],[Fin planifiée]]),"")</f>
        <v>0</v>
      </c>
      <c r="AH407">
        <f>IF([[#This Row],[Fin planifiée]]&lt;&gt;"",YEAR([[#This Row],[Fin planifiée]]),"")</f>
        <v>0</v>
      </c>
      <c r="AI4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7">
        <f>IF(AND([[#This Row],Statut]="Terminé",[[#This Row],[Fin réelle]]&lt;&gt;""),IF([[#This Row],[Fin réelle]]&lt;=[[#This Row],[Fin planifiée]],"Oui","Non"),"")</f>
        <v>0</v>
      </c>
    </row>
    <row r="408" spans="13:36" ht="20" customHeight="1">
      <c r="M408">
        <f>IF(AND([[#This Row],Début]&lt;&gt;"",[[#This Row],[Fin planifiée]]&lt;&gt;""),[[#This Row],[Fin planifiée]]-[[#This Row],Début]+1,"")</f>
        <v>0</v>
      </c>
      <c r="N408">
        <f>IF(AND([[#This Row],Début]&lt;&gt;"",[[#This Row],[Fin réelle]]&lt;&gt;""),[[#This Row],[Fin réelle]]-[[#This Row],Début]+1,"")</f>
        <v>0</v>
      </c>
      <c r="S408">
        <f>[[#This Row],[Budget réalisé]]-[[#This Row],[Budget prévu]]</f>
        <v>0</v>
      </c>
      <c r="T408">
        <f>IF(OR([[#This Row],[Budget prévu]]="",[[#This Row],[Budget réalisé]]=""),"",IF([[#This Row],[Écart (€)]]=0,"À l'équilibre",IF([[#This Row],[Écart (€)]]&gt;0,"Dépassement","Sous budget")))</f>
        <v>0</v>
      </c>
      <c r="W408">
        <f>[[#This Row],[Risque – Probabilité (1-5)]]*[[#This Row],[Risque – Sévérité (1-5)]]</f>
        <v>0</v>
      </c>
      <c r="AC408">
        <f>IF([[#This Row],Effort (jours)]&gt;0,[[#This Row],[Reach (pers.)]]*[[#This Row],[Impact (1-5)]]*[[#This Row],[Confidence (0-1)]]/[[#This Row],[Effort (jours)]],"")</f>
        <v>0</v>
      </c>
      <c r="AG408">
        <f>IF([[#This Row],[Fin planifiée]]&lt;&gt;"",MONTH([[#This Row],[Fin planifiée]]),"")</f>
        <v>0</v>
      </c>
      <c r="AH408">
        <f>IF([[#This Row],[Fin planifiée]]&lt;&gt;"",YEAR([[#This Row],[Fin planifiée]]),"")</f>
        <v>0</v>
      </c>
      <c r="AI4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8">
        <f>IF(AND([[#This Row],Statut]="Terminé",[[#This Row],[Fin réelle]]&lt;&gt;""),IF([[#This Row],[Fin réelle]]&lt;=[[#This Row],[Fin planifiée]],"Oui","Non"),"")</f>
        <v>0</v>
      </c>
    </row>
    <row r="409" spans="13:36" ht="20" customHeight="1">
      <c r="M409">
        <f>IF(AND([[#This Row],Début]&lt;&gt;"",[[#This Row],[Fin planifiée]]&lt;&gt;""),[[#This Row],[Fin planifiée]]-[[#This Row],Début]+1,"")</f>
        <v>0</v>
      </c>
      <c r="N409">
        <f>IF(AND([[#This Row],Début]&lt;&gt;"",[[#This Row],[Fin réelle]]&lt;&gt;""),[[#This Row],[Fin réelle]]-[[#This Row],Début]+1,"")</f>
        <v>0</v>
      </c>
      <c r="S409">
        <f>[[#This Row],[Budget réalisé]]-[[#This Row],[Budget prévu]]</f>
        <v>0</v>
      </c>
      <c r="T409">
        <f>IF(OR([[#This Row],[Budget prévu]]="",[[#This Row],[Budget réalisé]]=""),"",IF([[#This Row],[Écart (€)]]=0,"À l'équilibre",IF([[#This Row],[Écart (€)]]&gt;0,"Dépassement","Sous budget")))</f>
        <v>0</v>
      </c>
      <c r="W409">
        <f>[[#This Row],[Risque – Probabilité (1-5)]]*[[#This Row],[Risque – Sévérité (1-5)]]</f>
        <v>0</v>
      </c>
      <c r="AC409">
        <f>IF([[#This Row],Effort (jours)]&gt;0,[[#This Row],[Reach (pers.)]]*[[#This Row],[Impact (1-5)]]*[[#This Row],[Confidence (0-1)]]/[[#This Row],[Effort (jours)]],"")</f>
        <v>0</v>
      </c>
      <c r="AG409">
        <f>IF([[#This Row],[Fin planifiée]]&lt;&gt;"",MONTH([[#This Row],[Fin planifiée]]),"")</f>
        <v>0</v>
      </c>
      <c r="AH409">
        <f>IF([[#This Row],[Fin planifiée]]&lt;&gt;"",YEAR([[#This Row],[Fin planifiée]]),"")</f>
        <v>0</v>
      </c>
      <c r="AI4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09">
        <f>IF(AND([[#This Row],Statut]="Terminé",[[#This Row],[Fin réelle]]&lt;&gt;""),IF([[#This Row],[Fin réelle]]&lt;=[[#This Row],[Fin planifiée]],"Oui","Non"),"")</f>
        <v>0</v>
      </c>
    </row>
    <row r="410" spans="13:36" ht="20" customHeight="1">
      <c r="M410">
        <f>IF(AND([[#This Row],Début]&lt;&gt;"",[[#This Row],[Fin planifiée]]&lt;&gt;""),[[#This Row],[Fin planifiée]]-[[#This Row],Début]+1,"")</f>
        <v>0</v>
      </c>
      <c r="N410">
        <f>IF(AND([[#This Row],Début]&lt;&gt;"",[[#This Row],[Fin réelle]]&lt;&gt;""),[[#This Row],[Fin réelle]]-[[#This Row],Début]+1,"")</f>
        <v>0</v>
      </c>
      <c r="S410">
        <f>[[#This Row],[Budget réalisé]]-[[#This Row],[Budget prévu]]</f>
        <v>0</v>
      </c>
      <c r="T410">
        <f>IF(OR([[#This Row],[Budget prévu]]="",[[#This Row],[Budget réalisé]]=""),"",IF([[#This Row],[Écart (€)]]=0,"À l'équilibre",IF([[#This Row],[Écart (€)]]&gt;0,"Dépassement","Sous budget")))</f>
        <v>0</v>
      </c>
      <c r="W410">
        <f>[[#This Row],[Risque – Probabilité (1-5)]]*[[#This Row],[Risque – Sévérité (1-5)]]</f>
        <v>0</v>
      </c>
      <c r="AC410">
        <f>IF([[#This Row],Effort (jours)]&gt;0,[[#This Row],[Reach (pers.)]]*[[#This Row],[Impact (1-5)]]*[[#This Row],[Confidence (0-1)]]/[[#This Row],[Effort (jours)]],"")</f>
        <v>0</v>
      </c>
      <c r="AG410">
        <f>IF([[#This Row],[Fin planifiée]]&lt;&gt;"",MONTH([[#This Row],[Fin planifiée]]),"")</f>
        <v>0</v>
      </c>
      <c r="AH410">
        <f>IF([[#This Row],[Fin planifiée]]&lt;&gt;"",YEAR([[#This Row],[Fin planifiée]]),"")</f>
        <v>0</v>
      </c>
      <c r="AI4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0">
        <f>IF(AND([[#This Row],Statut]="Terminé",[[#This Row],[Fin réelle]]&lt;&gt;""),IF([[#This Row],[Fin réelle]]&lt;=[[#This Row],[Fin planifiée]],"Oui","Non"),"")</f>
        <v>0</v>
      </c>
    </row>
    <row r="411" spans="13:36" ht="20" customHeight="1">
      <c r="M411">
        <f>IF(AND([[#This Row],Début]&lt;&gt;"",[[#This Row],[Fin planifiée]]&lt;&gt;""),[[#This Row],[Fin planifiée]]-[[#This Row],Début]+1,"")</f>
        <v>0</v>
      </c>
      <c r="N411">
        <f>IF(AND([[#This Row],Début]&lt;&gt;"",[[#This Row],[Fin réelle]]&lt;&gt;""),[[#This Row],[Fin réelle]]-[[#This Row],Début]+1,"")</f>
        <v>0</v>
      </c>
      <c r="S411">
        <f>[[#This Row],[Budget réalisé]]-[[#This Row],[Budget prévu]]</f>
        <v>0</v>
      </c>
      <c r="T411">
        <f>IF(OR([[#This Row],[Budget prévu]]="",[[#This Row],[Budget réalisé]]=""),"",IF([[#This Row],[Écart (€)]]=0,"À l'équilibre",IF([[#This Row],[Écart (€)]]&gt;0,"Dépassement","Sous budget")))</f>
        <v>0</v>
      </c>
      <c r="W411">
        <f>[[#This Row],[Risque – Probabilité (1-5)]]*[[#This Row],[Risque – Sévérité (1-5)]]</f>
        <v>0</v>
      </c>
      <c r="AC411">
        <f>IF([[#This Row],Effort (jours)]&gt;0,[[#This Row],[Reach (pers.)]]*[[#This Row],[Impact (1-5)]]*[[#This Row],[Confidence (0-1)]]/[[#This Row],[Effort (jours)]],"")</f>
        <v>0</v>
      </c>
      <c r="AG411">
        <f>IF([[#This Row],[Fin planifiée]]&lt;&gt;"",MONTH([[#This Row],[Fin planifiée]]),"")</f>
        <v>0</v>
      </c>
      <c r="AH411">
        <f>IF([[#This Row],[Fin planifiée]]&lt;&gt;"",YEAR([[#This Row],[Fin planifiée]]),"")</f>
        <v>0</v>
      </c>
      <c r="AI4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1">
        <f>IF(AND([[#This Row],Statut]="Terminé",[[#This Row],[Fin réelle]]&lt;&gt;""),IF([[#This Row],[Fin réelle]]&lt;=[[#This Row],[Fin planifiée]],"Oui","Non"),"")</f>
        <v>0</v>
      </c>
    </row>
    <row r="412" spans="13:36" ht="20" customHeight="1">
      <c r="M412">
        <f>IF(AND([[#This Row],Début]&lt;&gt;"",[[#This Row],[Fin planifiée]]&lt;&gt;""),[[#This Row],[Fin planifiée]]-[[#This Row],Début]+1,"")</f>
        <v>0</v>
      </c>
      <c r="N412">
        <f>IF(AND([[#This Row],Début]&lt;&gt;"",[[#This Row],[Fin réelle]]&lt;&gt;""),[[#This Row],[Fin réelle]]-[[#This Row],Début]+1,"")</f>
        <v>0</v>
      </c>
      <c r="S412">
        <f>[[#This Row],[Budget réalisé]]-[[#This Row],[Budget prévu]]</f>
        <v>0</v>
      </c>
      <c r="T412">
        <f>IF(OR([[#This Row],[Budget prévu]]="",[[#This Row],[Budget réalisé]]=""),"",IF([[#This Row],[Écart (€)]]=0,"À l'équilibre",IF([[#This Row],[Écart (€)]]&gt;0,"Dépassement","Sous budget")))</f>
        <v>0</v>
      </c>
      <c r="W412">
        <f>[[#This Row],[Risque – Probabilité (1-5)]]*[[#This Row],[Risque – Sévérité (1-5)]]</f>
        <v>0</v>
      </c>
      <c r="AC412">
        <f>IF([[#This Row],Effort (jours)]&gt;0,[[#This Row],[Reach (pers.)]]*[[#This Row],[Impact (1-5)]]*[[#This Row],[Confidence (0-1)]]/[[#This Row],[Effort (jours)]],"")</f>
        <v>0</v>
      </c>
      <c r="AG412">
        <f>IF([[#This Row],[Fin planifiée]]&lt;&gt;"",MONTH([[#This Row],[Fin planifiée]]),"")</f>
        <v>0</v>
      </c>
      <c r="AH412">
        <f>IF([[#This Row],[Fin planifiée]]&lt;&gt;"",YEAR([[#This Row],[Fin planifiée]]),"")</f>
        <v>0</v>
      </c>
      <c r="AI4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2">
        <f>IF(AND([[#This Row],Statut]="Terminé",[[#This Row],[Fin réelle]]&lt;&gt;""),IF([[#This Row],[Fin réelle]]&lt;=[[#This Row],[Fin planifiée]],"Oui","Non"),"")</f>
        <v>0</v>
      </c>
    </row>
    <row r="413" spans="13:36" ht="20" customHeight="1">
      <c r="M413">
        <f>IF(AND([[#This Row],Début]&lt;&gt;"",[[#This Row],[Fin planifiée]]&lt;&gt;""),[[#This Row],[Fin planifiée]]-[[#This Row],Début]+1,"")</f>
        <v>0</v>
      </c>
      <c r="N413">
        <f>IF(AND([[#This Row],Début]&lt;&gt;"",[[#This Row],[Fin réelle]]&lt;&gt;""),[[#This Row],[Fin réelle]]-[[#This Row],Début]+1,"")</f>
        <v>0</v>
      </c>
      <c r="S413">
        <f>[[#This Row],[Budget réalisé]]-[[#This Row],[Budget prévu]]</f>
        <v>0</v>
      </c>
      <c r="T413">
        <f>IF(OR([[#This Row],[Budget prévu]]="",[[#This Row],[Budget réalisé]]=""),"",IF([[#This Row],[Écart (€)]]=0,"À l'équilibre",IF([[#This Row],[Écart (€)]]&gt;0,"Dépassement","Sous budget")))</f>
        <v>0</v>
      </c>
      <c r="W413">
        <f>[[#This Row],[Risque – Probabilité (1-5)]]*[[#This Row],[Risque – Sévérité (1-5)]]</f>
        <v>0</v>
      </c>
      <c r="AC413">
        <f>IF([[#This Row],Effort (jours)]&gt;0,[[#This Row],[Reach (pers.)]]*[[#This Row],[Impact (1-5)]]*[[#This Row],[Confidence (0-1)]]/[[#This Row],[Effort (jours)]],"")</f>
        <v>0</v>
      </c>
      <c r="AG413">
        <f>IF([[#This Row],[Fin planifiée]]&lt;&gt;"",MONTH([[#This Row],[Fin planifiée]]),"")</f>
        <v>0</v>
      </c>
      <c r="AH413">
        <f>IF([[#This Row],[Fin planifiée]]&lt;&gt;"",YEAR([[#This Row],[Fin planifiée]]),"")</f>
        <v>0</v>
      </c>
      <c r="AI4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3">
        <f>IF(AND([[#This Row],Statut]="Terminé",[[#This Row],[Fin réelle]]&lt;&gt;""),IF([[#This Row],[Fin réelle]]&lt;=[[#This Row],[Fin planifiée]],"Oui","Non"),"")</f>
        <v>0</v>
      </c>
    </row>
    <row r="414" spans="13:36" ht="20" customHeight="1">
      <c r="M414">
        <f>IF(AND([[#This Row],Début]&lt;&gt;"",[[#This Row],[Fin planifiée]]&lt;&gt;""),[[#This Row],[Fin planifiée]]-[[#This Row],Début]+1,"")</f>
        <v>0</v>
      </c>
      <c r="N414">
        <f>IF(AND([[#This Row],Début]&lt;&gt;"",[[#This Row],[Fin réelle]]&lt;&gt;""),[[#This Row],[Fin réelle]]-[[#This Row],Début]+1,"")</f>
        <v>0</v>
      </c>
      <c r="S414">
        <f>[[#This Row],[Budget réalisé]]-[[#This Row],[Budget prévu]]</f>
        <v>0</v>
      </c>
      <c r="T414">
        <f>IF(OR([[#This Row],[Budget prévu]]="",[[#This Row],[Budget réalisé]]=""),"",IF([[#This Row],[Écart (€)]]=0,"À l'équilibre",IF([[#This Row],[Écart (€)]]&gt;0,"Dépassement","Sous budget")))</f>
        <v>0</v>
      </c>
      <c r="W414">
        <f>[[#This Row],[Risque – Probabilité (1-5)]]*[[#This Row],[Risque – Sévérité (1-5)]]</f>
        <v>0</v>
      </c>
      <c r="AC414">
        <f>IF([[#This Row],Effort (jours)]&gt;0,[[#This Row],[Reach (pers.)]]*[[#This Row],[Impact (1-5)]]*[[#This Row],[Confidence (0-1)]]/[[#This Row],[Effort (jours)]],"")</f>
        <v>0</v>
      </c>
      <c r="AG414">
        <f>IF([[#This Row],[Fin planifiée]]&lt;&gt;"",MONTH([[#This Row],[Fin planifiée]]),"")</f>
        <v>0</v>
      </c>
      <c r="AH414">
        <f>IF([[#This Row],[Fin planifiée]]&lt;&gt;"",YEAR([[#This Row],[Fin planifiée]]),"")</f>
        <v>0</v>
      </c>
      <c r="AI4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4">
        <f>IF(AND([[#This Row],Statut]="Terminé",[[#This Row],[Fin réelle]]&lt;&gt;""),IF([[#This Row],[Fin réelle]]&lt;=[[#This Row],[Fin planifiée]],"Oui","Non"),"")</f>
        <v>0</v>
      </c>
    </row>
    <row r="415" spans="13:36" ht="20" customHeight="1">
      <c r="M415">
        <f>IF(AND([[#This Row],Début]&lt;&gt;"",[[#This Row],[Fin planifiée]]&lt;&gt;""),[[#This Row],[Fin planifiée]]-[[#This Row],Début]+1,"")</f>
        <v>0</v>
      </c>
      <c r="N415">
        <f>IF(AND([[#This Row],Début]&lt;&gt;"",[[#This Row],[Fin réelle]]&lt;&gt;""),[[#This Row],[Fin réelle]]-[[#This Row],Début]+1,"")</f>
        <v>0</v>
      </c>
      <c r="S415">
        <f>[[#This Row],[Budget réalisé]]-[[#This Row],[Budget prévu]]</f>
        <v>0</v>
      </c>
      <c r="T415">
        <f>IF(OR([[#This Row],[Budget prévu]]="",[[#This Row],[Budget réalisé]]=""),"",IF([[#This Row],[Écart (€)]]=0,"À l'équilibre",IF([[#This Row],[Écart (€)]]&gt;0,"Dépassement","Sous budget")))</f>
        <v>0</v>
      </c>
      <c r="W415">
        <f>[[#This Row],[Risque – Probabilité (1-5)]]*[[#This Row],[Risque – Sévérité (1-5)]]</f>
        <v>0</v>
      </c>
      <c r="AC415">
        <f>IF([[#This Row],Effort (jours)]&gt;0,[[#This Row],[Reach (pers.)]]*[[#This Row],[Impact (1-5)]]*[[#This Row],[Confidence (0-1)]]/[[#This Row],[Effort (jours)]],"")</f>
        <v>0</v>
      </c>
      <c r="AG415">
        <f>IF([[#This Row],[Fin planifiée]]&lt;&gt;"",MONTH([[#This Row],[Fin planifiée]]),"")</f>
        <v>0</v>
      </c>
      <c r="AH415">
        <f>IF([[#This Row],[Fin planifiée]]&lt;&gt;"",YEAR([[#This Row],[Fin planifiée]]),"")</f>
        <v>0</v>
      </c>
      <c r="AI4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5">
        <f>IF(AND([[#This Row],Statut]="Terminé",[[#This Row],[Fin réelle]]&lt;&gt;""),IF([[#This Row],[Fin réelle]]&lt;=[[#This Row],[Fin planifiée]],"Oui","Non"),"")</f>
        <v>0</v>
      </c>
    </row>
    <row r="416" spans="13:36" ht="20" customHeight="1">
      <c r="M416">
        <f>IF(AND([[#This Row],Début]&lt;&gt;"",[[#This Row],[Fin planifiée]]&lt;&gt;""),[[#This Row],[Fin planifiée]]-[[#This Row],Début]+1,"")</f>
        <v>0</v>
      </c>
      <c r="N416">
        <f>IF(AND([[#This Row],Début]&lt;&gt;"",[[#This Row],[Fin réelle]]&lt;&gt;""),[[#This Row],[Fin réelle]]-[[#This Row],Début]+1,"")</f>
        <v>0</v>
      </c>
      <c r="S416">
        <f>[[#This Row],[Budget réalisé]]-[[#This Row],[Budget prévu]]</f>
        <v>0</v>
      </c>
      <c r="T416">
        <f>IF(OR([[#This Row],[Budget prévu]]="",[[#This Row],[Budget réalisé]]=""),"",IF([[#This Row],[Écart (€)]]=0,"À l'équilibre",IF([[#This Row],[Écart (€)]]&gt;0,"Dépassement","Sous budget")))</f>
        <v>0</v>
      </c>
      <c r="W416">
        <f>[[#This Row],[Risque – Probabilité (1-5)]]*[[#This Row],[Risque – Sévérité (1-5)]]</f>
        <v>0</v>
      </c>
      <c r="AC416">
        <f>IF([[#This Row],Effort (jours)]&gt;0,[[#This Row],[Reach (pers.)]]*[[#This Row],[Impact (1-5)]]*[[#This Row],[Confidence (0-1)]]/[[#This Row],[Effort (jours)]],"")</f>
        <v>0</v>
      </c>
      <c r="AG416">
        <f>IF([[#This Row],[Fin planifiée]]&lt;&gt;"",MONTH([[#This Row],[Fin planifiée]]),"")</f>
        <v>0</v>
      </c>
      <c r="AH416">
        <f>IF([[#This Row],[Fin planifiée]]&lt;&gt;"",YEAR([[#This Row],[Fin planifiée]]),"")</f>
        <v>0</v>
      </c>
      <c r="AI4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6">
        <f>IF(AND([[#This Row],Statut]="Terminé",[[#This Row],[Fin réelle]]&lt;&gt;""),IF([[#This Row],[Fin réelle]]&lt;=[[#This Row],[Fin planifiée]],"Oui","Non"),"")</f>
        <v>0</v>
      </c>
    </row>
    <row r="417" spans="13:36" ht="20" customHeight="1">
      <c r="M417">
        <f>IF(AND([[#This Row],Début]&lt;&gt;"",[[#This Row],[Fin planifiée]]&lt;&gt;""),[[#This Row],[Fin planifiée]]-[[#This Row],Début]+1,"")</f>
        <v>0</v>
      </c>
      <c r="N417">
        <f>IF(AND([[#This Row],Début]&lt;&gt;"",[[#This Row],[Fin réelle]]&lt;&gt;""),[[#This Row],[Fin réelle]]-[[#This Row],Début]+1,"")</f>
        <v>0</v>
      </c>
      <c r="S417">
        <f>[[#This Row],[Budget réalisé]]-[[#This Row],[Budget prévu]]</f>
        <v>0</v>
      </c>
      <c r="T417">
        <f>IF(OR([[#This Row],[Budget prévu]]="",[[#This Row],[Budget réalisé]]=""),"",IF([[#This Row],[Écart (€)]]=0,"À l'équilibre",IF([[#This Row],[Écart (€)]]&gt;0,"Dépassement","Sous budget")))</f>
        <v>0</v>
      </c>
      <c r="W417">
        <f>[[#This Row],[Risque – Probabilité (1-5)]]*[[#This Row],[Risque – Sévérité (1-5)]]</f>
        <v>0</v>
      </c>
      <c r="AC417">
        <f>IF([[#This Row],Effort (jours)]&gt;0,[[#This Row],[Reach (pers.)]]*[[#This Row],[Impact (1-5)]]*[[#This Row],[Confidence (0-1)]]/[[#This Row],[Effort (jours)]],"")</f>
        <v>0</v>
      </c>
      <c r="AG417">
        <f>IF([[#This Row],[Fin planifiée]]&lt;&gt;"",MONTH([[#This Row],[Fin planifiée]]),"")</f>
        <v>0</v>
      </c>
      <c r="AH417">
        <f>IF([[#This Row],[Fin planifiée]]&lt;&gt;"",YEAR([[#This Row],[Fin planifiée]]),"")</f>
        <v>0</v>
      </c>
      <c r="AI4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7">
        <f>IF(AND([[#This Row],Statut]="Terminé",[[#This Row],[Fin réelle]]&lt;&gt;""),IF([[#This Row],[Fin réelle]]&lt;=[[#This Row],[Fin planifiée]],"Oui","Non"),"")</f>
        <v>0</v>
      </c>
    </row>
    <row r="418" spans="13:36" ht="20" customHeight="1">
      <c r="M418">
        <f>IF(AND([[#This Row],Début]&lt;&gt;"",[[#This Row],[Fin planifiée]]&lt;&gt;""),[[#This Row],[Fin planifiée]]-[[#This Row],Début]+1,"")</f>
        <v>0</v>
      </c>
      <c r="N418">
        <f>IF(AND([[#This Row],Début]&lt;&gt;"",[[#This Row],[Fin réelle]]&lt;&gt;""),[[#This Row],[Fin réelle]]-[[#This Row],Début]+1,"")</f>
        <v>0</v>
      </c>
      <c r="S418">
        <f>[[#This Row],[Budget réalisé]]-[[#This Row],[Budget prévu]]</f>
        <v>0</v>
      </c>
      <c r="T418">
        <f>IF(OR([[#This Row],[Budget prévu]]="",[[#This Row],[Budget réalisé]]=""),"",IF([[#This Row],[Écart (€)]]=0,"À l'équilibre",IF([[#This Row],[Écart (€)]]&gt;0,"Dépassement","Sous budget")))</f>
        <v>0</v>
      </c>
      <c r="W418">
        <f>[[#This Row],[Risque – Probabilité (1-5)]]*[[#This Row],[Risque – Sévérité (1-5)]]</f>
        <v>0</v>
      </c>
      <c r="AC418">
        <f>IF([[#This Row],Effort (jours)]&gt;0,[[#This Row],[Reach (pers.)]]*[[#This Row],[Impact (1-5)]]*[[#This Row],[Confidence (0-1)]]/[[#This Row],[Effort (jours)]],"")</f>
        <v>0</v>
      </c>
      <c r="AG418">
        <f>IF([[#This Row],[Fin planifiée]]&lt;&gt;"",MONTH([[#This Row],[Fin planifiée]]),"")</f>
        <v>0</v>
      </c>
      <c r="AH418">
        <f>IF([[#This Row],[Fin planifiée]]&lt;&gt;"",YEAR([[#This Row],[Fin planifiée]]),"")</f>
        <v>0</v>
      </c>
      <c r="AI4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8">
        <f>IF(AND([[#This Row],Statut]="Terminé",[[#This Row],[Fin réelle]]&lt;&gt;""),IF([[#This Row],[Fin réelle]]&lt;=[[#This Row],[Fin planifiée]],"Oui","Non"),"")</f>
        <v>0</v>
      </c>
    </row>
    <row r="419" spans="13:36" ht="20" customHeight="1">
      <c r="M419">
        <f>IF(AND([[#This Row],Début]&lt;&gt;"",[[#This Row],[Fin planifiée]]&lt;&gt;""),[[#This Row],[Fin planifiée]]-[[#This Row],Début]+1,"")</f>
        <v>0</v>
      </c>
      <c r="N419">
        <f>IF(AND([[#This Row],Début]&lt;&gt;"",[[#This Row],[Fin réelle]]&lt;&gt;""),[[#This Row],[Fin réelle]]-[[#This Row],Début]+1,"")</f>
        <v>0</v>
      </c>
      <c r="S419">
        <f>[[#This Row],[Budget réalisé]]-[[#This Row],[Budget prévu]]</f>
        <v>0</v>
      </c>
      <c r="T419">
        <f>IF(OR([[#This Row],[Budget prévu]]="",[[#This Row],[Budget réalisé]]=""),"",IF([[#This Row],[Écart (€)]]=0,"À l'équilibre",IF([[#This Row],[Écart (€)]]&gt;0,"Dépassement","Sous budget")))</f>
        <v>0</v>
      </c>
      <c r="W419">
        <f>[[#This Row],[Risque – Probabilité (1-5)]]*[[#This Row],[Risque – Sévérité (1-5)]]</f>
        <v>0</v>
      </c>
      <c r="AC419">
        <f>IF([[#This Row],Effort (jours)]&gt;0,[[#This Row],[Reach (pers.)]]*[[#This Row],[Impact (1-5)]]*[[#This Row],[Confidence (0-1)]]/[[#This Row],[Effort (jours)]],"")</f>
        <v>0</v>
      </c>
      <c r="AG419">
        <f>IF([[#This Row],[Fin planifiée]]&lt;&gt;"",MONTH([[#This Row],[Fin planifiée]]),"")</f>
        <v>0</v>
      </c>
      <c r="AH419">
        <f>IF([[#This Row],[Fin planifiée]]&lt;&gt;"",YEAR([[#This Row],[Fin planifiée]]),"")</f>
        <v>0</v>
      </c>
      <c r="AI4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19">
        <f>IF(AND([[#This Row],Statut]="Terminé",[[#This Row],[Fin réelle]]&lt;&gt;""),IF([[#This Row],[Fin réelle]]&lt;=[[#This Row],[Fin planifiée]],"Oui","Non"),"")</f>
        <v>0</v>
      </c>
    </row>
    <row r="420" spans="13:36" ht="20" customHeight="1">
      <c r="M420">
        <f>IF(AND([[#This Row],Début]&lt;&gt;"",[[#This Row],[Fin planifiée]]&lt;&gt;""),[[#This Row],[Fin planifiée]]-[[#This Row],Début]+1,"")</f>
        <v>0</v>
      </c>
      <c r="N420">
        <f>IF(AND([[#This Row],Début]&lt;&gt;"",[[#This Row],[Fin réelle]]&lt;&gt;""),[[#This Row],[Fin réelle]]-[[#This Row],Début]+1,"")</f>
        <v>0</v>
      </c>
      <c r="S420">
        <f>[[#This Row],[Budget réalisé]]-[[#This Row],[Budget prévu]]</f>
        <v>0</v>
      </c>
      <c r="T420">
        <f>IF(OR([[#This Row],[Budget prévu]]="",[[#This Row],[Budget réalisé]]=""),"",IF([[#This Row],[Écart (€)]]=0,"À l'équilibre",IF([[#This Row],[Écart (€)]]&gt;0,"Dépassement","Sous budget")))</f>
        <v>0</v>
      </c>
      <c r="W420">
        <f>[[#This Row],[Risque – Probabilité (1-5)]]*[[#This Row],[Risque – Sévérité (1-5)]]</f>
        <v>0</v>
      </c>
      <c r="AC420">
        <f>IF([[#This Row],Effort (jours)]&gt;0,[[#This Row],[Reach (pers.)]]*[[#This Row],[Impact (1-5)]]*[[#This Row],[Confidence (0-1)]]/[[#This Row],[Effort (jours)]],"")</f>
        <v>0</v>
      </c>
      <c r="AG420">
        <f>IF([[#This Row],[Fin planifiée]]&lt;&gt;"",MONTH([[#This Row],[Fin planifiée]]),"")</f>
        <v>0</v>
      </c>
      <c r="AH420">
        <f>IF([[#This Row],[Fin planifiée]]&lt;&gt;"",YEAR([[#This Row],[Fin planifiée]]),"")</f>
        <v>0</v>
      </c>
      <c r="AI4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0">
        <f>IF(AND([[#This Row],Statut]="Terminé",[[#This Row],[Fin réelle]]&lt;&gt;""),IF([[#This Row],[Fin réelle]]&lt;=[[#This Row],[Fin planifiée]],"Oui","Non"),"")</f>
        <v>0</v>
      </c>
    </row>
    <row r="421" spans="13:36" ht="20" customHeight="1">
      <c r="M421">
        <f>IF(AND([[#This Row],Début]&lt;&gt;"",[[#This Row],[Fin planifiée]]&lt;&gt;""),[[#This Row],[Fin planifiée]]-[[#This Row],Début]+1,"")</f>
        <v>0</v>
      </c>
      <c r="N421">
        <f>IF(AND([[#This Row],Début]&lt;&gt;"",[[#This Row],[Fin réelle]]&lt;&gt;""),[[#This Row],[Fin réelle]]-[[#This Row],Début]+1,"")</f>
        <v>0</v>
      </c>
      <c r="S421">
        <f>[[#This Row],[Budget réalisé]]-[[#This Row],[Budget prévu]]</f>
        <v>0</v>
      </c>
      <c r="T421">
        <f>IF(OR([[#This Row],[Budget prévu]]="",[[#This Row],[Budget réalisé]]=""),"",IF([[#This Row],[Écart (€)]]=0,"À l'équilibre",IF([[#This Row],[Écart (€)]]&gt;0,"Dépassement","Sous budget")))</f>
        <v>0</v>
      </c>
      <c r="W421">
        <f>[[#This Row],[Risque – Probabilité (1-5)]]*[[#This Row],[Risque – Sévérité (1-5)]]</f>
        <v>0</v>
      </c>
      <c r="AC421">
        <f>IF([[#This Row],Effort (jours)]&gt;0,[[#This Row],[Reach (pers.)]]*[[#This Row],[Impact (1-5)]]*[[#This Row],[Confidence (0-1)]]/[[#This Row],[Effort (jours)]],"")</f>
        <v>0</v>
      </c>
      <c r="AG421">
        <f>IF([[#This Row],[Fin planifiée]]&lt;&gt;"",MONTH([[#This Row],[Fin planifiée]]),"")</f>
        <v>0</v>
      </c>
      <c r="AH421">
        <f>IF([[#This Row],[Fin planifiée]]&lt;&gt;"",YEAR([[#This Row],[Fin planifiée]]),"")</f>
        <v>0</v>
      </c>
      <c r="AI4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1">
        <f>IF(AND([[#This Row],Statut]="Terminé",[[#This Row],[Fin réelle]]&lt;&gt;""),IF([[#This Row],[Fin réelle]]&lt;=[[#This Row],[Fin planifiée]],"Oui","Non"),"")</f>
        <v>0</v>
      </c>
    </row>
    <row r="422" spans="13:36" ht="20" customHeight="1">
      <c r="M422">
        <f>IF(AND([[#This Row],Début]&lt;&gt;"",[[#This Row],[Fin planifiée]]&lt;&gt;""),[[#This Row],[Fin planifiée]]-[[#This Row],Début]+1,"")</f>
        <v>0</v>
      </c>
      <c r="N422">
        <f>IF(AND([[#This Row],Début]&lt;&gt;"",[[#This Row],[Fin réelle]]&lt;&gt;""),[[#This Row],[Fin réelle]]-[[#This Row],Début]+1,"")</f>
        <v>0</v>
      </c>
      <c r="S422">
        <f>[[#This Row],[Budget réalisé]]-[[#This Row],[Budget prévu]]</f>
        <v>0</v>
      </c>
      <c r="T422">
        <f>IF(OR([[#This Row],[Budget prévu]]="",[[#This Row],[Budget réalisé]]=""),"",IF([[#This Row],[Écart (€)]]=0,"À l'équilibre",IF([[#This Row],[Écart (€)]]&gt;0,"Dépassement","Sous budget")))</f>
        <v>0</v>
      </c>
      <c r="W422">
        <f>[[#This Row],[Risque – Probabilité (1-5)]]*[[#This Row],[Risque – Sévérité (1-5)]]</f>
        <v>0</v>
      </c>
      <c r="AC422">
        <f>IF([[#This Row],Effort (jours)]&gt;0,[[#This Row],[Reach (pers.)]]*[[#This Row],[Impact (1-5)]]*[[#This Row],[Confidence (0-1)]]/[[#This Row],[Effort (jours)]],"")</f>
        <v>0</v>
      </c>
      <c r="AG422">
        <f>IF([[#This Row],[Fin planifiée]]&lt;&gt;"",MONTH([[#This Row],[Fin planifiée]]),"")</f>
        <v>0</v>
      </c>
      <c r="AH422">
        <f>IF([[#This Row],[Fin planifiée]]&lt;&gt;"",YEAR([[#This Row],[Fin planifiée]]),"")</f>
        <v>0</v>
      </c>
      <c r="AI4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2">
        <f>IF(AND([[#This Row],Statut]="Terminé",[[#This Row],[Fin réelle]]&lt;&gt;""),IF([[#This Row],[Fin réelle]]&lt;=[[#This Row],[Fin planifiée]],"Oui","Non"),"")</f>
        <v>0</v>
      </c>
    </row>
    <row r="423" spans="13:36" ht="20" customHeight="1">
      <c r="M423">
        <f>IF(AND([[#This Row],Début]&lt;&gt;"",[[#This Row],[Fin planifiée]]&lt;&gt;""),[[#This Row],[Fin planifiée]]-[[#This Row],Début]+1,"")</f>
        <v>0</v>
      </c>
      <c r="N423">
        <f>IF(AND([[#This Row],Début]&lt;&gt;"",[[#This Row],[Fin réelle]]&lt;&gt;""),[[#This Row],[Fin réelle]]-[[#This Row],Début]+1,"")</f>
        <v>0</v>
      </c>
      <c r="S423">
        <f>[[#This Row],[Budget réalisé]]-[[#This Row],[Budget prévu]]</f>
        <v>0</v>
      </c>
      <c r="T423">
        <f>IF(OR([[#This Row],[Budget prévu]]="",[[#This Row],[Budget réalisé]]=""),"",IF([[#This Row],[Écart (€)]]=0,"À l'équilibre",IF([[#This Row],[Écart (€)]]&gt;0,"Dépassement","Sous budget")))</f>
        <v>0</v>
      </c>
      <c r="W423">
        <f>[[#This Row],[Risque – Probabilité (1-5)]]*[[#This Row],[Risque – Sévérité (1-5)]]</f>
        <v>0</v>
      </c>
      <c r="AC423">
        <f>IF([[#This Row],Effort (jours)]&gt;0,[[#This Row],[Reach (pers.)]]*[[#This Row],[Impact (1-5)]]*[[#This Row],[Confidence (0-1)]]/[[#This Row],[Effort (jours)]],"")</f>
        <v>0</v>
      </c>
      <c r="AG423">
        <f>IF([[#This Row],[Fin planifiée]]&lt;&gt;"",MONTH([[#This Row],[Fin planifiée]]),"")</f>
        <v>0</v>
      </c>
      <c r="AH423">
        <f>IF([[#This Row],[Fin planifiée]]&lt;&gt;"",YEAR([[#This Row],[Fin planifiée]]),"")</f>
        <v>0</v>
      </c>
      <c r="AI4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3">
        <f>IF(AND([[#This Row],Statut]="Terminé",[[#This Row],[Fin réelle]]&lt;&gt;""),IF([[#This Row],[Fin réelle]]&lt;=[[#This Row],[Fin planifiée]],"Oui","Non"),"")</f>
        <v>0</v>
      </c>
    </row>
    <row r="424" spans="13:36" ht="20" customHeight="1">
      <c r="M424">
        <f>IF(AND([[#This Row],Début]&lt;&gt;"",[[#This Row],[Fin planifiée]]&lt;&gt;""),[[#This Row],[Fin planifiée]]-[[#This Row],Début]+1,"")</f>
        <v>0</v>
      </c>
      <c r="N424">
        <f>IF(AND([[#This Row],Début]&lt;&gt;"",[[#This Row],[Fin réelle]]&lt;&gt;""),[[#This Row],[Fin réelle]]-[[#This Row],Début]+1,"")</f>
        <v>0</v>
      </c>
      <c r="S424">
        <f>[[#This Row],[Budget réalisé]]-[[#This Row],[Budget prévu]]</f>
        <v>0</v>
      </c>
      <c r="T424">
        <f>IF(OR([[#This Row],[Budget prévu]]="",[[#This Row],[Budget réalisé]]=""),"",IF([[#This Row],[Écart (€)]]=0,"À l'équilibre",IF([[#This Row],[Écart (€)]]&gt;0,"Dépassement","Sous budget")))</f>
        <v>0</v>
      </c>
      <c r="W424">
        <f>[[#This Row],[Risque – Probabilité (1-5)]]*[[#This Row],[Risque – Sévérité (1-5)]]</f>
        <v>0</v>
      </c>
      <c r="AC424">
        <f>IF([[#This Row],Effort (jours)]&gt;0,[[#This Row],[Reach (pers.)]]*[[#This Row],[Impact (1-5)]]*[[#This Row],[Confidence (0-1)]]/[[#This Row],[Effort (jours)]],"")</f>
        <v>0</v>
      </c>
      <c r="AG424">
        <f>IF([[#This Row],[Fin planifiée]]&lt;&gt;"",MONTH([[#This Row],[Fin planifiée]]),"")</f>
        <v>0</v>
      </c>
      <c r="AH424">
        <f>IF([[#This Row],[Fin planifiée]]&lt;&gt;"",YEAR([[#This Row],[Fin planifiée]]),"")</f>
        <v>0</v>
      </c>
      <c r="AI4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4">
        <f>IF(AND([[#This Row],Statut]="Terminé",[[#This Row],[Fin réelle]]&lt;&gt;""),IF([[#This Row],[Fin réelle]]&lt;=[[#This Row],[Fin planifiée]],"Oui","Non"),"")</f>
        <v>0</v>
      </c>
    </row>
    <row r="425" spans="13:36" ht="20" customHeight="1">
      <c r="M425">
        <f>IF(AND([[#This Row],Début]&lt;&gt;"",[[#This Row],[Fin planifiée]]&lt;&gt;""),[[#This Row],[Fin planifiée]]-[[#This Row],Début]+1,"")</f>
        <v>0</v>
      </c>
      <c r="N425">
        <f>IF(AND([[#This Row],Début]&lt;&gt;"",[[#This Row],[Fin réelle]]&lt;&gt;""),[[#This Row],[Fin réelle]]-[[#This Row],Début]+1,"")</f>
        <v>0</v>
      </c>
      <c r="S425">
        <f>[[#This Row],[Budget réalisé]]-[[#This Row],[Budget prévu]]</f>
        <v>0</v>
      </c>
      <c r="T425">
        <f>IF(OR([[#This Row],[Budget prévu]]="",[[#This Row],[Budget réalisé]]=""),"",IF([[#This Row],[Écart (€)]]=0,"À l'équilibre",IF([[#This Row],[Écart (€)]]&gt;0,"Dépassement","Sous budget")))</f>
        <v>0</v>
      </c>
      <c r="W425">
        <f>[[#This Row],[Risque – Probabilité (1-5)]]*[[#This Row],[Risque – Sévérité (1-5)]]</f>
        <v>0</v>
      </c>
      <c r="AC425">
        <f>IF([[#This Row],Effort (jours)]&gt;0,[[#This Row],[Reach (pers.)]]*[[#This Row],[Impact (1-5)]]*[[#This Row],[Confidence (0-1)]]/[[#This Row],[Effort (jours)]],"")</f>
        <v>0</v>
      </c>
      <c r="AG425">
        <f>IF([[#This Row],[Fin planifiée]]&lt;&gt;"",MONTH([[#This Row],[Fin planifiée]]),"")</f>
        <v>0</v>
      </c>
      <c r="AH425">
        <f>IF([[#This Row],[Fin planifiée]]&lt;&gt;"",YEAR([[#This Row],[Fin planifiée]]),"")</f>
        <v>0</v>
      </c>
      <c r="AI4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5">
        <f>IF(AND([[#This Row],Statut]="Terminé",[[#This Row],[Fin réelle]]&lt;&gt;""),IF([[#This Row],[Fin réelle]]&lt;=[[#This Row],[Fin planifiée]],"Oui","Non"),"")</f>
        <v>0</v>
      </c>
    </row>
    <row r="426" spans="13:36" ht="20" customHeight="1">
      <c r="M426">
        <f>IF(AND([[#This Row],Début]&lt;&gt;"",[[#This Row],[Fin planifiée]]&lt;&gt;""),[[#This Row],[Fin planifiée]]-[[#This Row],Début]+1,"")</f>
        <v>0</v>
      </c>
      <c r="N426">
        <f>IF(AND([[#This Row],Début]&lt;&gt;"",[[#This Row],[Fin réelle]]&lt;&gt;""),[[#This Row],[Fin réelle]]-[[#This Row],Début]+1,"")</f>
        <v>0</v>
      </c>
      <c r="S426">
        <f>[[#This Row],[Budget réalisé]]-[[#This Row],[Budget prévu]]</f>
        <v>0</v>
      </c>
      <c r="T426">
        <f>IF(OR([[#This Row],[Budget prévu]]="",[[#This Row],[Budget réalisé]]=""),"",IF([[#This Row],[Écart (€)]]=0,"À l'équilibre",IF([[#This Row],[Écart (€)]]&gt;0,"Dépassement","Sous budget")))</f>
        <v>0</v>
      </c>
      <c r="W426">
        <f>[[#This Row],[Risque – Probabilité (1-5)]]*[[#This Row],[Risque – Sévérité (1-5)]]</f>
        <v>0</v>
      </c>
      <c r="AC426">
        <f>IF([[#This Row],Effort (jours)]&gt;0,[[#This Row],[Reach (pers.)]]*[[#This Row],[Impact (1-5)]]*[[#This Row],[Confidence (0-1)]]/[[#This Row],[Effort (jours)]],"")</f>
        <v>0</v>
      </c>
      <c r="AG426">
        <f>IF([[#This Row],[Fin planifiée]]&lt;&gt;"",MONTH([[#This Row],[Fin planifiée]]),"")</f>
        <v>0</v>
      </c>
      <c r="AH426">
        <f>IF([[#This Row],[Fin planifiée]]&lt;&gt;"",YEAR([[#This Row],[Fin planifiée]]),"")</f>
        <v>0</v>
      </c>
      <c r="AI4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6">
        <f>IF(AND([[#This Row],Statut]="Terminé",[[#This Row],[Fin réelle]]&lt;&gt;""),IF([[#This Row],[Fin réelle]]&lt;=[[#This Row],[Fin planifiée]],"Oui","Non"),"")</f>
        <v>0</v>
      </c>
    </row>
    <row r="427" spans="13:36" ht="20" customHeight="1">
      <c r="M427">
        <f>IF(AND([[#This Row],Début]&lt;&gt;"",[[#This Row],[Fin planifiée]]&lt;&gt;""),[[#This Row],[Fin planifiée]]-[[#This Row],Début]+1,"")</f>
        <v>0</v>
      </c>
      <c r="N427">
        <f>IF(AND([[#This Row],Début]&lt;&gt;"",[[#This Row],[Fin réelle]]&lt;&gt;""),[[#This Row],[Fin réelle]]-[[#This Row],Début]+1,"")</f>
        <v>0</v>
      </c>
      <c r="S427">
        <f>[[#This Row],[Budget réalisé]]-[[#This Row],[Budget prévu]]</f>
        <v>0</v>
      </c>
      <c r="T427">
        <f>IF(OR([[#This Row],[Budget prévu]]="",[[#This Row],[Budget réalisé]]=""),"",IF([[#This Row],[Écart (€)]]=0,"À l'équilibre",IF([[#This Row],[Écart (€)]]&gt;0,"Dépassement","Sous budget")))</f>
        <v>0</v>
      </c>
      <c r="W427">
        <f>[[#This Row],[Risque – Probabilité (1-5)]]*[[#This Row],[Risque – Sévérité (1-5)]]</f>
        <v>0</v>
      </c>
      <c r="AC427">
        <f>IF([[#This Row],Effort (jours)]&gt;0,[[#This Row],[Reach (pers.)]]*[[#This Row],[Impact (1-5)]]*[[#This Row],[Confidence (0-1)]]/[[#This Row],[Effort (jours)]],"")</f>
        <v>0</v>
      </c>
      <c r="AG427">
        <f>IF([[#This Row],[Fin planifiée]]&lt;&gt;"",MONTH([[#This Row],[Fin planifiée]]),"")</f>
        <v>0</v>
      </c>
      <c r="AH427">
        <f>IF([[#This Row],[Fin planifiée]]&lt;&gt;"",YEAR([[#This Row],[Fin planifiée]]),"")</f>
        <v>0</v>
      </c>
      <c r="AI4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7">
        <f>IF(AND([[#This Row],Statut]="Terminé",[[#This Row],[Fin réelle]]&lt;&gt;""),IF([[#This Row],[Fin réelle]]&lt;=[[#This Row],[Fin planifiée]],"Oui","Non"),"")</f>
        <v>0</v>
      </c>
    </row>
    <row r="428" spans="13:36" ht="20" customHeight="1">
      <c r="M428">
        <f>IF(AND([[#This Row],Début]&lt;&gt;"",[[#This Row],[Fin planifiée]]&lt;&gt;""),[[#This Row],[Fin planifiée]]-[[#This Row],Début]+1,"")</f>
        <v>0</v>
      </c>
      <c r="N428">
        <f>IF(AND([[#This Row],Début]&lt;&gt;"",[[#This Row],[Fin réelle]]&lt;&gt;""),[[#This Row],[Fin réelle]]-[[#This Row],Début]+1,"")</f>
        <v>0</v>
      </c>
      <c r="S428">
        <f>[[#This Row],[Budget réalisé]]-[[#This Row],[Budget prévu]]</f>
        <v>0</v>
      </c>
      <c r="T428">
        <f>IF(OR([[#This Row],[Budget prévu]]="",[[#This Row],[Budget réalisé]]=""),"",IF([[#This Row],[Écart (€)]]=0,"À l'équilibre",IF([[#This Row],[Écart (€)]]&gt;0,"Dépassement","Sous budget")))</f>
        <v>0</v>
      </c>
      <c r="W428">
        <f>[[#This Row],[Risque – Probabilité (1-5)]]*[[#This Row],[Risque – Sévérité (1-5)]]</f>
        <v>0</v>
      </c>
      <c r="AC428">
        <f>IF([[#This Row],Effort (jours)]&gt;0,[[#This Row],[Reach (pers.)]]*[[#This Row],[Impact (1-5)]]*[[#This Row],[Confidence (0-1)]]/[[#This Row],[Effort (jours)]],"")</f>
        <v>0</v>
      </c>
      <c r="AG428">
        <f>IF([[#This Row],[Fin planifiée]]&lt;&gt;"",MONTH([[#This Row],[Fin planifiée]]),"")</f>
        <v>0</v>
      </c>
      <c r="AH428">
        <f>IF([[#This Row],[Fin planifiée]]&lt;&gt;"",YEAR([[#This Row],[Fin planifiée]]),"")</f>
        <v>0</v>
      </c>
      <c r="AI4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8">
        <f>IF(AND([[#This Row],Statut]="Terminé",[[#This Row],[Fin réelle]]&lt;&gt;""),IF([[#This Row],[Fin réelle]]&lt;=[[#This Row],[Fin planifiée]],"Oui","Non"),"")</f>
        <v>0</v>
      </c>
    </row>
    <row r="429" spans="13:36" ht="20" customHeight="1">
      <c r="M429">
        <f>IF(AND([[#This Row],Début]&lt;&gt;"",[[#This Row],[Fin planifiée]]&lt;&gt;""),[[#This Row],[Fin planifiée]]-[[#This Row],Début]+1,"")</f>
        <v>0</v>
      </c>
      <c r="N429">
        <f>IF(AND([[#This Row],Début]&lt;&gt;"",[[#This Row],[Fin réelle]]&lt;&gt;""),[[#This Row],[Fin réelle]]-[[#This Row],Début]+1,"")</f>
        <v>0</v>
      </c>
      <c r="S429">
        <f>[[#This Row],[Budget réalisé]]-[[#This Row],[Budget prévu]]</f>
        <v>0</v>
      </c>
      <c r="T429">
        <f>IF(OR([[#This Row],[Budget prévu]]="",[[#This Row],[Budget réalisé]]=""),"",IF([[#This Row],[Écart (€)]]=0,"À l'équilibre",IF([[#This Row],[Écart (€)]]&gt;0,"Dépassement","Sous budget")))</f>
        <v>0</v>
      </c>
      <c r="W429">
        <f>[[#This Row],[Risque – Probabilité (1-5)]]*[[#This Row],[Risque – Sévérité (1-5)]]</f>
        <v>0</v>
      </c>
      <c r="AC429">
        <f>IF([[#This Row],Effort (jours)]&gt;0,[[#This Row],[Reach (pers.)]]*[[#This Row],[Impact (1-5)]]*[[#This Row],[Confidence (0-1)]]/[[#This Row],[Effort (jours)]],"")</f>
        <v>0</v>
      </c>
      <c r="AG429">
        <f>IF([[#This Row],[Fin planifiée]]&lt;&gt;"",MONTH([[#This Row],[Fin planifiée]]),"")</f>
        <v>0</v>
      </c>
      <c r="AH429">
        <f>IF([[#This Row],[Fin planifiée]]&lt;&gt;"",YEAR([[#This Row],[Fin planifiée]]),"")</f>
        <v>0</v>
      </c>
      <c r="AI4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29">
        <f>IF(AND([[#This Row],Statut]="Terminé",[[#This Row],[Fin réelle]]&lt;&gt;""),IF([[#This Row],[Fin réelle]]&lt;=[[#This Row],[Fin planifiée]],"Oui","Non"),"")</f>
        <v>0</v>
      </c>
    </row>
    <row r="430" spans="13:36" ht="20" customHeight="1">
      <c r="M430">
        <f>IF(AND([[#This Row],Début]&lt;&gt;"",[[#This Row],[Fin planifiée]]&lt;&gt;""),[[#This Row],[Fin planifiée]]-[[#This Row],Début]+1,"")</f>
        <v>0</v>
      </c>
      <c r="N430">
        <f>IF(AND([[#This Row],Début]&lt;&gt;"",[[#This Row],[Fin réelle]]&lt;&gt;""),[[#This Row],[Fin réelle]]-[[#This Row],Début]+1,"")</f>
        <v>0</v>
      </c>
      <c r="S430">
        <f>[[#This Row],[Budget réalisé]]-[[#This Row],[Budget prévu]]</f>
        <v>0</v>
      </c>
      <c r="T430">
        <f>IF(OR([[#This Row],[Budget prévu]]="",[[#This Row],[Budget réalisé]]=""),"",IF([[#This Row],[Écart (€)]]=0,"À l'équilibre",IF([[#This Row],[Écart (€)]]&gt;0,"Dépassement","Sous budget")))</f>
        <v>0</v>
      </c>
      <c r="W430">
        <f>[[#This Row],[Risque – Probabilité (1-5)]]*[[#This Row],[Risque – Sévérité (1-5)]]</f>
        <v>0</v>
      </c>
      <c r="AC430">
        <f>IF([[#This Row],Effort (jours)]&gt;0,[[#This Row],[Reach (pers.)]]*[[#This Row],[Impact (1-5)]]*[[#This Row],[Confidence (0-1)]]/[[#This Row],[Effort (jours)]],"")</f>
        <v>0</v>
      </c>
      <c r="AG430">
        <f>IF([[#This Row],[Fin planifiée]]&lt;&gt;"",MONTH([[#This Row],[Fin planifiée]]),"")</f>
        <v>0</v>
      </c>
      <c r="AH430">
        <f>IF([[#This Row],[Fin planifiée]]&lt;&gt;"",YEAR([[#This Row],[Fin planifiée]]),"")</f>
        <v>0</v>
      </c>
      <c r="AI4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0">
        <f>IF(AND([[#This Row],Statut]="Terminé",[[#This Row],[Fin réelle]]&lt;&gt;""),IF([[#This Row],[Fin réelle]]&lt;=[[#This Row],[Fin planifiée]],"Oui","Non"),"")</f>
        <v>0</v>
      </c>
    </row>
    <row r="431" spans="13:36" ht="20" customHeight="1">
      <c r="M431">
        <f>IF(AND([[#This Row],Début]&lt;&gt;"",[[#This Row],[Fin planifiée]]&lt;&gt;""),[[#This Row],[Fin planifiée]]-[[#This Row],Début]+1,"")</f>
        <v>0</v>
      </c>
      <c r="N431">
        <f>IF(AND([[#This Row],Début]&lt;&gt;"",[[#This Row],[Fin réelle]]&lt;&gt;""),[[#This Row],[Fin réelle]]-[[#This Row],Début]+1,"")</f>
        <v>0</v>
      </c>
      <c r="S431">
        <f>[[#This Row],[Budget réalisé]]-[[#This Row],[Budget prévu]]</f>
        <v>0</v>
      </c>
      <c r="T431">
        <f>IF(OR([[#This Row],[Budget prévu]]="",[[#This Row],[Budget réalisé]]=""),"",IF([[#This Row],[Écart (€)]]=0,"À l'équilibre",IF([[#This Row],[Écart (€)]]&gt;0,"Dépassement","Sous budget")))</f>
        <v>0</v>
      </c>
      <c r="W431">
        <f>[[#This Row],[Risque – Probabilité (1-5)]]*[[#This Row],[Risque – Sévérité (1-5)]]</f>
        <v>0</v>
      </c>
      <c r="AC431">
        <f>IF([[#This Row],Effort (jours)]&gt;0,[[#This Row],[Reach (pers.)]]*[[#This Row],[Impact (1-5)]]*[[#This Row],[Confidence (0-1)]]/[[#This Row],[Effort (jours)]],"")</f>
        <v>0</v>
      </c>
      <c r="AG431">
        <f>IF([[#This Row],[Fin planifiée]]&lt;&gt;"",MONTH([[#This Row],[Fin planifiée]]),"")</f>
        <v>0</v>
      </c>
      <c r="AH431">
        <f>IF([[#This Row],[Fin planifiée]]&lt;&gt;"",YEAR([[#This Row],[Fin planifiée]]),"")</f>
        <v>0</v>
      </c>
      <c r="AI4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1">
        <f>IF(AND([[#This Row],Statut]="Terminé",[[#This Row],[Fin réelle]]&lt;&gt;""),IF([[#This Row],[Fin réelle]]&lt;=[[#This Row],[Fin planifiée]],"Oui","Non"),"")</f>
        <v>0</v>
      </c>
    </row>
    <row r="432" spans="13:36" ht="20" customHeight="1">
      <c r="M432">
        <f>IF(AND([[#This Row],Début]&lt;&gt;"",[[#This Row],[Fin planifiée]]&lt;&gt;""),[[#This Row],[Fin planifiée]]-[[#This Row],Début]+1,"")</f>
        <v>0</v>
      </c>
      <c r="N432">
        <f>IF(AND([[#This Row],Début]&lt;&gt;"",[[#This Row],[Fin réelle]]&lt;&gt;""),[[#This Row],[Fin réelle]]-[[#This Row],Début]+1,"")</f>
        <v>0</v>
      </c>
      <c r="S432">
        <f>[[#This Row],[Budget réalisé]]-[[#This Row],[Budget prévu]]</f>
        <v>0</v>
      </c>
      <c r="T432">
        <f>IF(OR([[#This Row],[Budget prévu]]="",[[#This Row],[Budget réalisé]]=""),"",IF([[#This Row],[Écart (€)]]=0,"À l'équilibre",IF([[#This Row],[Écart (€)]]&gt;0,"Dépassement","Sous budget")))</f>
        <v>0</v>
      </c>
      <c r="W432">
        <f>[[#This Row],[Risque – Probabilité (1-5)]]*[[#This Row],[Risque – Sévérité (1-5)]]</f>
        <v>0</v>
      </c>
      <c r="AC432">
        <f>IF([[#This Row],Effort (jours)]&gt;0,[[#This Row],[Reach (pers.)]]*[[#This Row],[Impact (1-5)]]*[[#This Row],[Confidence (0-1)]]/[[#This Row],[Effort (jours)]],"")</f>
        <v>0</v>
      </c>
      <c r="AG432">
        <f>IF([[#This Row],[Fin planifiée]]&lt;&gt;"",MONTH([[#This Row],[Fin planifiée]]),"")</f>
        <v>0</v>
      </c>
      <c r="AH432">
        <f>IF([[#This Row],[Fin planifiée]]&lt;&gt;"",YEAR([[#This Row],[Fin planifiée]]),"")</f>
        <v>0</v>
      </c>
      <c r="AI4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2">
        <f>IF(AND([[#This Row],Statut]="Terminé",[[#This Row],[Fin réelle]]&lt;&gt;""),IF([[#This Row],[Fin réelle]]&lt;=[[#This Row],[Fin planifiée]],"Oui","Non"),"")</f>
        <v>0</v>
      </c>
    </row>
    <row r="433" spans="13:36" ht="20" customHeight="1">
      <c r="M433">
        <f>IF(AND([[#This Row],Début]&lt;&gt;"",[[#This Row],[Fin planifiée]]&lt;&gt;""),[[#This Row],[Fin planifiée]]-[[#This Row],Début]+1,"")</f>
        <v>0</v>
      </c>
      <c r="N433">
        <f>IF(AND([[#This Row],Début]&lt;&gt;"",[[#This Row],[Fin réelle]]&lt;&gt;""),[[#This Row],[Fin réelle]]-[[#This Row],Début]+1,"")</f>
        <v>0</v>
      </c>
      <c r="S433">
        <f>[[#This Row],[Budget réalisé]]-[[#This Row],[Budget prévu]]</f>
        <v>0</v>
      </c>
      <c r="T433">
        <f>IF(OR([[#This Row],[Budget prévu]]="",[[#This Row],[Budget réalisé]]=""),"",IF([[#This Row],[Écart (€)]]=0,"À l'équilibre",IF([[#This Row],[Écart (€)]]&gt;0,"Dépassement","Sous budget")))</f>
        <v>0</v>
      </c>
      <c r="W433">
        <f>[[#This Row],[Risque – Probabilité (1-5)]]*[[#This Row],[Risque – Sévérité (1-5)]]</f>
        <v>0</v>
      </c>
      <c r="AC433">
        <f>IF([[#This Row],Effort (jours)]&gt;0,[[#This Row],[Reach (pers.)]]*[[#This Row],[Impact (1-5)]]*[[#This Row],[Confidence (0-1)]]/[[#This Row],[Effort (jours)]],"")</f>
        <v>0</v>
      </c>
      <c r="AG433">
        <f>IF([[#This Row],[Fin planifiée]]&lt;&gt;"",MONTH([[#This Row],[Fin planifiée]]),"")</f>
        <v>0</v>
      </c>
      <c r="AH433">
        <f>IF([[#This Row],[Fin planifiée]]&lt;&gt;"",YEAR([[#This Row],[Fin planifiée]]),"")</f>
        <v>0</v>
      </c>
      <c r="AI4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3">
        <f>IF(AND([[#This Row],Statut]="Terminé",[[#This Row],[Fin réelle]]&lt;&gt;""),IF([[#This Row],[Fin réelle]]&lt;=[[#This Row],[Fin planifiée]],"Oui","Non"),"")</f>
        <v>0</v>
      </c>
    </row>
    <row r="434" spans="13:36" ht="20" customHeight="1">
      <c r="M434">
        <f>IF(AND([[#This Row],Début]&lt;&gt;"",[[#This Row],[Fin planifiée]]&lt;&gt;""),[[#This Row],[Fin planifiée]]-[[#This Row],Début]+1,"")</f>
        <v>0</v>
      </c>
      <c r="N434">
        <f>IF(AND([[#This Row],Début]&lt;&gt;"",[[#This Row],[Fin réelle]]&lt;&gt;""),[[#This Row],[Fin réelle]]-[[#This Row],Début]+1,"")</f>
        <v>0</v>
      </c>
      <c r="S434">
        <f>[[#This Row],[Budget réalisé]]-[[#This Row],[Budget prévu]]</f>
        <v>0</v>
      </c>
      <c r="T434">
        <f>IF(OR([[#This Row],[Budget prévu]]="",[[#This Row],[Budget réalisé]]=""),"",IF([[#This Row],[Écart (€)]]=0,"À l'équilibre",IF([[#This Row],[Écart (€)]]&gt;0,"Dépassement","Sous budget")))</f>
        <v>0</v>
      </c>
      <c r="W434">
        <f>[[#This Row],[Risque – Probabilité (1-5)]]*[[#This Row],[Risque – Sévérité (1-5)]]</f>
        <v>0</v>
      </c>
      <c r="AC434">
        <f>IF([[#This Row],Effort (jours)]&gt;0,[[#This Row],[Reach (pers.)]]*[[#This Row],[Impact (1-5)]]*[[#This Row],[Confidence (0-1)]]/[[#This Row],[Effort (jours)]],"")</f>
        <v>0</v>
      </c>
      <c r="AG434">
        <f>IF([[#This Row],[Fin planifiée]]&lt;&gt;"",MONTH([[#This Row],[Fin planifiée]]),"")</f>
        <v>0</v>
      </c>
      <c r="AH434">
        <f>IF([[#This Row],[Fin planifiée]]&lt;&gt;"",YEAR([[#This Row],[Fin planifiée]]),"")</f>
        <v>0</v>
      </c>
      <c r="AI4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4">
        <f>IF(AND([[#This Row],Statut]="Terminé",[[#This Row],[Fin réelle]]&lt;&gt;""),IF([[#This Row],[Fin réelle]]&lt;=[[#This Row],[Fin planifiée]],"Oui","Non"),"")</f>
        <v>0</v>
      </c>
    </row>
    <row r="435" spans="13:36" ht="20" customHeight="1">
      <c r="M435">
        <f>IF(AND([[#This Row],Début]&lt;&gt;"",[[#This Row],[Fin planifiée]]&lt;&gt;""),[[#This Row],[Fin planifiée]]-[[#This Row],Début]+1,"")</f>
        <v>0</v>
      </c>
      <c r="N435">
        <f>IF(AND([[#This Row],Début]&lt;&gt;"",[[#This Row],[Fin réelle]]&lt;&gt;""),[[#This Row],[Fin réelle]]-[[#This Row],Début]+1,"")</f>
        <v>0</v>
      </c>
      <c r="S435">
        <f>[[#This Row],[Budget réalisé]]-[[#This Row],[Budget prévu]]</f>
        <v>0</v>
      </c>
      <c r="T435">
        <f>IF(OR([[#This Row],[Budget prévu]]="",[[#This Row],[Budget réalisé]]=""),"",IF([[#This Row],[Écart (€)]]=0,"À l'équilibre",IF([[#This Row],[Écart (€)]]&gt;0,"Dépassement","Sous budget")))</f>
        <v>0</v>
      </c>
      <c r="W435">
        <f>[[#This Row],[Risque – Probabilité (1-5)]]*[[#This Row],[Risque – Sévérité (1-5)]]</f>
        <v>0</v>
      </c>
      <c r="AC435">
        <f>IF([[#This Row],Effort (jours)]&gt;0,[[#This Row],[Reach (pers.)]]*[[#This Row],[Impact (1-5)]]*[[#This Row],[Confidence (0-1)]]/[[#This Row],[Effort (jours)]],"")</f>
        <v>0</v>
      </c>
      <c r="AG435">
        <f>IF([[#This Row],[Fin planifiée]]&lt;&gt;"",MONTH([[#This Row],[Fin planifiée]]),"")</f>
        <v>0</v>
      </c>
      <c r="AH435">
        <f>IF([[#This Row],[Fin planifiée]]&lt;&gt;"",YEAR([[#This Row],[Fin planifiée]]),"")</f>
        <v>0</v>
      </c>
      <c r="AI4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5">
        <f>IF(AND([[#This Row],Statut]="Terminé",[[#This Row],[Fin réelle]]&lt;&gt;""),IF([[#This Row],[Fin réelle]]&lt;=[[#This Row],[Fin planifiée]],"Oui","Non"),"")</f>
        <v>0</v>
      </c>
    </row>
    <row r="436" spans="13:36" ht="20" customHeight="1">
      <c r="M436">
        <f>IF(AND([[#This Row],Début]&lt;&gt;"",[[#This Row],[Fin planifiée]]&lt;&gt;""),[[#This Row],[Fin planifiée]]-[[#This Row],Début]+1,"")</f>
        <v>0</v>
      </c>
      <c r="N436">
        <f>IF(AND([[#This Row],Début]&lt;&gt;"",[[#This Row],[Fin réelle]]&lt;&gt;""),[[#This Row],[Fin réelle]]-[[#This Row],Début]+1,"")</f>
        <v>0</v>
      </c>
      <c r="S436">
        <f>[[#This Row],[Budget réalisé]]-[[#This Row],[Budget prévu]]</f>
        <v>0</v>
      </c>
      <c r="T436">
        <f>IF(OR([[#This Row],[Budget prévu]]="",[[#This Row],[Budget réalisé]]=""),"",IF([[#This Row],[Écart (€)]]=0,"À l'équilibre",IF([[#This Row],[Écart (€)]]&gt;0,"Dépassement","Sous budget")))</f>
        <v>0</v>
      </c>
      <c r="W436">
        <f>[[#This Row],[Risque – Probabilité (1-5)]]*[[#This Row],[Risque – Sévérité (1-5)]]</f>
        <v>0</v>
      </c>
      <c r="AC436">
        <f>IF([[#This Row],Effort (jours)]&gt;0,[[#This Row],[Reach (pers.)]]*[[#This Row],[Impact (1-5)]]*[[#This Row],[Confidence (0-1)]]/[[#This Row],[Effort (jours)]],"")</f>
        <v>0</v>
      </c>
      <c r="AG436">
        <f>IF([[#This Row],[Fin planifiée]]&lt;&gt;"",MONTH([[#This Row],[Fin planifiée]]),"")</f>
        <v>0</v>
      </c>
      <c r="AH436">
        <f>IF([[#This Row],[Fin planifiée]]&lt;&gt;"",YEAR([[#This Row],[Fin planifiée]]),"")</f>
        <v>0</v>
      </c>
      <c r="AI4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6">
        <f>IF(AND([[#This Row],Statut]="Terminé",[[#This Row],[Fin réelle]]&lt;&gt;""),IF([[#This Row],[Fin réelle]]&lt;=[[#This Row],[Fin planifiée]],"Oui","Non"),"")</f>
        <v>0</v>
      </c>
    </row>
    <row r="437" spans="13:36" ht="20" customHeight="1">
      <c r="M437">
        <f>IF(AND([[#This Row],Début]&lt;&gt;"",[[#This Row],[Fin planifiée]]&lt;&gt;""),[[#This Row],[Fin planifiée]]-[[#This Row],Début]+1,"")</f>
        <v>0</v>
      </c>
      <c r="N437">
        <f>IF(AND([[#This Row],Début]&lt;&gt;"",[[#This Row],[Fin réelle]]&lt;&gt;""),[[#This Row],[Fin réelle]]-[[#This Row],Début]+1,"")</f>
        <v>0</v>
      </c>
      <c r="S437">
        <f>[[#This Row],[Budget réalisé]]-[[#This Row],[Budget prévu]]</f>
        <v>0</v>
      </c>
      <c r="T437">
        <f>IF(OR([[#This Row],[Budget prévu]]="",[[#This Row],[Budget réalisé]]=""),"",IF([[#This Row],[Écart (€)]]=0,"À l'équilibre",IF([[#This Row],[Écart (€)]]&gt;0,"Dépassement","Sous budget")))</f>
        <v>0</v>
      </c>
      <c r="W437">
        <f>[[#This Row],[Risque – Probabilité (1-5)]]*[[#This Row],[Risque – Sévérité (1-5)]]</f>
        <v>0</v>
      </c>
      <c r="AC437">
        <f>IF([[#This Row],Effort (jours)]&gt;0,[[#This Row],[Reach (pers.)]]*[[#This Row],[Impact (1-5)]]*[[#This Row],[Confidence (0-1)]]/[[#This Row],[Effort (jours)]],"")</f>
        <v>0</v>
      </c>
      <c r="AG437">
        <f>IF([[#This Row],[Fin planifiée]]&lt;&gt;"",MONTH([[#This Row],[Fin planifiée]]),"")</f>
        <v>0</v>
      </c>
      <c r="AH437">
        <f>IF([[#This Row],[Fin planifiée]]&lt;&gt;"",YEAR([[#This Row],[Fin planifiée]]),"")</f>
        <v>0</v>
      </c>
      <c r="AI4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7">
        <f>IF(AND([[#This Row],Statut]="Terminé",[[#This Row],[Fin réelle]]&lt;&gt;""),IF([[#This Row],[Fin réelle]]&lt;=[[#This Row],[Fin planifiée]],"Oui","Non"),"")</f>
        <v>0</v>
      </c>
    </row>
    <row r="438" spans="13:36" ht="20" customHeight="1">
      <c r="M438">
        <f>IF(AND([[#This Row],Début]&lt;&gt;"",[[#This Row],[Fin planifiée]]&lt;&gt;""),[[#This Row],[Fin planifiée]]-[[#This Row],Début]+1,"")</f>
        <v>0</v>
      </c>
      <c r="N438">
        <f>IF(AND([[#This Row],Début]&lt;&gt;"",[[#This Row],[Fin réelle]]&lt;&gt;""),[[#This Row],[Fin réelle]]-[[#This Row],Début]+1,"")</f>
        <v>0</v>
      </c>
      <c r="S438">
        <f>[[#This Row],[Budget réalisé]]-[[#This Row],[Budget prévu]]</f>
        <v>0</v>
      </c>
      <c r="T438">
        <f>IF(OR([[#This Row],[Budget prévu]]="",[[#This Row],[Budget réalisé]]=""),"",IF([[#This Row],[Écart (€)]]=0,"À l'équilibre",IF([[#This Row],[Écart (€)]]&gt;0,"Dépassement","Sous budget")))</f>
        <v>0</v>
      </c>
      <c r="W438">
        <f>[[#This Row],[Risque – Probabilité (1-5)]]*[[#This Row],[Risque – Sévérité (1-5)]]</f>
        <v>0</v>
      </c>
      <c r="AC438">
        <f>IF([[#This Row],Effort (jours)]&gt;0,[[#This Row],[Reach (pers.)]]*[[#This Row],[Impact (1-5)]]*[[#This Row],[Confidence (0-1)]]/[[#This Row],[Effort (jours)]],"")</f>
        <v>0</v>
      </c>
      <c r="AG438">
        <f>IF([[#This Row],[Fin planifiée]]&lt;&gt;"",MONTH([[#This Row],[Fin planifiée]]),"")</f>
        <v>0</v>
      </c>
      <c r="AH438">
        <f>IF([[#This Row],[Fin planifiée]]&lt;&gt;"",YEAR([[#This Row],[Fin planifiée]]),"")</f>
        <v>0</v>
      </c>
      <c r="AI4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8">
        <f>IF(AND([[#This Row],Statut]="Terminé",[[#This Row],[Fin réelle]]&lt;&gt;""),IF([[#This Row],[Fin réelle]]&lt;=[[#This Row],[Fin planifiée]],"Oui","Non"),"")</f>
        <v>0</v>
      </c>
    </row>
    <row r="439" spans="13:36" ht="20" customHeight="1">
      <c r="M439">
        <f>IF(AND([[#This Row],Début]&lt;&gt;"",[[#This Row],[Fin planifiée]]&lt;&gt;""),[[#This Row],[Fin planifiée]]-[[#This Row],Début]+1,"")</f>
        <v>0</v>
      </c>
      <c r="N439">
        <f>IF(AND([[#This Row],Début]&lt;&gt;"",[[#This Row],[Fin réelle]]&lt;&gt;""),[[#This Row],[Fin réelle]]-[[#This Row],Début]+1,"")</f>
        <v>0</v>
      </c>
      <c r="S439">
        <f>[[#This Row],[Budget réalisé]]-[[#This Row],[Budget prévu]]</f>
        <v>0</v>
      </c>
      <c r="T439">
        <f>IF(OR([[#This Row],[Budget prévu]]="",[[#This Row],[Budget réalisé]]=""),"",IF([[#This Row],[Écart (€)]]=0,"À l'équilibre",IF([[#This Row],[Écart (€)]]&gt;0,"Dépassement","Sous budget")))</f>
        <v>0</v>
      </c>
      <c r="W439">
        <f>[[#This Row],[Risque – Probabilité (1-5)]]*[[#This Row],[Risque – Sévérité (1-5)]]</f>
        <v>0</v>
      </c>
      <c r="AC439">
        <f>IF([[#This Row],Effort (jours)]&gt;0,[[#This Row],[Reach (pers.)]]*[[#This Row],[Impact (1-5)]]*[[#This Row],[Confidence (0-1)]]/[[#This Row],[Effort (jours)]],"")</f>
        <v>0</v>
      </c>
      <c r="AG439">
        <f>IF([[#This Row],[Fin planifiée]]&lt;&gt;"",MONTH([[#This Row],[Fin planifiée]]),"")</f>
        <v>0</v>
      </c>
      <c r="AH439">
        <f>IF([[#This Row],[Fin planifiée]]&lt;&gt;"",YEAR([[#This Row],[Fin planifiée]]),"")</f>
        <v>0</v>
      </c>
      <c r="AI4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39">
        <f>IF(AND([[#This Row],Statut]="Terminé",[[#This Row],[Fin réelle]]&lt;&gt;""),IF([[#This Row],[Fin réelle]]&lt;=[[#This Row],[Fin planifiée]],"Oui","Non"),"")</f>
        <v>0</v>
      </c>
    </row>
    <row r="440" spans="13:36" ht="20" customHeight="1">
      <c r="M440">
        <f>IF(AND([[#This Row],Début]&lt;&gt;"",[[#This Row],[Fin planifiée]]&lt;&gt;""),[[#This Row],[Fin planifiée]]-[[#This Row],Début]+1,"")</f>
        <v>0</v>
      </c>
      <c r="N440">
        <f>IF(AND([[#This Row],Début]&lt;&gt;"",[[#This Row],[Fin réelle]]&lt;&gt;""),[[#This Row],[Fin réelle]]-[[#This Row],Début]+1,"")</f>
        <v>0</v>
      </c>
      <c r="S440">
        <f>[[#This Row],[Budget réalisé]]-[[#This Row],[Budget prévu]]</f>
        <v>0</v>
      </c>
      <c r="T440">
        <f>IF(OR([[#This Row],[Budget prévu]]="",[[#This Row],[Budget réalisé]]=""),"",IF([[#This Row],[Écart (€)]]=0,"À l'équilibre",IF([[#This Row],[Écart (€)]]&gt;0,"Dépassement","Sous budget")))</f>
        <v>0</v>
      </c>
      <c r="W440">
        <f>[[#This Row],[Risque – Probabilité (1-5)]]*[[#This Row],[Risque – Sévérité (1-5)]]</f>
        <v>0</v>
      </c>
      <c r="AC440">
        <f>IF([[#This Row],Effort (jours)]&gt;0,[[#This Row],[Reach (pers.)]]*[[#This Row],[Impact (1-5)]]*[[#This Row],[Confidence (0-1)]]/[[#This Row],[Effort (jours)]],"")</f>
        <v>0</v>
      </c>
      <c r="AG440">
        <f>IF([[#This Row],[Fin planifiée]]&lt;&gt;"",MONTH([[#This Row],[Fin planifiée]]),"")</f>
        <v>0</v>
      </c>
      <c r="AH440">
        <f>IF([[#This Row],[Fin planifiée]]&lt;&gt;"",YEAR([[#This Row],[Fin planifiée]]),"")</f>
        <v>0</v>
      </c>
      <c r="AI4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0">
        <f>IF(AND([[#This Row],Statut]="Terminé",[[#This Row],[Fin réelle]]&lt;&gt;""),IF([[#This Row],[Fin réelle]]&lt;=[[#This Row],[Fin planifiée]],"Oui","Non"),"")</f>
        <v>0</v>
      </c>
    </row>
    <row r="441" spans="13:36" ht="20" customHeight="1">
      <c r="M441">
        <f>IF(AND([[#This Row],Début]&lt;&gt;"",[[#This Row],[Fin planifiée]]&lt;&gt;""),[[#This Row],[Fin planifiée]]-[[#This Row],Début]+1,"")</f>
        <v>0</v>
      </c>
      <c r="N441">
        <f>IF(AND([[#This Row],Début]&lt;&gt;"",[[#This Row],[Fin réelle]]&lt;&gt;""),[[#This Row],[Fin réelle]]-[[#This Row],Début]+1,"")</f>
        <v>0</v>
      </c>
      <c r="S441">
        <f>[[#This Row],[Budget réalisé]]-[[#This Row],[Budget prévu]]</f>
        <v>0</v>
      </c>
      <c r="T441">
        <f>IF(OR([[#This Row],[Budget prévu]]="",[[#This Row],[Budget réalisé]]=""),"",IF([[#This Row],[Écart (€)]]=0,"À l'équilibre",IF([[#This Row],[Écart (€)]]&gt;0,"Dépassement","Sous budget")))</f>
        <v>0</v>
      </c>
      <c r="W441">
        <f>[[#This Row],[Risque – Probabilité (1-5)]]*[[#This Row],[Risque – Sévérité (1-5)]]</f>
        <v>0</v>
      </c>
      <c r="AC441">
        <f>IF([[#This Row],Effort (jours)]&gt;0,[[#This Row],[Reach (pers.)]]*[[#This Row],[Impact (1-5)]]*[[#This Row],[Confidence (0-1)]]/[[#This Row],[Effort (jours)]],"")</f>
        <v>0</v>
      </c>
      <c r="AG441">
        <f>IF([[#This Row],[Fin planifiée]]&lt;&gt;"",MONTH([[#This Row],[Fin planifiée]]),"")</f>
        <v>0</v>
      </c>
      <c r="AH441">
        <f>IF([[#This Row],[Fin planifiée]]&lt;&gt;"",YEAR([[#This Row],[Fin planifiée]]),"")</f>
        <v>0</v>
      </c>
      <c r="AI4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1">
        <f>IF(AND([[#This Row],Statut]="Terminé",[[#This Row],[Fin réelle]]&lt;&gt;""),IF([[#This Row],[Fin réelle]]&lt;=[[#This Row],[Fin planifiée]],"Oui","Non"),"")</f>
        <v>0</v>
      </c>
    </row>
    <row r="442" spans="13:36" ht="20" customHeight="1">
      <c r="M442">
        <f>IF(AND([[#This Row],Début]&lt;&gt;"",[[#This Row],[Fin planifiée]]&lt;&gt;""),[[#This Row],[Fin planifiée]]-[[#This Row],Début]+1,"")</f>
        <v>0</v>
      </c>
      <c r="N442">
        <f>IF(AND([[#This Row],Début]&lt;&gt;"",[[#This Row],[Fin réelle]]&lt;&gt;""),[[#This Row],[Fin réelle]]-[[#This Row],Début]+1,"")</f>
        <v>0</v>
      </c>
      <c r="S442">
        <f>[[#This Row],[Budget réalisé]]-[[#This Row],[Budget prévu]]</f>
        <v>0</v>
      </c>
      <c r="T442">
        <f>IF(OR([[#This Row],[Budget prévu]]="",[[#This Row],[Budget réalisé]]=""),"",IF([[#This Row],[Écart (€)]]=0,"À l'équilibre",IF([[#This Row],[Écart (€)]]&gt;0,"Dépassement","Sous budget")))</f>
        <v>0</v>
      </c>
      <c r="W442">
        <f>[[#This Row],[Risque – Probabilité (1-5)]]*[[#This Row],[Risque – Sévérité (1-5)]]</f>
        <v>0</v>
      </c>
      <c r="AC442">
        <f>IF([[#This Row],Effort (jours)]&gt;0,[[#This Row],[Reach (pers.)]]*[[#This Row],[Impact (1-5)]]*[[#This Row],[Confidence (0-1)]]/[[#This Row],[Effort (jours)]],"")</f>
        <v>0</v>
      </c>
      <c r="AG442">
        <f>IF([[#This Row],[Fin planifiée]]&lt;&gt;"",MONTH([[#This Row],[Fin planifiée]]),"")</f>
        <v>0</v>
      </c>
      <c r="AH442">
        <f>IF([[#This Row],[Fin planifiée]]&lt;&gt;"",YEAR([[#This Row],[Fin planifiée]]),"")</f>
        <v>0</v>
      </c>
      <c r="AI4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2">
        <f>IF(AND([[#This Row],Statut]="Terminé",[[#This Row],[Fin réelle]]&lt;&gt;""),IF([[#This Row],[Fin réelle]]&lt;=[[#This Row],[Fin planifiée]],"Oui","Non"),"")</f>
        <v>0</v>
      </c>
    </row>
    <row r="443" spans="13:36" ht="20" customHeight="1">
      <c r="M443">
        <f>IF(AND([[#This Row],Début]&lt;&gt;"",[[#This Row],[Fin planifiée]]&lt;&gt;""),[[#This Row],[Fin planifiée]]-[[#This Row],Début]+1,"")</f>
        <v>0</v>
      </c>
      <c r="N443">
        <f>IF(AND([[#This Row],Début]&lt;&gt;"",[[#This Row],[Fin réelle]]&lt;&gt;""),[[#This Row],[Fin réelle]]-[[#This Row],Début]+1,"")</f>
        <v>0</v>
      </c>
      <c r="S443">
        <f>[[#This Row],[Budget réalisé]]-[[#This Row],[Budget prévu]]</f>
        <v>0</v>
      </c>
      <c r="T443">
        <f>IF(OR([[#This Row],[Budget prévu]]="",[[#This Row],[Budget réalisé]]=""),"",IF([[#This Row],[Écart (€)]]=0,"À l'équilibre",IF([[#This Row],[Écart (€)]]&gt;0,"Dépassement","Sous budget")))</f>
        <v>0</v>
      </c>
      <c r="W443">
        <f>[[#This Row],[Risque – Probabilité (1-5)]]*[[#This Row],[Risque – Sévérité (1-5)]]</f>
        <v>0</v>
      </c>
      <c r="AC443">
        <f>IF([[#This Row],Effort (jours)]&gt;0,[[#This Row],[Reach (pers.)]]*[[#This Row],[Impact (1-5)]]*[[#This Row],[Confidence (0-1)]]/[[#This Row],[Effort (jours)]],"")</f>
        <v>0</v>
      </c>
      <c r="AG443">
        <f>IF([[#This Row],[Fin planifiée]]&lt;&gt;"",MONTH([[#This Row],[Fin planifiée]]),"")</f>
        <v>0</v>
      </c>
      <c r="AH443">
        <f>IF([[#This Row],[Fin planifiée]]&lt;&gt;"",YEAR([[#This Row],[Fin planifiée]]),"")</f>
        <v>0</v>
      </c>
      <c r="AI4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3">
        <f>IF(AND([[#This Row],Statut]="Terminé",[[#This Row],[Fin réelle]]&lt;&gt;""),IF([[#This Row],[Fin réelle]]&lt;=[[#This Row],[Fin planifiée]],"Oui","Non"),"")</f>
        <v>0</v>
      </c>
    </row>
    <row r="444" spans="13:36" ht="20" customHeight="1">
      <c r="M444">
        <f>IF(AND([[#This Row],Début]&lt;&gt;"",[[#This Row],[Fin planifiée]]&lt;&gt;""),[[#This Row],[Fin planifiée]]-[[#This Row],Début]+1,"")</f>
        <v>0</v>
      </c>
      <c r="N444">
        <f>IF(AND([[#This Row],Début]&lt;&gt;"",[[#This Row],[Fin réelle]]&lt;&gt;""),[[#This Row],[Fin réelle]]-[[#This Row],Début]+1,"")</f>
        <v>0</v>
      </c>
      <c r="S444">
        <f>[[#This Row],[Budget réalisé]]-[[#This Row],[Budget prévu]]</f>
        <v>0</v>
      </c>
      <c r="T444">
        <f>IF(OR([[#This Row],[Budget prévu]]="",[[#This Row],[Budget réalisé]]=""),"",IF([[#This Row],[Écart (€)]]=0,"À l'équilibre",IF([[#This Row],[Écart (€)]]&gt;0,"Dépassement","Sous budget")))</f>
        <v>0</v>
      </c>
      <c r="W444">
        <f>[[#This Row],[Risque – Probabilité (1-5)]]*[[#This Row],[Risque – Sévérité (1-5)]]</f>
        <v>0</v>
      </c>
      <c r="AC444">
        <f>IF([[#This Row],Effort (jours)]&gt;0,[[#This Row],[Reach (pers.)]]*[[#This Row],[Impact (1-5)]]*[[#This Row],[Confidence (0-1)]]/[[#This Row],[Effort (jours)]],"")</f>
        <v>0</v>
      </c>
      <c r="AG444">
        <f>IF([[#This Row],[Fin planifiée]]&lt;&gt;"",MONTH([[#This Row],[Fin planifiée]]),"")</f>
        <v>0</v>
      </c>
      <c r="AH444">
        <f>IF([[#This Row],[Fin planifiée]]&lt;&gt;"",YEAR([[#This Row],[Fin planifiée]]),"")</f>
        <v>0</v>
      </c>
      <c r="AI4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4">
        <f>IF(AND([[#This Row],Statut]="Terminé",[[#This Row],[Fin réelle]]&lt;&gt;""),IF([[#This Row],[Fin réelle]]&lt;=[[#This Row],[Fin planifiée]],"Oui","Non"),"")</f>
        <v>0</v>
      </c>
    </row>
    <row r="445" spans="13:36" ht="20" customHeight="1">
      <c r="M445">
        <f>IF(AND([[#This Row],Début]&lt;&gt;"",[[#This Row],[Fin planifiée]]&lt;&gt;""),[[#This Row],[Fin planifiée]]-[[#This Row],Début]+1,"")</f>
        <v>0</v>
      </c>
      <c r="N445">
        <f>IF(AND([[#This Row],Début]&lt;&gt;"",[[#This Row],[Fin réelle]]&lt;&gt;""),[[#This Row],[Fin réelle]]-[[#This Row],Début]+1,"")</f>
        <v>0</v>
      </c>
      <c r="S445">
        <f>[[#This Row],[Budget réalisé]]-[[#This Row],[Budget prévu]]</f>
        <v>0</v>
      </c>
      <c r="T445">
        <f>IF(OR([[#This Row],[Budget prévu]]="",[[#This Row],[Budget réalisé]]=""),"",IF([[#This Row],[Écart (€)]]=0,"À l'équilibre",IF([[#This Row],[Écart (€)]]&gt;0,"Dépassement","Sous budget")))</f>
        <v>0</v>
      </c>
      <c r="W445">
        <f>[[#This Row],[Risque – Probabilité (1-5)]]*[[#This Row],[Risque – Sévérité (1-5)]]</f>
        <v>0</v>
      </c>
      <c r="AC445">
        <f>IF([[#This Row],Effort (jours)]&gt;0,[[#This Row],[Reach (pers.)]]*[[#This Row],[Impact (1-5)]]*[[#This Row],[Confidence (0-1)]]/[[#This Row],[Effort (jours)]],"")</f>
        <v>0</v>
      </c>
      <c r="AG445">
        <f>IF([[#This Row],[Fin planifiée]]&lt;&gt;"",MONTH([[#This Row],[Fin planifiée]]),"")</f>
        <v>0</v>
      </c>
      <c r="AH445">
        <f>IF([[#This Row],[Fin planifiée]]&lt;&gt;"",YEAR([[#This Row],[Fin planifiée]]),"")</f>
        <v>0</v>
      </c>
      <c r="AI4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5">
        <f>IF(AND([[#This Row],Statut]="Terminé",[[#This Row],[Fin réelle]]&lt;&gt;""),IF([[#This Row],[Fin réelle]]&lt;=[[#This Row],[Fin planifiée]],"Oui","Non"),"")</f>
        <v>0</v>
      </c>
    </row>
    <row r="446" spans="13:36" ht="20" customHeight="1">
      <c r="M446">
        <f>IF(AND([[#This Row],Début]&lt;&gt;"",[[#This Row],[Fin planifiée]]&lt;&gt;""),[[#This Row],[Fin planifiée]]-[[#This Row],Début]+1,"")</f>
        <v>0</v>
      </c>
      <c r="N446">
        <f>IF(AND([[#This Row],Début]&lt;&gt;"",[[#This Row],[Fin réelle]]&lt;&gt;""),[[#This Row],[Fin réelle]]-[[#This Row],Début]+1,"")</f>
        <v>0</v>
      </c>
      <c r="S446">
        <f>[[#This Row],[Budget réalisé]]-[[#This Row],[Budget prévu]]</f>
        <v>0</v>
      </c>
      <c r="T446">
        <f>IF(OR([[#This Row],[Budget prévu]]="",[[#This Row],[Budget réalisé]]=""),"",IF([[#This Row],[Écart (€)]]=0,"À l'équilibre",IF([[#This Row],[Écart (€)]]&gt;0,"Dépassement","Sous budget")))</f>
        <v>0</v>
      </c>
      <c r="W446">
        <f>[[#This Row],[Risque – Probabilité (1-5)]]*[[#This Row],[Risque – Sévérité (1-5)]]</f>
        <v>0</v>
      </c>
      <c r="AC446">
        <f>IF([[#This Row],Effort (jours)]&gt;0,[[#This Row],[Reach (pers.)]]*[[#This Row],[Impact (1-5)]]*[[#This Row],[Confidence (0-1)]]/[[#This Row],[Effort (jours)]],"")</f>
        <v>0</v>
      </c>
      <c r="AG446">
        <f>IF([[#This Row],[Fin planifiée]]&lt;&gt;"",MONTH([[#This Row],[Fin planifiée]]),"")</f>
        <v>0</v>
      </c>
      <c r="AH446">
        <f>IF([[#This Row],[Fin planifiée]]&lt;&gt;"",YEAR([[#This Row],[Fin planifiée]]),"")</f>
        <v>0</v>
      </c>
      <c r="AI4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6">
        <f>IF(AND([[#This Row],Statut]="Terminé",[[#This Row],[Fin réelle]]&lt;&gt;""),IF([[#This Row],[Fin réelle]]&lt;=[[#This Row],[Fin planifiée]],"Oui","Non"),"")</f>
        <v>0</v>
      </c>
    </row>
    <row r="447" spans="13:36" ht="20" customHeight="1">
      <c r="M447">
        <f>IF(AND([[#This Row],Début]&lt;&gt;"",[[#This Row],[Fin planifiée]]&lt;&gt;""),[[#This Row],[Fin planifiée]]-[[#This Row],Début]+1,"")</f>
        <v>0</v>
      </c>
      <c r="N447">
        <f>IF(AND([[#This Row],Début]&lt;&gt;"",[[#This Row],[Fin réelle]]&lt;&gt;""),[[#This Row],[Fin réelle]]-[[#This Row],Début]+1,"")</f>
        <v>0</v>
      </c>
      <c r="S447">
        <f>[[#This Row],[Budget réalisé]]-[[#This Row],[Budget prévu]]</f>
        <v>0</v>
      </c>
      <c r="T447">
        <f>IF(OR([[#This Row],[Budget prévu]]="",[[#This Row],[Budget réalisé]]=""),"",IF([[#This Row],[Écart (€)]]=0,"À l'équilibre",IF([[#This Row],[Écart (€)]]&gt;0,"Dépassement","Sous budget")))</f>
        <v>0</v>
      </c>
      <c r="W447">
        <f>[[#This Row],[Risque – Probabilité (1-5)]]*[[#This Row],[Risque – Sévérité (1-5)]]</f>
        <v>0</v>
      </c>
      <c r="AC447">
        <f>IF([[#This Row],Effort (jours)]&gt;0,[[#This Row],[Reach (pers.)]]*[[#This Row],[Impact (1-5)]]*[[#This Row],[Confidence (0-1)]]/[[#This Row],[Effort (jours)]],"")</f>
        <v>0</v>
      </c>
      <c r="AG447">
        <f>IF([[#This Row],[Fin planifiée]]&lt;&gt;"",MONTH([[#This Row],[Fin planifiée]]),"")</f>
        <v>0</v>
      </c>
      <c r="AH447">
        <f>IF([[#This Row],[Fin planifiée]]&lt;&gt;"",YEAR([[#This Row],[Fin planifiée]]),"")</f>
        <v>0</v>
      </c>
      <c r="AI4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7">
        <f>IF(AND([[#This Row],Statut]="Terminé",[[#This Row],[Fin réelle]]&lt;&gt;""),IF([[#This Row],[Fin réelle]]&lt;=[[#This Row],[Fin planifiée]],"Oui","Non"),"")</f>
        <v>0</v>
      </c>
    </row>
    <row r="448" spans="13:36" ht="20" customHeight="1">
      <c r="M448">
        <f>IF(AND([[#This Row],Début]&lt;&gt;"",[[#This Row],[Fin planifiée]]&lt;&gt;""),[[#This Row],[Fin planifiée]]-[[#This Row],Début]+1,"")</f>
        <v>0</v>
      </c>
      <c r="N448">
        <f>IF(AND([[#This Row],Début]&lt;&gt;"",[[#This Row],[Fin réelle]]&lt;&gt;""),[[#This Row],[Fin réelle]]-[[#This Row],Début]+1,"")</f>
        <v>0</v>
      </c>
      <c r="S448">
        <f>[[#This Row],[Budget réalisé]]-[[#This Row],[Budget prévu]]</f>
        <v>0</v>
      </c>
      <c r="T448">
        <f>IF(OR([[#This Row],[Budget prévu]]="",[[#This Row],[Budget réalisé]]=""),"",IF([[#This Row],[Écart (€)]]=0,"À l'équilibre",IF([[#This Row],[Écart (€)]]&gt;0,"Dépassement","Sous budget")))</f>
        <v>0</v>
      </c>
      <c r="W448">
        <f>[[#This Row],[Risque – Probabilité (1-5)]]*[[#This Row],[Risque – Sévérité (1-5)]]</f>
        <v>0</v>
      </c>
      <c r="AC448">
        <f>IF([[#This Row],Effort (jours)]&gt;0,[[#This Row],[Reach (pers.)]]*[[#This Row],[Impact (1-5)]]*[[#This Row],[Confidence (0-1)]]/[[#This Row],[Effort (jours)]],"")</f>
        <v>0</v>
      </c>
      <c r="AG448">
        <f>IF([[#This Row],[Fin planifiée]]&lt;&gt;"",MONTH([[#This Row],[Fin planifiée]]),"")</f>
        <v>0</v>
      </c>
      <c r="AH448">
        <f>IF([[#This Row],[Fin planifiée]]&lt;&gt;"",YEAR([[#This Row],[Fin planifiée]]),"")</f>
        <v>0</v>
      </c>
      <c r="AI4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8">
        <f>IF(AND([[#This Row],Statut]="Terminé",[[#This Row],[Fin réelle]]&lt;&gt;""),IF([[#This Row],[Fin réelle]]&lt;=[[#This Row],[Fin planifiée]],"Oui","Non"),"")</f>
        <v>0</v>
      </c>
    </row>
    <row r="449" spans="13:36" ht="20" customHeight="1">
      <c r="M449">
        <f>IF(AND([[#This Row],Début]&lt;&gt;"",[[#This Row],[Fin planifiée]]&lt;&gt;""),[[#This Row],[Fin planifiée]]-[[#This Row],Début]+1,"")</f>
        <v>0</v>
      </c>
      <c r="N449">
        <f>IF(AND([[#This Row],Début]&lt;&gt;"",[[#This Row],[Fin réelle]]&lt;&gt;""),[[#This Row],[Fin réelle]]-[[#This Row],Début]+1,"")</f>
        <v>0</v>
      </c>
      <c r="S449">
        <f>[[#This Row],[Budget réalisé]]-[[#This Row],[Budget prévu]]</f>
        <v>0</v>
      </c>
      <c r="T449">
        <f>IF(OR([[#This Row],[Budget prévu]]="",[[#This Row],[Budget réalisé]]=""),"",IF([[#This Row],[Écart (€)]]=0,"À l'équilibre",IF([[#This Row],[Écart (€)]]&gt;0,"Dépassement","Sous budget")))</f>
        <v>0</v>
      </c>
      <c r="W449">
        <f>[[#This Row],[Risque – Probabilité (1-5)]]*[[#This Row],[Risque – Sévérité (1-5)]]</f>
        <v>0</v>
      </c>
      <c r="AC449">
        <f>IF([[#This Row],Effort (jours)]&gt;0,[[#This Row],[Reach (pers.)]]*[[#This Row],[Impact (1-5)]]*[[#This Row],[Confidence (0-1)]]/[[#This Row],[Effort (jours)]],"")</f>
        <v>0</v>
      </c>
      <c r="AG449">
        <f>IF([[#This Row],[Fin planifiée]]&lt;&gt;"",MONTH([[#This Row],[Fin planifiée]]),"")</f>
        <v>0</v>
      </c>
      <c r="AH449">
        <f>IF([[#This Row],[Fin planifiée]]&lt;&gt;"",YEAR([[#This Row],[Fin planifiée]]),"")</f>
        <v>0</v>
      </c>
      <c r="AI4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49">
        <f>IF(AND([[#This Row],Statut]="Terminé",[[#This Row],[Fin réelle]]&lt;&gt;""),IF([[#This Row],[Fin réelle]]&lt;=[[#This Row],[Fin planifiée]],"Oui","Non"),"")</f>
        <v>0</v>
      </c>
    </row>
    <row r="450" spans="13:36" ht="20" customHeight="1">
      <c r="M450">
        <f>IF(AND([[#This Row],Début]&lt;&gt;"",[[#This Row],[Fin planifiée]]&lt;&gt;""),[[#This Row],[Fin planifiée]]-[[#This Row],Début]+1,"")</f>
        <v>0</v>
      </c>
      <c r="N450">
        <f>IF(AND([[#This Row],Début]&lt;&gt;"",[[#This Row],[Fin réelle]]&lt;&gt;""),[[#This Row],[Fin réelle]]-[[#This Row],Début]+1,"")</f>
        <v>0</v>
      </c>
      <c r="S450">
        <f>[[#This Row],[Budget réalisé]]-[[#This Row],[Budget prévu]]</f>
        <v>0</v>
      </c>
      <c r="T450">
        <f>IF(OR([[#This Row],[Budget prévu]]="",[[#This Row],[Budget réalisé]]=""),"",IF([[#This Row],[Écart (€)]]=0,"À l'équilibre",IF([[#This Row],[Écart (€)]]&gt;0,"Dépassement","Sous budget")))</f>
        <v>0</v>
      </c>
      <c r="W450">
        <f>[[#This Row],[Risque – Probabilité (1-5)]]*[[#This Row],[Risque – Sévérité (1-5)]]</f>
        <v>0</v>
      </c>
      <c r="AC450">
        <f>IF([[#This Row],Effort (jours)]&gt;0,[[#This Row],[Reach (pers.)]]*[[#This Row],[Impact (1-5)]]*[[#This Row],[Confidence (0-1)]]/[[#This Row],[Effort (jours)]],"")</f>
        <v>0</v>
      </c>
      <c r="AG450">
        <f>IF([[#This Row],[Fin planifiée]]&lt;&gt;"",MONTH([[#This Row],[Fin planifiée]]),"")</f>
        <v>0</v>
      </c>
      <c r="AH450">
        <f>IF([[#This Row],[Fin planifiée]]&lt;&gt;"",YEAR([[#This Row],[Fin planifiée]]),"")</f>
        <v>0</v>
      </c>
      <c r="AI4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0">
        <f>IF(AND([[#This Row],Statut]="Terminé",[[#This Row],[Fin réelle]]&lt;&gt;""),IF([[#This Row],[Fin réelle]]&lt;=[[#This Row],[Fin planifiée]],"Oui","Non"),"")</f>
        <v>0</v>
      </c>
    </row>
    <row r="451" spans="13:36" ht="20" customHeight="1">
      <c r="M451">
        <f>IF(AND([[#This Row],Début]&lt;&gt;"",[[#This Row],[Fin planifiée]]&lt;&gt;""),[[#This Row],[Fin planifiée]]-[[#This Row],Début]+1,"")</f>
        <v>0</v>
      </c>
      <c r="N451">
        <f>IF(AND([[#This Row],Début]&lt;&gt;"",[[#This Row],[Fin réelle]]&lt;&gt;""),[[#This Row],[Fin réelle]]-[[#This Row],Début]+1,"")</f>
        <v>0</v>
      </c>
      <c r="S451">
        <f>[[#This Row],[Budget réalisé]]-[[#This Row],[Budget prévu]]</f>
        <v>0</v>
      </c>
      <c r="T451">
        <f>IF(OR([[#This Row],[Budget prévu]]="",[[#This Row],[Budget réalisé]]=""),"",IF([[#This Row],[Écart (€)]]=0,"À l'équilibre",IF([[#This Row],[Écart (€)]]&gt;0,"Dépassement","Sous budget")))</f>
        <v>0</v>
      </c>
      <c r="W451">
        <f>[[#This Row],[Risque – Probabilité (1-5)]]*[[#This Row],[Risque – Sévérité (1-5)]]</f>
        <v>0</v>
      </c>
      <c r="AC451">
        <f>IF([[#This Row],Effort (jours)]&gt;0,[[#This Row],[Reach (pers.)]]*[[#This Row],[Impact (1-5)]]*[[#This Row],[Confidence (0-1)]]/[[#This Row],[Effort (jours)]],"")</f>
        <v>0</v>
      </c>
      <c r="AG451">
        <f>IF([[#This Row],[Fin planifiée]]&lt;&gt;"",MONTH([[#This Row],[Fin planifiée]]),"")</f>
        <v>0</v>
      </c>
      <c r="AH451">
        <f>IF([[#This Row],[Fin planifiée]]&lt;&gt;"",YEAR([[#This Row],[Fin planifiée]]),"")</f>
        <v>0</v>
      </c>
      <c r="AI4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1">
        <f>IF(AND([[#This Row],Statut]="Terminé",[[#This Row],[Fin réelle]]&lt;&gt;""),IF([[#This Row],[Fin réelle]]&lt;=[[#This Row],[Fin planifiée]],"Oui","Non"),"")</f>
        <v>0</v>
      </c>
    </row>
    <row r="452" spans="13:36" ht="20" customHeight="1">
      <c r="M452">
        <f>IF(AND([[#This Row],Début]&lt;&gt;"",[[#This Row],[Fin planifiée]]&lt;&gt;""),[[#This Row],[Fin planifiée]]-[[#This Row],Début]+1,"")</f>
        <v>0</v>
      </c>
      <c r="N452">
        <f>IF(AND([[#This Row],Début]&lt;&gt;"",[[#This Row],[Fin réelle]]&lt;&gt;""),[[#This Row],[Fin réelle]]-[[#This Row],Début]+1,"")</f>
        <v>0</v>
      </c>
      <c r="S452">
        <f>[[#This Row],[Budget réalisé]]-[[#This Row],[Budget prévu]]</f>
        <v>0</v>
      </c>
      <c r="T452">
        <f>IF(OR([[#This Row],[Budget prévu]]="",[[#This Row],[Budget réalisé]]=""),"",IF([[#This Row],[Écart (€)]]=0,"À l'équilibre",IF([[#This Row],[Écart (€)]]&gt;0,"Dépassement","Sous budget")))</f>
        <v>0</v>
      </c>
      <c r="W452">
        <f>[[#This Row],[Risque – Probabilité (1-5)]]*[[#This Row],[Risque – Sévérité (1-5)]]</f>
        <v>0</v>
      </c>
      <c r="AC452">
        <f>IF([[#This Row],Effort (jours)]&gt;0,[[#This Row],[Reach (pers.)]]*[[#This Row],[Impact (1-5)]]*[[#This Row],[Confidence (0-1)]]/[[#This Row],[Effort (jours)]],"")</f>
        <v>0</v>
      </c>
      <c r="AG452">
        <f>IF([[#This Row],[Fin planifiée]]&lt;&gt;"",MONTH([[#This Row],[Fin planifiée]]),"")</f>
        <v>0</v>
      </c>
      <c r="AH452">
        <f>IF([[#This Row],[Fin planifiée]]&lt;&gt;"",YEAR([[#This Row],[Fin planifiée]]),"")</f>
        <v>0</v>
      </c>
      <c r="AI4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2">
        <f>IF(AND([[#This Row],Statut]="Terminé",[[#This Row],[Fin réelle]]&lt;&gt;""),IF([[#This Row],[Fin réelle]]&lt;=[[#This Row],[Fin planifiée]],"Oui","Non"),"")</f>
        <v>0</v>
      </c>
    </row>
    <row r="453" spans="13:36" ht="20" customHeight="1">
      <c r="M453">
        <f>IF(AND([[#This Row],Début]&lt;&gt;"",[[#This Row],[Fin planifiée]]&lt;&gt;""),[[#This Row],[Fin planifiée]]-[[#This Row],Début]+1,"")</f>
        <v>0</v>
      </c>
      <c r="N453">
        <f>IF(AND([[#This Row],Début]&lt;&gt;"",[[#This Row],[Fin réelle]]&lt;&gt;""),[[#This Row],[Fin réelle]]-[[#This Row],Début]+1,"")</f>
        <v>0</v>
      </c>
      <c r="S453">
        <f>[[#This Row],[Budget réalisé]]-[[#This Row],[Budget prévu]]</f>
        <v>0</v>
      </c>
      <c r="T453">
        <f>IF(OR([[#This Row],[Budget prévu]]="",[[#This Row],[Budget réalisé]]=""),"",IF([[#This Row],[Écart (€)]]=0,"À l'équilibre",IF([[#This Row],[Écart (€)]]&gt;0,"Dépassement","Sous budget")))</f>
        <v>0</v>
      </c>
      <c r="W453">
        <f>[[#This Row],[Risque – Probabilité (1-5)]]*[[#This Row],[Risque – Sévérité (1-5)]]</f>
        <v>0</v>
      </c>
      <c r="AC453">
        <f>IF([[#This Row],Effort (jours)]&gt;0,[[#This Row],[Reach (pers.)]]*[[#This Row],[Impact (1-5)]]*[[#This Row],[Confidence (0-1)]]/[[#This Row],[Effort (jours)]],"")</f>
        <v>0</v>
      </c>
      <c r="AG453">
        <f>IF([[#This Row],[Fin planifiée]]&lt;&gt;"",MONTH([[#This Row],[Fin planifiée]]),"")</f>
        <v>0</v>
      </c>
      <c r="AH453">
        <f>IF([[#This Row],[Fin planifiée]]&lt;&gt;"",YEAR([[#This Row],[Fin planifiée]]),"")</f>
        <v>0</v>
      </c>
      <c r="AI4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3">
        <f>IF(AND([[#This Row],Statut]="Terminé",[[#This Row],[Fin réelle]]&lt;&gt;""),IF([[#This Row],[Fin réelle]]&lt;=[[#This Row],[Fin planifiée]],"Oui","Non"),"")</f>
        <v>0</v>
      </c>
    </row>
    <row r="454" spans="13:36" ht="20" customHeight="1">
      <c r="M454">
        <f>IF(AND([[#This Row],Début]&lt;&gt;"",[[#This Row],[Fin planifiée]]&lt;&gt;""),[[#This Row],[Fin planifiée]]-[[#This Row],Début]+1,"")</f>
        <v>0</v>
      </c>
      <c r="N454">
        <f>IF(AND([[#This Row],Début]&lt;&gt;"",[[#This Row],[Fin réelle]]&lt;&gt;""),[[#This Row],[Fin réelle]]-[[#This Row],Début]+1,"")</f>
        <v>0</v>
      </c>
      <c r="S454">
        <f>[[#This Row],[Budget réalisé]]-[[#This Row],[Budget prévu]]</f>
        <v>0</v>
      </c>
      <c r="T454">
        <f>IF(OR([[#This Row],[Budget prévu]]="",[[#This Row],[Budget réalisé]]=""),"",IF([[#This Row],[Écart (€)]]=0,"À l'équilibre",IF([[#This Row],[Écart (€)]]&gt;0,"Dépassement","Sous budget")))</f>
        <v>0</v>
      </c>
      <c r="W454">
        <f>[[#This Row],[Risque – Probabilité (1-5)]]*[[#This Row],[Risque – Sévérité (1-5)]]</f>
        <v>0</v>
      </c>
      <c r="AC454">
        <f>IF([[#This Row],Effort (jours)]&gt;0,[[#This Row],[Reach (pers.)]]*[[#This Row],[Impact (1-5)]]*[[#This Row],[Confidence (0-1)]]/[[#This Row],[Effort (jours)]],"")</f>
        <v>0</v>
      </c>
      <c r="AG454">
        <f>IF([[#This Row],[Fin planifiée]]&lt;&gt;"",MONTH([[#This Row],[Fin planifiée]]),"")</f>
        <v>0</v>
      </c>
      <c r="AH454">
        <f>IF([[#This Row],[Fin planifiée]]&lt;&gt;"",YEAR([[#This Row],[Fin planifiée]]),"")</f>
        <v>0</v>
      </c>
      <c r="AI4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4">
        <f>IF(AND([[#This Row],Statut]="Terminé",[[#This Row],[Fin réelle]]&lt;&gt;""),IF([[#This Row],[Fin réelle]]&lt;=[[#This Row],[Fin planifiée]],"Oui","Non"),"")</f>
        <v>0</v>
      </c>
    </row>
    <row r="455" spans="13:36" ht="20" customHeight="1">
      <c r="M455">
        <f>IF(AND([[#This Row],Début]&lt;&gt;"",[[#This Row],[Fin planifiée]]&lt;&gt;""),[[#This Row],[Fin planifiée]]-[[#This Row],Début]+1,"")</f>
        <v>0</v>
      </c>
      <c r="N455">
        <f>IF(AND([[#This Row],Début]&lt;&gt;"",[[#This Row],[Fin réelle]]&lt;&gt;""),[[#This Row],[Fin réelle]]-[[#This Row],Début]+1,"")</f>
        <v>0</v>
      </c>
      <c r="S455">
        <f>[[#This Row],[Budget réalisé]]-[[#This Row],[Budget prévu]]</f>
        <v>0</v>
      </c>
      <c r="T455">
        <f>IF(OR([[#This Row],[Budget prévu]]="",[[#This Row],[Budget réalisé]]=""),"",IF([[#This Row],[Écart (€)]]=0,"À l'équilibre",IF([[#This Row],[Écart (€)]]&gt;0,"Dépassement","Sous budget")))</f>
        <v>0</v>
      </c>
      <c r="W455">
        <f>[[#This Row],[Risque – Probabilité (1-5)]]*[[#This Row],[Risque – Sévérité (1-5)]]</f>
        <v>0</v>
      </c>
      <c r="AC455">
        <f>IF([[#This Row],Effort (jours)]&gt;0,[[#This Row],[Reach (pers.)]]*[[#This Row],[Impact (1-5)]]*[[#This Row],[Confidence (0-1)]]/[[#This Row],[Effort (jours)]],"")</f>
        <v>0</v>
      </c>
      <c r="AG455">
        <f>IF([[#This Row],[Fin planifiée]]&lt;&gt;"",MONTH([[#This Row],[Fin planifiée]]),"")</f>
        <v>0</v>
      </c>
      <c r="AH455">
        <f>IF([[#This Row],[Fin planifiée]]&lt;&gt;"",YEAR([[#This Row],[Fin planifiée]]),"")</f>
        <v>0</v>
      </c>
      <c r="AI4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5">
        <f>IF(AND([[#This Row],Statut]="Terminé",[[#This Row],[Fin réelle]]&lt;&gt;""),IF([[#This Row],[Fin réelle]]&lt;=[[#This Row],[Fin planifiée]],"Oui","Non"),"")</f>
        <v>0</v>
      </c>
    </row>
    <row r="456" spans="13:36" ht="20" customHeight="1">
      <c r="M456">
        <f>IF(AND([[#This Row],Début]&lt;&gt;"",[[#This Row],[Fin planifiée]]&lt;&gt;""),[[#This Row],[Fin planifiée]]-[[#This Row],Début]+1,"")</f>
        <v>0</v>
      </c>
      <c r="N456">
        <f>IF(AND([[#This Row],Début]&lt;&gt;"",[[#This Row],[Fin réelle]]&lt;&gt;""),[[#This Row],[Fin réelle]]-[[#This Row],Début]+1,"")</f>
        <v>0</v>
      </c>
      <c r="S456">
        <f>[[#This Row],[Budget réalisé]]-[[#This Row],[Budget prévu]]</f>
        <v>0</v>
      </c>
      <c r="T456">
        <f>IF(OR([[#This Row],[Budget prévu]]="",[[#This Row],[Budget réalisé]]=""),"",IF([[#This Row],[Écart (€)]]=0,"À l'équilibre",IF([[#This Row],[Écart (€)]]&gt;0,"Dépassement","Sous budget")))</f>
        <v>0</v>
      </c>
      <c r="W456">
        <f>[[#This Row],[Risque – Probabilité (1-5)]]*[[#This Row],[Risque – Sévérité (1-5)]]</f>
        <v>0</v>
      </c>
      <c r="AC456">
        <f>IF([[#This Row],Effort (jours)]&gt;0,[[#This Row],[Reach (pers.)]]*[[#This Row],[Impact (1-5)]]*[[#This Row],[Confidence (0-1)]]/[[#This Row],[Effort (jours)]],"")</f>
        <v>0</v>
      </c>
      <c r="AG456">
        <f>IF([[#This Row],[Fin planifiée]]&lt;&gt;"",MONTH([[#This Row],[Fin planifiée]]),"")</f>
        <v>0</v>
      </c>
      <c r="AH456">
        <f>IF([[#This Row],[Fin planifiée]]&lt;&gt;"",YEAR([[#This Row],[Fin planifiée]]),"")</f>
        <v>0</v>
      </c>
      <c r="AI4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6">
        <f>IF(AND([[#This Row],Statut]="Terminé",[[#This Row],[Fin réelle]]&lt;&gt;""),IF([[#This Row],[Fin réelle]]&lt;=[[#This Row],[Fin planifiée]],"Oui","Non"),"")</f>
        <v>0</v>
      </c>
    </row>
    <row r="457" spans="13:36" ht="20" customHeight="1">
      <c r="M457">
        <f>IF(AND([[#This Row],Début]&lt;&gt;"",[[#This Row],[Fin planifiée]]&lt;&gt;""),[[#This Row],[Fin planifiée]]-[[#This Row],Début]+1,"")</f>
        <v>0</v>
      </c>
      <c r="N457">
        <f>IF(AND([[#This Row],Début]&lt;&gt;"",[[#This Row],[Fin réelle]]&lt;&gt;""),[[#This Row],[Fin réelle]]-[[#This Row],Début]+1,"")</f>
        <v>0</v>
      </c>
      <c r="S457">
        <f>[[#This Row],[Budget réalisé]]-[[#This Row],[Budget prévu]]</f>
        <v>0</v>
      </c>
      <c r="T457">
        <f>IF(OR([[#This Row],[Budget prévu]]="",[[#This Row],[Budget réalisé]]=""),"",IF([[#This Row],[Écart (€)]]=0,"À l'équilibre",IF([[#This Row],[Écart (€)]]&gt;0,"Dépassement","Sous budget")))</f>
        <v>0</v>
      </c>
      <c r="W457">
        <f>[[#This Row],[Risque – Probabilité (1-5)]]*[[#This Row],[Risque – Sévérité (1-5)]]</f>
        <v>0</v>
      </c>
      <c r="AC457">
        <f>IF([[#This Row],Effort (jours)]&gt;0,[[#This Row],[Reach (pers.)]]*[[#This Row],[Impact (1-5)]]*[[#This Row],[Confidence (0-1)]]/[[#This Row],[Effort (jours)]],"")</f>
        <v>0</v>
      </c>
      <c r="AG457">
        <f>IF([[#This Row],[Fin planifiée]]&lt;&gt;"",MONTH([[#This Row],[Fin planifiée]]),"")</f>
        <v>0</v>
      </c>
      <c r="AH457">
        <f>IF([[#This Row],[Fin planifiée]]&lt;&gt;"",YEAR([[#This Row],[Fin planifiée]]),"")</f>
        <v>0</v>
      </c>
      <c r="AI4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7">
        <f>IF(AND([[#This Row],Statut]="Terminé",[[#This Row],[Fin réelle]]&lt;&gt;""),IF([[#This Row],[Fin réelle]]&lt;=[[#This Row],[Fin planifiée]],"Oui","Non"),"")</f>
        <v>0</v>
      </c>
    </row>
    <row r="458" spans="13:36" ht="20" customHeight="1">
      <c r="M458">
        <f>IF(AND([[#This Row],Début]&lt;&gt;"",[[#This Row],[Fin planifiée]]&lt;&gt;""),[[#This Row],[Fin planifiée]]-[[#This Row],Début]+1,"")</f>
        <v>0</v>
      </c>
      <c r="N458">
        <f>IF(AND([[#This Row],Début]&lt;&gt;"",[[#This Row],[Fin réelle]]&lt;&gt;""),[[#This Row],[Fin réelle]]-[[#This Row],Début]+1,"")</f>
        <v>0</v>
      </c>
      <c r="S458">
        <f>[[#This Row],[Budget réalisé]]-[[#This Row],[Budget prévu]]</f>
        <v>0</v>
      </c>
      <c r="T458">
        <f>IF(OR([[#This Row],[Budget prévu]]="",[[#This Row],[Budget réalisé]]=""),"",IF([[#This Row],[Écart (€)]]=0,"À l'équilibre",IF([[#This Row],[Écart (€)]]&gt;0,"Dépassement","Sous budget")))</f>
        <v>0</v>
      </c>
      <c r="W458">
        <f>[[#This Row],[Risque – Probabilité (1-5)]]*[[#This Row],[Risque – Sévérité (1-5)]]</f>
        <v>0</v>
      </c>
      <c r="AC458">
        <f>IF([[#This Row],Effort (jours)]&gt;0,[[#This Row],[Reach (pers.)]]*[[#This Row],[Impact (1-5)]]*[[#This Row],[Confidence (0-1)]]/[[#This Row],[Effort (jours)]],"")</f>
        <v>0</v>
      </c>
      <c r="AG458">
        <f>IF([[#This Row],[Fin planifiée]]&lt;&gt;"",MONTH([[#This Row],[Fin planifiée]]),"")</f>
        <v>0</v>
      </c>
      <c r="AH458">
        <f>IF([[#This Row],[Fin planifiée]]&lt;&gt;"",YEAR([[#This Row],[Fin planifiée]]),"")</f>
        <v>0</v>
      </c>
      <c r="AI4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8">
        <f>IF(AND([[#This Row],Statut]="Terminé",[[#This Row],[Fin réelle]]&lt;&gt;""),IF([[#This Row],[Fin réelle]]&lt;=[[#This Row],[Fin planifiée]],"Oui","Non"),"")</f>
        <v>0</v>
      </c>
    </row>
    <row r="459" spans="13:36" ht="20" customHeight="1">
      <c r="M459">
        <f>IF(AND([[#This Row],Début]&lt;&gt;"",[[#This Row],[Fin planifiée]]&lt;&gt;""),[[#This Row],[Fin planifiée]]-[[#This Row],Début]+1,"")</f>
        <v>0</v>
      </c>
      <c r="N459">
        <f>IF(AND([[#This Row],Début]&lt;&gt;"",[[#This Row],[Fin réelle]]&lt;&gt;""),[[#This Row],[Fin réelle]]-[[#This Row],Début]+1,"")</f>
        <v>0</v>
      </c>
      <c r="S459">
        <f>[[#This Row],[Budget réalisé]]-[[#This Row],[Budget prévu]]</f>
        <v>0</v>
      </c>
      <c r="T459">
        <f>IF(OR([[#This Row],[Budget prévu]]="",[[#This Row],[Budget réalisé]]=""),"",IF([[#This Row],[Écart (€)]]=0,"À l'équilibre",IF([[#This Row],[Écart (€)]]&gt;0,"Dépassement","Sous budget")))</f>
        <v>0</v>
      </c>
      <c r="W459">
        <f>[[#This Row],[Risque – Probabilité (1-5)]]*[[#This Row],[Risque – Sévérité (1-5)]]</f>
        <v>0</v>
      </c>
      <c r="AC459">
        <f>IF([[#This Row],Effort (jours)]&gt;0,[[#This Row],[Reach (pers.)]]*[[#This Row],[Impact (1-5)]]*[[#This Row],[Confidence (0-1)]]/[[#This Row],[Effort (jours)]],"")</f>
        <v>0</v>
      </c>
      <c r="AG459">
        <f>IF([[#This Row],[Fin planifiée]]&lt;&gt;"",MONTH([[#This Row],[Fin planifiée]]),"")</f>
        <v>0</v>
      </c>
      <c r="AH459">
        <f>IF([[#This Row],[Fin planifiée]]&lt;&gt;"",YEAR([[#This Row],[Fin planifiée]]),"")</f>
        <v>0</v>
      </c>
      <c r="AI4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59">
        <f>IF(AND([[#This Row],Statut]="Terminé",[[#This Row],[Fin réelle]]&lt;&gt;""),IF([[#This Row],[Fin réelle]]&lt;=[[#This Row],[Fin planifiée]],"Oui","Non"),"")</f>
        <v>0</v>
      </c>
    </row>
    <row r="460" spans="13:36" ht="20" customHeight="1">
      <c r="M460">
        <f>IF(AND([[#This Row],Début]&lt;&gt;"",[[#This Row],[Fin planifiée]]&lt;&gt;""),[[#This Row],[Fin planifiée]]-[[#This Row],Début]+1,"")</f>
        <v>0</v>
      </c>
      <c r="N460">
        <f>IF(AND([[#This Row],Début]&lt;&gt;"",[[#This Row],[Fin réelle]]&lt;&gt;""),[[#This Row],[Fin réelle]]-[[#This Row],Début]+1,"")</f>
        <v>0</v>
      </c>
      <c r="S460">
        <f>[[#This Row],[Budget réalisé]]-[[#This Row],[Budget prévu]]</f>
        <v>0</v>
      </c>
      <c r="T460">
        <f>IF(OR([[#This Row],[Budget prévu]]="",[[#This Row],[Budget réalisé]]=""),"",IF([[#This Row],[Écart (€)]]=0,"À l'équilibre",IF([[#This Row],[Écart (€)]]&gt;0,"Dépassement","Sous budget")))</f>
        <v>0</v>
      </c>
      <c r="W460">
        <f>[[#This Row],[Risque – Probabilité (1-5)]]*[[#This Row],[Risque – Sévérité (1-5)]]</f>
        <v>0</v>
      </c>
      <c r="AC460">
        <f>IF([[#This Row],Effort (jours)]&gt;0,[[#This Row],[Reach (pers.)]]*[[#This Row],[Impact (1-5)]]*[[#This Row],[Confidence (0-1)]]/[[#This Row],[Effort (jours)]],"")</f>
        <v>0</v>
      </c>
      <c r="AG460">
        <f>IF([[#This Row],[Fin planifiée]]&lt;&gt;"",MONTH([[#This Row],[Fin planifiée]]),"")</f>
        <v>0</v>
      </c>
      <c r="AH460">
        <f>IF([[#This Row],[Fin planifiée]]&lt;&gt;"",YEAR([[#This Row],[Fin planifiée]]),"")</f>
        <v>0</v>
      </c>
      <c r="AI4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0">
        <f>IF(AND([[#This Row],Statut]="Terminé",[[#This Row],[Fin réelle]]&lt;&gt;""),IF([[#This Row],[Fin réelle]]&lt;=[[#This Row],[Fin planifiée]],"Oui","Non"),"")</f>
        <v>0</v>
      </c>
    </row>
    <row r="461" spans="13:36" ht="20" customHeight="1">
      <c r="M461">
        <f>IF(AND([[#This Row],Début]&lt;&gt;"",[[#This Row],[Fin planifiée]]&lt;&gt;""),[[#This Row],[Fin planifiée]]-[[#This Row],Début]+1,"")</f>
        <v>0</v>
      </c>
      <c r="N461">
        <f>IF(AND([[#This Row],Début]&lt;&gt;"",[[#This Row],[Fin réelle]]&lt;&gt;""),[[#This Row],[Fin réelle]]-[[#This Row],Début]+1,"")</f>
        <v>0</v>
      </c>
      <c r="S461">
        <f>[[#This Row],[Budget réalisé]]-[[#This Row],[Budget prévu]]</f>
        <v>0</v>
      </c>
      <c r="T461">
        <f>IF(OR([[#This Row],[Budget prévu]]="",[[#This Row],[Budget réalisé]]=""),"",IF([[#This Row],[Écart (€)]]=0,"À l'équilibre",IF([[#This Row],[Écart (€)]]&gt;0,"Dépassement","Sous budget")))</f>
        <v>0</v>
      </c>
      <c r="W461">
        <f>[[#This Row],[Risque – Probabilité (1-5)]]*[[#This Row],[Risque – Sévérité (1-5)]]</f>
        <v>0</v>
      </c>
      <c r="AC461">
        <f>IF([[#This Row],Effort (jours)]&gt;0,[[#This Row],[Reach (pers.)]]*[[#This Row],[Impact (1-5)]]*[[#This Row],[Confidence (0-1)]]/[[#This Row],[Effort (jours)]],"")</f>
        <v>0</v>
      </c>
      <c r="AG461">
        <f>IF([[#This Row],[Fin planifiée]]&lt;&gt;"",MONTH([[#This Row],[Fin planifiée]]),"")</f>
        <v>0</v>
      </c>
      <c r="AH461">
        <f>IF([[#This Row],[Fin planifiée]]&lt;&gt;"",YEAR([[#This Row],[Fin planifiée]]),"")</f>
        <v>0</v>
      </c>
      <c r="AI4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1">
        <f>IF(AND([[#This Row],Statut]="Terminé",[[#This Row],[Fin réelle]]&lt;&gt;""),IF([[#This Row],[Fin réelle]]&lt;=[[#This Row],[Fin planifiée]],"Oui","Non"),"")</f>
        <v>0</v>
      </c>
    </row>
    <row r="462" spans="13:36" ht="20" customHeight="1">
      <c r="M462">
        <f>IF(AND([[#This Row],Début]&lt;&gt;"",[[#This Row],[Fin planifiée]]&lt;&gt;""),[[#This Row],[Fin planifiée]]-[[#This Row],Début]+1,"")</f>
        <v>0</v>
      </c>
      <c r="N462">
        <f>IF(AND([[#This Row],Début]&lt;&gt;"",[[#This Row],[Fin réelle]]&lt;&gt;""),[[#This Row],[Fin réelle]]-[[#This Row],Début]+1,"")</f>
        <v>0</v>
      </c>
      <c r="S462">
        <f>[[#This Row],[Budget réalisé]]-[[#This Row],[Budget prévu]]</f>
        <v>0</v>
      </c>
      <c r="T462">
        <f>IF(OR([[#This Row],[Budget prévu]]="",[[#This Row],[Budget réalisé]]=""),"",IF([[#This Row],[Écart (€)]]=0,"À l'équilibre",IF([[#This Row],[Écart (€)]]&gt;0,"Dépassement","Sous budget")))</f>
        <v>0</v>
      </c>
      <c r="W462">
        <f>[[#This Row],[Risque – Probabilité (1-5)]]*[[#This Row],[Risque – Sévérité (1-5)]]</f>
        <v>0</v>
      </c>
      <c r="AC462">
        <f>IF([[#This Row],Effort (jours)]&gt;0,[[#This Row],[Reach (pers.)]]*[[#This Row],[Impact (1-5)]]*[[#This Row],[Confidence (0-1)]]/[[#This Row],[Effort (jours)]],"")</f>
        <v>0</v>
      </c>
      <c r="AG462">
        <f>IF([[#This Row],[Fin planifiée]]&lt;&gt;"",MONTH([[#This Row],[Fin planifiée]]),"")</f>
        <v>0</v>
      </c>
      <c r="AH462">
        <f>IF([[#This Row],[Fin planifiée]]&lt;&gt;"",YEAR([[#This Row],[Fin planifiée]]),"")</f>
        <v>0</v>
      </c>
      <c r="AI4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2">
        <f>IF(AND([[#This Row],Statut]="Terminé",[[#This Row],[Fin réelle]]&lt;&gt;""),IF([[#This Row],[Fin réelle]]&lt;=[[#This Row],[Fin planifiée]],"Oui","Non"),"")</f>
        <v>0</v>
      </c>
    </row>
    <row r="463" spans="13:36" ht="20" customHeight="1">
      <c r="M463">
        <f>IF(AND([[#This Row],Début]&lt;&gt;"",[[#This Row],[Fin planifiée]]&lt;&gt;""),[[#This Row],[Fin planifiée]]-[[#This Row],Début]+1,"")</f>
        <v>0</v>
      </c>
      <c r="N463">
        <f>IF(AND([[#This Row],Début]&lt;&gt;"",[[#This Row],[Fin réelle]]&lt;&gt;""),[[#This Row],[Fin réelle]]-[[#This Row],Début]+1,"")</f>
        <v>0</v>
      </c>
      <c r="S463">
        <f>[[#This Row],[Budget réalisé]]-[[#This Row],[Budget prévu]]</f>
        <v>0</v>
      </c>
      <c r="T463">
        <f>IF(OR([[#This Row],[Budget prévu]]="",[[#This Row],[Budget réalisé]]=""),"",IF([[#This Row],[Écart (€)]]=0,"À l'équilibre",IF([[#This Row],[Écart (€)]]&gt;0,"Dépassement","Sous budget")))</f>
        <v>0</v>
      </c>
      <c r="W463">
        <f>[[#This Row],[Risque – Probabilité (1-5)]]*[[#This Row],[Risque – Sévérité (1-5)]]</f>
        <v>0</v>
      </c>
      <c r="AC463">
        <f>IF([[#This Row],Effort (jours)]&gt;0,[[#This Row],[Reach (pers.)]]*[[#This Row],[Impact (1-5)]]*[[#This Row],[Confidence (0-1)]]/[[#This Row],[Effort (jours)]],"")</f>
        <v>0</v>
      </c>
      <c r="AG463">
        <f>IF([[#This Row],[Fin planifiée]]&lt;&gt;"",MONTH([[#This Row],[Fin planifiée]]),"")</f>
        <v>0</v>
      </c>
      <c r="AH463">
        <f>IF([[#This Row],[Fin planifiée]]&lt;&gt;"",YEAR([[#This Row],[Fin planifiée]]),"")</f>
        <v>0</v>
      </c>
      <c r="AI4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3">
        <f>IF(AND([[#This Row],Statut]="Terminé",[[#This Row],[Fin réelle]]&lt;&gt;""),IF([[#This Row],[Fin réelle]]&lt;=[[#This Row],[Fin planifiée]],"Oui","Non"),"")</f>
        <v>0</v>
      </c>
    </row>
    <row r="464" spans="13:36" ht="20" customHeight="1">
      <c r="M464">
        <f>IF(AND([[#This Row],Début]&lt;&gt;"",[[#This Row],[Fin planifiée]]&lt;&gt;""),[[#This Row],[Fin planifiée]]-[[#This Row],Début]+1,"")</f>
        <v>0</v>
      </c>
      <c r="N464">
        <f>IF(AND([[#This Row],Début]&lt;&gt;"",[[#This Row],[Fin réelle]]&lt;&gt;""),[[#This Row],[Fin réelle]]-[[#This Row],Début]+1,"")</f>
        <v>0</v>
      </c>
      <c r="S464">
        <f>[[#This Row],[Budget réalisé]]-[[#This Row],[Budget prévu]]</f>
        <v>0</v>
      </c>
      <c r="T464">
        <f>IF(OR([[#This Row],[Budget prévu]]="",[[#This Row],[Budget réalisé]]=""),"",IF([[#This Row],[Écart (€)]]=0,"À l'équilibre",IF([[#This Row],[Écart (€)]]&gt;0,"Dépassement","Sous budget")))</f>
        <v>0</v>
      </c>
      <c r="W464">
        <f>[[#This Row],[Risque – Probabilité (1-5)]]*[[#This Row],[Risque – Sévérité (1-5)]]</f>
        <v>0</v>
      </c>
      <c r="AC464">
        <f>IF([[#This Row],Effort (jours)]&gt;0,[[#This Row],[Reach (pers.)]]*[[#This Row],[Impact (1-5)]]*[[#This Row],[Confidence (0-1)]]/[[#This Row],[Effort (jours)]],"")</f>
        <v>0</v>
      </c>
      <c r="AG464">
        <f>IF([[#This Row],[Fin planifiée]]&lt;&gt;"",MONTH([[#This Row],[Fin planifiée]]),"")</f>
        <v>0</v>
      </c>
      <c r="AH464">
        <f>IF([[#This Row],[Fin planifiée]]&lt;&gt;"",YEAR([[#This Row],[Fin planifiée]]),"")</f>
        <v>0</v>
      </c>
      <c r="AI4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4">
        <f>IF(AND([[#This Row],Statut]="Terminé",[[#This Row],[Fin réelle]]&lt;&gt;""),IF([[#This Row],[Fin réelle]]&lt;=[[#This Row],[Fin planifiée]],"Oui","Non"),"")</f>
        <v>0</v>
      </c>
    </row>
    <row r="465" spans="13:36" ht="20" customHeight="1">
      <c r="M465">
        <f>IF(AND([[#This Row],Début]&lt;&gt;"",[[#This Row],[Fin planifiée]]&lt;&gt;""),[[#This Row],[Fin planifiée]]-[[#This Row],Début]+1,"")</f>
        <v>0</v>
      </c>
      <c r="N465">
        <f>IF(AND([[#This Row],Début]&lt;&gt;"",[[#This Row],[Fin réelle]]&lt;&gt;""),[[#This Row],[Fin réelle]]-[[#This Row],Début]+1,"")</f>
        <v>0</v>
      </c>
      <c r="S465">
        <f>[[#This Row],[Budget réalisé]]-[[#This Row],[Budget prévu]]</f>
        <v>0</v>
      </c>
      <c r="T465">
        <f>IF(OR([[#This Row],[Budget prévu]]="",[[#This Row],[Budget réalisé]]=""),"",IF([[#This Row],[Écart (€)]]=0,"À l'équilibre",IF([[#This Row],[Écart (€)]]&gt;0,"Dépassement","Sous budget")))</f>
        <v>0</v>
      </c>
      <c r="W465">
        <f>[[#This Row],[Risque – Probabilité (1-5)]]*[[#This Row],[Risque – Sévérité (1-5)]]</f>
        <v>0</v>
      </c>
      <c r="AC465">
        <f>IF([[#This Row],Effort (jours)]&gt;0,[[#This Row],[Reach (pers.)]]*[[#This Row],[Impact (1-5)]]*[[#This Row],[Confidence (0-1)]]/[[#This Row],[Effort (jours)]],"")</f>
        <v>0</v>
      </c>
      <c r="AG465">
        <f>IF([[#This Row],[Fin planifiée]]&lt;&gt;"",MONTH([[#This Row],[Fin planifiée]]),"")</f>
        <v>0</v>
      </c>
      <c r="AH465">
        <f>IF([[#This Row],[Fin planifiée]]&lt;&gt;"",YEAR([[#This Row],[Fin planifiée]]),"")</f>
        <v>0</v>
      </c>
      <c r="AI4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5">
        <f>IF(AND([[#This Row],Statut]="Terminé",[[#This Row],[Fin réelle]]&lt;&gt;""),IF([[#This Row],[Fin réelle]]&lt;=[[#This Row],[Fin planifiée]],"Oui","Non"),"")</f>
        <v>0</v>
      </c>
    </row>
    <row r="466" spans="13:36" ht="20" customHeight="1">
      <c r="M466">
        <f>IF(AND([[#This Row],Début]&lt;&gt;"",[[#This Row],[Fin planifiée]]&lt;&gt;""),[[#This Row],[Fin planifiée]]-[[#This Row],Début]+1,"")</f>
        <v>0</v>
      </c>
      <c r="N466">
        <f>IF(AND([[#This Row],Début]&lt;&gt;"",[[#This Row],[Fin réelle]]&lt;&gt;""),[[#This Row],[Fin réelle]]-[[#This Row],Début]+1,"")</f>
        <v>0</v>
      </c>
      <c r="S466">
        <f>[[#This Row],[Budget réalisé]]-[[#This Row],[Budget prévu]]</f>
        <v>0</v>
      </c>
      <c r="T466">
        <f>IF(OR([[#This Row],[Budget prévu]]="",[[#This Row],[Budget réalisé]]=""),"",IF([[#This Row],[Écart (€)]]=0,"À l'équilibre",IF([[#This Row],[Écart (€)]]&gt;0,"Dépassement","Sous budget")))</f>
        <v>0</v>
      </c>
      <c r="W466">
        <f>[[#This Row],[Risque – Probabilité (1-5)]]*[[#This Row],[Risque – Sévérité (1-5)]]</f>
        <v>0</v>
      </c>
      <c r="AC466">
        <f>IF([[#This Row],Effort (jours)]&gt;0,[[#This Row],[Reach (pers.)]]*[[#This Row],[Impact (1-5)]]*[[#This Row],[Confidence (0-1)]]/[[#This Row],[Effort (jours)]],"")</f>
        <v>0</v>
      </c>
      <c r="AG466">
        <f>IF([[#This Row],[Fin planifiée]]&lt;&gt;"",MONTH([[#This Row],[Fin planifiée]]),"")</f>
        <v>0</v>
      </c>
      <c r="AH466">
        <f>IF([[#This Row],[Fin planifiée]]&lt;&gt;"",YEAR([[#This Row],[Fin planifiée]]),"")</f>
        <v>0</v>
      </c>
      <c r="AI4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6">
        <f>IF(AND([[#This Row],Statut]="Terminé",[[#This Row],[Fin réelle]]&lt;&gt;""),IF([[#This Row],[Fin réelle]]&lt;=[[#This Row],[Fin planifiée]],"Oui","Non"),"")</f>
        <v>0</v>
      </c>
    </row>
    <row r="467" spans="13:36" ht="20" customHeight="1">
      <c r="M467">
        <f>IF(AND([[#This Row],Début]&lt;&gt;"",[[#This Row],[Fin planifiée]]&lt;&gt;""),[[#This Row],[Fin planifiée]]-[[#This Row],Début]+1,"")</f>
        <v>0</v>
      </c>
      <c r="N467">
        <f>IF(AND([[#This Row],Début]&lt;&gt;"",[[#This Row],[Fin réelle]]&lt;&gt;""),[[#This Row],[Fin réelle]]-[[#This Row],Début]+1,"")</f>
        <v>0</v>
      </c>
      <c r="S467">
        <f>[[#This Row],[Budget réalisé]]-[[#This Row],[Budget prévu]]</f>
        <v>0</v>
      </c>
      <c r="T467">
        <f>IF(OR([[#This Row],[Budget prévu]]="",[[#This Row],[Budget réalisé]]=""),"",IF([[#This Row],[Écart (€)]]=0,"À l'équilibre",IF([[#This Row],[Écart (€)]]&gt;0,"Dépassement","Sous budget")))</f>
        <v>0</v>
      </c>
      <c r="W467">
        <f>[[#This Row],[Risque – Probabilité (1-5)]]*[[#This Row],[Risque – Sévérité (1-5)]]</f>
        <v>0</v>
      </c>
      <c r="AC467">
        <f>IF([[#This Row],Effort (jours)]&gt;0,[[#This Row],[Reach (pers.)]]*[[#This Row],[Impact (1-5)]]*[[#This Row],[Confidence (0-1)]]/[[#This Row],[Effort (jours)]],"")</f>
        <v>0</v>
      </c>
      <c r="AG467">
        <f>IF([[#This Row],[Fin planifiée]]&lt;&gt;"",MONTH([[#This Row],[Fin planifiée]]),"")</f>
        <v>0</v>
      </c>
      <c r="AH467">
        <f>IF([[#This Row],[Fin planifiée]]&lt;&gt;"",YEAR([[#This Row],[Fin planifiée]]),"")</f>
        <v>0</v>
      </c>
      <c r="AI4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7">
        <f>IF(AND([[#This Row],Statut]="Terminé",[[#This Row],[Fin réelle]]&lt;&gt;""),IF([[#This Row],[Fin réelle]]&lt;=[[#This Row],[Fin planifiée]],"Oui","Non"),"")</f>
        <v>0</v>
      </c>
    </row>
    <row r="468" spans="13:36" ht="20" customHeight="1">
      <c r="M468">
        <f>IF(AND([[#This Row],Début]&lt;&gt;"",[[#This Row],[Fin planifiée]]&lt;&gt;""),[[#This Row],[Fin planifiée]]-[[#This Row],Début]+1,"")</f>
        <v>0</v>
      </c>
      <c r="N468">
        <f>IF(AND([[#This Row],Début]&lt;&gt;"",[[#This Row],[Fin réelle]]&lt;&gt;""),[[#This Row],[Fin réelle]]-[[#This Row],Début]+1,"")</f>
        <v>0</v>
      </c>
      <c r="S468">
        <f>[[#This Row],[Budget réalisé]]-[[#This Row],[Budget prévu]]</f>
        <v>0</v>
      </c>
      <c r="T468">
        <f>IF(OR([[#This Row],[Budget prévu]]="",[[#This Row],[Budget réalisé]]=""),"",IF([[#This Row],[Écart (€)]]=0,"À l'équilibre",IF([[#This Row],[Écart (€)]]&gt;0,"Dépassement","Sous budget")))</f>
        <v>0</v>
      </c>
      <c r="W468">
        <f>[[#This Row],[Risque – Probabilité (1-5)]]*[[#This Row],[Risque – Sévérité (1-5)]]</f>
        <v>0</v>
      </c>
      <c r="AC468">
        <f>IF([[#This Row],Effort (jours)]&gt;0,[[#This Row],[Reach (pers.)]]*[[#This Row],[Impact (1-5)]]*[[#This Row],[Confidence (0-1)]]/[[#This Row],[Effort (jours)]],"")</f>
        <v>0</v>
      </c>
      <c r="AG468">
        <f>IF([[#This Row],[Fin planifiée]]&lt;&gt;"",MONTH([[#This Row],[Fin planifiée]]),"")</f>
        <v>0</v>
      </c>
      <c r="AH468">
        <f>IF([[#This Row],[Fin planifiée]]&lt;&gt;"",YEAR([[#This Row],[Fin planifiée]]),"")</f>
        <v>0</v>
      </c>
      <c r="AI4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8">
        <f>IF(AND([[#This Row],Statut]="Terminé",[[#This Row],[Fin réelle]]&lt;&gt;""),IF([[#This Row],[Fin réelle]]&lt;=[[#This Row],[Fin planifiée]],"Oui","Non"),"")</f>
        <v>0</v>
      </c>
    </row>
    <row r="469" spans="13:36" ht="20" customHeight="1">
      <c r="M469">
        <f>IF(AND([[#This Row],Début]&lt;&gt;"",[[#This Row],[Fin planifiée]]&lt;&gt;""),[[#This Row],[Fin planifiée]]-[[#This Row],Début]+1,"")</f>
        <v>0</v>
      </c>
      <c r="N469">
        <f>IF(AND([[#This Row],Début]&lt;&gt;"",[[#This Row],[Fin réelle]]&lt;&gt;""),[[#This Row],[Fin réelle]]-[[#This Row],Début]+1,"")</f>
        <v>0</v>
      </c>
      <c r="S469">
        <f>[[#This Row],[Budget réalisé]]-[[#This Row],[Budget prévu]]</f>
        <v>0</v>
      </c>
      <c r="T469">
        <f>IF(OR([[#This Row],[Budget prévu]]="",[[#This Row],[Budget réalisé]]=""),"",IF([[#This Row],[Écart (€)]]=0,"À l'équilibre",IF([[#This Row],[Écart (€)]]&gt;0,"Dépassement","Sous budget")))</f>
        <v>0</v>
      </c>
      <c r="W469">
        <f>[[#This Row],[Risque – Probabilité (1-5)]]*[[#This Row],[Risque – Sévérité (1-5)]]</f>
        <v>0</v>
      </c>
      <c r="AC469">
        <f>IF([[#This Row],Effort (jours)]&gt;0,[[#This Row],[Reach (pers.)]]*[[#This Row],[Impact (1-5)]]*[[#This Row],[Confidence (0-1)]]/[[#This Row],[Effort (jours)]],"")</f>
        <v>0</v>
      </c>
      <c r="AG469">
        <f>IF([[#This Row],[Fin planifiée]]&lt;&gt;"",MONTH([[#This Row],[Fin planifiée]]),"")</f>
        <v>0</v>
      </c>
      <c r="AH469">
        <f>IF([[#This Row],[Fin planifiée]]&lt;&gt;"",YEAR([[#This Row],[Fin planifiée]]),"")</f>
        <v>0</v>
      </c>
      <c r="AI4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69">
        <f>IF(AND([[#This Row],Statut]="Terminé",[[#This Row],[Fin réelle]]&lt;&gt;""),IF([[#This Row],[Fin réelle]]&lt;=[[#This Row],[Fin planifiée]],"Oui","Non"),"")</f>
        <v>0</v>
      </c>
    </row>
    <row r="470" spans="13:36" ht="20" customHeight="1">
      <c r="M470">
        <f>IF(AND([[#This Row],Début]&lt;&gt;"",[[#This Row],[Fin planifiée]]&lt;&gt;""),[[#This Row],[Fin planifiée]]-[[#This Row],Début]+1,"")</f>
        <v>0</v>
      </c>
      <c r="N470">
        <f>IF(AND([[#This Row],Début]&lt;&gt;"",[[#This Row],[Fin réelle]]&lt;&gt;""),[[#This Row],[Fin réelle]]-[[#This Row],Début]+1,"")</f>
        <v>0</v>
      </c>
      <c r="S470">
        <f>[[#This Row],[Budget réalisé]]-[[#This Row],[Budget prévu]]</f>
        <v>0</v>
      </c>
      <c r="T470">
        <f>IF(OR([[#This Row],[Budget prévu]]="",[[#This Row],[Budget réalisé]]=""),"",IF([[#This Row],[Écart (€)]]=0,"À l'équilibre",IF([[#This Row],[Écart (€)]]&gt;0,"Dépassement","Sous budget")))</f>
        <v>0</v>
      </c>
      <c r="W470">
        <f>[[#This Row],[Risque – Probabilité (1-5)]]*[[#This Row],[Risque – Sévérité (1-5)]]</f>
        <v>0</v>
      </c>
      <c r="AC470">
        <f>IF([[#This Row],Effort (jours)]&gt;0,[[#This Row],[Reach (pers.)]]*[[#This Row],[Impact (1-5)]]*[[#This Row],[Confidence (0-1)]]/[[#This Row],[Effort (jours)]],"")</f>
        <v>0</v>
      </c>
      <c r="AG470">
        <f>IF([[#This Row],[Fin planifiée]]&lt;&gt;"",MONTH([[#This Row],[Fin planifiée]]),"")</f>
        <v>0</v>
      </c>
      <c r="AH470">
        <f>IF([[#This Row],[Fin planifiée]]&lt;&gt;"",YEAR([[#This Row],[Fin planifiée]]),"")</f>
        <v>0</v>
      </c>
      <c r="AI4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0">
        <f>IF(AND([[#This Row],Statut]="Terminé",[[#This Row],[Fin réelle]]&lt;&gt;""),IF([[#This Row],[Fin réelle]]&lt;=[[#This Row],[Fin planifiée]],"Oui","Non"),"")</f>
        <v>0</v>
      </c>
    </row>
    <row r="471" spans="13:36" ht="20" customHeight="1">
      <c r="M471">
        <f>IF(AND([[#This Row],Début]&lt;&gt;"",[[#This Row],[Fin planifiée]]&lt;&gt;""),[[#This Row],[Fin planifiée]]-[[#This Row],Début]+1,"")</f>
        <v>0</v>
      </c>
      <c r="N471">
        <f>IF(AND([[#This Row],Début]&lt;&gt;"",[[#This Row],[Fin réelle]]&lt;&gt;""),[[#This Row],[Fin réelle]]-[[#This Row],Début]+1,"")</f>
        <v>0</v>
      </c>
      <c r="S471">
        <f>[[#This Row],[Budget réalisé]]-[[#This Row],[Budget prévu]]</f>
        <v>0</v>
      </c>
      <c r="T471">
        <f>IF(OR([[#This Row],[Budget prévu]]="",[[#This Row],[Budget réalisé]]=""),"",IF([[#This Row],[Écart (€)]]=0,"À l'équilibre",IF([[#This Row],[Écart (€)]]&gt;0,"Dépassement","Sous budget")))</f>
        <v>0</v>
      </c>
      <c r="W471">
        <f>[[#This Row],[Risque – Probabilité (1-5)]]*[[#This Row],[Risque – Sévérité (1-5)]]</f>
        <v>0</v>
      </c>
      <c r="AC471">
        <f>IF([[#This Row],Effort (jours)]&gt;0,[[#This Row],[Reach (pers.)]]*[[#This Row],[Impact (1-5)]]*[[#This Row],[Confidence (0-1)]]/[[#This Row],[Effort (jours)]],"")</f>
        <v>0</v>
      </c>
      <c r="AG471">
        <f>IF([[#This Row],[Fin planifiée]]&lt;&gt;"",MONTH([[#This Row],[Fin planifiée]]),"")</f>
        <v>0</v>
      </c>
      <c r="AH471">
        <f>IF([[#This Row],[Fin planifiée]]&lt;&gt;"",YEAR([[#This Row],[Fin planifiée]]),"")</f>
        <v>0</v>
      </c>
      <c r="AI4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1">
        <f>IF(AND([[#This Row],Statut]="Terminé",[[#This Row],[Fin réelle]]&lt;&gt;""),IF([[#This Row],[Fin réelle]]&lt;=[[#This Row],[Fin planifiée]],"Oui","Non"),"")</f>
        <v>0</v>
      </c>
    </row>
    <row r="472" spans="13:36" ht="20" customHeight="1">
      <c r="M472">
        <f>IF(AND([[#This Row],Début]&lt;&gt;"",[[#This Row],[Fin planifiée]]&lt;&gt;""),[[#This Row],[Fin planifiée]]-[[#This Row],Début]+1,"")</f>
        <v>0</v>
      </c>
      <c r="N472">
        <f>IF(AND([[#This Row],Début]&lt;&gt;"",[[#This Row],[Fin réelle]]&lt;&gt;""),[[#This Row],[Fin réelle]]-[[#This Row],Début]+1,"")</f>
        <v>0</v>
      </c>
      <c r="S472">
        <f>[[#This Row],[Budget réalisé]]-[[#This Row],[Budget prévu]]</f>
        <v>0</v>
      </c>
      <c r="T472">
        <f>IF(OR([[#This Row],[Budget prévu]]="",[[#This Row],[Budget réalisé]]=""),"",IF([[#This Row],[Écart (€)]]=0,"À l'équilibre",IF([[#This Row],[Écart (€)]]&gt;0,"Dépassement","Sous budget")))</f>
        <v>0</v>
      </c>
      <c r="W472">
        <f>[[#This Row],[Risque – Probabilité (1-5)]]*[[#This Row],[Risque – Sévérité (1-5)]]</f>
        <v>0</v>
      </c>
      <c r="AC472">
        <f>IF([[#This Row],Effort (jours)]&gt;0,[[#This Row],[Reach (pers.)]]*[[#This Row],[Impact (1-5)]]*[[#This Row],[Confidence (0-1)]]/[[#This Row],[Effort (jours)]],"")</f>
        <v>0</v>
      </c>
      <c r="AG472">
        <f>IF([[#This Row],[Fin planifiée]]&lt;&gt;"",MONTH([[#This Row],[Fin planifiée]]),"")</f>
        <v>0</v>
      </c>
      <c r="AH472">
        <f>IF([[#This Row],[Fin planifiée]]&lt;&gt;"",YEAR([[#This Row],[Fin planifiée]]),"")</f>
        <v>0</v>
      </c>
      <c r="AI4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2">
        <f>IF(AND([[#This Row],Statut]="Terminé",[[#This Row],[Fin réelle]]&lt;&gt;""),IF([[#This Row],[Fin réelle]]&lt;=[[#This Row],[Fin planifiée]],"Oui","Non"),"")</f>
        <v>0</v>
      </c>
    </row>
    <row r="473" spans="13:36" ht="20" customHeight="1">
      <c r="M473">
        <f>IF(AND([[#This Row],Début]&lt;&gt;"",[[#This Row],[Fin planifiée]]&lt;&gt;""),[[#This Row],[Fin planifiée]]-[[#This Row],Début]+1,"")</f>
        <v>0</v>
      </c>
      <c r="N473">
        <f>IF(AND([[#This Row],Début]&lt;&gt;"",[[#This Row],[Fin réelle]]&lt;&gt;""),[[#This Row],[Fin réelle]]-[[#This Row],Début]+1,"")</f>
        <v>0</v>
      </c>
      <c r="S473">
        <f>[[#This Row],[Budget réalisé]]-[[#This Row],[Budget prévu]]</f>
        <v>0</v>
      </c>
      <c r="T473">
        <f>IF(OR([[#This Row],[Budget prévu]]="",[[#This Row],[Budget réalisé]]=""),"",IF([[#This Row],[Écart (€)]]=0,"À l'équilibre",IF([[#This Row],[Écart (€)]]&gt;0,"Dépassement","Sous budget")))</f>
        <v>0</v>
      </c>
      <c r="W473">
        <f>[[#This Row],[Risque – Probabilité (1-5)]]*[[#This Row],[Risque – Sévérité (1-5)]]</f>
        <v>0</v>
      </c>
      <c r="AC473">
        <f>IF([[#This Row],Effort (jours)]&gt;0,[[#This Row],[Reach (pers.)]]*[[#This Row],[Impact (1-5)]]*[[#This Row],[Confidence (0-1)]]/[[#This Row],[Effort (jours)]],"")</f>
        <v>0</v>
      </c>
      <c r="AG473">
        <f>IF([[#This Row],[Fin planifiée]]&lt;&gt;"",MONTH([[#This Row],[Fin planifiée]]),"")</f>
        <v>0</v>
      </c>
      <c r="AH473">
        <f>IF([[#This Row],[Fin planifiée]]&lt;&gt;"",YEAR([[#This Row],[Fin planifiée]]),"")</f>
        <v>0</v>
      </c>
      <c r="AI4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3">
        <f>IF(AND([[#This Row],Statut]="Terminé",[[#This Row],[Fin réelle]]&lt;&gt;""),IF([[#This Row],[Fin réelle]]&lt;=[[#This Row],[Fin planifiée]],"Oui","Non"),"")</f>
        <v>0</v>
      </c>
    </row>
    <row r="474" spans="13:36" ht="20" customHeight="1">
      <c r="M474">
        <f>IF(AND([[#This Row],Début]&lt;&gt;"",[[#This Row],[Fin planifiée]]&lt;&gt;""),[[#This Row],[Fin planifiée]]-[[#This Row],Début]+1,"")</f>
        <v>0</v>
      </c>
      <c r="N474">
        <f>IF(AND([[#This Row],Début]&lt;&gt;"",[[#This Row],[Fin réelle]]&lt;&gt;""),[[#This Row],[Fin réelle]]-[[#This Row],Début]+1,"")</f>
        <v>0</v>
      </c>
      <c r="S474">
        <f>[[#This Row],[Budget réalisé]]-[[#This Row],[Budget prévu]]</f>
        <v>0</v>
      </c>
      <c r="T474">
        <f>IF(OR([[#This Row],[Budget prévu]]="",[[#This Row],[Budget réalisé]]=""),"",IF([[#This Row],[Écart (€)]]=0,"À l'équilibre",IF([[#This Row],[Écart (€)]]&gt;0,"Dépassement","Sous budget")))</f>
        <v>0</v>
      </c>
      <c r="W474">
        <f>[[#This Row],[Risque – Probabilité (1-5)]]*[[#This Row],[Risque – Sévérité (1-5)]]</f>
        <v>0</v>
      </c>
      <c r="AC474">
        <f>IF([[#This Row],Effort (jours)]&gt;0,[[#This Row],[Reach (pers.)]]*[[#This Row],[Impact (1-5)]]*[[#This Row],[Confidence (0-1)]]/[[#This Row],[Effort (jours)]],"")</f>
        <v>0</v>
      </c>
      <c r="AG474">
        <f>IF([[#This Row],[Fin planifiée]]&lt;&gt;"",MONTH([[#This Row],[Fin planifiée]]),"")</f>
        <v>0</v>
      </c>
      <c r="AH474">
        <f>IF([[#This Row],[Fin planifiée]]&lt;&gt;"",YEAR([[#This Row],[Fin planifiée]]),"")</f>
        <v>0</v>
      </c>
      <c r="AI4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4">
        <f>IF(AND([[#This Row],Statut]="Terminé",[[#This Row],[Fin réelle]]&lt;&gt;""),IF([[#This Row],[Fin réelle]]&lt;=[[#This Row],[Fin planifiée]],"Oui","Non"),"")</f>
        <v>0</v>
      </c>
    </row>
    <row r="475" spans="13:36" ht="20" customHeight="1">
      <c r="M475">
        <f>IF(AND([[#This Row],Début]&lt;&gt;"",[[#This Row],[Fin planifiée]]&lt;&gt;""),[[#This Row],[Fin planifiée]]-[[#This Row],Début]+1,"")</f>
        <v>0</v>
      </c>
      <c r="N475">
        <f>IF(AND([[#This Row],Début]&lt;&gt;"",[[#This Row],[Fin réelle]]&lt;&gt;""),[[#This Row],[Fin réelle]]-[[#This Row],Début]+1,"")</f>
        <v>0</v>
      </c>
      <c r="S475">
        <f>[[#This Row],[Budget réalisé]]-[[#This Row],[Budget prévu]]</f>
        <v>0</v>
      </c>
      <c r="T475">
        <f>IF(OR([[#This Row],[Budget prévu]]="",[[#This Row],[Budget réalisé]]=""),"",IF([[#This Row],[Écart (€)]]=0,"À l'équilibre",IF([[#This Row],[Écart (€)]]&gt;0,"Dépassement","Sous budget")))</f>
        <v>0</v>
      </c>
      <c r="W475">
        <f>[[#This Row],[Risque – Probabilité (1-5)]]*[[#This Row],[Risque – Sévérité (1-5)]]</f>
        <v>0</v>
      </c>
      <c r="AC475">
        <f>IF([[#This Row],Effort (jours)]&gt;0,[[#This Row],[Reach (pers.)]]*[[#This Row],[Impact (1-5)]]*[[#This Row],[Confidence (0-1)]]/[[#This Row],[Effort (jours)]],"")</f>
        <v>0</v>
      </c>
      <c r="AG475">
        <f>IF([[#This Row],[Fin planifiée]]&lt;&gt;"",MONTH([[#This Row],[Fin planifiée]]),"")</f>
        <v>0</v>
      </c>
      <c r="AH475">
        <f>IF([[#This Row],[Fin planifiée]]&lt;&gt;"",YEAR([[#This Row],[Fin planifiée]]),"")</f>
        <v>0</v>
      </c>
      <c r="AI4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5">
        <f>IF(AND([[#This Row],Statut]="Terminé",[[#This Row],[Fin réelle]]&lt;&gt;""),IF([[#This Row],[Fin réelle]]&lt;=[[#This Row],[Fin planifiée]],"Oui","Non"),"")</f>
        <v>0</v>
      </c>
    </row>
    <row r="476" spans="13:36" ht="20" customHeight="1">
      <c r="M476">
        <f>IF(AND([[#This Row],Début]&lt;&gt;"",[[#This Row],[Fin planifiée]]&lt;&gt;""),[[#This Row],[Fin planifiée]]-[[#This Row],Début]+1,"")</f>
        <v>0</v>
      </c>
      <c r="N476">
        <f>IF(AND([[#This Row],Début]&lt;&gt;"",[[#This Row],[Fin réelle]]&lt;&gt;""),[[#This Row],[Fin réelle]]-[[#This Row],Début]+1,"")</f>
        <v>0</v>
      </c>
      <c r="S476">
        <f>[[#This Row],[Budget réalisé]]-[[#This Row],[Budget prévu]]</f>
        <v>0</v>
      </c>
      <c r="T476">
        <f>IF(OR([[#This Row],[Budget prévu]]="",[[#This Row],[Budget réalisé]]=""),"",IF([[#This Row],[Écart (€)]]=0,"À l'équilibre",IF([[#This Row],[Écart (€)]]&gt;0,"Dépassement","Sous budget")))</f>
        <v>0</v>
      </c>
      <c r="W476">
        <f>[[#This Row],[Risque – Probabilité (1-5)]]*[[#This Row],[Risque – Sévérité (1-5)]]</f>
        <v>0</v>
      </c>
      <c r="AC476">
        <f>IF([[#This Row],Effort (jours)]&gt;0,[[#This Row],[Reach (pers.)]]*[[#This Row],[Impact (1-5)]]*[[#This Row],[Confidence (0-1)]]/[[#This Row],[Effort (jours)]],"")</f>
        <v>0</v>
      </c>
      <c r="AG476">
        <f>IF([[#This Row],[Fin planifiée]]&lt;&gt;"",MONTH([[#This Row],[Fin planifiée]]),"")</f>
        <v>0</v>
      </c>
      <c r="AH476">
        <f>IF([[#This Row],[Fin planifiée]]&lt;&gt;"",YEAR([[#This Row],[Fin planifiée]]),"")</f>
        <v>0</v>
      </c>
      <c r="AI4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6">
        <f>IF(AND([[#This Row],Statut]="Terminé",[[#This Row],[Fin réelle]]&lt;&gt;""),IF([[#This Row],[Fin réelle]]&lt;=[[#This Row],[Fin planifiée]],"Oui","Non"),"")</f>
        <v>0</v>
      </c>
    </row>
    <row r="477" spans="13:36" ht="20" customHeight="1">
      <c r="M477">
        <f>IF(AND([[#This Row],Début]&lt;&gt;"",[[#This Row],[Fin planifiée]]&lt;&gt;""),[[#This Row],[Fin planifiée]]-[[#This Row],Début]+1,"")</f>
        <v>0</v>
      </c>
      <c r="N477">
        <f>IF(AND([[#This Row],Début]&lt;&gt;"",[[#This Row],[Fin réelle]]&lt;&gt;""),[[#This Row],[Fin réelle]]-[[#This Row],Début]+1,"")</f>
        <v>0</v>
      </c>
      <c r="S477">
        <f>[[#This Row],[Budget réalisé]]-[[#This Row],[Budget prévu]]</f>
        <v>0</v>
      </c>
      <c r="T477">
        <f>IF(OR([[#This Row],[Budget prévu]]="",[[#This Row],[Budget réalisé]]=""),"",IF([[#This Row],[Écart (€)]]=0,"À l'équilibre",IF([[#This Row],[Écart (€)]]&gt;0,"Dépassement","Sous budget")))</f>
        <v>0</v>
      </c>
      <c r="W477">
        <f>[[#This Row],[Risque – Probabilité (1-5)]]*[[#This Row],[Risque – Sévérité (1-5)]]</f>
        <v>0</v>
      </c>
      <c r="AC477">
        <f>IF([[#This Row],Effort (jours)]&gt;0,[[#This Row],[Reach (pers.)]]*[[#This Row],[Impact (1-5)]]*[[#This Row],[Confidence (0-1)]]/[[#This Row],[Effort (jours)]],"")</f>
        <v>0</v>
      </c>
      <c r="AG477">
        <f>IF([[#This Row],[Fin planifiée]]&lt;&gt;"",MONTH([[#This Row],[Fin planifiée]]),"")</f>
        <v>0</v>
      </c>
      <c r="AH477">
        <f>IF([[#This Row],[Fin planifiée]]&lt;&gt;"",YEAR([[#This Row],[Fin planifiée]]),"")</f>
        <v>0</v>
      </c>
      <c r="AI4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7">
        <f>IF(AND([[#This Row],Statut]="Terminé",[[#This Row],[Fin réelle]]&lt;&gt;""),IF([[#This Row],[Fin réelle]]&lt;=[[#This Row],[Fin planifiée]],"Oui","Non"),"")</f>
        <v>0</v>
      </c>
    </row>
    <row r="478" spans="13:36" ht="20" customHeight="1">
      <c r="M478">
        <f>IF(AND([[#This Row],Début]&lt;&gt;"",[[#This Row],[Fin planifiée]]&lt;&gt;""),[[#This Row],[Fin planifiée]]-[[#This Row],Début]+1,"")</f>
        <v>0</v>
      </c>
      <c r="N478">
        <f>IF(AND([[#This Row],Début]&lt;&gt;"",[[#This Row],[Fin réelle]]&lt;&gt;""),[[#This Row],[Fin réelle]]-[[#This Row],Début]+1,"")</f>
        <v>0</v>
      </c>
      <c r="S478">
        <f>[[#This Row],[Budget réalisé]]-[[#This Row],[Budget prévu]]</f>
        <v>0</v>
      </c>
      <c r="T478">
        <f>IF(OR([[#This Row],[Budget prévu]]="",[[#This Row],[Budget réalisé]]=""),"",IF([[#This Row],[Écart (€)]]=0,"À l'équilibre",IF([[#This Row],[Écart (€)]]&gt;0,"Dépassement","Sous budget")))</f>
        <v>0</v>
      </c>
      <c r="W478">
        <f>[[#This Row],[Risque – Probabilité (1-5)]]*[[#This Row],[Risque – Sévérité (1-5)]]</f>
        <v>0</v>
      </c>
      <c r="AC478">
        <f>IF([[#This Row],Effort (jours)]&gt;0,[[#This Row],[Reach (pers.)]]*[[#This Row],[Impact (1-5)]]*[[#This Row],[Confidence (0-1)]]/[[#This Row],[Effort (jours)]],"")</f>
        <v>0</v>
      </c>
      <c r="AG478">
        <f>IF([[#This Row],[Fin planifiée]]&lt;&gt;"",MONTH([[#This Row],[Fin planifiée]]),"")</f>
        <v>0</v>
      </c>
      <c r="AH478">
        <f>IF([[#This Row],[Fin planifiée]]&lt;&gt;"",YEAR([[#This Row],[Fin planifiée]]),"")</f>
        <v>0</v>
      </c>
      <c r="AI4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8">
        <f>IF(AND([[#This Row],Statut]="Terminé",[[#This Row],[Fin réelle]]&lt;&gt;""),IF([[#This Row],[Fin réelle]]&lt;=[[#This Row],[Fin planifiée]],"Oui","Non"),"")</f>
        <v>0</v>
      </c>
    </row>
    <row r="479" spans="13:36" ht="20" customHeight="1">
      <c r="M479">
        <f>IF(AND([[#This Row],Début]&lt;&gt;"",[[#This Row],[Fin planifiée]]&lt;&gt;""),[[#This Row],[Fin planifiée]]-[[#This Row],Début]+1,"")</f>
        <v>0</v>
      </c>
      <c r="N479">
        <f>IF(AND([[#This Row],Début]&lt;&gt;"",[[#This Row],[Fin réelle]]&lt;&gt;""),[[#This Row],[Fin réelle]]-[[#This Row],Début]+1,"")</f>
        <v>0</v>
      </c>
      <c r="S479">
        <f>[[#This Row],[Budget réalisé]]-[[#This Row],[Budget prévu]]</f>
        <v>0</v>
      </c>
      <c r="T479">
        <f>IF(OR([[#This Row],[Budget prévu]]="",[[#This Row],[Budget réalisé]]=""),"",IF([[#This Row],[Écart (€)]]=0,"À l'équilibre",IF([[#This Row],[Écart (€)]]&gt;0,"Dépassement","Sous budget")))</f>
        <v>0</v>
      </c>
      <c r="W479">
        <f>[[#This Row],[Risque – Probabilité (1-5)]]*[[#This Row],[Risque – Sévérité (1-5)]]</f>
        <v>0</v>
      </c>
      <c r="AC479">
        <f>IF([[#This Row],Effort (jours)]&gt;0,[[#This Row],[Reach (pers.)]]*[[#This Row],[Impact (1-5)]]*[[#This Row],[Confidence (0-1)]]/[[#This Row],[Effort (jours)]],"")</f>
        <v>0</v>
      </c>
      <c r="AG479">
        <f>IF([[#This Row],[Fin planifiée]]&lt;&gt;"",MONTH([[#This Row],[Fin planifiée]]),"")</f>
        <v>0</v>
      </c>
      <c r="AH479">
        <f>IF([[#This Row],[Fin planifiée]]&lt;&gt;"",YEAR([[#This Row],[Fin planifiée]]),"")</f>
        <v>0</v>
      </c>
      <c r="AI4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79">
        <f>IF(AND([[#This Row],Statut]="Terminé",[[#This Row],[Fin réelle]]&lt;&gt;""),IF([[#This Row],[Fin réelle]]&lt;=[[#This Row],[Fin planifiée]],"Oui","Non"),"")</f>
        <v>0</v>
      </c>
    </row>
    <row r="480" spans="13:36" ht="20" customHeight="1">
      <c r="M480">
        <f>IF(AND([[#This Row],Début]&lt;&gt;"",[[#This Row],[Fin planifiée]]&lt;&gt;""),[[#This Row],[Fin planifiée]]-[[#This Row],Début]+1,"")</f>
        <v>0</v>
      </c>
      <c r="N480">
        <f>IF(AND([[#This Row],Début]&lt;&gt;"",[[#This Row],[Fin réelle]]&lt;&gt;""),[[#This Row],[Fin réelle]]-[[#This Row],Début]+1,"")</f>
        <v>0</v>
      </c>
      <c r="S480">
        <f>[[#This Row],[Budget réalisé]]-[[#This Row],[Budget prévu]]</f>
        <v>0</v>
      </c>
      <c r="T480">
        <f>IF(OR([[#This Row],[Budget prévu]]="",[[#This Row],[Budget réalisé]]=""),"",IF([[#This Row],[Écart (€)]]=0,"À l'équilibre",IF([[#This Row],[Écart (€)]]&gt;0,"Dépassement","Sous budget")))</f>
        <v>0</v>
      </c>
      <c r="W480">
        <f>[[#This Row],[Risque – Probabilité (1-5)]]*[[#This Row],[Risque – Sévérité (1-5)]]</f>
        <v>0</v>
      </c>
      <c r="AC480">
        <f>IF([[#This Row],Effort (jours)]&gt;0,[[#This Row],[Reach (pers.)]]*[[#This Row],[Impact (1-5)]]*[[#This Row],[Confidence (0-1)]]/[[#This Row],[Effort (jours)]],"")</f>
        <v>0</v>
      </c>
      <c r="AG480">
        <f>IF([[#This Row],[Fin planifiée]]&lt;&gt;"",MONTH([[#This Row],[Fin planifiée]]),"")</f>
        <v>0</v>
      </c>
      <c r="AH480">
        <f>IF([[#This Row],[Fin planifiée]]&lt;&gt;"",YEAR([[#This Row],[Fin planifiée]]),"")</f>
        <v>0</v>
      </c>
      <c r="AI4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0">
        <f>IF(AND([[#This Row],Statut]="Terminé",[[#This Row],[Fin réelle]]&lt;&gt;""),IF([[#This Row],[Fin réelle]]&lt;=[[#This Row],[Fin planifiée]],"Oui","Non"),"")</f>
        <v>0</v>
      </c>
    </row>
    <row r="481" spans="13:36" ht="20" customHeight="1">
      <c r="M481">
        <f>IF(AND([[#This Row],Début]&lt;&gt;"",[[#This Row],[Fin planifiée]]&lt;&gt;""),[[#This Row],[Fin planifiée]]-[[#This Row],Début]+1,"")</f>
        <v>0</v>
      </c>
      <c r="N481">
        <f>IF(AND([[#This Row],Début]&lt;&gt;"",[[#This Row],[Fin réelle]]&lt;&gt;""),[[#This Row],[Fin réelle]]-[[#This Row],Début]+1,"")</f>
        <v>0</v>
      </c>
      <c r="S481">
        <f>[[#This Row],[Budget réalisé]]-[[#This Row],[Budget prévu]]</f>
        <v>0</v>
      </c>
      <c r="T481">
        <f>IF(OR([[#This Row],[Budget prévu]]="",[[#This Row],[Budget réalisé]]=""),"",IF([[#This Row],[Écart (€)]]=0,"À l'équilibre",IF([[#This Row],[Écart (€)]]&gt;0,"Dépassement","Sous budget")))</f>
        <v>0</v>
      </c>
      <c r="W481">
        <f>[[#This Row],[Risque – Probabilité (1-5)]]*[[#This Row],[Risque – Sévérité (1-5)]]</f>
        <v>0</v>
      </c>
      <c r="AC481">
        <f>IF([[#This Row],Effort (jours)]&gt;0,[[#This Row],[Reach (pers.)]]*[[#This Row],[Impact (1-5)]]*[[#This Row],[Confidence (0-1)]]/[[#This Row],[Effort (jours)]],"")</f>
        <v>0</v>
      </c>
      <c r="AG481">
        <f>IF([[#This Row],[Fin planifiée]]&lt;&gt;"",MONTH([[#This Row],[Fin planifiée]]),"")</f>
        <v>0</v>
      </c>
      <c r="AH481">
        <f>IF([[#This Row],[Fin planifiée]]&lt;&gt;"",YEAR([[#This Row],[Fin planifiée]]),"")</f>
        <v>0</v>
      </c>
      <c r="AI4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1">
        <f>IF(AND([[#This Row],Statut]="Terminé",[[#This Row],[Fin réelle]]&lt;&gt;""),IF([[#This Row],[Fin réelle]]&lt;=[[#This Row],[Fin planifiée]],"Oui","Non"),"")</f>
        <v>0</v>
      </c>
    </row>
    <row r="482" spans="13:36" ht="20" customHeight="1">
      <c r="M482">
        <f>IF(AND([[#This Row],Début]&lt;&gt;"",[[#This Row],[Fin planifiée]]&lt;&gt;""),[[#This Row],[Fin planifiée]]-[[#This Row],Début]+1,"")</f>
        <v>0</v>
      </c>
      <c r="N482">
        <f>IF(AND([[#This Row],Début]&lt;&gt;"",[[#This Row],[Fin réelle]]&lt;&gt;""),[[#This Row],[Fin réelle]]-[[#This Row],Début]+1,"")</f>
        <v>0</v>
      </c>
      <c r="S482">
        <f>[[#This Row],[Budget réalisé]]-[[#This Row],[Budget prévu]]</f>
        <v>0</v>
      </c>
      <c r="T482">
        <f>IF(OR([[#This Row],[Budget prévu]]="",[[#This Row],[Budget réalisé]]=""),"",IF([[#This Row],[Écart (€)]]=0,"À l'équilibre",IF([[#This Row],[Écart (€)]]&gt;0,"Dépassement","Sous budget")))</f>
        <v>0</v>
      </c>
      <c r="W482">
        <f>[[#This Row],[Risque – Probabilité (1-5)]]*[[#This Row],[Risque – Sévérité (1-5)]]</f>
        <v>0</v>
      </c>
      <c r="AC482">
        <f>IF([[#This Row],Effort (jours)]&gt;0,[[#This Row],[Reach (pers.)]]*[[#This Row],[Impact (1-5)]]*[[#This Row],[Confidence (0-1)]]/[[#This Row],[Effort (jours)]],"")</f>
        <v>0</v>
      </c>
      <c r="AG482">
        <f>IF([[#This Row],[Fin planifiée]]&lt;&gt;"",MONTH([[#This Row],[Fin planifiée]]),"")</f>
        <v>0</v>
      </c>
      <c r="AH482">
        <f>IF([[#This Row],[Fin planifiée]]&lt;&gt;"",YEAR([[#This Row],[Fin planifiée]]),"")</f>
        <v>0</v>
      </c>
      <c r="AI4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2">
        <f>IF(AND([[#This Row],Statut]="Terminé",[[#This Row],[Fin réelle]]&lt;&gt;""),IF([[#This Row],[Fin réelle]]&lt;=[[#This Row],[Fin planifiée]],"Oui","Non"),"")</f>
        <v>0</v>
      </c>
    </row>
    <row r="483" spans="13:36" ht="20" customHeight="1">
      <c r="M483">
        <f>IF(AND([[#This Row],Début]&lt;&gt;"",[[#This Row],[Fin planifiée]]&lt;&gt;""),[[#This Row],[Fin planifiée]]-[[#This Row],Début]+1,"")</f>
        <v>0</v>
      </c>
      <c r="N483">
        <f>IF(AND([[#This Row],Début]&lt;&gt;"",[[#This Row],[Fin réelle]]&lt;&gt;""),[[#This Row],[Fin réelle]]-[[#This Row],Début]+1,"")</f>
        <v>0</v>
      </c>
      <c r="S483">
        <f>[[#This Row],[Budget réalisé]]-[[#This Row],[Budget prévu]]</f>
        <v>0</v>
      </c>
      <c r="T483">
        <f>IF(OR([[#This Row],[Budget prévu]]="",[[#This Row],[Budget réalisé]]=""),"",IF([[#This Row],[Écart (€)]]=0,"À l'équilibre",IF([[#This Row],[Écart (€)]]&gt;0,"Dépassement","Sous budget")))</f>
        <v>0</v>
      </c>
      <c r="W483">
        <f>[[#This Row],[Risque – Probabilité (1-5)]]*[[#This Row],[Risque – Sévérité (1-5)]]</f>
        <v>0</v>
      </c>
      <c r="AC483">
        <f>IF([[#This Row],Effort (jours)]&gt;0,[[#This Row],[Reach (pers.)]]*[[#This Row],[Impact (1-5)]]*[[#This Row],[Confidence (0-1)]]/[[#This Row],[Effort (jours)]],"")</f>
        <v>0</v>
      </c>
      <c r="AG483">
        <f>IF([[#This Row],[Fin planifiée]]&lt;&gt;"",MONTH([[#This Row],[Fin planifiée]]),"")</f>
        <v>0</v>
      </c>
      <c r="AH483">
        <f>IF([[#This Row],[Fin planifiée]]&lt;&gt;"",YEAR([[#This Row],[Fin planifiée]]),"")</f>
        <v>0</v>
      </c>
      <c r="AI4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3">
        <f>IF(AND([[#This Row],Statut]="Terminé",[[#This Row],[Fin réelle]]&lt;&gt;""),IF([[#This Row],[Fin réelle]]&lt;=[[#This Row],[Fin planifiée]],"Oui","Non"),"")</f>
        <v>0</v>
      </c>
    </row>
    <row r="484" spans="13:36" ht="20" customHeight="1">
      <c r="M484">
        <f>IF(AND([[#This Row],Début]&lt;&gt;"",[[#This Row],[Fin planifiée]]&lt;&gt;""),[[#This Row],[Fin planifiée]]-[[#This Row],Début]+1,"")</f>
        <v>0</v>
      </c>
      <c r="N484">
        <f>IF(AND([[#This Row],Début]&lt;&gt;"",[[#This Row],[Fin réelle]]&lt;&gt;""),[[#This Row],[Fin réelle]]-[[#This Row],Début]+1,"")</f>
        <v>0</v>
      </c>
      <c r="S484">
        <f>[[#This Row],[Budget réalisé]]-[[#This Row],[Budget prévu]]</f>
        <v>0</v>
      </c>
      <c r="T484">
        <f>IF(OR([[#This Row],[Budget prévu]]="",[[#This Row],[Budget réalisé]]=""),"",IF([[#This Row],[Écart (€)]]=0,"À l'équilibre",IF([[#This Row],[Écart (€)]]&gt;0,"Dépassement","Sous budget")))</f>
        <v>0</v>
      </c>
      <c r="W484">
        <f>[[#This Row],[Risque – Probabilité (1-5)]]*[[#This Row],[Risque – Sévérité (1-5)]]</f>
        <v>0</v>
      </c>
      <c r="AC484">
        <f>IF([[#This Row],Effort (jours)]&gt;0,[[#This Row],[Reach (pers.)]]*[[#This Row],[Impact (1-5)]]*[[#This Row],[Confidence (0-1)]]/[[#This Row],[Effort (jours)]],"")</f>
        <v>0</v>
      </c>
      <c r="AG484">
        <f>IF([[#This Row],[Fin planifiée]]&lt;&gt;"",MONTH([[#This Row],[Fin planifiée]]),"")</f>
        <v>0</v>
      </c>
      <c r="AH484">
        <f>IF([[#This Row],[Fin planifiée]]&lt;&gt;"",YEAR([[#This Row],[Fin planifiée]]),"")</f>
        <v>0</v>
      </c>
      <c r="AI4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4">
        <f>IF(AND([[#This Row],Statut]="Terminé",[[#This Row],[Fin réelle]]&lt;&gt;""),IF([[#This Row],[Fin réelle]]&lt;=[[#This Row],[Fin planifiée]],"Oui","Non"),"")</f>
        <v>0</v>
      </c>
    </row>
    <row r="485" spans="13:36" ht="20" customHeight="1">
      <c r="M485">
        <f>IF(AND([[#This Row],Début]&lt;&gt;"",[[#This Row],[Fin planifiée]]&lt;&gt;""),[[#This Row],[Fin planifiée]]-[[#This Row],Début]+1,"")</f>
        <v>0</v>
      </c>
      <c r="N485">
        <f>IF(AND([[#This Row],Début]&lt;&gt;"",[[#This Row],[Fin réelle]]&lt;&gt;""),[[#This Row],[Fin réelle]]-[[#This Row],Début]+1,"")</f>
        <v>0</v>
      </c>
      <c r="S485">
        <f>[[#This Row],[Budget réalisé]]-[[#This Row],[Budget prévu]]</f>
        <v>0</v>
      </c>
      <c r="T485">
        <f>IF(OR([[#This Row],[Budget prévu]]="",[[#This Row],[Budget réalisé]]=""),"",IF([[#This Row],[Écart (€)]]=0,"À l'équilibre",IF([[#This Row],[Écart (€)]]&gt;0,"Dépassement","Sous budget")))</f>
        <v>0</v>
      </c>
      <c r="W485">
        <f>[[#This Row],[Risque – Probabilité (1-5)]]*[[#This Row],[Risque – Sévérité (1-5)]]</f>
        <v>0</v>
      </c>
      <c r="AC485">
        <f>IF([[#This Row],Effort (jours)]&gt;0,[[#This Row],[Reach (pers.)]]*[[#This Row],[Impact (1-5)]]*[[#This Row],[Confidence (0-1)]]/[[#This Row],[Effort (jours)]],"")</f>
        <v>0</v>
      </c>
      <c r="AG485">
        <f>IF([[#This Row],[Fin planifiée]]&lt;&gt;"",MONTH([[#This Row],[Fin planifiée]]),"")</f>
        <v>0</v>
      </c>
      <c r="AH485">
        <f>IF([[#This Row],[Fin planifiée]]&lt;&gt;"",YEAR([[#This Row],[Fin planifiée]]),"")</f>
        <v>0</v>
      </c>
      <c r="AI4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5">
        <f>IF(AND([[#This Row],Statut]="Terminé",[[#This Row],[Fin réelle]]&lt;&gt;""),IF([[#This Row],[Fin réelle]]&lt;=[[#This Row],[Fin planifiée]],"Oui","Non"),"")</f>
        <v>0</v>
      </c>
    </row>
    <row r="486" spans="13:36" ht="20" customHeight="1">
      <c r="M486">
        <f>IF(AND([[#This Row],Début]&lt;&gt;"",[[#This Row],[Fin planifiée]]&lt;&gt;""),[[#This Row],[Fin planifiée]]-[[#This Row],Début]+1,"")</f>
        <v>0</v>
      </c>
      <c r="N486">
        <f>IF(AND([[#This Row],Début]&lt;&gt;"",[[#This Row],[Fin réelle]]&lt;&gt;""),[[#This Row],[Fin réelle]]-[[#This Row],Début]+1,"")</f>
        <v>0</v>
      </c>
      <c r="S486">
        <f>[[#This Row],[Budget réalisé]]-[[#This Row],[Budget prévu]]</f>
        <v>0</v>
      </c>
      <c r="T486">
        <f>IF(OR([[#This Row],[Budget prévu]]="",[[#This Row],[Budget réalisé]]=""),"",IF([[#This Row],[Écart (€)]]=0,"À l'équilibre",IF([[#This Row],[Écart (€)]]&gt;0,"Dépassement","Sous budget")))</f>
        <v>0</v>
      </c>
      <c r="W486">
        <f>[[#This Row],[Risque – Probabilité (1-5)]]*[[#This Row],[Risque – Sévérité (1-5)]]</f>
        <v>0</v>
      </c>
      <c r="AC486">
        <f>IF([[#This Row],Effort (jours)]&gt;0,[[#This Row],[Reach (pers.)]]*[[#This Row],[Impact (1-5)]]*[[#This Row],[Confidence (0-1)]]/[[#This Row],[Effort (jours)]],"")</f>
        <v>0</v>
      </c>
      <c r="AG486">
        <f>IF([[#This Row],[Fin planifiée]]&lt;&gt;"",MONTH([[#This Row],[Fin planifiée]]),"")</f>
        <v>0</v>
      </c>
      <c r="AH486">
        <f>IF([[#This Row],[Fin planifiée]]&lt;&gt;"",YEAR([[#This Row],[Fin planifiée]]),"")</f>
        <v>0</v>
      </c>
      <c r="AI4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6">
        <f>IF(AND([[#This Row],Statut]="Terminé",[[#This Row],[Fin réelle]]&lt;&gt;""),IF([[#This Row],[Fin réelle]]&lt;=[[#This Row],[Fin planifiée]],"Oui","Non"),"")</f>
        <v>0</v>
      </c>
    </row>
    <row r="487" spans="13:36" ht="20" customHeight="1">
      <c r="M487">
        <f>IF(AND([[#This Row],Début]&lt;&gt;"",[[#This Row],[Fin planifiée]]&lt;&gt;""),[[#This Row],[Fin planifiée]]-[[#This Row],Début]+1,"")</f>
        <v>0</v>
      </c>
      <c r="N487">
        <f>IF(AND([[#This Row],Début]&lt;&gt;"",[[#This Row],[Fin réelle]]&lt;&gt;""),[[#This Row],[Fin réelle]]-[[#This Row],Début]+1,"")</f>
        <v>0</v>
      </c>
      <c r="S487">
        <f>[[#This Row],[Budget réalisé]]-[[#This Row],[Budget prévu]]</f>
        <v>0</v>
      </c>
      <c r="T487">
        <f>IF(OR([[#This Row],[Budget prévu]]="",[[#This Row],[Budget réalisé]]=""),"",IF([[#This Row],[Écart (€)]]=0,"À l'équilibre",IF([[#This Row],[Écart (€)]]&gt;0,"Dépassement","Sous budget")))</f>
        <v>0</v>
      </c>
      <c r="W487">
        <f>[[#This Row],[Risque – Probabilité (1-5)]]*[[#This Row],[Risque – Sévérité (1-5)]]</f>
        <v>0</v>
      </c>
      <c r="AC487">
        <f>IF([[#This Row],Effort (jours)]&gt;0,[[#This Row],[Reach (pers.)]]*[[#This Row],[Impact (1-5)]]*[[#This Row],[Confidence (0-1)]]/[[#This Row],[Effort (jours)]],"")</f>
        <v>0</v>
      </c>
      <c r="AG487">
        <f>IF([[#This Row],[Fin planifiée]]&lt;&gt;"",MONTH([[#This Row],[Fin planifiée]]),"")</f>
        <v>0</v>
      </c>
      <c r="AH487">
        <f>IF([[#This Row],[Fin planifiée]]&lt;&gt;"",YEAR([[#This Row],[Fin planifiée]]),"")</f>
        <v>0</v>
      </c>
      <c r="AI4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7">
        <f>IF(AND([[#This Row],Statut]="Terminé",[[#This Row],[Fin réelle]]&lt;&gt;""),IF([[#This Row],[Fin réelle]]&lt;=[[#This Row],[Fin planifiée]],"Oui","Non"),"")</f>
        <v>0</v>
      </c>
    </row>
    <row r="488" spans="13:36" ht="20" customHeight="1">
      <c r="M488">
        <f>IF(AND([[#This Row],Début]&lt;&gt;"",[[#This Row],[Fin planifiée]]&lt;&gt;""),[[#This Row],[Fin planifiée]]-[[#This Row],Début]+1,"")</f>
        <v>0</v>
      </c>
      <c r="N488">
        <f>IF(AND([[#This Row],Début]&lt;&gt;"",[[#This Row],[Fin réelle]]&lt;&gt;""),[[#This Row],[Fin réelle]]-[[#This Row],Début]+1,"")</f>
        <v>0</v>
      </c>
      <c r="S488">
        <f>[[#This Row],[Budget réalisé]]-[[#This Row],[Budget prévu]]</f>
        <v>0</v>
      </c>
      <c r="T488">
        <f>IF(OR([[#This Row],[Budget prévu]]="",[[#This Row],[Budget réalisé]]=""),"",IF([[#This Row],[Écart (€)]]=0,"À l'équilibre",IF([[#This Row],[Écart (€)]]&gt;0,"Dépassement","Sous budget")))</f>
        <v>0</v>
      </c>
      <c r="W488">
        <f>[[#This Row],[Risque – Probabilité (1-5)]]*[[#This Row],[Risque – Sévérité (1-5)]]</f>
        <v>0</v>
      </c>
      <c r="AC488">
        <f>IF([[#This Row],Effort (jours)]&gt;0,[[#This Row],[Reach (pers.)]]*[[#This Row],[Impact (1-5)]]*[[#This Row],[Confidence (0-1)]]/[[#This Row],[Effort (jours)]],"")</f>
        <v>0</v>
      </c>
      <c r="AG488">
        <f>IF([[#This Row],[Fin planifiée]]&lt;&gt;"",MONTH([[#This Row],[Fin planifiée]]),"")</f>
        <v>0</v>
      </c>
      <c r="AH488">
        <f>IF([[#This Row],[Fin planifiée]]&lt;&gt;"",YEAR([[#This Row],[Fin planifiée]]),"")</f>
        <v>0</v>
      </c>
      <c r="AI4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8">
        <f>IF(AND([[#This Row],Statut]="Terminé",[[#This Row],[Fin réelle]]&lt;&gt;""),IF([[#This Row],[Fin réelle]]&lt;=[[#This Row],[Fin planifiée]],"Oui","Non"),"")</f>
        <v>0</v>
      </c>
    </row>
    <row r="489" spans="13:36" ht="20" customHeight="1">
      <c r="M489">
        <f>IF(AND([[#This Row],Début]&lt;&gt;"",[[#This Row],[Fin planifiée]]&lt;&gt;""),[[#This Row],[Fin planifiée]]-[[#This Row],Début]+1,"")</f>
        <v>0</v>
      </c>
      <c r="N489">
        <f>IF(AND([[#This Row],Début]&lt;&gt;"",[[#This Row],[Fin réelle]]&lt;&gt;""),[[#This Row],[Fin réelle]]-[[#This Row],Début]+1,"")</f>
        <v>0</v>
      </c>
      <c r="S489">
        <f>[[#This Row],[Budget réalisé]]-[[#This Row],[Budget prévu]]</f>
        <v>0</v>
      </c>
      <c r="T489">
        <f>IF(OR([[#This Row],[Budget prévu]]="",[[#This Row],[Budget réalisé]]=""),"",IF([[#This Row],[Écart (€)]]=0,"À l'équilibre",IF([[#This Row],[Écart (€)]]&gt;0,"Dépassement","Sous budget")))</f>
        <v>0</v>
      </c>
      <c r="W489">
        <f>[[#This Row],[Risque – Probabilité (1-5)]]*[[#This Row],[Risque – Sévérité (1-5)]]</f>
        <v>0</v>
      </c>
      <c r="AC489">
        <f>IF([[#This Row],Effort (jours)]&gt;0,[[#This Row],[Reach (pers.)]]*[[#This Row],[Impact (1-5)]]*[[#This Row],[Confidence (0-1)]]/[[#This Row],[Effort (jours)]],"")</f>
        <v>0</v>
      </c>
      <c r="AG489">
        <f>IF([[#This Row],[Fin planifiée]]&lt;&gt;"",MONTH([[#This Row],[Fin planifiée]]),"")</f>
        <v>0</v>
      </c>
      <c r="AH489">
        <f>IF([[#This Row],[Fin planifiée]]&lt;&gt;"",YEAR([[#This Row],[Fin planifiée]]),"")</f>
        <v>0</v>
      </c>
      <c r="AI4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89">
        <f>IF(AND([[#This Row],Statut]="Terminé",[[#This Row],[Fin réelle]]&lt;&gt;""),IF([[#This Row],[Fin réelle]]&lt;=[[#This Row],[Fin planifiée]],"Oui","Non"),"")</f>
        <v>0</v>
      </c>
    </row>
    <row r="490" spans="13:36" ht="20" customHeight="1">
      <c r="M490">
        <f>IF(AND([[#This Row],Début]&lt;&gt;"",[[#This Row],[Fin planifiée]]&lt;&gt;""),[[#This Row],[Fin planifiée]]-[[#This Row],Début]+1,"")</f>
        <v>0</v>
      </c>
      <c r="N490">
        <f>IF(AND([[#This Row],Début]&lt;&gt;"",[[#This Row],[Fin réelle]]&lt;&gt;""),[[#This Row],[Fin réelle]]-[[#This Row],Début]+1,"")</f>
        <v>0</v>
      </c>
      <c r="S490">
        <f>[[#This Row],[Budget réalisé]]-[[#This Row],[Budget prévu]]</f>
        <v>0</v>
      </c>
      <c r="T490">
        <f>IF(OR([[#This Row],[Budget prévu]]="",[[#This Row],[Budget réalisé]]=""),"",IF([[#This Row],[Écart (€)]]=0,"À l'équilibre",IF([[#This Row],[Écart (€)]]&gt;0,"Dépassement","Sous budget")))</f>
        <v>0</v>
      </c>
      <c r="W490">
        <f>[[#This Row],[Risque – Probabilité (1-5)]]*[[#This Row],[Risque – Sévérité (1-5)]]</f>
        <v>0</v>
      </c>
      <c r="AC490">
        <f>IF([[#This Row],Effort (jours)]&gt;0,[[#This Row],[Reach (pers.)]]*[[#This Row],[Impact (1-5)]]*[[#This Row],[Confidence (0-1)]]/[[#This Row],[Effort (jours)]],"")</f>
        <v>0</v>
      </c>
      <c r="AG490">
        <f>IF([[#This Row],[Fin planifiée]]&lt;&gt;"",MONTH([[#This Row],[Fin planifiée]]),"")</f>
        <v>0</v>
      </c>
      <c r="AH490">
        <f>IF([[#This Row],[Fin planifiée]]&lt;&gt;"",YEAR([[#This Row],[Fin planifiée]]),"")</f>
        <v>0</v>
      </c>
      <c r="AI4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0">
        <f>IF(AND([[#This Row],Statut]="Terminé",[[#This Row],[Fin réelle]]&lt;&gt;""),IF([[#This Row],[Fin réelle]]&lt;=[[#This Row],[Fin planifiée]],"Oui","Non"),"")</f>
        <v>0</v>
      </c>
    </row>
    <row r="491" spans="13:36" ht="20" customHeight="1">
      <c r="M491">
        <f>IF(AND([[#This Row],Début]&lt;&gt;"",[[#This Row],[Fin planifiée]]&lt;&gt;""),[[#This Row],[Fin planifiée]]-[[#This Row],Début]+1,"")</f>
        <v>0</v>
      </c>
      <c r="N491">
        <f>IF(AND([[#This Row],Début]&lt;&gt;"",[[#This Row],[Fin réelle]]&lt;&gt;""),[[#This Row],[Fin réelle]]-[[#This Row],Début]+1,"")</f>
        <v>0</v>
      </c>
      <c r="S491">
        <f>[[#This Row],[Budget réalisé]]-[[#This Row],[Budget prévu]]</f>
        <v>0</v>
      </c>
      <c r="T491">
        <f>IF(OR([[#This Row],[Budget prévu]]="",[[#This Row],[Budget réalisé]]=""),"",IF([[#This Row],[Écart (€)]]=0,"À l'équilibre",IF([[#This Row],[Écart (€)]]&gt;0,"Dépassement","Sous budget")))</f>
        <v>0</v>
      </c>
      <c r="W491">
        <f>[[#This Row],[Risque – Probabilité (1-5)]]*[[#This Row],[Risque – Sévérité (1-5)]]</f>
        <v>0</v>
      </c>
      <c r="AC491">
        <f>IF([[#This Row],Effort (jours)]&gt;0,[[#This Row],[Reach (pers.)]]*[[#This Row],[Impact (1-5)]]*[[#This Row],[Confidence (0-1)]]/[[#This Row],[Effort (jours)]],"")</f>
        <v>0</v>
      </c>
      <c r="AG491">
        <f>IF([[#This Row],[Fin planifiée]]&lt;&gt;"",MONTH([[#This Row],[Fin planifiée]]),"")</f>
        <v>0</v>
      </c>
      <c r="AH491">
        <f>IF([[#This Row],[Fin planifiée]]&lt;&gt;"",YEAR([[#This Row],[Fin planifiée]]),"")</f>
        <v>0</v>
      </c>
      <c r="AI4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1">
        <f>IF(AND([[#This Row],Statut]="Terminé",[[#This Row],[Fin réelle]]&lt;&gt;""),IF([[#This Row],[Fin réelle]]&lt;=[[#This Row],[Fin planifiée]],"Oui","Non"),"")</f>
        <v>0</v>
      </c>
    </row>
    <row r="492" spans="13:36" ht="20" customHeight="1">
      <c r="M492">
        <f>IF(AND([[#This Row],Début]&lt;&gt;"",[[#This Row],[Fin planifiée]]&lt;&gt;""),[[#This Row],[Fin planifiée]]-[[#This Row],Début]+1,"")</f>
        <v>0</v>
      </c>
      <c r="N492">
        <f>IF(AND([[#This Row],Début]&lt;&gt;"",[[#This Row],[Fin réelle]]&lt;&gt;""),[[#This Row],[Fin réelle]]-[[#This Row],Début]+1,"")</f>
        <v>0</v>
      </c>
      <c r="S492">
        <f>[[#This Row],[Budget réalisé]]-[[#This Row],[Budget prévu]]</f>
        <v>0</v>
      </c>
      <c r="T492">
        <f>IF(OR([[#This Row],[Budget prévu]]="",[[#This Row],[Budget réalisé]]=""),"",IF([[#This Row],[Écart (€)]]=0,"À l'équilibre",IF([[#This Row],[Écart (€)]]&gt;0,"Dépassement","Sous budget")))</f>
        <v>0</v>
      </c>
      <c r="W492">
        <f>[[#This Row],[Risque – Probabilité (1-5)]]*[[#This Row],[Risque – Sévérité (1-5)]]</f>
        <v>0</v>
      </c>
      <c r="AC492">
        <f>IF([[#This Row],Effort (jours)]&gt;0,[[#This Row],[Reach (pers.)]]*[[#This Row],[Impact (1-5)]]*[[#This Row],[Confidence (0-1)]]/[[#This Row],[Effort (jours)]],"")</f>
        <v>0</v>
      </c>
      <c r="AG492">
        <f>IF([[#This Row],[Fin planifiée]]&lt;&gt;"",MONTH([[#This Row],[Fin planifiée]]),"")</f>
        <v>0</v>
      </c>
      <c r="AH492">
        <f>IF([[#This Row],[Fin planifiée]]&lt;&gt;"",YEAR([[#This Row],[Fin planifiée]]),"")</f>
        <v>0</v>
      </c>
      <c r="AI4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2">
        <f>IF(AND([[#This Row],Statut]="Terminé",[[#This Row],[Fin réelle]]&lt;&gt;""),IF([[#This Row],[Fin réelle]]&lt;=[[#This Row],[Fin planifiée]],"Oui","Non"),"")</f>
        <v>0</v>
      </c>
    </row>
    <row r="493" spans="13:36" ht="20" customHeight="1">
      <c r="M493">
        <f>IF(AND([[#This Row],Début]&lt;&gt;"",[[#This Row],[Fin planifiée]]&lt;&gt;""),[[#This Row],[Fin planifiée]]-[[#This Row],Début]+1,"")</f>
        <v>0</v>
      </c>
      <c r="N493">
        <f>IF(AND([[#This Row],Début]&lt;&gt;"",[[#This Row],[Fin réelle]]&lt;&gt;""),[[#This Row],[Fin réelle]]-[[#This Row],Début]+1,"")</f>
        <v>0</v>
      </c>
      <c r="S493">
        <f>[[#This Row],[Budget réalisé]]-[[#This Row],[Budget prévu]]</f>
        <v>0</v>
      </c>
      <c r="T493">
        <f>IF(OR([[#This Row],[Budget prévu]]="",[[#This Row],[Budget réalisé]]=""),"",IF([[#This Row],[Écart (€)]]=0,"À l'équilibre",IF([[#This Row],[Écart (€)]]&gt;0,"Dépassement","Sous budget")))</f>
        <v>0</v>
      </c>
      <c r="W493">
        <f>[[#This Row],[Risque – Probabilité (1-5)]]*[[#This Row],[Risque – Sévérité (1-5)]]</f>
        <v>0</v>
      </c>
      <c r="AC493">
        <f>IF([[#This Row],Effort (jours)]&gt;0,[[#This Row],[Reach (pers.)]]*[[#This Row],[Impact (1-5)]]*[[#This Row],[Confidence (0-1)]]/[[#This Row],[Effort (jours)]],"")</f>
        <v>0</v>
      </c>
      <c r="AG493">
        <f>IF([[#This Row],[Fin planifiée]]&lt;&gt;"",MONTH([[#This Row],[Fin planifiée]]),"")</f>
        <v>0</v>
      </c>
      <c r="AH493">
        <f>IF([[#This Row],[Fin planifiée]]&lt;&gt;"",YEAR([[#This Row],[Fin planifiée]]),"")</f>
        <v>0</v>
      </c>
      <c r="AI4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3">
        <f>IF(AND([[#This Row],Statut]="Terminé",[[#This Row],[Fin réelle]]&lt;&gt;""),IF([[#This Row],[Fin réelle]]&lt;=[[#This Row],[Fin planifiée]],"Oui","Non"),"")</f>
        <v>0</v>
      </c>
    </row>
    <row r="494" spans="13:36" ht="20" customHeight="1">
      <c r="M494">
        <f>IF(AND([[#This Row],Début]&lt;&gt;"",[[#This Row],[Fin planifiée]]&lt;&gt;""),[[#This Row],[Fin planifiée]]-[[#This Row],Début]+1,"")</f>
        <v>0</v>
      </c>
      <c r="N494">
        <f>IF(AND([[#This Row],Début]&lt;&gt;"",[[#This Row],[Fin réelle]]&lt;&gt;""),[[#This Row],[Fin réelle]]-[[#This Row],Début]+1,"")</f>
        <v>0</v>
      </c>
      <c r="S494">
        <f>[[#This Row],[Budget réalisé]]-[[#This Row],[Budget prévu]]</f>
        <v>0</v>
      </c>
      <c r="T494">
        <f>IF(OR([[#This Row],[Budget prévu]]="",[[#This Row],[Budget réalisé]]=""),"",IF([[#This Row],[Écart (€)]]=0,"À l'équilibre",IF([[#This Row],[Écart (€)]]&gt;0,"Dépassement","Sous budget")))</f>
        <v>0</v>
      </c>
      <c r="W494">
        <f>[[#This Row],[Risque – Probabilité (1-5)]]*[[#This Row],[Risque – Sévérité (1-5)]]</f>
        <v>0</v>
      </c>
      <c r="AC494">
        <f>IF([[#This Row],Effort (jours)]&gt;0,[[#This Row],[Reach (pers.)]]*[[#This Row],[Impact (1-5)]]*[[#This Row],[Confidence (0-1)]]/[[#This Row],[Effort (jours)]],"")</f>
        <v>0</v>
      </c>
      <c r="AG494">
        <f>IF([[#This Row],[Fin planifiée]]&lt;&gt;"",MONTH([[#This Row],[Fin planifiée]]),"")</f>
        <v>0</v>
      </c>
      <c r="AH494">
        <f>IF([[#This Row],[Fin planifiée]]&lt;&gt;"",YEAR([[#This Row],[Fin planifiée]]),"")</f>
        <v>0</v>
      </c>
      <c r="AI4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4">
        <f>IF(AND([[#This Row],Statut]="Terminé",[[#This Row],[Fin réelle]]&lt;&gt;""),IF([[#This Row],[Fin réelle]]&lt;=[[#This Row],[Fin planifiée]],"Oui","Non"),"")</f>
        <v>0</v>
      </c>
    </row>
    <row r="495" spans="13:36" ht="20" customHeight="1">
      <c r="M495">
        <f>IF(AND([[#This Row],Début]&lt;&gt;"",[[#This Row],[Fin planifiée]]&lt;&gt;""),[[#This Row],[Fin planifiée]]-[[#This Row],Début]+1,"")</f>
        <v>0</v>
      </c>
      <c r="N495">
        <f>IF(AND([[#This Row],Début]&lt;&gt;"",[[#This Row],[Fin réelle]]&lt;&gt;""),[[#This Row],[Fin réelle]]-[[#This Row],Début]+1,"")</f>
        <v>0</v>
      </c>
      <c r="S495">
        <f>[[#This Row],[Budget réalisé]]-[[#This Row],[Budget prévu]]</f>
        <v>0</v>
      </c>
      <c r="T495">
        <f>IF(OR([[#This Row],[Budget prévu]]="",[[#This Row],[Budget réalisé]]=""),"",IF([[#This Row],[Écart (€)]]=0,"À l'équilibre",IF([[#This Row],[Écart (€)]]&gt;0,"Dépassement","Sous budget")))</f>
        <v>0</v>
      </c>
      <c r="W495">
        <f>[[#This Row],[Risque – Probabilité (1-5)]]*[[#This Row],[Risque – Sévérité (1-5)]]</f>
        <v>0</v>
      </c>
      <c r="AC495">
        <f>IF([[#This Row],Effort (jours)]&gt;0,[[#This Row],[Reach (pers.)]]*[[#This Row],[Impact (1-5)]]*[[#This Row],[Confidence (0-1)]]/[[#This Row],[Effort (jours)]],"")</f>
        <v>0</v>
      </c>
      <c r="AG495">
        <f>IF([[#This Row],[Fin planifiée]]&lt;&gt;"",MONTH([[#This Row],[Fin planifiée]]),"")</f>
        <v>0</v>
      </c>
      <c r="AH495">
        <f>IF([[#This Row],[Fin planifiée]]&lt;&gt;"",YEAR([[#This Row],[Fin planifiée]]),"")</f>
        <v>0</v>
      </c>
      <c r="AI4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5">
        <f>IF(AND([[#This Row],Statut]="Terminé",[[#This Row],[Fin réelle]]&lt;&gt;""),IF([[#This Row],[Fin réelle]]&lt;=[[#This Row],[Fin planifiée]],"Oui","Non"),"")</f>
        <v>0</v>
      </c>
    </row>
    <row r="496" spans="13:36" ht="20" customHeight="1">
      <c r="M496">
        <f>IF(AND([[#This Row],Début]&lt;&gt;"",[[#This Row],[Fin planifiée]]&lt;&gt;""),[[#This Row],[Fin planifiée]]-[[#This Row],Début]+1,"")</f>
        <v>0</v>
      </c>
      <c r="N496">
        <f>IF(AND([[#This Row],Début]&lt;&gt;"",[[#This Row],[Fin réelle]]&lt;&gt;""),[[#This Row],[Fin réelle]]-[[#This Row],Début]+1,"")</f>
        <v>0</v>
      </c>
      <c r="S496">
        <f>[[#This Row],[Budget réalisé]]-[[#This Row],[Budget prévu]]</f>
        <v>0</v>
      </c>
      <c r="T496">
        <f>IF(OR([[#This Row],[Budget prévu]]="",[[#This Row],[Budget réalisé]]=""),"",IF([[#This Row],[Écart (€)]]=0,"À l'équilibre",IF([[#This Row],[Écart (€)]]&gt;0,"Dépassement","Sous budget")))</f>
        <v>0</v>
      </c>
      <c r="W496">
        <f>[[#This Row],[Risque – Probabilité (1-5)]]*[[#This Row],[Risque – Sévérité (1-5)]]</f>
        <v>0</v>
      </c>
      <c r="AC496">
        <f>IF([[#This Row],Effort (jours)]&gt;0,[[#This Row],[Reach (pers.)]]*[[#This Row],[Impact (1-5)]]*[[#This Row],[Confidence (0-1)]]/[[#This Row],[Effort (jours)]],"")</f>
        <v>0</v>
      </c>
      <c r="AG496">
        <f>IF([[#This Row],[Fin planifiée]]&lt;&gt;"",MONTH([[#This Row],[Fin planifiée]]),"")</f>
        <v>0</v>
      </c>
      <c r="AH496">
        <f>IF([[#This Row],[Fin planifiée]]&lt;&gt;"",YEAR([[#This Row],[Fin planifiée]]),"")</f>
        <v>0</v>
      </c>
      <c r="AI4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6">
        <f>IF(AND([[#This Row],Statut]="Terminé",[[#This Row],[Fin réelle]]&lt;&gt;""),IF([[#This Row],[Fin réelle]]&lt;=[[#This Row],[Fin planifiée]],"Oui","Non"),"")</f>
        <v>0</v>
      </c>
    </row>
    <row r="497" spans="13:36" ht="20" customHeight="1">
      <c r="M497">
        <f>IF(AND([[#This Row],Début]&lt;&gt;"",[[#This Row],[Fin planifiée]]&lt;&gt;""),[[#This Row],[Fin planifiée]]-[[#This Row],Début]+1,"")</f>
        <v>0</v>
      </c>
      <c r="N497">
        <f>IF(AND([[#This Row],Début]&lt;&gt;"",[[#This Row],[Fin réelle]]&lt;&gt;""),[[#This Row],[Fin réelle]]-[[#This Row],Début]+1,"")</f>
        <v>0</v>
      </c>
      <c r="S497">
        <f>[[#This Row],[Budget réalisé]]-[[#This Row],[Budget prévu]]</f>
        <v>0</v>
      </c>
      <c r="T497">
        <f>IF(OR([[#This Row],[Budget prévu]]="",[[#This Row],[Budget réalisé]]=""),"",IF([[#This Row],[Écart (€)]]=0,"À l'équilibre",IF([[#This Row],[Écart (€)]]&gt;0,"Dépassement","Sous budget")))</f>
        <v>0</v>
      </c>
      <c r="W497">
        <f>[[#This Row],[Risque – Probabilité (1-5)]]*[[#This Row],[Risque – Sévérité (1-5)]]</f>
        <v>0</v>
      </c>
      <c r="AC497">
        <f>IF([[#This Row],Effort (jours)]&gt;0,[[#This Row],[Reach (pers.)]]*[[#This Row],[Impact (1-5)]]*[[#This Row],[Confidence (0-1)]]/[[#This Row],[Effort (jours)]],"")</f>
        <v>0</v>
      </c>
      <c r="AG497">
        <f>IF([[#This Row],[Fin planifiée]]&lt;&gt;"",MONTH([[#This Row],[Fin planifiée]]),"")</f>
        <v>0</v>
      </c>
      <c r="AH497">
        <f>IF([[#This Row],[Fin planifiée]]&lt;&gt;"",YEAR([[#This Row],[Fin planifiée]]),"")</f>
        <v>0</v>
      </c>
      <c r="AI4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7">
        <f>IF(AND([[#This Row],Statut]="Terminé",[[#This Row],[Fin réelle]]&lt;&gt;""),IF([[#This Row],[Fin réelle]]&lt;=[[#This Row],[Fin planifiée]],"Oui","Non"),"")</f>
        <v>0</v>
      </c>
    </row>
    <row r="498" spans="13:36" ht="20" customHeight="1">
      <c r="M498">
        <f>IF(AND([[#This Row],Début]&lt;&gt;"",[[#This Row],[Fin planifiée]]&lt;&gt;""),[[#This Row],[Fin planifiée]]-[[#This Row],Début]+1,"")</f>
        <v>0</v>
      </c>
      <c r="N498">
        <f>IF(AND([[#This Row],Début]&lt;&gt;"",[[#This Row],[Fin réelle]]&lt;&gt;""),[[#This Row],[Fin réelle]]-[[#This Row],Début]+1,"")</f>
        <v>0</v>
      </c>
      <c r="S498">
        <f>[[#This Row],[Budget réalisé]]-[[#This Row],[Budget prévu]]</f>
        <v>0</v>
      </c>
      <c r="T498">
        <f>IF(OR([[#This Row],[Budget prévu]]="",[[#This Row],[Budget réalisé]]=""),"",IF([[#This Row],[Écart (€)]]=0,"À l'équilibre",IF([[#This Row],[Écart (€)]]&gt;0,"Dépassement","Sous budget")))</f>
        <v>0</v>
      </c>
      <c r="W498">
        <f>[[#This Row],[Risque – Probabilité (1-5)]]*[[#This Row],[Risque – Sévérité (1-5)]]</f>
        <v>0</v>
      </c>
      <c r="AC498">
        <f>IF([[#This Row],Effort (jours)]&gt;0,[[#This Row],[Reach (pers.)]]*[[#This Row],[Impact (1-5)]]*[[#This Row],[Confidence (0-1)]]/[[#This Row],[Effort (jours)]],"")</f>
        <v>0</v>
      </c>
      <c r="AG498">
        <f>IF([[#This Row],[Fin planifiée]]&lt;&gt;"",MONTH([[#This Row],[Fin planifiée]]),"")</f>
        <v>0</v>
      </c>
      <c r="AH498">
        <f>IF([[#This Row],[Fin planifiée]]&lt;&gt;"",YEAR([[#This Row],[Fin planifiée]]),"")</f>
        <v>0</v>
      </c>
      <c r="AI4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8">
        <f>IF(AND([[#This Row],Statut]="Terminé",[[#This Row],[Fin réelle]]&lt;&gt;""),IF([[#This Row],[Fin réelle]]&lt;=[[#This Row],[Fin planifiée]],"Oui","Non"),"")</f>
        <v>0</v>
      </c>
    </row>
    <row r="499" spans="13:36" ht="20" customHeight="1">
      <c r="M499">
        <f>IF(AND([[#This Row],Début]&lt;&gt;"",[[#This Row],[Fin planifiée]]&lt;&gt;""),[[#This Row],[Fin planifiée]]-[[#This Row],Début]+1,"")</f>
        <v>0</v>
      </c>
      <c r="N499">
        <f>IF(AND([[#This Row],Début]&lt;&gt;"",[[#This Row],[Fin réelle]]&lt;&gt;""),[[#This Row],[Fin réelle]]-[[#This Row],Début]+1,"")</f>
        <v>0</v>
      </c>
      <c r="S499">
        <f>[[#This Row],[Budget réalisé]]-[[#This Row],[Budget prévu]]</f>
        <v>0</v>
      </c>
      <c r="T499">
        <f>IF(OR([[#This Row],[Budget prévu]]="",[[#This Row],[Budget réalisé]]=""),"",IF([[#This Row],[Écart (€)]]=0,"À l'équilibre",IF([[#This Row],[Écart (€)]]&gt;0,"Dépassement","Sous budget")))</f>
        <v>0</v>
      </c>
      <c r="W499">
        <f>[[#This Row],[Risque – Probabilité (1-5)]]*[[#This Row],[Risque – Sévérité (1-5)]]</f>
        <v>0</v>
      </c>
      <c r="AC499">
        <f>IF([[#This Row],Effort (jours)]&gt;0,[[#This Row],[Reach (pers.)]]*[[#This Row],[Impact (1-5)]]*[[#This Row],[Confidence (0-1)]]/[[#This Row],[Effort (jours)]],"")</f>
        <v>0</v>
      </c>
      <c r="AG499">
        <f>IF([[#This Row],[Fin planifiée]]&lt;&gt;"",MONTH([[#This Row],[Fin planifiée]]),"")</f>
        <v>0</v>
      </c>
      <c r="AH499">
        <f>IF([[#This Row],[Fin planifiée]]&lt;&gt;"",YEAR([[#This Row],[Fin planifiée]]),"")</f>
        <v>0</v>
      </c>
      <c r="AI4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499">
        <f>IF(AND([[#This Row],Statut]="Terminé",[[#This Row],[Fin réelle]]&lt;&gt;""),IF([[#This Row],[Fin réelle]]&lt;=[[#This Row],[Fin planifiée]],"Oui","Non"),"")</f>
        <v>0</v>
      </c>
    </row>
    <row r="500" spans="13:36" ht="20" customHeight="1">
      <c r="M500">
        <f>IF(AND([[#This Row],Début]&lt;&gt;"",[[#This Row],[Fin planifiée]]&lt;&gt;""),[[#This Row],[Fin planifiée]]-[[#This Row],Début]+1,"")</f>
        <v>0</v>
      </c>
      <c r="N500">
        <f>IF(AND([[#This Row],Début]&lt;&gt;"",[[#This Row],[Fin réelle]]&lt;&gt;""),[[#This Row],[Fin réelle]]-[[#This Row],Début]+1,"")</f>
        <v>0</v>
      </c>
      <c r="S500">
        <f>[[#This Row],[Budget réalisé]]-[[#This Row],[Budget prévu]]</f>
        <v>0</v>
      </c>
      <c r="T500">
        <f>IF(OR([[#This Row],[Budget prévu]]="",[[#This Row],[Budget réalisé]]=""),"",IF([[#This Row],[Écart (€)]]=0,"À l'équilibre",IF([[#This Row],[Écart (€)]]&gt;0,"Dépassement","Sous budget")))</f>
        <v>0</v>
      </c>
      <c r="W500">
        <f>[[#This Row],[Risque – Probabilité (1-5)]]*[[#This Row],[Risque – Sévérité (1-5)]]</f>
        <v>0</v>
      </c>
      <c r="AC500">
        <f>IF([[#This Row],Effort (jours)]&gt;0,[[#This Row],[Reach (pers.)]]*[[#This Row],[Impact (1-5)]]*[[#This Row],[Confidence (0-1)]]/[[#This Row],[Effort (jours)]],"")</f>
        <v>0</v>
      </c>
      <c r="AG500">
        <f>IF([[#This Row],[Fin planifiée]]&lt;&gt;"",MONTH([[#This Row],[Fin planifiée]]),"")</f>
        <v>0</v>
      </c>
      <c r="AH500">
        <f>IF([[#This Row],[Fin planifiée]]&lt;&gt;"",YEAR([[#This Row],[Fin planifiée]]),"")</f>
        <v>0</v>
      </c>
      <c r="AI5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0">
        <f>IF(AND([[#This Row],Statut]="Terminé",[[#This Row],[Fin réelle]]&lt;&gt;""),IF([[#This Row],[Fin réelle]]&lt;=[[#This Row],[Fin planifiée]],"Oui","Non"),"")</f>
        <v>0</v>
      </c>
    </row>
    <row r="501" spans="13:36" ht="20" customHeight="1">
      <c r="M501">
        <f>IF(AND([[#This Row],Début]&lt;&gt;"",[[#This Row],[Fin planifiée]]&lt;&gt;""),[[#This Row],[Fin planifiée]]-[[#This Row],Début]+1,"")</f>
        <v>0</v>
      </c>
      <c r="N501">
        <f>IF(AND([[#This Row],Début]&lt;&gt;"",[[#This Row],[Fin réelle]]&lt;&gt;""),[[#This Row],[Fin réelle]]-[[#This Row],Début]+1,"")</f>
        <v>0</v>
      </c>
      <c r="S501">
        <f>[[#This Row],[Budget réalisé]]-[[#This Row],[Budget prévu]]</f>
        <v>0</v>
      </c>
      <c r="T501">
        <f>IF(OR([[#This Row],[Budget prévu]]="",[[#This Row],[Budget réalisé]]=""),"",IF([[#This Row],[Écart (€)]]=0,"À l'équilibre",IF([[#This Row],[Écart (€)]]&gt;0,"Dépassement","Sous budget")))</f>
        <v>0</v>
      </c>
      <c r="W501">
        <f>[[#This Row],[Risque – Probabilité (1-5)]]*[[#This Row],[Risque – Sévérité (1-5)]]</f>
        <v>0</v>
      </c>
      <c r="AC501">
        <f>IF([[#This Row],Effort (jours)]&gt;0,[[#This Row],[Reach (pers.)]]*[[#This Row],[Impact (1-5)]]*[[#This Row],[Confidence (0-1)]]/[[#This Row],[Effort (jours)]],"")</f>
        <v>0</v>
      </c>
      <c r="AG501">
        <f>IF([[#This Row],[Fin planifiée]]&lt;&gt;"",MONTH([[#This Row],[Fin planifiée]]),"")</f>
        <v>0</v>
      </c>
      <c r="AH501">
        <f>IF([[#This Row],[Fin planifiée]]&lt;&gt;"",YEAR([[#This Row],[Fin planifiée]]),"")</f>
        <v>0</v>
      </c>
      <c r="AI5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1">
        <f>IF(AND([[#This Row],Statut]="Terminé",[[#This Row],[Fin réelle]]&lt;&gt;""),IF([[#This Row],[Fin réelle]]&lt;=[[#This Row],[Fin planifiée]],"Oui","Non"),"")</f>
        <v>0</v>
      </c>
    </row>
    <row r="502" spans="13:36" ht="20" customHeight="1">
      <c r="M502">
        <f>IF(AND([[#This Row],Début]&lt;&gt;"",[[#This Row],[Fin planifiée]]&lt;&gt;""),[[#This Row],[Fin planifiée]]-[[#This Row],Début]+1,"")</f>
        <v>0</v>
      </c>
      <c r="N502">
        <f>IF(AND([[#This Row],Début]&lt;&gt;"",[[#This Row],[Fin réelle]]&lt;&gt;""),[[#This Row],[Fin réelle]]-[[#This Row],Début]+1,"")</f>
        <v>0</v>
      </c>
      <c r="S502">
        <f>[[#This Row],[Budget réalisé]]-[[#This Row],[Budget prévu]]</f>
        <v>0</v>
      </c>
      <c r="T502">
        <f>IF(OR([[#This Row],[Budget prévu]]="",[[#This Row],[Budget réalisé]]=""),"",IF([[#This Row],[Écart (€)]]=0,"À l'équilibre",IF([[#This Row],[Écart (€)]]&gt;0,"Dépassement","Sous budget")))</f>
        <v>0</v>
      </c>
      <c r="W502">
        <f>[[#This Row],[Risque – Probabilité (1-5)]]*[[#This Row],[Risque – Sévérité (1-5)]]</f>
        <v>0</v>
      </c>
      <c r="AC502">
        <f>IF([[#This Row],Effort (jours)]&gt;0,[[#This Row],[Reach (pers.)]]*[[#This Row],[Impact (1-5)]]*[[#This Row],[Confidence (0-1)]]/[[#This Row],[Effort (jours)]],"")</f>
        <v>0</v>
      </c>
      <c r="AG502">
        <f>IF([[#This Row],[Fin planifiée]]&lt;&gt;"",MONTH([[#This Row],[Fin planifiée]]),"")</f>
        <v>0</v>
      </c>
      <c r="AH502">
        <f>IF([[#This Row],[Fin planifiée]]&lt;&gt;"",YEAR([[#This Row],[Fin planifiée]]),"")</f>
        <v>0</v>
      </c>
      <c r="AI5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2">
        <f>IF(AND([[#This Row],Statut]="Terminé",[[#This Row],[Fin réelle]]&lt;&gt;""),IF([[#This Row],[Fin réelle]]&lt;=[[#This Row],[Fin planifiée]],"Oui","Non"),"")</f>
        <v>0</v>
      </c>
    </row>
    <row r="503" spans="13:36" ht="20" customHeight="1">
      <c r="M503">
        <f>IF(AND([[#This Row],Début]&lt;&gt;"",[[#This Row],[Fin planifiée]]&lt;&gt;""),[[#This Row],[Fin planifiée]]-[[#This Row],Début]+1,"")</f>
        <v>0</v>
      </c>
      <c r="N503">
        <f>IF(AND([[#This Row],Début]&lt;&gt;"",[[#This Row],[Fin réelle]]&lt;&gt;""),[[#This Row],[Fin réelle]]-[[#This Row],Début]+1,"")</f>
        <v>0</v>
      </c>
      <c r="S503">
        <f>[[#This Row],[Budget réalisé]]-[[#This Row],[Budget prévu]]</f>
        <v>0</v>
      </c>
      <c r="T503">
        <f>IF(OR([[#This Row],[Budget prévu]]="",[[#This Row],[Budget réalisé]]=""),"",IF([[#This Row],[Écart (€)]]=0,"À l'équilibre",IF([[#This Row],[Écart (€)]]&gt;0,"Dépassement","Sous budget")))</f>
        <v>0</v>
      </c>
      <c r="W503">
        <f>[[#This Row],[Risque – Probabilité (1-5)]]*[[#This Row],[Risque – Sévérité (1-5)]]</f>
        <v>0</v>
      </c>
      <c r="AC503">
        <f>IF([[#This Row],Effort (jours)]&gt;0,[[#This Row],[Reach (pers.)]]*[[#This Row],[Impact (1-5)]]*[[#This Row],[Confidence (0-1)]]/[[#This Row],[Effort (jours)]],"")</f>
        <v>0</v>
      </c>
      <c r="AG503">
        <f>IF([[#This Row],[Fin planifiée]]&lt;&gt;"",MONTH([[#This Row],[Fin planifiée]]),"")</f>
        <v>0</v>
      </c>
      <c r="AH503">
        <f>IF([[#This Row],[Fin planifiée]]&lt;&gt;"",YEAR([[#This Row],[Fin planifiée]]),"")</f>
        <v>0</v>
      </c>
      <c r="AI5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3">
        <f>IF(AND([[#This Row],Statut]="Terminé",[[#This Row],[Fin réelle]]&lt;&gt;""),IF([[#This Row],[Fin réelle]]&lt;=[[#This Row],[Fin planifiée]],"Oui","Non"),"")</f>
        <v>0</v>
      </c>
    </row>
    <row r="504" spans="13:36" ht="20" customHeight="1">
      <c r="M504">
        <f>IF(AND([[#This Row],Début]&lt;&gt;"",[[#This Row],[Fin planifiée]]&lt;&gt;""),[[#This Row],[Fin planifiée]]-[[#This Row],Début]+1,"")</f>
        <v>0</v>
      </c>
      <c r="N504">
        <f>IF(AND([[#This Row],Début]&lt;&gt;"",[[#This Row],[Fin réelle]]&lt;&gt;""),[[#This Row],[Fin réelle]]-[[#This Row],Début]+1,"")</f>
        <v>0</v>
      </c>
      <c r="S504">
        <f>[[#This Row],[Budget réalisé]]-[[#This Row],[Budget prévu]]</f>
        <v>0</v>
      </c>
      <c r="T504">
        <f>IF(OR([[#This Row],[Budget prévu]]="",[[#This Row],[Budget réalisé]]=""),"",IF([[#This Row],[Écart (€)]]=0,"À l'équilibre",IF([[#This Row],[Écart (€)]]&gt;0,"Dépassement","Sous budget")))</f>
        <v>0</v>
      </c>
      <c r="W504">
        <f>[[#This Row],[Risque – Probabilité (1-5)]]*[[#This Row],[Risque – Sévérité (1-5)]]</f>
        <v>0</v>
      </c>
      <c r="AC504">
        <f>IF([[#This Row],Effort (jours)]&gt;0,[[#This Row],[Reach (pers.)]]*[[#This Row],[Impact (1-5)]]*[[#This Row],[Confidence (0-1)]]/[[#This Row],[Effort (jours)]],"")</f>
        <v>0</v>
      </c>
      <c r="AG504">
        <f>IF([[#This Row],[Fin planifiée]]&lt;&gt;"",MONTH([[#This Row],[Fin planifiée]]),"")</f>
        <v>0</v>
      </c>
      <c r="AH504">
        <f>IF([[#This Row],[Fin planifiée]]&lt;&gt;"",YEAR([[#This Row],[Fin planifiée]]),"")</f>
        <v>0</v>
      </c>
      <c r="AI5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4">
        <f>IF(AND([[#This Row],Statut]="Terminé",[[#This Row],[Fin réelle]]&lt;&gt;""),IF([[#This Row],[Fin réelle]]&lt;=[[#This Row],[Fin planifiée]],"Oui","Non"),"")</f>
        <v>0</v>
      </c>
    </row>
    <row r="505" spans="13:36" ht="20" customHeight="1">
      <c r="M505">
        <f>IF(AND([[#This Row],Début]&lt;&gt;"",[[#This Row],[Fin planifiée]]&lt;&gt;""),[[#This Row],[Fin planifiée]]-[[#This Row],Début]+1,"")</f>
        <v>0</v>
      </c>
      <c r="N505">
        <f>IF(AND([[#This Row],Début]&lt;&gt;"",[[#This Row],[Fin réelle]]&lt;&gt;""),[[#This Row],[Fin réelle]]-[[#This Row],Début]+1,"")</f>
        <v>0</v>
      </c>
      <c r="S505">
        <f>[[#This Row],[Budget réalisé]]-[[#This Row],[Budget prévu]]</f>
        <v>0</v>
      </c>
      <c r="T505">
        <f>IF(OR([[#This Row],[Budget prévu]]="",[[#This Row],[Budget réalisé]]=""),"",IF([[#This Row],[Écart (€)]]=0,"À l'équilibre",IF([[#This Row],[Écart (€)]]&gt;0,"Dépassement","Sous budget")))</f>
        <v>0</v>
      </c>
      <c r="W505">
        <f>[[#This Row],[Risque – Probabilité (1-5)]]*[[#This Row],[Risque – Sévérité (1-5)]]</f>
        <v>0</v>
      </c>
      <c r="AC505">
        <f>IF([[#This Row],Effort (jours)]&gt;0,[[#This Row],[Reach (pers.)]]*[[#This Row],[Impact (1-5)]]*[[#This Row],[Confidence (0-1)]]/[[#This Row],[Effort (jours)]],"")</f>
        <v>0</v>
      </c>
      <c r="AG505">
        <f>IF([[#This Row],[Fin planifiée]]&lt;&gt;"",MONTH([[#This Row],[Fin planifiée]]),"")</f>
        <v>0</v>
      </c>
      <c r="AH505">
        <f>IF([[#This Row],[Fin planifiée]]&lt;&gt;"",YEAR([[#This Row],[Fin planifiée]]),"")</f>
        <v>0</v>
      </c>
      <c r="AI5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5">
        <f>IF(AND([[#This Row],Statut]="Terminé",[[#This Row],[Fin réelle]]&lt;&gt;""),IF([[#This Row],[Fin réelle]]&lt;=[[#This Row],[Fin planifiée]],"Oui","Non"),"")</f>
        <v>0</v>
      </c>
    </row>
    <row r="506" spans="13:36" ht="20" customHeight="1">
      <c r="M506">
        <f>IF(AND([[#This Row],Début]&lt;&gt;"",[[#This Row],[Fin planifiée]]&lt;&gt;""),[[#This Row],[Fin planifiée]]-[[#This Row],Début]+1,"")</f>
        <v>0</v>
      </c>
      <c r="N506">
        <f>IF(AND([[#This Row],Début]&lt;&gt;"",[[#This Row],[Fin réelle]]&lt;&gt;""),[[#This Row],[Fin réelle]]-[[#This Row],Début]+1,"")</f>
        <v>0</v>
      </c>
      <c r="S506">
        <f>[[#This Row],[Budget réalisé]]-[[#This Row],[Budget prévu]]</f>
        <v>0</v>
      </c>
      <c r="T506">
        <f>IF(OR([[#This Row],[Budget prévu]]="",[[#This Row],[Budget réalisé]]=""),"",IF([[#This Row],[Écart (€)]]=0,"À l'équilibre",IF([[#This Row],[Écart (€)]]&gt;0,"Dépassement","Sous budget")))</f>
        <v>0</v>
      </c>
      <c r="W506">
        <f>[[#This Row],[Risque – Probabilité (1-5)]]*[[#This Row],[Risque – Sévérité (1-5)]]</f>
        <v>0</v>
      </c>
      <c r="AC506">
        <f>IF([[#This Row],Effort (jours)]&gt;0,[[#This Row],[Reach (pers.)]]*[[#This Row],[Impact (1-5)]]*[[#This Row],[Confidence (0-1)]]/[[#This Row],[Effort (jours)]],"")</f>
        <v>0</v>
      </c>
      <c r="AG506">
        <f>IF([[#This Row],[Fin planifiée]]&lt;&gt;"",MONTH([[#This Row],[Fin planifiée]]),"")</f>
        <v>0</v>
      </c>
      <c r="AH506">
        <f>IF([[#This Row],[Fin planifiée]]&lt;&gt;"",YEAR([[#This Row],[Fin planifiée]]),"")</f>
        <v>0</v>
      </c>
      <c r="AI5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6">
        <f>IF(AND([[#This Row],Statut]="Terminé",[[#This Row],[Fin réelle]]&lt;&gt;""),IF([[#This Row],[Fin réelle]]&lt;=[[#This Row],[Fin planifiée]],"Oui","Non"),"")</f>
        <v>0</v>
      </c>
    </row>
    <row r="507" spans="13:36" ht="20" customHeight="1">
      <c r="M507">
        <f>IF(AND([[#This Row],Début]&lt;&gt;"",[[#This Row],[Fin planifiée]]&lt;&gt;""),[[#This Row],[Fin planifiée]]-[[#This Row],Début]+1,"")</f>
        <v>0</v>
      </c>
      <c r="N507">
        <f>IF(AND([[#This Row],Début]&lt;&gt;"",[[#This Row],[Fin réelle]]&lt;&gt;""),[[#This Row],[Fin réelle]]-[[#This Row],Début]+1,"")</f>
        <v>0</v>
      </c>
      <c r="S507">
        <f>[[#This Row],[Budget réalisé]]-[[#This Row],[Budget prévu]]</f>
        <v>0</v>
      </c>
      <c r="T507">
        <f>IF(OR([[#This Row],[Budget prévu]]="",[[#This Row],[Budget réalisé]]=""),"",IF([[#This Row],[Écart (€)]]=0,"À l'équilibre",IF([[#This Row],[Écart (€)]]&gt;0,"Dépassement","Sous budget")))</f>
        <v>0</v>
      </c>
      <c r="W507">
        <f>[[#This Row],[Risque – Probabilité (1-5)]]*[[#This Row],[Risque – Sévérité (1-5)]]</f>
        <v>0</v>
      </c>
      <c r="AC507">
        <f>IF([[#This Row],Effort (jours)]&gt;0,[[#This Row],[Reach (pers.)]]*[[#This Row],[Impact (1-5)]]*[[#This Row],[Confidence (0-1)]]/[[#This Row],[Effort (jours)]],"")</f>
        <v>0</v>
      </c>
      <c r="AG507">
        <f>IF([[#This Row],[Fin planifiée]]&lt;&gt;"",MONTH([[#This Row],[Fin planifiée]]),"")</f>
        <v>0</v>
      </c>
      <c r="AH507">
        <f>IF([[#This Row],[Fin planifiée]]&lt;&gt;"",YEAR([[#This Row],[Fin planifiée]]),"")</f>
        <v>0</v>
      </c>
      <c r="AI5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7">
        <f>IF(AND([[#This Row],Statut]="Terminé",[[#This Row],[Fin réelle]]&lt;&gt;""),IF([[#This Row],[Fin réelle]]&lt;=[[#This Row],[Fin planifiée]],"Oui","Non"),"")</f>
        <v>0</v>
      </c>
    </row>
    <row r="508" spans="13:36" ht="20" customHeight="1">
      <c r="M508">
        <f>IF(AND([[#This Row],Début]&lt;&gt;"",[[#This Row],[Fin planifiée]]&lt;&gt;""),[[#This Row],[Fin planifiée]]-[[#This Row],Début]+1,"")</f>
        <v>0</v>
      </c>
      <c r="N508">
        <f>IF(AND([[#This Row],Début]&lt;&gt;"",[[#This Row],[Fin réelle]]&lt;&gt;""),[[#This Row],[Fin réelle]]-[[#This Row],Début]+1,"")</f>
        <v>0</v>
      </c>
      <c r="S508">
        <f>[[#This Row],[Budget réalisé]]-[[#This Row],[Budget prévu]]</f>
        <v>0</v>
      </c>
      <c r="T508">
        <f>IF(OR([[#This Row],[Budget prévu]]="",[[#This Row],[Budget réalisé]]=""),"",IF([[#This Row],[Écart (€)]]=0,"À l'équilibre",IF([[#This Row],[Écart (€)]]&gt;0,"Dépassement","Sous budget")))</f>
        <v>0</v>
      </c>
      <c r="W508">
        <f>[[#This Row],[Risque – Probabilité (1-5)]]*[[#This Row],[Risque – Sévérité (1-5)]]</f>
        <v>0</v>
      </c>
      <c r="AC508">
        <f>IF([[#This Row],Effort (jours)]&gt;0,[[#This Row],[Reach (pers.)]]*[[#This Row],[Impact (1-5)]]*[[#This Row],[Confidence (0-1)]]/[[#This Row],[Effort (jours)]],"")</f>
        <v>0</v>
      </c>
      <c r="AG508">
        <f>IF([[#This Row],[Fin planifiée]]&lt;&gt;"",MONTH([[#This Row],[Fin planifiée]]),"")</f>
        <v>0</v>
      </c>
      <c r="AH508">
        <f>IF([[#This Row],[Fin planifiée]]&lt;&gt;"",YEAR([[#This Row],[Fin planifiée]]),"")</f>
        <v>0</v>
      </c>
      <c r="AI5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8">
        <f>IF(AND([[#This Row],Statut]="Terminé",[[#This Row],[Fin réelle]]&lt;&gt;""),IF([[#This Row],[Fin réelle]]&lt;=[[#This Row],[Fin planifiée]],"Oui","Non"),"")</f>
        <v>0</v>
      </c>
    </row>
    <row r="509" spans="13:36" ht="20" customHeight="1">
      <c r="M509">
        <f>IF(AND([[#This Row],Début]&lt;&gt;"",[[#This Row],[Fin planifiée]]&lt;&gt;""),[[#This Row],[Fin planifiée]]-[[#This Row],Début]+1,"")</f>
        <v>0</v>
      </c>
      <c r="N509">
        <f>IF(AND([[#This Row],Début]&lt;&gt;"",[[#This Row],[Fin réelle]]&lt;&gt;""),[[#This Row],[Fin réelle]]-[[#This Row],Début]+1,"")</f>
        <v>0</v>
      </c>
      <c r="S509">
        <f>[[#This Row],[Budget réalisé]]-[[#This Row],[Budget prévu]]</f>
        <v>0</v>
      </c>
      <c r="T509">
        <f>IF(OR([[#This Row],[Budget prévu]]="",[[#This Row],[Budget réalisé]]=""),"",IF([[#This Row],[Écart (€)]]=0,"À l'équilibre",IF([[#This Row],[Écart (€)]]&gt;0,"Dépassement","Sous budget")))</f>
        <v>0</v>
      </c>
      <c r="W509">
        <f>[[#This Row],[Risque – Probabilité (1-5)]]*[[#This Row],[Risque – Sévérité (1-5)]]</f>
        <v>0</v>
      </c>
      <c r="AC509">
        <f>IF([[#This Row],Effort (jours)]&gt;0,[[#This Row],[Reach (pers.)]]*[[#This Row],[Impact (1-5)]]*[[#This Row],[Confidence (0-1)]]/[[#This Row],[Effort (jours)]],"")</f>
        <v>0</v>
      </c>
      <c r="AG509">
        <f>IF([[#This Row],[Fin planifiée]]&lt;&gt;"",MONTH([[#This Row],[Fin planifiée]]),"")</f>
        <v>0</v>
      </c>
      <c r="AH509">
        <f>IF([[#This Row],[Fin planifiée]]&lt;&gt;"",YEAR([[#This Row],[Fin planifiée]]),"")</f>
        <v>0</v>
      </c>
      <c r="AI5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09">
        <f>IF(AND([[#This Row],Statut]="Terminé",[[#This Row],[Fin réelle]]&lt;&gt;""),IF([[#This Row],[Fin réelle]]&lt;=[[#This Row],[Fin planifiée]],"Oui","Non"),"")</f>
        <v>0</v>
      </c>
    </row>
    <row r="510" spans="13:36" ht="20" customHeight="1">
      <c r="M510">
        <f>IF(AND([[#This Row],Début]&lt;&gt;"",[[#This Row],[Fin planifiée]]&lt;&gt;""),[[#This Row],[Fin planifiée]]-[[#This Row],Début]+1,"")</f>
        <v>0</v>
      </c>
      <c r="N510">
        <f>IF(AND([[#This Row],Début]&lt;&gt;"",[[#This Row],[Fin réelle]]&lt;&gt;""),[[#This Row],[Fin réelle]]-[[#This Row],Début]+1,"")</f>
        <v>0</v>
      </c>
      <c r="S510">
        <f>[[#This Row],[Budget réalisé]]-[[#This Row],[Budget prévu]]</f>
        <v>0</v>
      </c>
      <c r="T510">
        <f>IF(OR([[#This Row],[Budget prévu]]="",[[#This Row],[Budget réalisé]]=""),"",IF([[#This Row],[Écart (€)]]=0,"À l'équilibre",IF([[#This Row],[Écart (€)]]&gt;0,"Dépassement","Sous budget")))</f>
        <v>0</v>
      </c>
      <c r="W510">
        <f>[[#This Row],[Risque – Probabilité (1-5)]]*[[#This Row],[Risque – Sévérité (1-5)]]</f>
        <v>0</v>
      </c>
      <c r="AC510">
        <f>IF([[#This Row],Effort (jours)]&gt;0,[[#This Row],[Reach (pers.)]]*[[#This Row],[Impact (1-5)]]*[[#This Row],[Confidence (0-1)]]/[[#This Row],[Effort (jours)]],"")</f>
        <v>0</v>
      </c>
      <c r="AG510">
        <f>IF([[#This Row],[Fin planifiée]]&lt;&gt;"",MONTH([[#This Row],[Fin planifiée]]),"")</f>
        <v>0</v>
      </c>
      <c r="AH510">
        <f>IF([[#This Row],[Fin planifiée]]&lt;&gt;"",YEAR([[#This Row],[Fin planifiée]]),"")</f>
        <v>0</v>
      </c>
      <c r="AI5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0">
        <f>IF(AND([[#This Row],Statut]="Terminé",[[#This Row],[Fin réelle]]&lt;&gt;""),IF([[#This Row],[Fin réelle]]&lt;=[[#This Row],[Fin planifiée]],"Oui","Non"),"")</f>
        <v>0</v>
      </c>
    </row>
    <row r="511" spans="13:36" ht="20" customHeight="1">
      <c r="M511">
        <f>IF(AND([[#This Row],Début]&lt;&gt;"",[[#This Row],[Fin planifiée]]&lt;&gt;""),[[#This Row],[Fin planifiée]]-[[#This Row],Début]+1,"")</f>
        <v>0</v>
      </c>
      <c r="N511">
        <f>IF(AND([[#This Row],Début]&lt;&gt;"",[[#This Row],[Fin réelle]]&lt;&gt;""),[[#This Row],[Fin réelle]]-[[#This Row],Début]+1,"")</f>
        <v>0</v>
      </c>
      <c r="S511">
        <f>[[#This Row],[Budget réalisé]]-[[#This Row],[Budget prévu]]</f>
        <v>0</v>
      </c>
      <c r="T511">
        <f>IF(OR([[#This Row],[Budget prévu]]="",[[#This Row],[Budget réalisé]]=""),"",IF([[#This Row],[Écart (€)]]=0,"À l'équilibre",IF([[#This Row],[Écart (€)]]&gt;0,"Dépassement","Sous budget")))</f>
        <v>0</v>
      </c>
      <c r="W511">
        <f>[[#This Row],[Risque – Probabilité (1-5)]]*[[#This Row],[Risque – Sévérité (1-5)]]</f>
        <v>0</v>
      </c>
      <c r="AC511">
        <f>IF([[#This Row],Effort (jours)]&gt;0,[[#This Row],[Reach (pers.)]]*[[#This Row],[Impact (1-5)]]*[[#This Row],[Confidence (0-1)]]/[[#This Row],[Effort (jours)]],"")</f>
        <v>0</v>
      </c>
      <c r="AG511">
        <f>IF([[#This Row],[Fin planifiée]]&lt;&gt;"",MONTH([[#This Row],[Fin planifiée]]),"")</f>
        <v>0</v>
      </c>
      <c r="AH511">
        <f>IF([[#This Row],[Fin planifiée]]&lt;&gt;"",YEAR([[#This Row],[Fin planifiée]]),"")</f>
        <v>0</v>
      </c>
      <c r="AI5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1">
        <f>IF(AND([[#This Row],Statut]="Terminé",[[#This Row],[Fin réelle]]&lt;&gt;""),IF([[#This Row],[Fin réelle]]&lt;=[[#This Row],[Fin planifiée]],"Oui","Non"),"")</f>
        <v>0</v>
      </c>
    </row>
    <row r="512" spans="13:36" ht="20" customHeight="1">
      <c r="M512">
        <f>IF(AND([[#This Row],Début]&lt;&gt;"",[[#This Row],[Fin planifiée]]&lt;&gt;""),[[#This Row],[Fin planifiée]]-[[#This Row],Début]+1,"")</f>
        <v>0</v>
      </c>
      <c r="N512">
        <f>IF(AND([[#This Row],Début]&lt;&gt;"",[[#This Row],[Fin réelle]]&lt;&gt;""),[[#This Row],[Fin réelle]]-[[#This Row],Début]+1,"")</f>
        <v>0</v>
      </c>
      <c r="S512">
        <f>[[#This Row],[Budget réalisé]]-[[#This Row],[Budget prévu]]</f>
        <v>0</v>
      </c>
      <c r="T512">
        <f>IF(OR([[#This Row],[Budget prévu]]="",[[#This Row],[Budget réalisé]]=""),"",IF([[#This Row],[Écart (€)]]=0,"À l'équilibre",IF([[#This Row],[Écart (€)]]&gt;0,"Dépassement","Sous budget")))</f>
        <v>0</v>
      </c>
      <c r="W512">
        <f>[[#This Row],[Risque – Probabilité (1-5)]]*[[#This Row],[Risque – Sévérité (1-5)]]</f>
        <v>0</v>
      </c>
      <c r="AC512">
        <f>IF([[#This Row],Effort (jours)]&gt;0,[[#This Row],[Reach (pers.)]]*[[#This Row],[Impact (1-5)]]*[[#This Row],[Confidence (0-1)]]/[[#This Row],[Effort (jours)]],"")</f>
        <v>0</v>
      </c>
      <c r="AG512">
        <f>IF([[#This Row],[Fin planifiée]]&lt;&gt;"",MONTH([[#This Row],[Fin planifiée]]),"")</f>
        <v>0</v>
      </c>
      <c r="AH512">
        <f>IF([[#This Row],[Fin planifiée]]&lt;&gt;"",YEAR([[#This Row],[Fin planifiée]]),"")</f>
        <v>0</v>
      </c>
      <c r="AI5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2">
        <f>IF(AND([[#This Row],Statut]="Terminé",[[#This Row],[Fin réelle]]&lt;&gt;""),IF([[#This Row],[Fin réelle]]&lt;=[[#This Row],[Fin planifiée]],"Oui","Non"),"")</f>
        <v>0</v>
      </c>
    </row>
    <row r="513" spans="13:36" ht="20" customHeight="1">
      <c r="M513">
        <f>IF(AND([[#This Row],Début]&lt;&gt;"",[[#This Row],[Fin planifiée]]&lt;&gt;""),[[#This Row],[Fin planifiée]]-[[#This Row],Début]+1,"")</f>
        <v>0</v>
      </c>
      <c r="N513">
        <f>IF(AND([[#This Row],Début]&lt;&gt;"",[[#This Row],[Fin réelle]]&lt;&gt;""),[[#This Row],[Fin réelle]]-[[#This Row],Début]+1,"")</f>
        <v>0</v>
      </c>
      <c r="S513">
        <f>[[#This Row],[Budget réalisé]]-[[#This Row],[Budget prévu]]</f>
        <v>0</v>
      </c>
      <c r="T513">
        <f>IF(OR([[#This Row],[Budget prévu]]="",[[#This Row],[Budget réalisé]]=""),"",IF([[#This Row],[Écart (€)]]=0,"À l'équilibre",IF([[#This Row],[Écart (€)]]&gt;0,"Dépassement","Sous budget")))</f>
        <v>0</v>
      </c>
      <c r="W513">
        <f>[[#This Row],[Risque – Probabilité (1-5)]]*[[#This Row],[Risque – Sévérité (1-5)]]</f>
        <v>0</v>
      </c>
      <c r="AC513">
        <f>IF([[#This Row],Effort (jours)]&gt;0,[[#This Row],[Reach (pers.)]]*[[#This Row],[Impact (1-5)]]*[[#This Row],[Confidence (0-1)]]/[[#This Row],[Effort (jours)]],"")</f>
        <v>0</v>
      </c>
      <c r="AG513">
        <f>IF([[#This Row],[Fin planifiée]]&lt;&gt;"",MONTH([[#This Row],[Fin planifiée]]),"")</f>
        <v>0</v>
      </c>
      <c r="AH513">
        <f>IF([[#This Row],[Fin planifiée]]&lt;&gt;"",YEAR([[#This Row],[Fin planifiée]]),"")</f>
        <v>0</v>
      </c>
      <c r="AI5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3">
        <f>IF(AND([[#This Row],Statut]="Terminé",[[#This Row],[Fin réelle]]&lt;&gt;""),IF([[#This Row],[Fin réelle]]&lt;=[[#This Row],[Fin planifiée]],"Oui","Non"),"")</f>
        <v>0</v>
      </c>
    </row>
    <row r="514" spans="13:36" ht="20" customHeight="1">
      <c r="M514">
        <f>IF(AND([[#This Row],Début]&lt;&gt;"",[[#This Row],[Fin planifiée]]&lt;&gt;""),[[#This Row],[Fin planifiée]]-[[#This Row],Début]+1,"")</f>
        <v>0</v>
      </c>
      <c r="N514">
        <f>IF(AND([[#This Row],Début]&lt;&gt;"",[[#This Row],[Fin réelle]]&lt;&gt;""),[[#This Row],[Fin réelle]]-[[#This Row],Début]+1,"")</f>
        <v>0</v>
      </c>
      <c r="S514">
        <f>[[#This Row],[Budget réalisé]]-[[#This Row],[Budget prévu]]</f>
        <v>0</v>
      </c>
      <c r="T514">
        <f>IF(OR([[#This Row],[Budget prévu]]="",[[#This Row],[Budget réalisé]]=""),"",IF([[#This Row],[Écart (€)]]=0,"À l'équilibre",IF([[#This Row],[Écart (€)]]&gt;0,"Dépassement","Sous budget")))</f>
        <v>0</v>
      </c>
      <c r="W514">
        <f>[[#This Row],[Risque – Probabilité (1-5)]]*[[#This Row],[Risque – Sévérité (1-5)]]</f>
        <v>0</v>
      </c>
      <c r="AC514">
        <f>IF([[#This Row],Effort (jours)]&gt;0,[[#This Row],[Reach (pers.)]]*[[#This Row],[Impact (1-5)]]*[[#This Row],[Confidence (0-1)]]/[[#This Row],[Effort (jours)]],"")</f>
        <v>0</v>
      </c>
      <c r="AG514">
        <f>IF([[#This Row],[Fin planifiée]]&lt;&gt;"",MONTH([[#This Row],[Fin planifiée]]),"")</f>
        <v>0</v>
      </c>
      <c r="AH514">
        <f>IF([[#This Row],[Fin planifiée]]&lt;&gt;"",YEAR([[#This Row],[Fin planifiée]]),"")</f>
        <v>0</v>
      </c>
      <c r="AI5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4">
        <f>IF(AND([[#This Row],Statut]="Terminé",[[#This Row],[Fin réelle]]&lt;&gt;""),IF([[#This Row],[Fin réelle]]&lt;=[[#This Row],[Fin planifiée]],"Oui","Non"),"")</f>
        <v>0</v>
      </c>
    </row>
    <row r="515" spans="13:36" ht="20" customHeight="1">
      <c r="M515">
        <f>IF(AND([[#This Row],Début]&lt;&gt;"",[[#This Row],[Fin planifiée]]&lt;&gt;""),[[#This Row],[Fin planifiée]]-[[#This Row],Début]+1,"")</f>
        <v>0</v>
      </c>
      <c r="N515">
        <f>IF(AND([[#This Row],Début]&lt;&gt;"",[[#This Row],[Fin réelle]]&lt;&gt;""),[[#This Row],[Fin réelle]]-[[#This Row],Début]+1,"")</f>
        <v>0</v>
      </c>
      <c r="S515">
        <f>[[#This Row],[Budget réalisé]]-[[#This Row],[Budget prévu]]</f>
        <v>0</v>
      </c>
      <c r="T515">
        <f>IF(OR([[#This Row],[Budget prévu]]="",[[#This Row],[Budget réalisé]]=""),"",IF([[#This Row],[Écart (€)]]=0,"À l'équilibre",IF([[#This Row],[Écart (€)]]&gt;0,"Dépassement","Sous budget")))</f>
        <v>0</v>
      </c>
      <c r="W515">
        <f>[[#This Row],[Risque – Probabilité (1-5)]]*[[#This Row],[Risque – Sévérité (1-5)]]</f>
        <v>0</v>
      </c>
      <c r="AC515">
        <f>IF([[#This Row],Effort (jours)]&gt;0,[[#This Row],[Reach (pers.)]]*[[#This Row],[Impact (1-5)]]*[[#This Row],[Confidence (0-1)]]/[[#This Row],[Effort (jours)]],"")</f>
        <v>0</v>
      </c>
      <c r="AG515">
        <f>IF([[#This Row],[Fin planifiée]]&lt;&gt;"",MONTH([[#This Row],[Fin planifiée]]),"")</f>
        <v>0</v>
      </c>
      <c r="AH515">
        <f>IF([[#This Row],[Fin planifiée]]&lt;&gt;"",YEAR([[#This Row],[Fin planifiée]]),"")</f>
        <v>0</v>
      </c>
      <c r="AI5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5">
        <f>IF(AND([[#This Row],Statut]="Terminé",[[#This Row],[Fin réelle]]&lt;&gt;""),IF([[#This Row],[Fin réelle]]&lt;=[[#This Row],[Fin planifiée]],"Oui","Non"),"")</f>
        <v>0</v>
      </c>
    </row>
    <row r="516" spans="13:36" ht="20" customHeight="1">
      <c r="M516">
        <f>IF(AND([[#This Row],Début]&lt;&gt;"",[[#This Row],[Fin planifiée]]&lt;&gt;""),[[#This Row],[Fin planifiée]]-[[#This Row],Début]+1,"")</f>
        <v>0</v>
      </c>
      <c r="N516">
        <f>IF(AND([[#This Row],Début]&lt;&gt;"",[[#This Row],[Fin réelle]]&lt;&gt;""),[[#This Row],[Fin réelle]]-[[#This Row],Début]+1,"")</f>
        <v>0</v>
      </c>
      <c r="S516">
        <f>[[#This Row],[Budget réalisé]]-[[#This Row],[Budget prévu]]</f>
        <v>0</v>
      </c>
      <c r="T516">
        <f>IF(OR([[#This Row],[Budget prévu]]="",[[#This Row],[Budget réalisé]]=""),"",IF([[#This Row],[Écart (€)]]=0,"À l'équilibre",IF([[#This Row],[Écart (€)]]&gt;0,"Dépassement","Sous budget")))</f>
        <v>0</v>
      </c>
      <c r="W516">
        <f>[[#This Row],[Risque – Probabilité (1-5)]]*[[#This Row],[Risque – Sévérité (1-5)]]</f>
        <v>0</v>
      </c>
      <c r="AC516">
        <f>IF([[#This Row],Effort (jours)]&gt;0,[[#This Row],[Reach (pers.)]]*[[#This Row],[Impact (1-5)]]*[[#This Row],[Confidence (0-1)]]/[[#This Row],[Effort (jours)]],"")</f>
        <v>0</v>
      </c>
      <c r="AG516">
        <f>IF([[#This Row],[Fin planifiée]]&lt;&gt;"",MONTH([[#This Row],[Fin planifiée]]),"")</f>
        <v>0</v>
      </c>
      <c r="AH516">
        <f>IF([[#This Row],[Fin planifiée]]&lt;&gt;"",YEAR([[#This Row],[Fin planifiée]]),"")</f>
        <v>0</v>
      </c>
      <c r="AI5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6">
        <f>IF(AND([[#This Row],Statut]="Terminé",[[#This Row],[Fin réelle]]&lt;&gt;""),IF([[#This Row],[Fin réelle]]&lt;=[[#This Row],[Fin planifiée]],"Oui","Non"),"")</f>
        <v>0</v>
      </c>
    </row>
    <row r="517" spans="13:36" ht="20" customHeight="1">
      <c r="M517">
        <f>IF(AND([[#This Row],Début]&lt;&gt;"",[[#This Row],[Fin planifiée]]&lt;&gt;""),[[#This Row],[Fin planifiée]]-[[#This Row],Début]+1,"")</f>
        <v>0</v>
      </c>
      <c r="N517">
        <f>IF(AND([[#This Row],Début]&lt;&gt;"",[[#This Row],[Fin réelle]]&lt;&gt;""),[[#This Row],[Fin réelle]]-[[#This Row],Début]+1,"")</f>
        <v>0</v>
      </c>
      <c r="S517">
        <f>[[#This Row],[Budget réalisé]]-[[#This Row],[Budget prévu]]</f>
        <v>0</v>
      </c>
      <c r="T517">
        <f>IF(OR([[#This Row],[Budget prévu]]="",[[#This Row],[Budget réalisé]]=""),"",IF([[#This Row],[Écart (€)]]=0,"À l'équilibre",IF([[#This Row],[Écart (€)]]&gt;0,"Dépassement","Sous budget")))</f>
        <v>0</v>
      </c>
      <c r="W517">
        <f>[[#This Row],[Risque – Probabilité (1-5)]]*[[#This Row],[Risque – Sévérité (1-5)]]</f>
        <v>0</v>
      </c>
      <c r="AC517">
        <f>IF([[#This Row],Effort (jours)]&gt;0,[[#This Row],[Reach (pers.)]]*[[#This Row],[Impact (1-5)]]*[[#This Row],[Confidence (0-1)]]/[[#This Row],[Effort (jours)]],"")</f>
        <v>0</v>
      </c>
      <c r="AG517">
        <f>IF([[#This Row],[Fin planifiée]]&lt;&gt;"",MONTH([[#This Row],[Fin planifiée]]),"")</f>
        <v>0</v>
      </c>
      <c r="AH517">
        <f>IF([[#This Row],[Fin planifiée]]&lt;&gt;"",YEAR([[#This Row],[Fin planifiée]]),"")</f>
        <v>0</v>
      </c>
      <c r="AI5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7">
        <f>IF(AND([[#This Row],Statut]="Terminé",[[#This Row],[Fin réelle]]&lt;&gt;""),IF([[#This Row],[Fin réelle]]&lt;=[[#This Row],[Fin planifiée]],"Oui","Non"),"")</f>
        <v>0</v>
      </c>
    </row>
    <row r="518" spans="13:36" ht="20" customHeight="1">
      <c r="M518">
        <f>IF(AND([[#This Row],Début]&lt;&gt;"",[[#This Row],[Fin planifiée]]&lt;&gt;""),[[#This Row],[Fin planifiée]]-[[#This Row],Début]+1,"")</f>
        <v>0</v>
      </c>
      <c r="N518">
        <f>IF(AND([[#This Row],Début]&lt;&gt;"",[[#This Row],[Fin réelle]]&lt;&gt;""),[[#This Row],[Fin réelle]]-[[#This Row],Début]+1,"")</f>
        <v>0</v>
      </c>
      <c r="S518">
        <f>[[#This Row],[Budget réalisé]]-[[#This Row],[Budget prévu]]</f>
        <v>0</v>
      </c>
      <c r="T518">
        <f>IF(OR([[#This Row],[Budget prévu]]="",[[#This Row],[Budget réalisé]]=""),"",IF([[#This Row],[Écart (€)]]=0,"À l'équilibre",IF([[#This Row],[Écart (€)]]&gt;0,"Dépassement","Sous budget")))</f>
        <v>0</v>
      </c>
      <c r="W518">
        <f>[[#This Row],[Risque – Probabilité (1-5)]]*[[#This Row],[Risque – Sévérité (1-5)]]</f>
        <v>0</v>
      </c>
      <c r="AC518">
        <f>IF([[#This Row],Effort (jours)]&gt;0,[[#This Row],[Reach (pers.)]]*[[#This Row],[Impact (1-5)]]*[[#This Row],[Confidence (0-1)]]/[[#This Row],[Effort (jours)]],"")</f>
        <v>0</v>
      </c>
      <c r="AG518">
        <f>IF([[#This Row],[Fin planifiée]]&lt;&gt;"",MONTH([[#This Row],[Fin planifiée]]),"")</f>
        <v>0</v>
      </c>
      <c r="AH518">
        <f>IF([[#This Row],[Fin planifiée]]&lt;&gt;"",YEAR([[#This Row],[Fin planifiée]]),"")</f>
        <v>0</v>
      </c>
      <c r="AI5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8">
        <f>IF(AND([[#This Row],Statut]="Terminé",[[#This Row],[Fin réelle]]&lt;&gt;""),IF([[#This Row],[Fin réelle]]&lt;=[[#This Row],[Fin planifiée]],"Oui","Non"),"")</f>
        <v>0</v>
      </c>
    </row>
    <row r="519" spans="13:36" ht="20" customHeight="1">
      <c r="M519">
        <f>IF(AND([[#This Row],Début]&lt;&gt;"",[[#This Row],[Fin planifiée]]&lt;&gt;""),[[#This Row],[Fin planifiée]]-[[#This Row],Début]+1,"")</f>
        <v>0</v>
      </c>
      <c r="N519">
        <f>IF(AND([[#This Row],Début]&lt;&gt;"",[[#This Row],[Fin réelle]]&lt;&gt;""),[[#This Row],[Fin réelle]]-[[#This Row],Début]+1,"")</f>
        <v>0</v>
      </c>
      <c r="S519">
        <f>[[#This Row],[Budget réalisé]]-[[#This Row],[Budget prévu]]</f>
        <v>0</v>
      </c>
      <c r="T519">
        <f>IF(OR([[#This Row],[Budget prévu]]="",[[#This Row],[Budget réalisé]]=""),"",IF([[#This Row],[Écart (€)]]=0,"À l'équilibre",IF([[#This Row],[Écart (€)]]&gt;0,"Dépassement","Sous budget")))</f>
        <v>0</v>
      </c>
      <c r="W519">
        <f>[[#This Row],[Risque – Probabilité (1-5)]]*[[#This Row],[Risque – Sévérité (1-5)]]</f>
        <v>0</v>
      </c>
      <c r="AC519">
        <f>IF([[#This Row],Effort (jours)]&gt;0,[[#This Row],[Reach (pers.)]]*[[#This Row],[Impact (1-5)]]*[[#This Row],[Confidence (0-1)]]/[[#This Row],[Effort (jours)]],"")</f>
        <v>0</v>
      </c>
      <c r="AG519">
        <f>IF([[#This Row],[Fin planifiée]]&lt;&gt;"",MONTH([[#This Row],[Fin planifiée]]),"")</f>
        <v>0</v>
      </c>
      <c r="AH519">
        <f>IF([[#This Row],[Fin planifiée]]&lt;&gt;"",YEAR([[#This Row],[Fin planifiée]]),"")</f>
        <v>0</v>
      </c>
      <c r="AI5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19">
        <f>IF(AND([[#This Row],Statut]="Terminé",[[#This Row],[Fin réelle]]&lt;&gt;""),IF([[#This Row],[Fin réelle]]&lt;=[[#This Row],[Fin planifiée]],"Oui","Non"),"")</f>
        <v>0</v>
      </c>
    </row>
    <row r="520" spans="13:36" ht="20" customHeight="1">
      <c r="M520">
        <f>IF(AND([[#This Row],Début]&lt;&gt;"",[[#This Row],[Fin planifiée]]&lt;&gt;""),[[#This Row],[Fin planifiée]]-[[#This Row],Début]+1,"")</f>
        <v>0</v>
      </c>
      <c r="N520">
        <f>IF(AND([[#This Row],Début]&lt;&gt;"",[[#This Row],[Fin réelle]]&lt;&gt;""),[[#This Row],[Fin réelle]]-[[#This Row],Début]+1,"")</f>
        <v>0</v>
      </c>
      <c r="S520">
        <f>[[#This Row],[Budget réalisé]]-[[#This Row],[Budget prévu]]</f>
        <v>0</v>
      </c>
      <c r="T520">
        <f>IF(OR([[#This Row],[Budget prévu]]="",[[#This Row],[Budget réalisé]]=""),"",IF([[#This Row],[Écart (€)]]=0,"À l'équilibre",IF([[#This Row],[Écart (€)]]&gt;0,"Dépassement","Sous budget")))</f>
        <v>0</v>
      </c>
      <c r="W520">
        <f>[[#This Row],[Risque – Probabilité (1-5)]]*[[#This Row],[Risque – Sévérité (1-5)]]</f>
        <v>0</v>
      </c>
      <c r="AC520">
        <f>IF([[#This Row],Effort (jours)]&gt;0,[[#This Row],[Reach (pers.)]]*[[#This Row],[Impact (1-5)]]*[[#This Row],[Confidence (0-1)]]/[[#This Row],[Effort (jours)]],"")</f>
        <v>0</v>
      </c>
      <c r="AG520">
        <f>IF([[#This Row],[Fin planifiée]]&lt;&gt;"",MONTH([[#This Row],[Fin planifiée]]),"")</f>
        <v>0</v>
      </c>
      <c r="AH520">
        <f>IF([[#This Row],[Fin planifiée]]&lt;&gt;"",YEAR([[#This Row],[Fin planifiée]]),"")</f>
        <v>0</v>
      </c>
      <c r="AI5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0">
        <f>IF(AND([[#This Row],Statut]="Terminé",[[#This Row],[Fin réelle]]&lt;&gt;""),IF([[#This Row],[Fin réelle]]&lt;=[[#This Row],[Fin planifiée]],"Oui","Non"),"")</f>
        <v>0</v>
      </c>
    </row>
    <row r="521" spans="13:36" ht="20" customHeight="1">
      <c r="M521">
        <f>IF(AND([[#This Row],Début]&lt;&gt;"",[[#This Row],[Fin planifiée]]&lt;&gt;""),[[#This Row],[Fin planifiée]]-[[#This Row],Début]+1,"")</f>
        <v>0</v>
      </c>
      <c r="N521">
        <f>IF(AND([[#This Row],Début]&lt;&gt;"",[[#This Row],[Fin réelle]]&lt;&gt;""),[[#This Row],[Fin réelle]]-[[#This Row],Début]+1,"")</f>
        <v>0</v>
      </c>
      <c r="S521">
        <f>[[#This Row],[Budget réalisé]]-[[#This Row],[Budget prévu]]</f>
        <v>0</v>
      </c>
      <c r="T521">
        <f>IF(OR([[#This Row],[Budget prévu]]="",[[#This Row],[Budget réalisé]]=""),"",IF([[#This Row],[Écart (€)]]=0,"À l'équilibre",IF([[#This Row],[Écart (€)]]&gt;0,"Dépassement","Sous budget")))</f>
        <v>0</v>
      </c>
      <c r="W521">
        <f>[[#This Row],[Risque – Probabilité (1-5)]]*[[#This Row],[Risque – Sévérité (1-5)]]</f>
        <v>0</v>
      </c>
      <c r="AC521">
        <f>IF([[#This Row],Effort (jours)]&gt;0,[[#This Row],[Reach (pers.)]]*[[#This Row],[Impact (1-5)]]*[[#This Row],[Confidence (0-1)]]/[[#This Row],[Effort (jours)]],"")</f>
        <v>0</v>
      </c>
      <c r="AG521">
        <f>IF([[#This Row],[Fin planifiée]]&lt;&gt;"",MONTH([[#This Row],[Fin planifiée]]),"")</f>
        <v>0</v>
      </c>
      <c r="AH521">
        <f>IF([[#This Row],[Fin planifiée]]&lt;&gt;"",YEAR([[#This Row],[Fin planifiée]]),"")</f>
        <v>0</v>
      </c>
      <c r="AI5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1">
        <f>IF(AND([[#This Row],Statut]="Terminé",[[#This Row],[Fin réelle]]&lt;&gt;""),IF([[#This Row],[Fin réelle]]&lt;=[[#This Row],[Fin planifiée]],"Oui","Non"),"")</f>
        <v>0</v>
      </c>
    </row>
    <row r="522" spans="13:36" ht="20" customHeight="1">
      <c r="M522">
        <f>IF(AND([[#This Row],Début]&lt;&gt;"",[[#This Row],[Fin planifiée]]&lt;&gt;""),[[#This Row],[Fin planifiée]]-[[#This Row],Début]+1,"")</f>
        <v>0</v>
      </c>
      <c r="N522">
        <f>IF(AND([[#This Row],Début]&lt;&gt;"",[[#This Row],[Fin réelle]]&lt;&gt;""),[[#This Row],[Fin réelle]]-[[#This Row],Début]+1,"")</f>
        <v>0</v>
      </c>
      <c r="S522">
        <f>[[#This Row],[Budget réalisé]]-[[#This Row],[Budget prévu]]</f>
        <v>0</v>
      </c>
      <c r="T522">
        <f>IF(OR([[#This Row],[Budget prévu]]="",[[#This Row],[Budget réalisé]]=""),"",IF([[#This Row],[Écart (€)]]=0,"À l'équilibre",IF([[#This Row],[Écart (€)]]&gt;0,"Dépassement","Sous budget")))</f>
        <v>0</v>
      </c>
      <c r="W522">
        <f>[[#This Row],[Risque – Probabilité (1-5)]]*[[#This Row],[Risque – Sévérité (1-5)]]</f>
        <v>0</v>
      </c>
      <c r="AC522">
        <f>IF([[#This Row],Effort (jours)]&gt;0,[[#This Row],[Reach (pers.)]]*[[#This Row],[Impact (1-5)]]*[[#This Row],[Confidence (0-1)]]/[[#This Row],[Effort (jours)]],"")</f>
        <v>0</v>
      </c>
      <c r="AG522">
        <f>IF([[#This Row],[Fin planifiée]]&lt;&gt;"",MONTH([[#This Row],[Fin planifiée]]),"")</f>
        <v>0</v>
      </c>
      <c r="AH522">
        <f>IF([[#This Row],[Fin planifiée]]&lt;&gt;"",YEAR([[#This Row],[Fin planifiée]]),"")</f>
        <v>0</v>
      </c>
      <c r="AI5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2">
        <f>IF(AND([[#This Row],Statut]="Terminé",[[#This Row],[Fin réelle]]&lt;&gt;""),IF([[#This Row],[Fin réelle]]&lt;=[[#This Row],[Fin planifiée]],"Oui","Non"),"")</f>
        <v>0</v>
      </c>
    </row>
    <row r="523" spans="13:36" ht="20" customHeight="1">
      <c r="M523">
        <f>IF(AND([[#This Row],Début]&lt;&gt;"",[[#This Row],[Fin planifiée]]&lt;&gt;""),[[#This Row],[Fin planifiée]]-[[#This Row],Début]+1,"")</f>
        <v>0</v>
      </c>
      <c r="N523">
        <f>IF(AND([[#This Row],Début]&lt;&gt;"",[[#This Row],[Fin réelle]]&lt;&gt;""),[[#This Row],[Fin réelle]]-[[#This Row],Début]+1,"")</f>
        <v>0</v>
      </c>
      <c r="S523">
        <f>[[#This Row],[Budget réalisé]]-[[#This Row],[Budget prévu]]</f>
        <v>0</v>
      </c>
      <c r="T523">
        <f>IF(OR([[#This Row],[Budget prévu]]="",[[#This Row],[Budget réalisé]]=""),"",IF([[#This Row],[Écart (€)]]=0,"À l'équilibre",IF([[#This Row],[Écart (€)]]&gt;0,"Dépassement","Sous budget")))</f>
        <v>0</v>
      </c>
      <c r="W523">
        <f>[[#This Row],[Risque – Probabilité (1-5)]]*[[#This Row],[Risque – Sévérité (1-5)]]</f>
        <v>0</v>
      </c>
      <c r="AC523">
        <f>IF([[#This Row],Effort (jours)]&gt;0,[[#This Row],[Reach (pers.)]]*[[#This Row],[Impact (1-5)]]*[[#This Row],[Confidence (0-1)]]/[[#This Row],[Effort (jours)]],"")</f>
        <v>0</v>
      </c>
      <c r="AG523">
        <f>IF([[#This Row],[Fin planifiée]]&lt;&gt;"",MONTH([[#This Row],[Fin planifiée]]),"")</f>
        <v>0</v>
      </c>
      <c r="AH523">
        <f>IF([[#This Row],[Fin planifiée]]&lt;&gt;"",YEAR([[#This Row],[Fin planifiée]]),"")</f>
        <v>0</v>
      </c>
      <c r="AI5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3">
        <f>IF(AND([[#This Row],Statut]="Terminé",[[#This Row],[Fin réelle]]&lt;&gt;""),IF([[#This Row],[Fin réelle]]&lt;=[[#This Row],[Fin planifiée]],"Oui","Non"),"")</f>
        <v>0</v>
      </c>
    </row>
    <row r="524" spans="13:36" ht="20" customHeight="1">
      <c r="M524">
        <f>IF(AND([[#This Row],Début]&lt;&gt;"",[[#This Row],[Fin planifiée]]&lt;&gt;""),[[#This Row],[Fin planifiée]]-[[#This Row],Début]+1,"")</f>
        <v>0</v>
      </c>
      <c r="N524">
        <f>IF(AND([[#This Row],Début]&lt;&gt;"",[[#This Row],[Fin réelle]]&lt;&gt;""),[[#This Row],[Fin réelle]]-[[#This Row],Début]+1,"")</f>
        <v>0</v>
      </c>
      <c r="S524">
        <f>[[#This Row],[Budget réalisé]]-[[#This Row],[Budget prévu]]</f>
        <v>0</v>
      </c>
      <c r="T524">
        <f>IF(OR([[#This Row],[Budget prévu]]="",[[#This Row],[Budget réalisé]]=""),"",IF([[#This Row],[Écart (€)]]=0,"À l'équilibre",IF([[#This Row],[Écart (€)]]&gt;0,"Dépassement","Sous budget")))</f>
        <v>0</v>
      </c>
      <c r="W524">
        <f>[[#This Row],[Risque – Probabilité (1-5)]]*[[#This Row],[Risque – Sévérité (1-5)]]</f>
        <v>0</v>
      </c>
      <c r="AC524">
        <f>IF([[#This Row],Effort (jours)]&gt;0,[[#This Row],[Reach (pers.)]]*[[#This Row],[Impact (1-5)]]*[[#This Row],[Confidence (0-1)]]/[[#This Row],[Effort (jours)]],"")</f>
        <v>0</v>
      </c>
      <c r="AG524">
        <f>IF([[#This Row],[Fin planifiée]]&lt;&gt;"",MONTH([[#This Row],[Fin planifiée]]),"")</f>
        <v>0</v>
      </c>
      <c r="AH524">
        <f>IF([[#This Row],[Fin planifiée]]&lt;&gt;"",YEAR([[#This Row],[Fin planifiée]]),"")</f>
        <v>0</v>
      </c>
      <c r="AI5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4">
        <f>IF(AND([[#This Row],Statut]="Terminé",[[#This Row],[Fin réelle]]&lt;&gt;""),IF([[#This Row],[Fin réelle]]&lt;=[[#This Row],[Fin planifiée]],"Oui","Non"),"")</f>
        <v>0</v>
      </c>
    </row>
    <row r="525" spans="13:36" ht="20" customHeight="1">
      <c r="M525">
        <f>IF(AND([[#This Row],Début]&lt;&gt;"",[[#This Row],[Fin planifiée]]&lt;&gt;""),[[#This Row],[Fin planifiée]]-[[#This Row],Début]+1,"")</f>
        <v>0</v>
      </c>
      <c r="N525">
        <f>IF(AND([[#This Row],Début]&lt;&gt;"",[[#This Row],[Fin réelle]]&lt;&gt;""),[[#This Row],[Fin réelle]]-[[#This Row],Début]+1,"")</f>
        <v>0</v>
      </c>
      <c r="S525">
        <f>[[#This Row],[Budget réalisé]]-[[#This Row],[Budget prévu]]</f>
        <v>0</v>
      </c>
      <c r="T525">
        <f>IF(OR([[#This Row],[Budget prévu]]="",[[#This Row],[Budget réalisé]]=""),"",IF([[#This Row],[Écart (€)]]=0,"À l'équilibre",IF([[#This Row],[Écart (€)]]&gt;0,"Dépassement","Sous budget")))</f>
        <v>0</v>
      </c>
      <c r="W525">
        <f>[[#This Row],[Risque – Probabilité (1-5)]]*[[#This Row],[Risque – Sévérité (1-5)]]</f>
        <v>0</v>
      </c>
      <c r="AC525">
        <f>IF([[#This Row],Effort (jours)]&gt;0,[[#This Row],[Reach (pers.)]]*[[#This Row],[Impact (1-5)]]*[[#This Row],[Confidence (0-1)]]/[[#This Row],[Effort (jours)]],"")</f>
        <v>0</v>
      </c>
      <c r="AG525">
        <f>IF([[#This Row],[Fin planifiée]]&lt;&gt;"",MONTH([[#This Row],[Fin planifiée]]),"")</f>
        <v>0</v>
      </c>
      <c r="AH525">
        <f>IF([[#This Row],[Fin planifiée]]&lt;&gt;"",YEAR([[#This Row],[Fin planifiée]]),"")</f>
        <v>0</v>
      </c>
      <c r="AI5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5">
        <f>IF(AND([[#This Row],Statut]="Terminé",[[#This Row],[Fin réelle]]&lt;&gt;""),IF([[#This Row],[Fin réelle]]&lt;=[[#This Row],[Fin planifiée]],"Oui","Non"),"")</f>
        <v>0</v>
      </c>
    </row>
    <row r="526" spans="13:36" ht="20" customHeight="1">
      <c r="M526">
        <f>IF(AND([[#This Row],Début]&lt;&gt;"",[[#This Row],[Fin planifiée]]&lt;&gt;""),[[#This Row],[Fin planifiée]]-[[#This Row],Début]+1,"")</f>
        <v>0</v>
      </c>
      <c r="N526">
        <f>IF(AND([[#This Row],Début]&lt;&gt;"",[[#This Row],[Fin réelle]]&lt;&gt;""),[[#This Row],[Fin réelle]]-[[#This Row],Début]+1,"")</f>
        <v>0</v>
      </c>
      <c r="S526">
        <f>[[#This Row],[Budget réalisé]]-[[#This Row],[Budget prévu]]</f>
        <v>0</v>
      </c>
      <c r="T526">
        <f>IF(OR([[#This Row],[Budget prévu]]="",[[#This Row],[Budget réalisé]]=""),"",IF([[#This Row],[Écart (€)]]=0,"À l'équilibre",IF([[#This Row],[Écart (€)]]&gt;0,"Dépassement","Sous budget")))</f>
        <v>0</v>
      </c>
      <c r="W526">
        <f>[[#This Row],[Risque – Probabilité (1-5)]]*[[#This Row],[Risque – Sévérité (1-5)]]</f>
        <v>0</v>
      </c>
      <c r="AC526">
        <f>IF([[#This Row],Effort (jours)]&gt;0,[[#This Row],[Reach (pers.)]]*[[#This Row],[Impact (1-5)]]*[[#This Row],[Confidence (0-1)]]/[[#This Row],[Effort (jours)]],"")</f>
        <v>0</v>
      </c>
      <c r="AG526">
        <f>IF([[#This Row],[Fin planifiée]]&lt;&gt;"",MONTH([[#This Row],[Fin planifiée]]),"")</f>
        <v>0</v>
      </c>
      <c r="AH526">
        <f>IF([[#This Row],[Fin planifiée]]&lt;&gt;"",YEAR([[#This Row],[Fin planifiée]]),"")</f>
        <v>0</v>
      </c>
      <c r="AI5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6">
        <f>IF(AND([[#This Row],Statut]="Terminé",[[#This Row],[Fin réelle]]&lt;&gt;""),IF([[#This Row],[Fin réelle]]&lt;=[[#This Row],[Fin planifiée]],"Oui","Non"),"")</f>
        <v>0</v>
      </c>
    </row>
    <row r="527" spans="13:36" ht="20" customHeight="1">
      <c r="M527">
        <f>IF(AND([[#This Row],Début]&lt;&gt;"",[[#This Row],[Fin planifiée]]&lt;&gt;""),[[#This Row],[Fin planifiée]]-[[#This Row],Début]+1,"")</f>
        <v>0</v>
      </c>
      <c r="N527">
        <f>IF(AND([[#This Row],Début]&lt;&gt;"",[[#This Row],[Fin réelle]]&lt;&gt;""),[[#This Row],[Fin réelle]]-[[#This Row],Début]+1,"")</f>
        <v>0</v>
      </c>
      <c r="S527">
        <f>[[#This Row],[Budget réalisé]]-[[#This Row],[Budget prévu]]</f>
        <v>0</v>
      </c>
      <c r="T527">
        <f>IF(OR([[#This Row],[Budget prévu]]="",[[#This Row],[Budget réalisé]]=""),"",IF([[#This Row],[Écart (€)]]=0,"À l'équilibre",IF([[#This Row],[Écart (€)]]&gt;0,"Dépassement","Sous budget")))</f>
        <v>0</v>
      </c>
      <c r="W527">
        <f>[[#This Row],[Risque – Probabilité (1-5)]]*[[#This Row],[Risque – Sévérité (1-5)]]</f>
        <v>0</v>
      </c>
      <c r="AC527">
        <f>IF([[#This Row],Effort (jours)]&gt;0,[[#This Row],[Reach (pers.)]]*[[#This Row],[Impact (1-5)]]*[[#This Row],[Confidence (0-1)]]/[[#This Row],[Effort (jours)]],"")</f>
        <v>0</v>
      </c>
      <c r="AG527">
        <f>IF([[#This Row],[Fin planifiée]]&lt;&gt;"",MONTH([[#This Row],[Fin planifiée]]),"")</f>
        <v>0</v>
      </c>
      <c r="AH527">
        <f>IF([[#This Row],[Fin planifiée]]&lt;&gt;"",YEAR([[#This Row],[Fin planifiée]]),"")</f>
        <v>0</v>
      </c>
      <c r="AI5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7">
        <f>IF(AND([[#This Row],Statut]="Terminé",[[#This Row],[Fin réelle]]&lt;&gt;""),IF([[#This Row],[Fin réelle]]&lt;=[[#This Row],[Fin planifiée]],"Oui","Non"),"")</f>
        <v>0</v>
      </c>
    </row>
    <row r="528" spans="13:36" ht="20" customHeight="1">
      <c r="M528">
        <f>IF(AND([[#This Row],Début]&lt;&gt;"",[[#This Row],[Fin planifiée]]&lt;&gt;""),[[#This Row],[Fin planifiée]]-[[#This Row],Début]+1,"")</f>
        <v>0</v>
      </c>
      <c r="N528">
        <f>IF(AND([[#This Row],Début]&lt;&gt;"",[[#This Row],[Fin réelle]]&lt;&gt;""),[[#This Row],[Fin réelle]]-[[#This Row],Début]+1,"")</f>
        <v>0</v>
      </c>
      <c r="S528">
        <f>[[#This Row],[Budget réalisé]]-[[#This Row],[Budget prévu]]</f>
        <v>0</v>
      </c>
      <c r="T528">
        <f>IF(OR([[#This Row],[Budget prévu]]="",[[#This Row],[Budget réalisé]]=""),"",IF([[#This Row],[Écart (€)]]=0,"À l'équilibre",IF([[#This Row],[Écart (€)]]&gt;0,"Dépassement","Sous budget")))</f>
        <v>0</v>
      </c>
      <c r="W528">
        <f>[[#This Row],[Risque – Probabilité (1-5)]]*[[#This Row],[Risque – Sévérité (1-5)]]</f>
        <v>0</v>
      </c>
      <c r="AC528">
        <f>IF([[#This Row],Effort (jours)]&gt;0,[[#This Row],[Reach (pers.)]]*[[#This Row],[Impact (1-5)]]*[[#This Row],[Confidence (0-1)]]/[[#This Row],[Effort (jours)]],"")</f>
        <v>0</v>
      </c>
      <c r="AG528">
        <f>IF([[#This Row],[Fin planifiée]]&lt;&gt;"",MONTH([[#This Row],[Fin planifiée]]),"")</f>
        <v>0</v>
      </c>
      <c r="AH528">
        <f>IF([[#This Row],[Fin planifiée]]&lt;&gt;"",YEAR([[#This Row],[Fin planifiée]]),"")</f>
        <v>0</v>
      </c>
      <c r="AI5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8">
        <f>IF(AND([[#This Row],Statut]="Terminé",[[#This Row],[Fin réelle]]&lt;&gt;""),IF([[#This Row],[Fin réelle]]&lt;=[[#This Row],[Fin planifiée]],"Oui","Non"),"")</f>
        <v>0</v>
      </c>
    </row>
    <row r="529" spans="13:36" ht="20" customHeight="1">
      <c r="M529">
        <f>IF(AND([[#This Row],Début]&lt;&gt;"",[[#This Row],[Fin planifiée]]&lt;&gt;""),[[#This Row],[Fin planifiée]]-[[#This Row],Début]+1,"")</f>
        <v>0</v>
      </c>
      <c r="N529">
        <f>IF(AND([[#This Row],Début]&lt;&gt;"",[[#This Row],[Fin réelle]]&lt;&gt;""),[[#This Row],[Fin réelle]]-[[#This Row],Début]+1,"")</f>
        <v>0</v>
      </c>
      <c r="S529">
        <f>[[#This Row],[Budget réalisé]]-[[#This Row],[Budget prévu]]</f>
        <v>0</v>
      </c>
      <c r="T529">
        <f>IF(OR([[#This Row],[Budget prévu]]="",[[#This Row],[Budget réalisé]]=""),"",IF([[#This Row],[Écart (€)]]=0,"À l'équilibre",IF([[#This Row],[Écart (€)]]&gt;0,"Dépassement","Sous budget")))</f>
        <v>0</v>
      </c>
      <c r="W529">
        <f>[[#This Row],[Risque – Probabilité (1-5)]]*[[#This Row],[Risque – Sévérité (1-5)]]</f>
        <v>0</v>
      </c>
      <c r="AC529">
        <f>IF([[#This Row],Effort (jours)]&gt;0,[[#This Row],[Reach (pers.)]]*[[#This Row],[Impact (1-5)]]*[[#This Row],[Confidence (0-1)]]/[[#This Row],[Effort (jours)]],"")</f>
        <v>0</v>
      </c>
      <c r="AG529">
        <f>IF([[#This Row],[Fin planifiée]]&lt;&gt;"",MONTH([[#This Row],[Fin planifiée]]),"")</f>
        <v>0</v>
      </c>
      <c r="AH529">
        <f>IF([[#This Row],[Fin planifiée]]&lt;&gt;"",YEAR([[#This Row],[Fin planifiée]]),"")</f>
        <v>0</v>
      </c>
      <c r="AI5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29">
        <f>IF(AND([[#This Row],Statut]="Terminé",[[#This Row],[Fin réelle]]&lt;&gt;""),IF([[#This Row],[Fin réelle]]&lt;=[[#This Row],[Fin planifiée]],"Oui","Non"),"")</f>
        <v>0</v>
      </c>
    </row>
    <row r="530" spans="13:36" ht="20" customHeight="1">
      <c r="M530">
        <f>IF(AND([[#This Row],Début]&lt;&gt;"",[[#This Row],[Fin planifiée]]&lt;&gt;""),[[#This Row],[Fin planifiée]]-[[#This Row],Début]+1,"")</f>
        <v>0</v>
      </c>
      <c r="N530">
        <f>IF(AND([[#This Row],Début]&lt;&gt;"",[[#This Row],[Fin réelle]]&lt;&gt;""),[[#This Row],[Fin réelle]]-[[#This Row],Début]+1,"")</f>
        <v>0</v>
      </c>
      <c r="S530">
        <f>[[#This Row],[Budget réalisé]]-[[#This Row],[Budget prévu]]</f>
        <v>0</v>
      </c>
      <c r="T530">
        <f>IF(OR([[#This Row],[Budget prévu]]="",[[#This Row],[Budget réalisé]]=""),"",IF([[#This Row],[Écart (€)]]=0,"À l'équilibre",IF([[#This Row],[Écart (€)]]&gt;0,"Dépassement","Sous budget")))</f>
        <v>0</v>
      </c>
      <c r="W530">
        <f>[[#This Row],[Risque – Probabilité (1-5)]]*[[#This Row],[Risque – Sévérité (1-5)]]</f>
        <v>0</v>
      </c>
      <c r="AC530">
        <f>IF([[#This Row],Effort (jours)]&gt;0,[[#This Row],[Reach (pers.)]]*[[#This Row],[Impact (1-5)]]*[[#This Row],[Confidence (0-1)]]/[[#This Row],[Effort (jours)]],"")</f>
        <v>0</v>
      </c>
      <c r="AG530">
        <f>IF([[#This Row],[Fin planifiée]]&lt;&gt;"",MONTH([[#This Row],[Fin planifiée]]),"")</f>
        <v>0</v>
      </c>
      <c r="AH530">
        <f>IF([[#This Row],[Fin planifiée]]&lt;&gt;"",YEAR([[#This Row],[Fin planifiée]]),"")</f>
        <v>0</v>
      </c>
      <c r="AI5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0">
        <f>IF(AND([[#This Row],Statut]="Terminé",[[#This Row],[Fin réelle]]&lt;&gt;""),IF([[#This Row],[Fin réelle]]&lt;=[[#This Row],[Fin planifiée]],"Oui","Non"),"")</f>
        <v>0</v>
      </c>
    </row>
    <row r="531" spans="13:36" ht="20" customHeight="1">
      <c r="M531">
        <f>IF(AND([[#This Row],Début]&lt;&gt;"",[[#This Row],[Fin planifiée]]&lt;&gt;""),[[#This Row],[Fin planifiée]]-[[#This Row],Début]+1,"")</f>
        <v>0</v>
      </c>
      <c r="N531">
        <f>IF(AND([[#This Row],Début]&lt;&gt;"",[[#This Row],[Fin réelle]]&lt;&gt;""),[[#This Row],[Fin réelle]]-[[#This Row],Début]+1,"")</f>
        <v>0</v>
      </c>
      <c r="S531">
        <f>[[#This Row],[Budget réalisé]]-[[#This Row],[Budget prévu]]</f>
        <v>0</v>
      </c>
      <c r="T531">
        <f>IF(OR([[#This Row],[Budget prévu]]="",[[#This Row],[Budget réalisé]]=""),"",IF([[#This Row],[Écart (€)]]=0,"À l'équilibre",IF([[#This Row],[Écart (€)]]&gt;0,"Dépassement","Sous budget")))</f>
        <v>0</v>
      </c>
      <c r="W531">
        <f>[[#This Row],[Risque – Probabilité (1-5)]]*[[#This Row],[Risque – Sévérité (1-5)]]</f>
        <v>0</v>
      </c>
      <c r="AC531">
        <f>IF([[#This Row],Effort (jours)]&gt;0,[[#This Row],[Reach (pers.)]]*[[#This Row],[Impact (1-5)]]*[[#This Row],[Confidence (0-1)]]/[[#This Row],[Effort (jours)]],"")</f>
        <v>0</v>
      </c>
      <c r="AG531">
        <f>IF([[#This Row],[Fin planifiée]]&lt;&gt;"",MONTH([[#This Row],[Fin planifiée]]),"")</f>
        <v>0</v>
      </c>
      <c r="AH531">
        <f>IF([[#This Row],[Fin planifiée]]&lt;&gt;"",YEAR([[#This Row],[Fin planifiée]]),"")</f>
        <v>0</v>
      </c>
      <c r="AI5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1">
        <f>IF(AND([[#This Row],Statut]="Terminé",[[#This Row],[Fin réelle]]&lt;&gt;""),IF([[#This Row],[Fin réelle]]&lt;=[[#This Row],[Fin planifiée]],"Oui","Non"),"")</f>
        <v>0</v>
      </c>
    </row>
    <row r="532" spans="13:36" ht="20" customHeight="1">
      <c r="M532">
        <f>IF(AND([[#This Row],Début]&lt;&gt;"",[[#This Row],[Fin planifiée]]&lt;&gt;""),[[#This Row],[Fin planifiée]]-[[#This Row],Début]+1,"")</f>
        <v>0</v>
      </c>
      <c r="N532">
        <f>IF(AND([[#This Row],Début]&lt;&gt;"",[[#This Row],[Fin réelle]]&lt;&gt;""),[[#This Row],[Fin réelle]]-[[#This Row],Début]+1,"")</f>
        <v>0</v>
      </c>
      <c r="S532">
        <f>[[#This Row],[Budget réalisé]]-[[#This Row],[Budget prévu]]</f>
        <v>0</v>
      </c>
      <c r="T532">
        <f>IF(OR([[#This Row],[Budget prévu]]="",[[#This Row],[Budget réalisé]]=""),"",IF([[#This Row],[Écart (€)]]=0,"À l'équilibre",IF([[#This Row],[Écart (€)]]&gt;0,"Dépassement","Sous budget")))</f>
        <v>0</v>
      </c>
      <c r="W532">
        <f>[[#This Row],[Risque – Probabilité (1-5)]]*[[#This Row],[Risque – Sévérité (1-5)]]</f>
        <v>0</v>
      </c>
      <c r="AC532">
        <f>IF([[#This Row],Effort (jours)]&gt;0,[[#This Row],[Reach (pers.)]]*[[#This Row],[Impact (1-5)]]*[[#This Row],[Confidence (0-1)]]/[[#This Row],[Effort (jours)]],"")</f>
        <v>0</v>
      </c>
      <c r="AG532">
        <f>IF([[#This Row],[Fin planifiée]]&lt;&gt;"",MONTH([[#This Row],[Fin planifiée]]),"")</f>
        <v>0</v>
      </c>
      <c r="AH532">
        <f>IF([[#This Row],[Fin planifiée]]&lt;&gt;"",YEAR([[#This Row],[Fin planifiée]]),"")</f>
        <v>0</v>
      </c>
      <c r="AI5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2">
        <f>IF(AND([[#This Row],Statut]="Terminé",[[#This Row],[Fin réelle]]&lt;&gt;""),IF([[#This Row],[Fin réelle]]&lt;=[[#This Row],[Fin planifiée]],"Oui","Non"),"")</f>
        <v>0</v>
      </c>
    </row>
    <row r="533" spans="13:36" ht="20" customHeight="1">
      <c r="M533">
        <f>IF(AND([[#This Row],Début]&lt;&gt;"",[[#This Row],[Fin planifiée]]&lt;&gt;""),[[#This Row],[Fin planifiée]]-[[#This Row],Début]+1,"")</f>
        <v>0</v>
      </c>
      <c r="N533">
        <f>IF(AND([[#This Row],Début]&lt;&gt;"",[[#This Row],[Fin réelle]]&lt;&gt;""),[[#This Row],[Fin réelle]]-[[#This Row],Début]+1,"")</f>
        <v>0</v>
      </c>
      <c r="S533">
        <f>[[#This Row],[Budget réalisé]]-[[#This Row],[Budget prévu]]</f>
        <v>0</v>
      </c>
      <c r="T533">
        <f>IF(OR([[#This Row],[Budget prévu]]="",[[#This Row],[Budget réalisé]]=""),"",IF([[#This Row],[Écart (€)]]=0,"À l'équilibre",IF([[#This Row],[Écart (€)]]&gt;0,"Dépassement","Sous budget")))</f>
        <v>0</v>
      </c>
      <c r="W533">
        <f>[[#This Row],[Risque – Probabilité (1-5)]]*[[#This Row],[Risque – Sévérité (1-5)]]</f>
        <v>0</v>
      </c>
      <c r="AC533">
        <f>IF([[#This Row],Effort (jours)]&gt;0,[[#This Row],[Reach (pers.)]]*[[#This Row],[Impact (1-5)]]*[[#This Row],[Confidence (0-1)]]/[[#This Row],[Effort (jours)]],"")</f>
        <v>0</v>
      </c>
      <c r="AG533">
        <f>IF([[#This Row],[Fin planifiée]]&lt;&gt;"",MONTH([[#This Row],[Fin planifiée]]),"")</f>
        <v>0</v>
      </c>
      <c r="AH533">
        <f>IF([[#This Row],[Fin planifiée]]&lt;&gt;"",YEAR([[#This Row],[Fin planifiée]]),"")</f>
        <v>0</v>
      </c>
      <c r="AI5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3">
        <f>IF(AND([[#This Row],Statut]="Terminé",[[#This Row],[Fin réelle]]&lt;&gt;""),IF([[#This Row],[Fin réelle]]&lt;=[[#This Row],[Fin planifiée]],"Oui","Non"),"")</f>
        <v>0</v>
      </c>
    </row>
    <row r="534" spans="13:36" ht="20" customHeight="1">
      <c r="M534">
        <f>IF(AND([[#This Row],Début]&lt;&gt;"",[[#This Row],[Fin planifiée]]&lt;&gt;""),[[#This Row],[Fin planifiée]]-[[#This Row],Début]+1,"")</f>
        <v>0</v>
      </c>
      <c r="N534">
        <f>IF(AND([[#This Row],Début]&lt;&gt;"",[[#This Row],[Fin réelle]]&lt;&gt;""),[[#This Row],[Fin réelle]]-[[#This Row],Début]+1,"")</f>
        <v>0</v>
      </c>
      <c r="S534">
        <f>[[#This Row],[Budget réalisé]]-[[#This Row],[Budget prévu]]</f>
        <v>0</v>
      </c>
      <c r="T534">
        <f>IF(OR([[#This Row],[Budget prévu]]="",[[#This Row],[Budget réalisé]]=""),"",IF([[#This Row],[Écart (€)]]=0,"À l'équilibre",IF([[#This Row],[Écart (€)]]&gt;0,"Dépassement","Sous budget")))</f>
        <v>0</v>
      </c>
      <c r="W534">
        <f>[[#This Row],[Risque – Probabilité (1-5)]]*[[#This Row],[Risque – Sévérité (1-5)]]</f>
        <v>0</v>
      </c>
      <c r="AC534">
        <f>IF([[#This Row],Effort (jours)]&gt;0,[[#This Row],[Reach (pers.)]]*[[#This Row],[Impact (1-5)]]*[[#This Row],[Confidence (0-1)]]/[[#This Row],[Effort (jours)]],"")</f>
        <v>0</v>
      </c>
      <c r="AG534">
        <f>IF([[#This Row],[Fin planifiée]]&lt;&gt;"",MONTH([[#This Row],[Fin planifiée]]),"")</f>
        <v>0</v>
      </c>
      <c r="AH534">
        <f>IF([[#This Row],[Fin planifiée]]&lt;&gt;"",YEAR([[#This Row],[Fin planifiée]]),"")</f>
        <v>0</v>
      </c>
      <c r="AI5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4">
        <f>IF(AND([[#This Row],Statut]="Terminé",[[#This Row],[Fin réelle]]&lt;&gt;""),IF([[#This Row],[Fin réelle]]&lt;=[[#This Row],[Fin planifiée]],"Oui","Non"),"")</f>
        <v>0</v>
      </c>
    </row>
    <row r="535" spans="13:36" ht="20" customHeight="1">
      <c r="M535">
        <f>IF(AND([[#This Row],Début]&lt;&gt;"",[[#This Row],[Fin planifiée]]&lt;&gt;""),[[#This Row],[Fin planifiée]]-[[#This Row],Début]+1,"")</f>
        <v>0</v>
      </c>
      <c r="N535">
        <f>IF(AND([[#This Row],Début]&lt;&gt;"",[[#This Row],[Fin réelle]]&lt;&gt;""),[[#This Row],[Fin réelle]]-[[#This Row],Début]+1,"")</f>
        <v>0</v>
      </c>
      <c r="S535">
        <f>[[#This Row],[Budget réalisé]]-[[#This Row],[Budget prévu]]</f>
        <v>0</v>
      </c>
      <c r="T535">
        <f>IF(OR([[#This Row],[Budget prévu]]="",[[#This Row],[Budget réalisé]]=""),"",IF([[#This Row],[Écart (€)]]=0,"À l'équilibre",IF([[#This Row],[Écart (€)]]&gt;0,"Dépassement","Sous budget")))</f>
        <v>0</v>
      </c>
      <c r="W535">
        <f>[[#This Row],[Risque – Probabilité (1-5)]]*[[#This Row],[Risque – Sévérité (1-5)]]</f>
        <v>0</v>
      </c>
      <c r="AC535">
        <f>IF([[#This Row],Effort (jours)]&gt;0,[[#This Row],[Reach (pers.)]]*[[#This Row],[Impact (1-5)]]*[[#This Row],[Confidence (0-1)]]/[[#This Row],[Effort (jours)]],"")</f>
        <v>0</v>
      </c>
      <c r="AG535">
        <f>IF([[#This Row],[Fin planifiée]]&lt;&gt;"",MONTH([[#This Row],[Fin planifiée]]),"")</f>
        <v>0</v>
      </c>
      <c r="AH535">
        <f>IF([[#This Row],[Fin planifiée]]&lt;&gt;"",YEAR([[#This Row],[Fin planifiée]]),"")</f>
        <v>0</v>
      </c>
      <c r="AI5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5">
        <f>IF(AND([[#This Row],Statut]="Terminé",[[#This Row],[Fin réelle]]&lt;&gt;""),IF([[#This Row],[Fin réelle]]&lt;=[[#This Row],[Fin planifiée]],"Oui","Non"),"")</f>
        <v>0</v>
      </c>
    </row>
    <row r="536" spans="13:36" ht="20" customHeight="1">
      <c r="M536">
        <f>IF(AND([[#This Row],Début]&lt;&gt;"",[[#This Row],[Fin planifiée]]&lt;&gt;""),[[#This Row],[Fin planifiée]]-[[#This Row],Début]+1,"")</f>
        <v>0</v>
      </c>
      <c r="N536">
        <f>IF(AND([[#This Row],Début]&lt;&gt;"",[[#This Row],[Fin réelle]]&lt;&gt;""),[[#This Row],[Fin réelle]]-[[#This Row],Début]+1,"")</f>
        <v>0</v>
      </c>
      <c r="S536">
        <f>[[#This Row],[Budget réalisé]]-[[#This Row],[Budget prévu]]</f>
        <v>0</v>
      </c>
      <c r="T536">
        <f>IF(OR([[#This Row],[Budget prévu]]="",[[#This Row],[Budget réalisé]]=""),"",IF([[#This Row],[Écart (€)]]=0,"À l'équilibre",IF([[#This Row],[Écart (€)]]&gt;0,"Dépassement","Sous budget")))</f>
        <v>0</v>
      </c>
      <c r="W536">
        <f>[[#This Row],[Risque – Probabilité (1-5)]]*[[#This Row],[Risque – Sévérité (1-5)]]</f>
        <v>0</v>
      </c>
      <c r="AC536">
        <f>IF([[#This Row],Effort (jours)]&gt;0,[[#This Row],[Reach (pers.)]]*[[#This Row],[Impact (1-5)]]*[[#This Row],[Confidence (0-1)]]/[[#This Row],[Effort (jours)]],"")</f>
        <v>0</v>
      </c>
      <c r="AG536">
        <f>IF([[#This Row],[Fin planifiée]]&lt;&gt;"",MONTH([[#This Row],[Fin planifiée]]),"")</f>
        <v>0</v>
      </c>
      <c r="AH536">
        <f>IF([[#This Row],[Fin planifiée]]&lt;&gt;"",YEAR([[#This Row],[Fin planifiée]]),"")</f>
        <v>0</v>
      </c>
      <c r="AI5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6">
        <f>IF(AND([[#This Row],Statut]="Terminé",[[#This Row],[Fin réelle]]&lt;&gt;""),IF([[#This Row],[Fin réelle]]&lt;=[[#This Row],[Fin planifiée]],"Oui","Non"),"")</f>
        <v>0</v>
      </c>
    </row>
    <row r="537" spans="13:36" ht="20" customHeight="1">
      <c r="M537">
        <f>IF(AND([[#This Row],Début]&lt;&gt;"",[[#This Row],[Fin planifiée]]&lt;&gt;""),[[#This Row],[Fin planifiée]]-[[#This Row],Début]+1,"")</f>
        <v>0</v>
      </c>
      <c r="N537">
        <f>IF(AND([[#This Row],Début]&lt;&gt;"",[[#This Row],[Fin réelle]]&lt;&gt;""),[[#This Row],[Fin réelle]]-[[#This Row],Début]+1,"")</f>
        <v>0</v>
      </c>
      <c r="S537">
        <f>[[#This Row],[Budget réalisé]]-[[#This Row],[Budget prévu]]</f>
        <v>0</v>
      </c>
      <c r="T537">
        <f>IF(OR([[#This Row],[Budget prévu]]="",[[#This Row],[Budget réalisé]]=""),"",IF([[#This Row],[Écart (€)]]=0,"À l'équilibre",IF([[#This Row],[Écart (€)]]&gt;0,"Dépassement","Sous budget")))</f>
        <v>0</v>
      </c>
      <c r="W537">
        <f>[[#This Row],[Risque – Probabilité (1-5)]]*[[#This Row],[Risque – Sévérité (1-5)]]</f>
        <v>0</v>
      </c>
      <c r="AC537">
        <f>IF([[#This Row],Effort (jours)]&gt;0,[[#This Row],[Reach (pers.)]]*[[#This Row],[Impact (1-5)]]*[[#This Row],[Confidence (0-1)]]/[[#This Row],[Effort (jours)]],"")</f>
        <v>0</v>
      </c>
      <c r="AG537">
        <f>IF([[#This Row],[Fin planifiée]]&lt;&gt;"",MONTH([[#This Row],[Fin planifiée]]),"")</f>
        <v>0</v>
      </c>
      <c r="AH537">
        <f>IF([[#This Row],[Fin planifiée]]&lt;&gt;"",YEAR([[#This Row],[Fin planifiée]]),"")</f>
        <v>0</v>
      </c>
      <c r="AI5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7">
        <f>IF(AND([[#This Row],Statut]="Terminé",[[#This Row],[Fin réelle]]&lt;&gt;""),IF([[#This Row],[Fin réelle]]&lt;=[[#This Row],[Fin planifiée]],"Oui","Non"),"")</f>
        <v>0</v>
      </c>
    </row>
    <row r="538" spans="13:36" ht="20" customHeight="1">
      <c r="M538">
        <f>IF(AND([[#This Row],Début]&lt;&gt;"",[[#This Row],[Fin planifiée]]&lt;&gt;""),[[#This Row],[Fin planifiée]]-[[#This Row],Début]+1,"")</f>
        <v>0</v>
      </c>
      <c r="N538">
        <f>IF(AND([[#This Row],Début]&lt;&gt;"",[[#This Row],[Fin réelle]]&lt;&gt;""),[[#This Row],[Fin réelle]]-[[#This Row],Début]+1,"")</f>
        <v>0</v>
      </c>
      <c r="S538">
        <f>[[#This Row],[Budget réalisé]]-[[#This Row],[Budget prévu]]</f>
        <v>0</v>
      </c>
      <c r="T538">
        <f>IF(OR([[#This Row],[Budget prévu]]="",[[#This Row],[Budget réalisé]]=""),"",IF([[#This Row],[Écart (€)]]=0,"À l'équilibre",IF([[#This Row],[Écart (€)]]&gt;0,"Dépassement","Sous budget")))</f>
        <v>0</v>
      </c>
      <c r="W538">
        <f>[[#This Row],[Risque – Probabilité (1-5)]]*[[#This Row],[Risque – Sévérité (1-5)]]</f>
        <v>0</v>
      </c>
      <c r="AC538">
        <f>IF([[#This Row],Effort (jours)]&gt;0,[[#This Row],[Reach (pers.)]]*[[#This Row],[Impact (1-5)]]*[[#This Row],[Confidence (0-1)]]/[[#This Row],[Effort (jours)]],"")</f>
        <v>0</v>
      </c>
      <c r="AG538">
        <f>IF([[#This Row],[Fin planifiée]]&lt;&gt;"",MONTH([[#This Row],[Fin planifiée]]),"")</f>
        <v>0</v>
      </c>
      <c r="AH538">
        <f>IF([[#This Row],[Fin planifiée]]&lt;&gt;"",YEAR([[#This Row],[Fin planifiée]]),"")</f>
        <v>0</v>
      </c>
      <c r="AI5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8">
        <f>IF(AND([[#This Row],Statut]="Terminé",[[#This Row],[Fin réelle]]&lt;&gt;""),IF([[#This Row],[Fin réelle]]&lt;=[[#This Row],[Fin planifiée]],"Oui","Non"),"")</f>
        <v>0</v>
      </c>
    </row>
    <row r="539" spans="13:36" ht="20" customHeight="1">
      <c r="M539">
        <f>IF(AND([[#This Row],Début]&lt;&gt;"",[[#This Row],[Fin planifiée]]&lt;&gt;""),[[#This Row],[Fin planifiée]]-[[#This Row],Début]+1,"")</f>
        <v>0</v>
      </c>
      <c r="N539">
        <f>IF(AND([[#This Row],Début]&lt;&gt;"",[[#This Row],[Fin réelle]]&lt;&gt;""),[[#This Row],[Fin réelle]]-[[#This Row],Début]+1,"")</f>
        <v>0</v>
      </c>
      <c r="S539">
        <f>[[#This Row],[Budget réalisé]]-[[#This Row],[Budget prévu]]</f>
        <v>0</v>
      </c>
      <c r="T539">
        <f>IF(OR([[#This Row],[Budget prévu]]="",[[#This Row],[Budget réalisé]]=""),"",IF([[#This Row],[Écart (€)]]=0,"À l'équilibre",IF([[#This Row],[Écart (€)]]&gt;0,"Dépassement","Sous budget")))</f>
        <v>0</v>
      </c>
      <c r="W539">
        <f>[[#This Row],[Risque – Probabilité (1-5)]]*[[#This Row],[Risque – Sévérité (1-5)]]</f>
        <v>0</v>
      </c>
      <c r="AC539">
        <f>IF([[#This Row],Effort (jours)]&gt;0,[[#This Row],[Reach (pers.)]]*[[#This Row],[Impact (1-5)]]*[[#This Row],[Confidence (0-1)]]/[[#This Row],[Effort (jours)]],"")</f>
        <v>0</v>
      </c>
      <c r="AG539">
        <f>IF([[#This Row],[Fin planifiée]]&lt;&gt;"",MONTH([[#This Row],[Fin planifiée]]),"")</f>
        <v>0</v>
      </c>
      <c r="AH539">
        <f>IF([[#This Row],[Fin planifiée]]&lt;&gt;"",YEAR([[#This Row],[Fin planifiée]]),"")</f>
        <v>0</v>
      </c>
      <c r="AI5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39">
        <f>IF(AND([[#This Row],Statut]="Terminé",[[#This Row],[Fin réelle]]&lt;&gt;""),IF([[#This Row],[Fin réelle]]&lt;=[[#This Row],[Fin planifiée]],"Oui","Non"),"")</f>
        <v>0</v>
      </c>
    </row>
    <row r="540" spans="13:36" ht="20" customHeight="1">
      <c r="M540">
        <f>IF(AND([[#This Row],Début]&lt;&gt;"",[[#This Row],[Fin planifiée]]&lt;&gt;""),[[#This Row],[Fin planifiée]]-[[#This Row],Début]+1,"")</f>
        <v>0</v>
      </c>
      <c r="N540">
        <f>IF(AND([[#This Row],Début]&lt;&gt;"",[[#This Row],[Fin réelle]]&lt;&gt;""),[[#This Row],[Fin réelle]]-[[#This Row],Début]+1,"")</f>
        <v>0</v>
      </c>
      <c r="S540">
        <f>[[#This Row],[Budget réalisé]]-[[#This Row],[Budget prévu]]</f>
        <v>0</v>
      </c>
      <c r="T540">
        <f>IF(OR([[#This Row],[Budget prévu]]="",[[#This Row],[Budget réalisé]]=""),"",IF([[#This Row],[Écart (€)]]=0,"À l'équilibre",IF([[#This Row],[Écart (€)]]&gt;0,"Dépassement","Sous budget")))</f>
        <v>0</v>
      </c>
      <c r="W540">
        <f>[[#This Row],[Risque – Probabilité (1-5)]]*[[#This Row],[Risque – Sévérité (1-5)]]</f>
        <v>0</v>
      </c>
      <c r="AC540">
        <f>IF([[#This Row],Effort (jours)]&gt;0,[[#This Row],[Reach (pers.)]]*[[#This Row],[Impact (1-5)]]*[[#This Row],[Confidence (0-1)]]/[[#This Row],[Effort (jours)]],"")</f>
        <v>0</v>
      </c>
      <c r="AG540">
        <f>IF([[#This Row],[Fin planifiée]]&lt;&gt;"",MONTH([[#This Row],[Fin planifiée]]),"")</f>
        <v>0</v>
      </c>
      <c r="AH540">
        <f>IF([[#This Row],[Fin planifiée]]&lt;&gt;"",YEAR([[#This Row],[Fin planifiée]]),"")</f>
        <v>0</v>
      </c>
      <c r="AI5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0">
        <f>IF(AND([[#This Row],Statut]="Terminé",[[#This Row],[Fin réelle]]&lt;&gt;""),IF([[#This Row],[Fin réelle]]&lt;=[[#This Row],[Fin planifiée]],"Oui","Non"),"")</f>
        <v>0</v>
      </c>
    </row>
    <row r="541" spans="13:36" ht="20" customHeight="1">
      <c r="M541">
        <f>IF(AND([[#This Row],Début]&lt;&gt;"",[[#This Row],[Fin planifiée]]&lt;&gt;""),[[#This Row],[Fin planifiée]]-[[#This Row],Début]+1,"")</f>
        <v>0</v>
      </c>
      <c r="N541">
        <f>IF(AND([[#This Row],Début]&lt;&gt;"",[[#This Row],[Fin réelle]]&lt;&gt;""),[[#This Row],[Fin réelle]]-[[#This Row],Début]+1,"")</f>
        <v>0</v>
      </c>
      <c r="S541">
        <f>[[#This Row],[Budget réalisé]]-[[#This Row],[Budget prévu]]</f>
        <v>0</v>
      </c>
      <c r="T541">
        <f>IF(OR([[#This Row],[Budget prévu]]="",[[#This Row],[Budget réalisé]]=""),"",IF([[#This Row],[Écart (€)]]=0,"À l'équilibre",IF([[#This Row],[Écart (€)]]&gt;0,"Dépassement","Sous budget")))</f>
        <v>0</v>
      </c>
      <c r="W541">
        <f>[[#This Row],[Risque – Probabilité (1-5)]]*[[#This Row],[Risque – Sévérité (1-5)]]</f>
        <v>0</v>
      </c>
      <c r="AC541">
        <f>IF([[#This Row],Effort (jours)]&gt;0,[[#This Row],[Reach (pers.)]]*[[#This Row],[Impact (1-5)]]*[[#This Row],[Confidence (0-1)]]/[[#This Row],[Effort (jours)]],"")</f>
        <v>0</v>
      </c>
      <c r="AG541">
        <f>IF([[#This Row],[Fin planifiée]]&lt;&gt;"",MONTH([[#This Row],[Fin planifiée]]),"")</f>
        <v>0</v>
      </c>
      <c r="AH541">
        <f>IF([[#This Row],[Fin planifiée]]&lt;&gt;"",YEAR([[#This Row],[Fin planifiée]]),"")</f>
        <v>0</v>
      </c>
      <c r="AI5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1">
        <f>IF(AND([[#This Row],Statut]="Terminé",[[#This Row],[Fin réelle]]&lt;&gt;""),IF([[#This Row],[Fin réelle]]&lt;=[[#This Row],[Fin planifiée]],"Oui","Non"),"")</f>
        <v>0</v>
      </c>
    </row>
    <row r="542" spans="13:36" ht="20" customHeight="1">
      <c r="M542">
        <f>IF(AND([[#This Row],Début]&lt;&gt;"",[[#This Row],[Fin planifiée]]&lt;&gt;""),[[#This Row],[Fin planifiée]]-[[#This Row],Début]+1,"")</f>
        <v>0</v>
      </c>
      <c r="N542">
        <f>IF(AND([[#This Row],Début]&lt;&gt;"",[[#This Row],[Fin réelle]]&lt;&gt;""),[[#This Row],[Fin réelle]]-[[#This Row],Début]+1,"")</f>
        <v>0</v>
      </c>
      <c r="S542">
        <f>[[#This Row],[Budget réalisé]]-[[#This Row],[Budget prévu]]</f>
        <v>0</v>
      </c>
      <c r="T542">
        <f>IF(OR([[#This Row],[Budget prévu]]="",[[#This Row],[Budget réalisé]]=""),"",IF([[#This Row],[Écart (€)]]=0,"À l'équilibre",IF([[#This Row],[Écart (€)]]&gt;0,"Dépassement","Sous budget")))</f>
        <v>0</v>
      </c>
      <c r="W542">
        <f>[[#This Row],[Risque – Probabilité (1-5)]]*[[#This Row],[Risque – Sévérité (1-5)]]</f>
        <v>0</v>
      </c>
      <c r="AC542">
        <f>IF([[#This Row],Effort (jours)]&gt;0,[[#This Row],[Reach (pers.)]]*[[#This Row],[Impact (1-5)]]*[[#This Row],[Confidence (0-1)]]/[[#This Row],[Effort (jours)]],"")</f>
        <v>0</v>
      </c>
      <c r="AG542">
        <f>IF([[#This Row],[Fin planifiée]]&lt;&gt;"",MONTH([[#This Row],[Fin planifiée]]),"")</f>
        <v>0</v>
      </c>
      <c r="AH542">
        <f>IF([[#This Row],[Fin planifiée]]&lt;&gt;"",YEAR([[#This Row],[Fin planifiée]]),"")</f>
        <v>0</v>
      </c>
      <c r="AI5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2">
        <f>IF(AND([[#This Row],Statut]="Terminé",[[#This Row],[Fin réelle]]&lt;&gt;""),IF([[#This Row],[Fin réelle]]&lt;=[[#This Row],[Fin planifiée]],"Oui","Non"),"")</f>
        <v>0</v>
      </c>
    </row>
    <row r="543" spans="13:36" ht="20" customHeight="1">
      <c r="M543">
        <f>IF(AND([[#This Row],Début]&lt;&gt;"",[[#This Row],[Fin planifiée]]&lt;&gt;""),[[#This Row],[Fin planifiée]]-[[#This Row],Début]+1,"")</f>
        <v>0</v>
      </c>
      <c r="N543">
        <f>IF(AND([[#This Row],Début]&lt;&gt;"",[[#This Row],[Fin réelle]]&lt;&gt;""),[[#This Row],[Fin réelle]]-[[#This Row],Début]+1,"")</f>
        <v>0</v>
      </c>
      <c r="S543">
        <f>[[#This Row],[Budget réalisé]]-[[#This Row],[Budget prévu]]</f>
        <v>0</v>
      </c>
      <c r="T543">
        <f>IF(OR([[#This Row],[Budget prévu]]="",[[#This Row],[Budget réalisé]]=""),"",IF([[#This Row],[Écart (€)]]=0,"À l'équilibre",IF([[#This Row],[Écart (€)]]&gt;0,"Dépassement","Sous budget")))</f>
        <v>0</v>
      </c>
      <c r="W543">
        <f>[[#This Row],[Risque – Probabilité (1-5)]]*[[#This Row],[Risque – Sévérité (1-5)]]</f>
        <v>0</v>
      </c>
      <c r="AC543">
        <f>IF([[#This Row],Effort (jours)]&gt;0,[[#This Row],[Reach (pers.)]]*[[#This Row],[Impact (1-5)]]*[[#This Row],[Confidence (0-1)]]/[[#This Row],[Effort (jours)]],"")</f>
        <v>0</v>
      </c>
      <c r="AG543">
        <f>IF([[#This Row],[Fin planifiée]]&lt;&gt;"",MONTH([[#This Row],[Fin planifiée]]),"")</f>
        <v>0</v>
      </c>
      <c r="AH543">
        <f>IF([[#This Row],[Fin planifiée]]&lt;&gt;"",YEAR([[#This Row],[Fin planifiée]]),"")</f>
        <v>0</v>
      </c>
      <c r="AI5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3">
        <f>IF(AND([[#This Row],Statut]="Terminé",[[#This Row],[Fin réelle]]&lt;&gt;""),IF([[#This Row],[Fin réelle]]&lt;=[[#This Row],[Fin planifiée]],"Oui","Non"),"")</f>
        <v>0</v>
      </c>
    </row>
    <row r="544" spans="13:36" ht="20" customHeight="1">
      <c r="M544">
        <f>IF(AND([[#This Row],Début]&lt;&gt;"",[[#This Row],[Fin planifiée]]&lt;&gt;""),[[#This Row],[Fin planifiée]]-[[#This Row],Début]+1,"")</f>
        <v>0</v>
      </c>
      <c r="N544">
        <f>IF(AND([[#This Row],Début]&lt;&gt;"",[[#This Row],[Fin réelle]]&lt;&gt;""),[[#This Row],[Fin réelle]]-[[#This Row],Début]+1,"")</f>
        <v>0</v>
      </c>
      <c r="S544">
        <f>[[#This Row],[Budget réalisé]]-[[#This Row],[Budget prévu]]</f>
        <v>0</v>
      </c>
      <c r="T544">
        <f>IF(OR([[#This Row],[Budget prévu]]="",[[#This Row],[Budget réalisé]]=""),"",IF([[#This Row],[Écart (€)]]=0,"À l'équilibre",IF([[#This Row],[Écart (€)]]&gt;0,"Dépassement","Sous budget")))</f>
        <v>0</v>
      </c>
      <c r="W544">
        <f>[[#This Row],[Risque – Probabilité (1-5)]]*[[#This Row],[Risque – Sévérité (1-5)]]</f>
        <v>0</v>
      </c>
      <c r="AC544">
        <f>IF([[#This Row],Effort (jours)]&gt;0,[[#This Row],[Reach (pers.)]]*[[#This Row],[Impact (1-5)]]*[[#This Row],[Confidence (0-1)]]/[[#This Row],[Effort (jours)]],"")</f>
        <v>0</v>
      </c>
      <c r="AG544">
        <f>IF([[#This Row],[Fin planifiée]]&lt;&gt;"",MONTH([[#This Row],[Fin planifiée]]),"")</f>
        <v>0</v>
      </c>
      <c r="AH544">
        <f>IF([[#This Row],[Fin planifiée]]&lt;&gt;"",YEAR([[#This Row],[Fin planifiée]]),"")</f>
        <v>0</v>
      </c>
      <c r="AI5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4">
        <f>IF(AND([[#This Row],Statut]="Terminé",[[#This Row],[Fin réelle]]&lt;&gt;""),IF([[#This Row],[Fin réelle]]&lt;=[[#This Row],[Fin planifiée]],"Oui","Non"),"")</f>
        <v>0</v>
      </c>
    </row>
    <row r="545" spans="13:36" ht="20" customHeight="1">
      <c r="M545">
        <f>IF(AND([[#This Row],Début]&lt;&gt;"",[[#This Row],[Fin planifiée]]&lt;&gt;""),[[#This Row],[Fin planifiée]]-[[#This Row],Début]+1,"")</f>
        <v>0</v>
      </c>
      <c r="N545">
        <f>IF(AND([[#This Row],Début]&lt;&gt;"",[[#This Row],[Fin réelle]]&lt;&gt;""),[[#This Row],[Fin réelle]]-[[#This Row],Début]+1,"")</f>
        <v>0</v>
      </c>
      <c r="S545">
        <f>[[#This Row],[Budget réalisé]]-[[#This Row],[Budget prévu]]</f>
        <v>0</v>
      </c>
      <c r="T545">
        <f>IF(OR([[#This Row],[Budget prévu]]="",[[#This Row],[Budget réalisé]]=""),"",IF([[#This Row],[Écart (€)]]=0,"À l'équilibre",IF([[#This Row],[Écart (€)]]&gt;0,"Dépassement","Sous budget")))</f>
        <v>0</v>
      </c>
      <c r="W545">
        <f>[[#This Row],[Risque – Probabilité (1-5)]]*[[#This Row],[Risque – Sévérité (1-5)]]</f>
        <v>0</v>
      </c>
      <c r="AC545">
        <f>IF([[#This Row],Effort (jours)]&gt;0,[[#This Row],[Reach (pers.)]]*[[#This Row],[Impact (1-5)]]*[[#This Row],[Confidence (0-1)]]/[[#This Row],[Effort (jours)]],"")</f>
        <v>0</v>
      </c>
      <c r="AG545">
        <f>IF([[#This Row],[Fin planifiée]]&lt;&gt;"",MONTH([[#This Row],[Fin planifiée]]),"")</f>
        <v>0</v>
      </c>
      <c r="AH545">
        <f>IF([[#This Row],[Fin planifiée]]&lt;&gt;"",YEAR([[#This Row],[Fin planifiée]]),"")</f>
        <v>0</v>
      </c>
      <c r="AI5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5">
        <f>IF(AND([[#This Row],Statut]="Terminé",[[#This Row],[Fin réelle]]&lt;&gt;""),IF([[#This Row],[Fin réelle]]&lt;=[[#This Row],[Fin planifiée]],"Oui","Non"),"")</f>
        <v>0</v>
      </c>
    </row>
    <row r="546" spans="13:36" ht="20" customHeight="1">
      <c r="M546">
        <f>IF(AND([[#This Row],Début]&lt;&gt;"",[[#This Row],[Fin planifiée]]&lt;&gt;""),[[#This Row],[Fin planifiée]]-[[#This Row],Début]+1,"")</f>
        <v>0</v>
      </c>
      <c r="N546">
        <f>IF(AND([[#This Row],Début]&lt;&gt;"",[[#This Row],[Fin réelle]]&lt;&gt;""),[[#This Row],[Fin réelle]]-[[#This Row],Début]+1,"")</f>
        <v>0</v>
      </c>
      <c r="S546">
        <f>[[#This Row],[Budget réalisé]]-[[#This Row],[Budget prévu]]</f>
        <v>0</v>
      </c>
      <c r="T546">
        <f>IF(OR([[#This Row],[Budget prévu]]="",[[#This Row],[Budget réalisé]]=""),"",IF([[#This Row],[Écart (€)]]=0,"À l'équilibre",IF([[#This Row],[Écart (€)]]&gt;0,"Dépassement","Sous budget")))</f>
        <v>0</v>
      </c>
      <c r="W546">
        <f>[[#This Row],[Risque – Probabilité (1-5)]]*[[#This Row],[Risque – Sévérité (1-5)]]</f>
        <v>0</v>
      </c>
      <c r="AC546">
        <f>IF([[#This Row],Effort (jours)]&gt;0,[[#This Row],[Reach (pers.)]]*[[#This Row],[Impact (1-5)]]*[[#This Row],[Confidence (0-1)]]/[[#This Row],[Effort (jours)]],"")</f>
        <v>0</v>
      </c>
      <c r="AG546">
        <f>IF([[#This Row],[Fin planifiée]]&lt;&gt;"",MONTH([[#This Row],[Fin planifiée]]),"")</f>
        <v>0</v>
      </c>
      <c r="AH546">
        <f>IF([[#This Row],[Fin planifiée]]&lt;&gt;"",YEAR([[#This Row],[Fin planifiée]]),"")</f>
        <v>0</v>
      </c>
      <c r="AI5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6">
        <f>IF(AND([[#This Row],Statut]="Terminé",[[#This Row],[Fin réelle]]&lt;&gt;""),IF([[#This Row],[Fin réelle]]&lt;=[[#This Row],[Fin planifiée]],"Oui","Non"),"")</f>
        <v>0</v>
      </c>
    </row>
    <row r="547" spans="13:36" ht="20" customHeight="1">
      <c r="M547">
        <f>IF(AND([[#This Row],Début]&lt;&gt;"",[[#This Row],[Fin planifiée]]&lt;&gt;""),[[#This Row],[Fin planifiée]]-[[#This Row],Début]+1,"")</f>
        <v>0</v>
      </c>
      <c r="N547">
        <f>IF(AND([[#This Row],Début]&lt;&gt;"",[[#This Row],[Fin réelle]]&lt;&gt;""),[[#This Row],[Fin réelle]]-[[#This Row],Début]+1,"")</f>
        <v>0</v>
      </c>
      <c r="S547">
        <f>[[#This Row],[Budget réalisé]]-[[#This Row],[Budget prévu]]</f>
        <v>0</v>
      </c>
      <c r="T547">
        <f>IF(OR([[#This Row],[Budget prévu]]="",[[#This Row],[Budget réalisé]]=""),"",IF([[#This Row],[Écart (€)]]=0,"À l'équilibre",IF([[#This Row],[Écart (€)]]&gt;0,"Dépassement","Sous budget")))</f>
        <v>0</v>
      </c>
      <c r="W547">
        <f>[[#This Row],[Risque – Probabilité (1-5)]]*[[#This Row],[Risque – Sévérité (1-5)]]</f>
        <v>0</v>
      </c>
      <c r="AC547">
        <f>IF([[#This Row],Effort (jours)]&gt;0,[[#This Row],[Reach (pers.)]]*[[#This Row],[Impact (1-5)]]*[[#This Row],[Confidence (0-1)]]/[[#This Row],[Effort (jours)]],"")</f>
        <v>0</v>
      </c>
      <c r="AG547">
        <f>IF([[#This Row],[Fin planifiée]]&lt;&gt;"",MONTH([[#This Row],[Fin planifiée]]),"")</f>
        <v>0</v>
      </c>
      <c r="AH547">
        <f>IF([[#This Row],[Fin planifiée]]&lt;&gt;"",YEAR([[#This Row],[Fin planifiée]]),"")</f>
        <v>0</v>
      </c>
      <c r="AI5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7">
        <f>IF(AND([[#This Row],Statut]="Terminé",[[#This Row],[Fin réelle]]&lt;&gt;""),IF([[#This Row],[Fin réelle]]&lt;=[[#This Row],[Fin planifiée]],"Oui","Non"),"")</f>
        <v>0</v>
      </c>
    </row>
    <row r="548" spans="13:36" ht="20" customHeight="1">
      <c r="M548">
        <f>IF(AND([[#This Row],Début]&lt;&gt;"",[[#This Row],[Fin planifiée]]&lt;&gt;""),[[#This Row],[Fin planifiée]]-[[#This Row],Début]+1,"")</f>
        <v>0</v>
      </c>
      <c r="N548">
        <f>IF(AND([[#This Row],Début]&lt;&gt;"",[[#This Row],[Fin réelle]]&lt;&gt;""),[[#This Row],[Fin réelle]]-[[#This Row],Début]+1,"")</f>
        <v>0</v>
      </c>
      <c r="S548">
        <f>[[#This Row],[Budget réalisé]]-[[#This Row],[Budget prévu]]</f>
        <v>0</v>
      </c>
      <c r="T548">
        <f>IF(OR([[#This Row],[Budget prévu]]="",[[#This Row],[Budget réalisé]]=""),"",IF([[#This Row],[Écart (€)]]=0,"À l'équilibre",IF([[#This Row],[Écart (€)]]&gt;0,"Dépassement","Sous budget")))</f>
        <v>0</v>
      </c>
      <c r="W548">
        <f>[[#This Row],[Risque – Probabilité (1-5)]]*[[#This Row],[Risque – Sévérité (1-5)]]</f>
        <v>0</v>
      </c>
      <c r="AC548">
        <f>IF([[#This Row],Effort (jours)]&gt;0,[[#This Row],[Reach (pers.)]]*[[#This Row],[Impact (1-5)]]*[[#This Row],[Confidence (0-1)]]/[[#This Row],[Effort (jours)]],"")</f>
        <v>0</v>
      </c>
      <c r="AG548">
        <f>IF([[#This Row],[Fin planifiée]]&lt;&gt;"",MONTH([[#This Row],[Fin planifiée]]),"")</f>
        <v>0</v>
      </c>
      <c r="AH548">
        <f>IF([[#This Row],[Fin planifiée]]&lt;&gt;"",YEAR([[#This Row],[Fin planifiée]]),"")</f>
        <v>0</v>
      </c>
      <c r="AI5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8">
        <f>IF(AND([[#This Row],Statut]="Terminé",[[#This Row],[Fin réelle]]&lt;&gt;""),IF([[#This Row],[Fin réelle]]&lt;=[[#This Row],[Fin planifiée]],"Oui","Non"),"")</f>
        <v>0</v>
      </c>
    </row>
    <row r="549" spans="13:36" ht="20" customHeight="1">
      <c r="M549">
        <f>IF(AND([[#This Row],Début]&lt;&gt;"",[[#This Row],[Fin planifiée]]&lt;&gt;""),[[#This Row],[Fin planifiée]]-[[#This Row],Début]+1,"")</f>
        <v>0</v>
      </c>
      <c r="N549">
        <f>IF(AND([[#This Row],Début]&lt;&gt;"",[[#This Row],[Fin réelle]]&lt;&gt;""),[[#This Row],[Fin réelle]]-[[#This Row],Début]+1,"")</f>
        <v>0</v>
      </c>
      <c r="S549">
        <f>[[#This Row],[Budget réalisé]]-[[#This Row],[Budget prévu]]</f>
        <v>0</v>
      </c>
      <c r="T549">
        <f>IF(OR([[#This Row],[Budget prévu]]="",[[#This Row],[Budget réalisé]]=""),"",IF([[#This Row],[Écart (€)]]=0,"À l'équilibre",IF([[#This Row],[Écart (€)]]&gt;0,"Dépassement","Sous budget")))</f>
        <v>0</v>
      </c>
      <c r="W549">
        <f>[[#This Row],[Risque – Probabilité (1-5)]]*[[#This Row],[Risque – Sévérité (1-5)]]</f>
        <v>0</v>
      </c>
      <c r="AC549">
        <f>IF([[#This Row],Effort (jours)]&gt;0,[[#This Row],[Reach (pers.)]]*[[#This Row],[Impact (1-5)]]*[[#This Row],[Confidence (0-1)]]/[[#This Row],[Effort (jours)]],"")</f>
        <v>0</v>
      </c>
      <c r="AG549">
        <f>IF([[#This Row],[Fin planifiée]]&lt;&gt;"",MONTH([[#This Row],[Fin planifiée]]),"")</f>
        <v>0</v>
      </c>
      <c r="AH549">
        <f>IF([[#This Row],[Fin planifiée]]&lt;&gt;"",YEAR([[#This Row],[Fin planifiée]]),"")</f>
        <v>0</v>
      </c>
      <c r="AI5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49">
        <f>IF(AND([[#This Row],Statut]="Terminé",[[#This Row],[Fin réelle]]&lt;&gt;""),IF([[#This Row],[Fin réelle]]&lt;=[[#This Row],[Fin planifiée]],"Oui","Non"),"")</f>
        <v>0</v>
      </c>
    </row>
    <row r="550" spans="13:36" ht="20" customHeight="1">
      <c r="M550">
        <f>IF(AND([[#This Row],Début]&lt;&gt;"",[[#This Row],[Fin planifiée]]&lt;&gt;""),[[#This Row],[Fin planifiée]]-[[#This Row],Début]+1,"")</f>
        <v>0</v>
      </c>
      <c r="N550">
        <f>IF(AND([[#This Row],Début]&lt;&gt;"",[[#This Row],[Fin réelle]]&lt;&gt;""),[[#This Row],[Fin réelle]]-[[#This Row],Début]+1,"")</f>
        <v>0</v>
      </c>
      <c r="S550">
        <f>[[#This Row],[Budget réalisé]]-[[#This Row],[Budget prévu]]</f>
        <v>0</v>
      </c>
      <c r="T550">
        <f>IF(OR([[#This Row],[Budget prévu]]="",[[#This Row],[Budget réalisé]]=""),"",IF([[#This Row],[Écart (€)]]=0,"À l'équilibre",IF([[#This Row],[Écart (€)]]&gt;0,"Dépassement","Sous budget")))</f>
        <v>0</v>
      </c>
      <c r="W550">
        <f>[[#This Row],[Risque – Probabilité (1-5)]]*[[#This Row],[Risque – Sévérité (1-5)]]</f>
        <v>0</v>
      </c>
      <c r="AC550">
        <f>IF([[#This Row],Effort (jours)]&gt;0,[[#This Row],[Reach (pers.)]]*[[#This Row],[Impact (1-5)]]*[[#This Row],[Confidence (0-1)]]/[[#This Row],[Effort (jours)]],"")</f>
        <v>0</v>
      </c>
      <c r="AG550">
        <f>IF([[#This Row],[Fin planifiée]]&lt;&gt;"",MONTH([[#This Row],[Fin planifiée]]),"")</f>
        <v>0</v>
      </c>
      <c r="AH550">
        <f>IF([[#This Row],[Fin planifiée]]&lt;&gt;"",YEAR([[#This Row],[Fin planifiée]]),"")</f>
        <v>0</v>
      </c>
      <c r="AI5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0">
        <f>IF(AND([[#This Row],Statut]="Terminé",[[#This Row],[Fin réelle]]&lt;&gt;""),IF([[#This Row],[Fin réelle]]&lt;=[[#This Row],[Fin planifiée]],"Oui","Non"),"")</f>
        <v>0</v>
      </c>
    </row>
    <row r="551" spans="13:36" ht="20" customHeight="1">
      <c r="M551">
        <f>IF(AND([[#This Row],Début]&lt;&gt;"",[[#This Row],[Fin planifiée]]&lt;&gt;""),[[#This Row],[Fin planifiée]]-[[#This Row],Début]+1,"")</f>
        <v>0</v>
      </c>
      <c r="N551">
        <f>IF(AND([[#This Row],Début]&lt;&gt;"",[[#This Row],[Fin réelle]]&lt;&gt;""),[[#This Row],[Fin réelle]]-[[#This Row],Début]+1,"")</f>
        <v>0</v>
      </c>
      <c r="S551">
        <f>[[#This Row],[Budget réalisé]]-[[#This Row],[Budget prévu]]</f>
        <v>0</v>
      </c>
      <c r="T551">
        <f>IF(OR([[#This Row],[Budget prévu]]="",[[#This Row],[Budget réalisé]]=""),"",IF([[#This Row],[Écart (€)]]=0,"À l'équilibre",IF([[#This Row],[Écart (€)]]&gt;0,"Dépassement","Sous budget")))</f>
        <v>0</v>
      </c>
      <c r="W551">
        <f>[[#This Row],[Risque – Probabilité (1-5)]]*[[#This Row],[Risque – Sévérité (1-5)]]</f>
        <v>0</v>
      </c>
      <c r="AC551">
        <f>IF([[#This Row],Effort (jours)]&gt;0,[[#This Row],[Reach (pers.)]]*[[#This Row],[Impact (1-5)]]*[[#This Row],[Confidence (0-1)]]/[[#This Row],[Effort (jours)]],"")</f>
        <v>0</v>
      </c>
      <c r="AG551">
        <f>IF([[#This Row],[Fin planifiée]]&lt;&gt;"",MONTH([[#This Row],[Fin planifiée]]),"")</f>
        <v>0</v>
      </c>
      <c r="AH551">
        <f>IF([[#This Row],[Fin planifiée]]&lt;&gt;"",YEAR([[#This Row],[Fin planifiée]]),"")</f>
        <v>0</v>
      </c>
      <c r="AI5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1">
        <f>IF(AND([[#This Row],Statut]="Terminé",[[#This Row],[Fin réelle]]&lt;&gt;""),IF([[#This Row],[Fin réelle]]&lt;=[[#This Row],[Fin planifiée]],"Oui","Non"),"")</f>
        <v>0</v>
      </c>
    </row>
    <row r="552" spans="13:36" ht="20" customHeight="1">
      <c r="M552">
        <f>IF(AND([[#This Row],Début]&lt;&gt;"",[[#This Row],[Fin planifiée]]&lt;&gt;""),[[#This Row],[Fin planifiée]]-[[#This Row],Début]+1,"")</f>
        <v>0</v>
      </c>
      <c r="N552">
        <f>IF(AND([[#This Row],Début]&lt;&gt;"",[[#This Row],[Fin réelle]]&lt;&gt;""),[[#This Row],[Fin réelle]]-[[#This Row],Début]+1,"")</f>
        <v>0</v>
      </c>
      <c r="S552">
        <f>[[#This Row],[Budget réalisé]]-[[#This Row],[Budget prévu]]</f>
        <v>0</v>
      </c>
      <c r="T552">
        <f>IF(OR([[#This Row],[Budget prévu]]="",[[#This Row],[Budget réalisé]]=""),"",IF([[#This Row],[Écart (€)]]=0,"À l'équilibre",IF([[#This Row],[Écart (€)]]&gt;0,"Dépassement","Sous budget")))</f>
        <v>0</v>
      </c>
      <c r="W552">
        <f>[[#This Row],[Risque – Probabilité (1-5)]]*[[#This Row],[Risque – Sévérité (1-5)]]</f>
        <v>0</v>
      </c>
      <c r="AC552">
        <f>IF([[#This Row],Effort (jours)]&gt;0,[[#This Row],[Reach (pers.)]]*[[#This Row],[Impact (1-5)]]*[[#This Row],[Confidence (0-1)]]/[[#This Row],[Effort (jours)]],"")</f>
        <v>0</v>
      </c>
      <c r="AG552">
        <f>IF([[#This Row],[Fin planifiée]]&lt;&gt;"",MONTH([[#This Row],[Fin planifiée]]),"")</f>
        <v>0</v>
      </c>
      <c r="AH552">
        <f>IF([[#This Row],[Fin planifiée]]&lt;&gt;"",YEAR([[#This Row],[Fin planifiée]]),"")</f>
        <v>0</v>
      </c>
      <c r="AI5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2">
        <f>IF(AND([[#This Row],Statut]="Terminé",[[#This Row],[Fin réelle]]&lt;&gt;""),IF([[#This Row],[Fin réelle]]&lt;=[[#This Row],[Fin planifiée]],"Oui","Non"),"")</f>
        <v>0</v>
      </c>
    </row>
    <row r="553" spans="13:36" ht="20" customHeight="1">
      <c r="M553">
        <f>IF(AND([[#This Row],Début]&lt;&gt;"",[[#This Row],[Fin planifiée]]&lt;&gt;""),[[#This Row],[Fin planifiée]]-[[#This Row],Début]+1,"")</f>
        <v>0</v>
      </c>
      <c r="N553">
        <f>IF(AND([[#This Row],Début]&lt;&gt;"",[[#This Row],[Fin réelle]]&lt;&gt;""),[[#This Row],[Fin réelle]]-[[#This Row],Début]+1,"")</f>
        <v>0</v>
      </c>
      <c r="S553">
        <f>[[#This Row],[Budget réalisé]]-[[#This Row],[Budget prévu]]</f>
        <v>0</v>
      </c>
      <c r="T553">
        <f>IF(OR([[#This Row],[Budget prévu]]="",[[#This Row],[Budget réalisé]]=""),"",IF([[#This Row],[Écart (€)]]=0,"À l'équilibre",IF([[#This Row],[Écart (€)]]&gt;0,"Dépassement","Sous budget")))</f>
        <v>0</v>
      </c>
      <c r="W553">
        <f>[[#This Row],[Risque – Probabilité (1-5)]]*[[#This Row],[Risque – Sévérité (1-5)]]</f>
        <v>0</v>
      </c>
      <c r="AC553">
        <f>IF([[#This Row],Effort (jours)]&gt;0,[[#This Row],[Reach (pers.)]]*[[#This Row],[Impact (1-5)]]*[[#This Row],[Confidence (0-1)]]/[[#This Row],[Effort (jours)]],"")</f>
        <v>0</v>
      </c>
      <c r="AG553">
        <f>IF([[#This Row],[Fin planifiée]]&lt;&gt;"",MONTH([[#This Row],[Fin planifiée]]),"")</f>
        <v>0</v>
      </c>
      <c r="AH553">
        <f>IF([[#This Row],[Fin planifiée]]&lt;&gt;"",YEAR([[#This Row],[Fin planifiée]]),"")</f>
        <v>0</v>
      </c>
      <c r="AI5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3">
        <f>IF(AND([[#This Row],Statut]="Terminé",[[#This Row],[Fin réelle]]&lt;&gt;""),IF([[#This Row],[Fin réelle]]&lt;=[[#This Row],[Fin planifiée]],"Oui","Non"),"")</f>
        <v>0</v>
      </c>
    </row>
    <row r="554" spans="13:36" ht="20" customHeight="1">
      <c r="M554">
        <f>IF(AND([[#This Row],Début]&lt;&gt;"",[[#This Row],[Fin planifiée]]&lt;&gt;""),[[#This Row],[Fin planifiée]]-[[#This Row],Début]+1,"")</f>
        <v>0</v>
      </c>
      <c r="N554">
        <f>IF(AND([[#This Row],Début]&lt;&gt;"",[[#This Row],[Fin réelle]]&lt;&gt;""),[[#This Row],[Fin réelle]]-[[#This Row],Début]+1,"")</f>
        <v>0</v>
      </c>
      <c r="S554">
        <f>[[#This Row],[Budget réalisé]]-[[#This Row],[Budget prévu]]</f>
        <v>0</v>
      </c>
      <c r="T554">
        <f>IF(OR([[#This Row],[Budget prévu]]="",[[#This Row],[Budget réalisé]]=""),"",IF([[#This Row],[Écart (€)]]=0,"À l'équilibre",IF([[#This Row],[Écart (€)]]&gt;0,"Dépassement","Sous budget")))</f>
        <v>0</v>
      </c>
      <c r="W554">
        <f>[[#This Row],[Risque – Probabilité (1-5)]]*[[#This Row],[Risque – Sévérité (1-5)]]</f>
        <v>0</v>
      </c>
      <c r="AC554">
        <f>IF([[#This Row],Effort (jours)]&gt;0,[[#This Row],[Reach (pers.)]]*[[#This Row],[Impact (1-5)]]*[[#This Row],[Confidence (0-1)]]/[[#This Row],[Effort (jours)]],"")</f>
        <v>0</v>
      </c>
      <c r="AG554">
        <f>IF([[#This Row],[Fin planifiée]]&lt;&gt;"",MONTH([[#This Row],[Fin planifiée]]),"")</f>
        <v>0</v>
      </c>
      <c r="AH554">
        <f>IF([[#This Row],[Fin planifiée]]&lt;&gt;"",YEAR([[#This Row],[Fin planifiée]]),"")</f>
        <v>0</v>
      </c>
      <c r="AI5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4">
        <f>IF(AND([[#This Row],Statut]="Terminé",[[#This Row],[Fin réelle]]&lt;&gt;""),IF([[#This Row],[Fin réelle]]&lt;=[[#This Row],[Fin planifiée]],"Oui","Non"),"")</f>
        <v>0</v>
      </c>
    </row>
    <row r="555" spans="13:36" ht="20" customHeight="1">
      <c r="M555">
        <f>IF(AND([[#This Row],Début]&lt;&gt;"",[[#This Row],[Fin planifiée]]&lt;&gt;""),[[#This Row],[Fin planifiée]]-[[#This Row],Début]+1,"")</f>
        <v>0</v>
      </c>
      <c r="N555">
        <f>IF(AND([[#This Row],Début]&lt;&gt;"",[[#This Row],[Fin réelle]]&lt;&gt;""),[[#This Row],[Fin réelle]]-[[#This Row],Début]+1,"")</f>
        <v>0</v>
      </c>
      <c r="S555">
        <f>[[#This Row],[Budget réalisé]]-[[#This Row],[Budget prévu]]</f>
        <v>0</v>
      </c>
      <c r="T555">
        <f>IF(OR([[#This Row],[Budget prévu]]="",[[#This Row],[Budget réalisé]]=""),"",IF([[#This Row],[Écart (€)]]=0,"À l'équilibre",IF([[#This Row],[Écart (€)]]&gt;0,"Dépassement","Sous budget")))</f>
        <v>0</v>
      </c>
      <c r="W555">
        <f>[[#This Row],[Risque – Probabilité (1-5)]]*[[#This Row],[Risque – Sévérité (1-5)]]</f>
        <v>0</v>
      </c>
      <c r="AC555">
        <f>IF([[#This Row],Effort (jours)]&gt;0,[[#This Row],[Reach (pers.)]]*[[#This Row],[Impact (1-5)]]*[[#This Row],[Confidence (0-1)]]/[[#This Row],[Effort (jours)]],"")</f>
        <v>0</v>
      </c>
      <c r="AG555">
        <f>IF([[#This Row],[Fin planifiée]]&lt;&gt;"",MONTH([[#This Row],[Fin planifiée]]),"")</f>
        <v>0</v>
      </c>
      <c r="AH555">
        <f>IF([[#This Row],[Fin planifiée]]&lt;&gt;"",YEAR([[#This Row],[Fin planifiée]]),"")</f>
        <v>0</v>
      </c>
      <c r="AI5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5">
        <f>IF(AND([[#This Row],Statut]="Terminé",[[#This Row],[Fin réelle]]&lt;&gt;""),IF([[#This Row],[Fin réelle]]&lt;=[[#This Row],[Fin planifiée]],"Oui","Non"),"")</f>
        <v>0</v>
      </c>
    </row>
    <row r="556" spans="13:36" ht="20" customHeight="1">
      <c r="M556">
        <f>IF(AND([[#This Row],Début]&lt;&gt;"",[[#This Row],[Fin planifiée]]&lt;&gt;""),[[#This Row],[Fin planifiée]]-[[#This Row],Début]+1,"")</f>
        <v>0</v>
      </c>
      <c r="N556">
        <f>IF(AND([[#This Row],Début]&lt;&gt;"",[[#This Row],[Fin réelle]]&lt;&gt;""),[[#This Row],[Fin réelle]]-[[#This Row],Début]+1,"")</f>
        <v>0</v>
      </c>
      <c r="S556">
        <f>[[#This Row],[Budget réalisé]]-[[#This Row],[Budget prévu]]</f>
        <v>0</v>
      </c>
      <c r="T556">
        <f>IF(OR([[#This Row],[Budget prévu]]="",[[#This Row],[Budget réalisé]]=""),"",IF([[#This Row],[Écart (€)]]=0,"À l'équilibre",IF([[#This Row],[Écart (€)]]&gt;0,"Dépassement","Sous budget")))</f>
        <v>0</v>
      </c>
      <c r="W556">
        <f>[[#This Row],[Risque – Probabilité (1-5)]]*[[#This Row],[Risque – Sévérité (1-5)]]</f>
        <v>0</v>
      </c>
      <c r="AC556">
        <f>IF([[#This Row],Effort (jours)]&gt;0,[[#This Row],[Reach (pers.)]]*[[#This Row],[Impact (1-5)]]*[[#This Row],[Confidence (0-1)]]/[[#This Row],[Effort (jours)]],"")</f>
        <v>0</v>
      </c>
      <c r="AG556">
        <f>IF([[#This Row],[Fin planifiée]]&lt;&gt;"",MONTH([[#This Row],[Fin planifiée]]),"")</f>
        <v>0</v>
      </c>
      <c r="AH556">
        <f>IF([[#This Row],[Fin planifiée]]&lt;&gt;"",YEAR([[#This Row],[Fin planifiée]]),"")</f>
        <v>0</v>
      </c>
      <c r="AI5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6">
        <f>IF(AND([[#This Row],Statut]="Terminé",[[#This Row],[Fin réelle]]&lt;&gt;""),IF([[#This Row],[Fin réelle]]&lt;=[[#This Row],[Fin planifiée]],"Oui","Non"),"")</f>
        <v>0</v>
      </c>
    </row>
    <row r="557" spans="13:36" ht="20" customHeight="1">
      <c r="M557">
        <f>IF(AND([[#This Row],Début]&lt;&gt;"",[[#This Row],[Fin planifiée]]&lt;&gt;""),[[#This Row],[Fin planifiée]]-[[#This Row],Début]+1,"")</f>
        <v>0</v>
      </c>
      <c r="N557">
        <f>IF(AND([[#This Row],Début]&lt;&gt;"",[[#This Row],[Fin réelle]]&lt;&gt;""),[[#This Row],[Fin réelle]]-[[#This Row],Début]+1,"")</f>
        <v>0</v>
      </c>
      <c r="S557">
        <f>[[#This Row],[Budget réalisé]]-[[#This Row],[Budget prévu]]</f>
        <v>0</v>
      </c>
      <c r="T557">
        <f>IF(OR([[#This Row],[Budget prévu]]="",[[#This Row],[Budget réalisé]]=""),"",IF([[#This Row],[Écart (€)]]=0,"À l'équilibre",IF([[#This Row],[Écart (€)]]&gt;0,"Dépassement","Sous budget")))</f>
        <v>0</v>
      </c>
      <c r="W557">
        <f>[[#This Row],[Risque – Probabilité (1-5)]]*[[#This Row],[Risque – Sévérité (1-5)]]</f>
        <v>0</v>
      </c>
      <c r="AC557">
        <f>IF([[#This Row],Effort (jours)]&gt;0,[[#This Row],[Reach (pers.)]]*[[#This Row],[Impact (1-5)]]*[[#This Row],[Confidence (0-1)]]/[[#This Row],[Effort (jours)]],"")</f>
        <v>0</v>
      </c>
      <c r="AG557">
        <f>IF([[#This Row],[Fin planifiée]]&lt;&gt;"",MONTH([[#This Row],[Fin planifiée]]),"")</f>
        <v>0</v>
      </c>
      <c r="AH557">
        <f>IF([[#This Row],[Fin planifiée]]&lt;&gt;"",YEAR([[#This Row],[Fin planifiée]]),"")</f>
        <v>0</v>
      </c>
      <c r="AI5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7">
        <f>IF(AND([[#This Row],Statut]="Terminé",[[#This Row],[Fin réelle]]&lt;&gt;""),IF([[#This Row],[Fin réelle]]&lt;=[[#This Row],[Fin planifiée]],"Oui","Non"),"")</f>
        <v>0</v>
      </c>
    </row>
    <row r="558" spans="13:36" ht="20" customHeight="1">
      <c r="M558">
        <f>IF(AND([[#This Row],Début]&lt;&gt;"",[[#This Row],[Fin planifiée]]&lt;&gt;""),[[#This Row],[Fin planifiée]]-[[#This Row],Début]+1,"")</f>
        <v>0</v>
      </c>
      <c r="N558">
        <f>IF(AND([[#This Row],Début]&lt;&gt;"",[[#This Row],[Fin réelle]]&lt;&gt;""),[[#This Row],[Fin réelle]]-[[#This Row],Début]+1,"")</f>
        <v>0</v>
      </c>
      <c r="S558">
        <f>[[#This Row],[Budget réalisé]]-[[#This Row],[Budget prévu]]</f>
        <v>0</v>
      </c>
      <c r="T558">
        <f>IF(OR([[#This Row],[Budget prévu]]="",[[#This Row],[Budget réalisé]]=""),"",IF([[#This Row],[Écart (€)]]=0,"À l'équilibre",IF([[#This Row],[Écart (€)]]&gt;0,"Dépassement","Sous budget")))</f>
        <v>0</v>
      </c>
      <c r="W558">
        <f>[[#This Row],[Risque – Probabilité (1-5)]]*[[#This Row],[Risque – Sévérité (1-5)]]</f>
        <v>0</v>
      </c>
      <c r="AC558">
        <f>IF([[#This Row],Effort (jours)]&gt;0,[[#This Row],[Reach (pers.)]]*[[#This Row],[Impact (1-5)]]*[[#This Row],[Confidence (0-1)]]/[[#This Row],[Effort (jours)]],"")</f>
        <v>0</v>
      </c>
      <c r="AG558">
        <f>IF([[#This Row],[Fin planifiée]]&lt;&gt;"",MONTH([[#This Row],[Fin planifiée]]),"")</f>
        <v>0</v>
      </c>
      <c r="AH558">
        <f>IF([[#This Row],[Fin planifiée]]&lt;&gt;"",YEAR([[#This Row],[Fin planifiée]]),"")</f>
        <v>0</v>
      </c>
      <c r="AI5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8">
        <f>IF(AND([[#This Row],Statut]="Terminé",[[#This Row],[Fin réelle]]&lt;&gt;""),IF([[#This Row],[Fin réelle]]&lt;=[[#This Row],[Fin planifiée]],"Oui","Non"),"")</f>
        <v>0</v>
      </c>
    </row>
    <row r="559" spans="13:36" ht="20" customHeight="1">
      <c r="M559">
        <f>IF(AND([[#This Row],Début]&lt;&gt;"",[[#This Row],[Fin planifiée]]&lt;&gt;""),[[#This Row],[Fin planifiée]]-[[#This Row],Début]+1,"")</f>
        <v>0</v>
      </c>
      <c r="N559">
        <f>IF(AND([[#This Row],Début]&lt;&gt;"",[[#This Row],[Fin réelle]]&lt;&gt;""),[[#This Row],[Fin réelle]]-[[#This Row],Début]+1,"")</f>
        <v>0</v>
      </c>
      <c r="S559">
        <f>[[#This Row],[Budget réalisé]]-[[#This Row],[Budget prévu]]</f>
        <v>0</v>
      </c>
      <c r="T559">
        <f>IF(OR([[#This Row],[Budget prévu]]="",[[#This Row],[Budget réalisé]]=""),"",IF([[#This Row],[Écart (€)]]=0,"À l'équilibre",IF([[#This Row],[Écart (€)]]&gt;0,"Dépassement","Sous budget")))</f>
        <v>0</v>
      </c>
      <c r="W559">
        <f>[[#This Row],[Risque – Probabilité (1-5)]]*[[#This Row],[Risque – Sévérité (1-5)]]</f>
        <v>0</v>
      </c>
      <c r="AC559">
        <f>IF([[#This Row],Effort (jours)]&gt;0,[[#This Row],[Reach (pers.)]]*[[#This Row],[Impact (1-5)]]*[[#This Row],[Confidence (0-1)]]/[[#This Row],[Effort (jours)]],"")</f>
        <v>0</v>
      </c>
      <c r="AG559">
        <f>IF([[#This Row],[Fin planifiée]]&lt;&gt;"",MONTH([[#This Row],[Fin planifiée]]),"")</f>
        <v>0</v>
      </c>
      <c r="AH559">
        <f>IF([[#This Row],[Fin planifiée]]&lt;&gt;"",YEAR([[#This Row],[Fin planifiée]]),"")</f>
        <v>0</v>
      </c>
      <c r="AI5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59">
        <f>IF(AND([[#This Row],Statut]="Terminé",[[#This Row],[Fin réelle]]&lt;&gt;""),IF([[#This Row],[Fin réelle]]&lt;=[[#This Row],[Fin planifiée]],"Oui","Non"),"")</f>
        <v>0</v>
      </c>
    </row>
    <row r="560" spans="13:36" ht="20" customHeight="1">
      <c r="M560">
        <f>IF(AND([[#This Row],Début]&lt;&gt;"",[[#This Row],[Fin planifiée]]&lt;&gt;""),[[#This Row],[Fin planifiée]]-[[#This Row],Début]+1,"")</f>
        <v>0</v>
      </c>
      <c r="N560">
        <f>IF(AND([[#This Row],Début]&lt;&gt;"",[[#This Row],[Fin réelle]]&lt;&gt;""),[[#This Row],[Fin réelle]]-[[#This Row],Début]+1,"")</f>
        <v>0</v>
      </c>
      <c r="S560">
        <f>[[#This Row],[Budget réalisé]]-[[#This Row],[Budget prévu]]</f>
        <v>0</v>
      </c>
      <c r="T560">
        <f>IF(OR([[#This Row],[Budget prévu]]="",[[#This Row],[Budget réalisé]]=""),"",IF([[#This Row],[Écart (€)]]=0,"À l'équilibre",IF([[#This Row],[Écart (€)]]&gt;0,"Dépassement","Sous budget")))</f>
        <v>0</v>
      </c>
      <c r="W560">
        <f>[[#This Row],[Risque – Probabilité (1-5)]]*[[#This Row],[Risque – Sévérité (1-5)]]</f>
        <v>0</v>
      </c>
      <c r="AC560">
        <f>IF([[#This Row],Effort (jours)]&gt;0,[[#This Row],[Reach (pers.)]]*[[#This Row],[Impact (1-5)]]*[[#This Row],[Confidence (0-1)]]/[[#This Row],[Effort (jours)]],"")</f>
        <v>0</v>
      </c>
      <c r="AG560">
        <f>IF([[#This Row],[Fin planifiée]]&lt;&gt;"",MONTH([[#This Row],[Fin planifiée]]),"")</f>
        <v>0</v>
      </c>
      <c r="AH560">
        <f>IF([[#This Row],[Fin planifiée]]&lt;&gt;"",YEAR([[#This Row],[Fin planifiée]]),"")</f>
        <v>0</v>
      </c>
      <c r="AI5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0">
        <f>IF(AND([[#This Row],Statut]="Terminé",[[#This Row],[Fin réelle]]&lt;&gt;""),IF([[#This Row],[Fin réelle]]&lt;=[[#This Row],[Fin planifiée]],"Oui","Non"),"")</f>
        <v>0</v>
      </c>
    </row>
    <row r="561" spans="13:36" ht="20" customHeight="1">
      <c r="M561">
        <f>IF(AND([[#This Row],Début]&lt;&gt;"",[[#This Row],[Fin planifiée]]&lt;&gt;""),[[#This Row],[Fin planifiée]]-[[#This Row],Début]+1,"")</f>
        <v>0</v>
      </c>
      <c r="N561">
        <f>IF(AND([[#This Row],Début]&lt;&gt;"",[[#This Row],[Fin réelle]]&lt;&gt;""),[[#This Row],[Fin réelle]]-[[#This Row],Début]+1,"")</f>
        <v>0</v>
      </c>
      <c r="S561">
        <f>[[#This Row],[Budget réalisé]]-[[#This Row],[Budget prévu]]</f>
        <v>0</v>
      </c>
      <c r="T561">
        <f>IF(OR([[#This Row],[Budget prévu]]="",[[#This Row],[Budget réalisé]]=""),"",IF([[#This Row],[Écart (€)]]=0,"À l'équilibre",IF([[#This Row],[Écart (€)]]&gt;0,"Dépassement","Sous budget")))</f>
        <v>0</v>
      </c>
      <c r="W561">
        <f>[[#This Row],[Risque – Probabilité (1-5)]]*[[#This Row],[Risque – Sévérité (1-5)]]</f>
        <v>0</v>
      </c>
      <c r="AC561">
        <f>IF([[#This Row],Effort (jours)]&gt;0,[[#This Row],[Reach (pers.)]]*[[#This Row],[Impact (1-5)]]*[[#This Row],[Confidence (0-1)]]/[[#This Row],[Effort (jours)]],"")</f>
        <v>0</v>
      </c>
      <c r="AG561">
        <f>IF([[#This Row],[Fin planifiée]]&lt;&gt;"",MONTH([[#This Row],[Fin planifiée]]),"")</f>
        <v>0</v>
      </c>
      <c r="AH561">
        <f>IF([[#This Row],[Fin planifiée]]&lt;&gt;"",YEAR([[#This Row],[Fin planifiée]]),"")</f>
        <v>0</v>
      </c>
      <c r="AI5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1">
        <f>IF(AND([[#This Row],Statut]="Terminé",[[#This Row],[Fin réelle]]&lt;&gt;""),IF([[#This Row],[Fin réelle]]&lt;=[[#This Row],[Fin planifiée]],"Oui","Non"),"")</f>
        <v>0</v>
      </c>
    </row>
    <row r="562" spans="13:36" ht="20" customHeight="1">
      <c r="M562">
        <f>IF(AND([[#This Row],Début]&lt;&gt;"",[[#This Row],[Fin planifiée]]&lt;&gt;""),[[#This Row],[Fin planifiée]]-[[#This Row],Début]+1,"")</f>
        <v>0</v>
      </c>
      <c r="N562">
        <f>IF(AND([[#This Row],Début]&lt;&gt;"",[[#This Row],[Fin réelle]]&lt;&gt;""),[[#This Row],[Fin réelle]]-[[#This Row],Début]+1,"")</f>
        <v>0</v>
      </c>
      <c r="S562">
        <f>[[#This Row],[Budget réalisé]]-[[#This Row],[Budget prévu]]</f>
        <v>0</v>
      </c>
      <c r="T562">
        <f>IF(OR([[#This Row],[Budget prévu]]="",[[#This Row],[Budget réalisé]]=""),"",IF([[#This Row],[Écart (€)]]=0,"À l'équilibre",IF([[#This Row],[Écart (€)]]&gt;0,"Dépassement","Sous budget")))</f>
        <v>0</v>
      </c>
      <c r="W562">
        <f>[[#This Row],[Risque – Probabilité (1-5)]]*[[#This Row],[Risque – Sévérité (1-5)]]</f>
        <v>0</v>
      </c>
      <c r="AC562">
        <f>IF([[#This Row],Effort (jours)]&gt;0,[[#This Row],[Reach (pers.)]]*[[#This Row],[Impact (1-5)]]*[[#This Row],[Confidence (0-1)]]/[[#This Row],[Effort (jours)]],"")</f>
        <v>0</v>
      </c>
      <c r="AG562">
        <f>IF([[#This Row],[Fin planifiée]]&lt;&gt;"",MONTH([[#This Row],[Fin planifiée]]),"")</f>
        <v>0</v>
      </c>
      <c r="AH562">
        <f>IF([[#This Row],[Fin planifiée]]&lt;&gt;"",YEAR([[#This Row],[Fin planifiée]]),"")</f>
        <v>0</v>
      </c>
      <c r="AI5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2">
        <f>IF(AND([[#This Row],Statut]="Terminé",[[#This Row],[Fin réelle]]&lt;&gt;""),IF([[#This Row],[Fin réelle]]&lt;=[[#This Row],[Fin planifiée]],"Oui","Non"),"")</f>
        <v>0</v>
      </c>
    </row>
    <row r="563" spans="13:36" ht="20" customHeight="1">
      <c r="M563">
        <f>IF(AND([[#This Row],Début]&lt;&gt;"",[[#This Row],[Fin planifiée]]&lt;&gt;""),[[#This Row],[Fin planifiée]]-[[#This Row],Début]+1,"")</f>
        <v>0</v>
      </c>
      <c r="N563">
        <f>IF(AND([[#This Row],Début]&lt;&gt;"",[[#This Row],[Fin réelle]]&lt;&gt;""),[[#This Row],[Fin réelle]]-[[#This Row],Début]+1,"")</f>
        <v>0</v>
      </c>
      <c r="S563">
        <f>[[#This Row],[Budget réalisé]]-[[#This Row],[Budget prévu]]</f>
        <v>0</v>
      </c>
      <c r="T563">
        <f>IF(OR([[#This Row],[Budget prévu]]="",[[#This Row],[Budget réalisé]]=""),"",IF([[#This Row],[Écart (€)]]=0,"À l'équilibre",IF([[#This Row],[Écart (€)]]&gt;0,"Dépassement","Sous budget")))</f>
        <v>0</v>
      </c>
      <c r="W563">
        <f>[[#This Row],[Risque – Probabilité (1-5)]]*[[#This Row],[Risque – Sévérité (1-5)]]</f>
        <v>0</v>
      </c>
      <c r="AC563">
        <f>IF([[#This Row],Effort (jours)]&gt;0,[[#This Row],[Reach (pers.)]]*[[#This Row],[Impact (1-5)]]*[[#This Row],[Confidence (0-1)]]/[[#This Row],[Effort (jours)]],"")</f>
        <v>0</v>
      </c>
      <c r="AG563">
        <f>IF([[#This Row],[Fin planifiée]]&lt;&gt;"",MONTH([[#This Row],[Fin planifiée]]),"")</f>
        <v>0</v>
      </c>
      <c r="AH563">
        <f>IF([[#This Row],[Fin planifiée]]&lt;&gt;"",YEAR([[#This Row],[Fin planifiée]]),"")</f>
        <v>0</v>
      </c>
      <c r="AI5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3">
        <f>IF(AND([[#This Row],Statut]="Terminé",[[#This Row],[Fin réelle]]&lt;&gt;""),IF([[#This Row],[Fin réelle]]&lt;=[[#This Row],[Fin planifiée]],"Oui","Non"),"")</f>
        <v>0</v>
      </c>
    </row>
    <row r="564" spans="13:36" ht="20" customHeight="1">
      <c r="M564">
        <f>IF(AND([[#This Row],Début]&lt;&gt;"",[[#This Row],[Fin planifiée]]&lt;&gt;""),[[#This Row],[Fin planifiée]]-[[#This Row],Début]+1,"")</f>
        <v>0</v>
      </c>
      <c r="N564">
        <f>IF(AND([[#This Row],Début]&lt;&gt;"",[[#This Row],[Fin réelle]]&lt;&gt;""),[[#This Row],[Fin réelle]]-[[#This Row],Début]+1,"")</f>
        <v>0</v>
      </c>
      <c r="S564">
        <f>[[#This Row],[Budget réalisé]]-[[#This Row],[Budget prévu]]</f>
        <v>0</v>
      </c>
      <c r="T564">
        <f>IF(OR([[#This Row],[Budget prévu]]="",[[#This Row],[Budget réalisé]]=""),"",IF([[#This Row],[Écart (€)]]=0,"À l'équilibre",IF([[#This Row],[Écart (€)]]&gt;0,"Dépassement","Sous budget")))</f>
        <v>0</v>
      </c>
      <c r="W564">
        <f>[[#This Row],[Risque – Probabilité (1-5)]]*[[#This Row],[Risque – Sévérité (1-5)]]</f>
        <v>0</v>
      </c>
      <c r="AC564">
        <f>IF([[#This Row],Effort (jours)]&gt;0,[[#This Row],[Reach (pers.)]]*[[#This Row],[Impact (1-5)]]*[[#This Row],[Confidence (0-1)]]/[[#This Row],[Effort (jours)]],"")</f>
        <v>0</v>
      </c>
      <c r="AG564">
        <f>IF([[#This Row],[Fin planifiée]]&lt;&gt;"",MONTH([[#This Row],[Fin planifiée]]),"")</f>
        <v>0</v>
      </c>
      <c r="AH564">
        <f>IF([[#This Row],[Fin planifiée]]&lt;&gt;"",YEAR([[#This Row],[Fin planifiée]]),"")</f>
        <v>0</v>
      </c>
      <c r="AI5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4">
        <f>IF(AND([[#This Row],Statut]="Terminé",[[#This Row],[Fin réelle]]&lt;&gt;""),IF([[#This Row],[Fin réelle]]&lt;=[[#This Row],[Fin planifiée]],"Oui","Non"),"")</f>
        <v>0</v>
      </c>
    </row>
    <row r="565" spans="13:36" ht="20" customHeight="1">
      <c r="M565">
        <f>IF(AND([[#This Row],Début]&lt;&gt;"",[[#This Row],[Fin planifiée]]&lt;&gt;""),[[#This Row],[Fin planifiée]]-[[#This Row],Début]+1,"")</f>
        <v>0</v>
      </c>
      <c r="N565">
        <f>IF(AND([[#This Row],Début]&lt;&gt;"",[[#This Row],[Fin réelle]]&lt;&gt;""),[[#This Row],[Fin réelle]]-[[#This Row],Début]+1,"")</f>
        <v>0</v>
      </c>
      <c r="S565">
        <f>[[#This Row],[Budget réalisé]]-[[#This Row],[Budget prévu]]</f>
        <v>0</v>
      </c>
      <c r="T565">
        <f>IF(OR([[#This Row],[Budget prévu]]="",[[#This Row],[Budget réalisé]]=""),"",IF([[#This Row],[Écart (€)]]=0,"À l'équilibre",IF([[#This Row],[Écart (€)]]&gt;0,"Dépassement","Sous budget")))</f>
        <v>0</v>
      </c>
      <c r="W565">
        <f>[[#This Row],[Risque – Probabilité (1-5)]]*[[#This Row],[Risque – Sévérité (1-5)]]</f>
        <v>0</v>
      </c>
      <c r="AC565">
        <f>IF([[#This Row],Effort (jours)]&gt;0,[[#This Row],[Reach (pers.)]]*[[#This Row],[Impact (1-5)]]*[[#This Row],[Confidence (0-1)]]/[[#This Row],[Effort (jours)]],"")</f>
        <v>0</v>
      </c>
      <c r="AG565">
        <f>IF([[#This Row],[Fin planifiée]]&lt;&gt;"",MONTH([[#This Row],[Fin planifiée]]),"")</f>
        <v>0</v>
      </c>
      <c r="AH565">
        <f>IF([[#This Row],[Fin planifiée]]&lt;&gt;"",YEAR([[#This Row],[Fin planifiée]]),"")</f>
        <v>0</v>
      </c>
      <c r="AI5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5">
        <f>IF(AND([[#This Row],Statut]="Terminé",[[#This Row],[Fin réelle]]&lt;&gt;""),IF([[#This Row],[Fin réelle]]&lt;=[[#This Row],[Fin planifiée]],"Oui","Non"),"")</f>
        <v>0</v>
      </c>
    </row>
    <row r="566" spans="13:36" ht="20" customHeight="1">
      <c r="M566">
        <f>IF(AND([[#This Row],Début]&lt;&gt;"",[[#This Row],[Fin planifiée]]&lt;&gt;""),[[#This Row],[Fin planifiée]]-[[#This Row],Début]+1,"")</f>
        <v>0</v>
      </c>
      <c r="N566">
        <f>IF(AND([[#This Row],Début]&lt;&gt;"",[[#This Row],[Fin réelle]]&lt;&gt;""),[[#This Row],[Fin réelle]]-[[#This Row],Début]+1,"")</f>
        <v>0</v>
      </c>
      <c r="S566">
        <f>[[#This Row],[Budget réalisé]]-[[#This Row],[Budget prévu]]</f>
        <v>0</v>
      </c>
      <c r="T566">
        <f>IF(OR([[#This Row],[Budget prévu]]="",[[#This Row],[Budget réalisé]]=""),"",IF([[#This Row],[Écart (€)]]=0,"À l'équilibre",IF([[#This Row],[Écart (€)]]&gt;0,"Dépassement","Sous budget")))</f>
        <v>0</v>
      </c>
      <c r="W566">
        <f>[[#This Row],[Risque – Probabilité (1-5)]]*[[#This Row],[Risque – Sévérité (1-5)]]</f>
        <v>0</v>
      </c>
      <c r="AC566">
        <f>IF([[#This Row],Effort (jours)]&gt;0,[[#This Row],[Reach (pers.)]]*[[#This Row],[Impact (1-5)]]*[[#This Row],[Confidence (0-1)]]/[[#This Row],[Effort (jours)]],"")</f>
        <v>0</v>
      </c>
      <c r="AG566">
        <f>IF([[#This Row],[Fin planifiée]]&lt;&gt;"",MONTH([[#This Row],[Fin planifiée]]),"")</f>
        <v>0</v>
      </c>
      <c r="AH566">
        <f>IF([[#This Row],[Fin planifiée]]&lt;&gt;"",YEAR([[#This Row],[Fin planifiée]]),"")</f>
        <v>0</v>
      </c>
      <c r="AI5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6">
        <f>IF(AND([[#This Row],Statut]="Terminé",[[#This Row],[Fin réelle]]&lt;&gt;""),IF([[#This Row],[Fin réelle]]&lt;=[[#This Row],[Fin planifiée]],"Oui","Non"),"")</f>
        <v>0</v>
      </c>
    </row>
    <row r="567" spans="13:36" ht="20" customHeight="1">
      <c r="M567">
        <f>IF(AND([[#This Row],Début]&lt;&gt;"",[[#This Row],[Fin planifiée]]&lt;&gt;""),[[#This Row],[Fin planifiée]]-[[#This Row],Début]+1,"")</f>
        <v>0</v>
      </c>
      <c r="N567">
        <f>IF(AND([[#This Row],Début]&lt;&gt;"",[[#This Row],[Fin réelle]]&lt;&gt;""),[[#This Row],[Fin réelle]]-[[#This Row],Début]+1,"")</f>
        <v>0</v>
      </c>
      <c r="S567">
        <f>[[#This Row],[Budget réalisé]]-[[#This Row],[Budget prévu]]</f>
        <v>0</v>
      </c>
      <c r="T567">
        <f>IF(OR([[#This Row],[Budget prévu]]="",[[#This Row],[Budget réalisé]]=""),"",IF([[#This Row],[Écart (€)]]=0,"À l'équilibre",IF([[#This Row],[Écart (€)]]&gt;0,"Dépassement","Sous budget")))</f>
        <v>0</v>
      </c>
      <c r="W567">
        <f>[[#This Row],[Risque – Probabilité (1-5)]]*[[#This Row],[Risque – Sévérité (1-5)]]</f>
        <v>0</v>
      </c>
      <c r="AC567">
        <f>IF([[#This Row],Effort (jours)]&gt;0,[[#This Row],[Reach (pers.)]]*[[#This Row],[Impact (1-5)]]*[[#This Row],[Confidence (0-1)]]/[[#This Row],[Effort (jours)]],"")</f>
        <v>0</v>
      </c>
      <c r="AG567">
        <f>IF([[#This Row],[Fin planifiée]]&lt;&gt;"",MONTH([[#This Row],[Fin planifiée]]),"")</f>
        <v>0</v>
      </c>
      <c r="AH567">
        <f>IF([[#This Row],[Fin planifiée]]&lt;&gt;"",YEAR([[#This Row],[Fin planifiée]]),"")</f>
        <v>0</v>
      </c>
      <c r="AI5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7">
        <f>IF(AND([[#This Row],Statut]="Terminé",[[#This Row],[Fin réelle]]&lt;&gt;""),IF([[#This Row],[Fin réelle]]&lt;=[[#This Row],[Fin planifiée]],"Oui","Non"),"")</f>
        <v>0</v>
      </c>
    </row>
    <row r="568" spans="13:36" ht="20" customHeight="1">
      <c r="M568">
        <f>IF(AND([[#This Row],Début]&lt;&gt;"",[[#This Row],[Fin planifiée]]&lt;&gt;""),[[#This Row],[Fin planifiée]]-[[#This Row],Début]+1,"")</f>
        <v>0</v>
      </c>
      <c r="N568">
        <f>IF(AND([[#This Row],Début]&lt;&gt;"",[[#This Row],[Fin réelle]]&lt;&gt;""),[[#This Row],[Fin réelle]]-[[#This Row],Début]+1,"")</f>
        <v>0</v>
      </c>
      <c r="S568">
        <f>[[#This Row],[Budget réalisé]]-[[#This Row],[Budget prévu]]</f>
        <v>0</v>
      </c>
      <c r="T568">
        <f>IF(OR([[#This Row],[Budget prévu]]="",[[#This Row],[Budget réalisé]]=""),"",IF([[#This Row],[Écart (€)]]=0,"À l'équilibre",IF([[#This Row],[Écart (€)]]&gt;0,"Dépassement","Sous budget")))</f>
        <v>0</v>
      </c>
      <c r="W568">
        <f>[[#This Row],[Risque – Probabilité (1-5)]]*[[#This Row],[Risque – Sévérité (1-5)]]</f>
        <v>0</v>
      </c>
      <c r="AC568">
        <f>IF([[#This Row],Effort (jours)]&gt;0,[[#This Row],[Reach (pers.)]]*[[#This Row],[Impact (1-5)]]*[[#This Row],[Confidence (0-1)]]/[[#This Row],[Effort (jours)]],"")</f>
        <v>0</v>
      </c>
      <c r="AG568">
        <f>IF([[#This Row],[Fin planifiée]]&lt;&gt;"",MONTH([[#This Row],[Fin planifiée]]),"")</f>
        <v>0</v>
      </c>
      <c r="AH568">
        <f>IF([[#This Row],[Fin planifiée]]&lt;&gt;"",YEAR([[#This Row],[Fin planifiée]]),"")</f>
        <v>0</v>
      </c>
      <c r="AI5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8">
        <f>IF(AND([[#This Row],Statut]="Terminé",[[#This Row],[Fin réelle]]&lt;&gt;""),IF([[#This Row],[Fin réelle]]&lt;=[[#This Row],[Fin planifiée]],"Oui","Non"),"")</f>
        <v>0</v>
      </c>
    </row>
    <row r="569" spans="13:36" ht="20" customHeight="1">
      <c r="M569">
        <f>IF(AND([[#This Row],Début]&lt;&gt;"",[[#This Row],[Fin planifiée]]&lt;&gt;""),[[#This Row],[Fin planifiée]]-[[#This Row],Début]+1,"")</f>
        <v>0</v>
      </c>
      <c r="N569">
        <f>IF(AND([[#This Row],Début]&lt;&gt;"",[[#This Row],[Fin réelle]]&lt;&gt;""),[[#This Row],[Fin réelle]]-[[#This Row],Début]+1,"")</f>
        <v>0</v>
      </c>
      <c r="S569">
        <f>[[#This Row],[Budget réalisé]]-[[#This Row],[Budget prévu]]</f>
        <v>0</v>
      </c>
      <c r="T569">
        <f>IF(OR([[#This Row],[Budget prévu]]="",[[#This Row],[Budget réalisé]]=""),"",IF([[#This Row],[Écart (€)]]=0,"À l'équilibre",IF([[#This Row],[Écart (€)]]&gt;0,"Dépassement","Sous budget")))</f>
        <v>0</v>
      </c>
      <c r="W569">
        <f>[[#This Row],[Risque – Probabilité (1-5)]]*[[#This Row],[Risque – Sévérité (1-5)]]</f>
        <v>0</v>
      </c>
      <c r="AC569">
        <f>IF([[#This Row],Effort (jours)]&gt;0,[[#This Row],[Reach (pers.)]]*[[#This Row],[Impact (1-5)]]*[[#This Row],[Confidence (0-1)]]/[[#This Row],[Effort (jours)]],"")</f>
        <v>0</v>
      </c>
      <c r="AG569">
        <f>IF([[#This Row],[Fin planifiée]]&lt;&gt;"",MONTH([[#This Row],[Fin planifiée]]),"")</f>
        <v>0</v>
      </c>
      <c r="AH569">
        <f>IF([[#This Row],[Fin planifiée]]&lt;&gt;"",YEAR([[#This Row],[Fin planifiée]]),"")</f>
        <v>0</v>
      </c>
      <c r="AI5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69">
        <f>IF(AND([[#This Row],Statut]="Terminé",[[#This Row],[Fin réelle]]&lt;&gt;""),IF([[#This Row],[Fin réelle]]&lt;=[[#This Row],[Fin planifiée]],"Oui","Non"),"")</f>
        <v>0</v>
      </c>
    </row>
    <row r="570" spans="13:36" ht="20" customHeight="1">
      <c r="M570">
        <f>IF(AND([[#This Row],Début]&lt;&gt;"",[[#This Row],[Fin planifiée]]&lt;&gt;""),[[#This Row],[Fin planifiée]]-[[#This Row],Début]+1,"")</f>
        <v>0</v>
      </c>
      <c r="N570">
        <f>IF(AND([[#This Row],Début]&lt;&gt;"",[[#This Row],[Fin réelle]]&lt;&gt;""),[[#This Row],[Fin réelle]]-[[#This Row],Début]+1,"")</f>
        <v>0</v>
      </c>
      <c r="S570">
        <f>[[#This Row],[Budget réalisé]]-[[#This Row],[Budget prévu]]</f>
        <v>0</v>
      </c>
      <c r="T570">
        <f>IF(OR([[#This Row],[Budget prévu]]="",[[#This Row],[Budget réalisé]]=""),"",IF([[#This Row],[Écart (€)]]=0,"À l'équilibre",IF([[#This Row],[Écart (€)]]&gt;0,"Dépassement","Sous budget")))</f>
        <v>0</v>
      </c>
      <c r="W570">
        <f>[[#This Row],[Risque – Probabilité (1-5)]]*[[#This Row],[Risque – Sévérité (1-5)]]</f>
        <v>0</v>
      </c>
      <c r="AC570">
        <f>IF([[#This Row],Effort (jours)]&gt;0,[[#This Row],[Reach (pers.)]]*[[#This Row],[Impact (1-5)]]*[[#This Row],[Confidence (0-1)]]/[[#This Row],[Effort (jours)]],"")</f>
        <v>0</v>
      </c>
      <c r="AG570">
        <f>IF([[#This Row],[Fin planifiée]]&lt;&gt;"",MONTH([[#This Row],[Fin planifiée]]),"")</f>
        <v>0</v>
      </c>
      <c r="AH570">
        <f>IF([[#This Row],[Fin planifiée]]&lt;&gt;"",YEAR([[#This Row],[Fin planifiée]]),"")</f>
        <v>0</v>
      </c>
      <c r="AI5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0">
        <f>IF(AND([[#This Row],Statut]="Terminé",[[#This Row],[Fin réelle]]&lt;&gt;""),IF([[#This Row],[Fin réelle]]&lt;=[[#This Row],[Fin planifiée]],"Oui","Non"),"")</f>
        <v>0</v>
      </c>
    </row>
    <row r="571" spans="13:36" ht="20" customHeight="1">
      <c r="M571">
        <f>IF(AND([[#This Row],Début]&lt;&gt;"",[[#This Row],[Fin planifiée]]&lt;&gt;""),[[#This Row],[Fin planifiée]]-[[#This Row],Début]+1,"")</f>
        <v>0</v>
      </c>
      <c r="N571">
        <f>IF(AND([[#This Row],Début]&lt;&gt;"",[[#This Row],[Fin réelle]]&lt;&gt;""),[[#This Row],[Fin réelle]]-[[#This Row],Début]+1,"")</f>
        <v>0</v>
      </c>
      <c r="S571">
        <f>[[#This Row],[Budget réalisé]]-[[#This Row],[Budget prévu]]</f>
        <v>0</v>
      </c>
      <c r="T571">
        <f>IF(OR([[#This Row],[Budget prévu]]="",[[#This Row],[Budget réalisé]]=""),"",IF([[#This Row],[Écart (€)]]=0,"À l'équilibre",IF([[#This Row],[Écart (€)]]&gt;0,"Dépassement","Sous budget")))</f>
        <v>0</v>
      </c>
      <c r="W571">
        <f>[[#This Row],[Risque – Probabilité (1-5)]]*[[#This Row],[Risque – Sévérité (1-5)]]</f>
        <v>0</v>
      </c>
      <c r="AC571">
        <f>IF([[#This Row],Effort (jours)]&gt;0,[[#This Row],[Reach (pers.)]]*[[#This Row],[Impact (1-5)]]*[[#This Row],[Confidence (0-1)]]/[[#This Row],[Effort (jours)]],"")</f>
        <v>0</v>
      </c>
      <c r="AG571">
        <f>IF([[#This Row],[Fin planifiée]]&lt;&gt;"",MONTH([[#This Row],[Fin planifiée]]),"")</f>
        <v>0</v>
      </c>
      <c r="AH571">
        <f>IF([[#This Row],[Fin planifiée]]&lt;&gt;"",YEAR([[#This Row],[Fin planifiée]]),"")</f>
        <v>0</v>
      </c>
      <c r="AI5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1">
        <f>IF(AND([[#This Row],Statut]="Terminé",[[#This Row],[Fin réelle]]&lt;&gt;""),IF([[#This Row],[Fin réelle]]&lt;=[[#This Row],[Fin planifiée]],"Oui","Non"),"")</f>
        <v>0</v>
      </c>
    </row>
    <row r="572" spans="13:36" ht="20" customHeight="1">
      <c r="M572">
        <f>IF(AND([[#This Row],Début]&lt;&gt;"",[[#This Row],[Fin planifiée]]&lt;&gt;""),[[#This Row],[Fin planifiée]]-[[#This Row],Début]+1,"")</f>
        <v>0</v>
      </c>
      <c r="N572">
        <f>IF(AND([[#This Row],Début]&lt;&gt;"",[[#This Row],[Fin réelle]]&lt;&gt;""),[[#This Row],[Fin réelle]]-[[#This Row],Début]+1,"")</f>
        <v>0</v>
      </c>
      <c r="S572">
        <f>[[#This Row],[Budget réalisé]]-[[#This Row],[Budget prévu]]</f>
        <v>0</v>
      </c>
      <c r="T572">
        <f>IF(OR([[#This Row],[Budget prévu]]="",[[#This Row],[Budget réalisé]]=""),"",IF([[#This Row],[Écart (€)]]=0,"À l'équilibre",IF([[#This Row],[Écart (€)]]&gt;0,"Dépassement","Sous budget")))</f>
        <v>0</v>
      </c>
      <c r="W572">
        <f>[[#This Row],[Risque – Probabilité (1-5)]]*[[#This Row],[Risque – Sévérité (1-5)]]</f>
        <v>0</v>
      </c>
      <c r="AC572">
        <f>IF([[#This Row],Effort (jours)]&gt;0,[[#This Row],[Reach (pers.)]]*[[#This Row],[Impact (1-5)]]*[[#This Row],[Confidence (0-1)]]/[[#This Row],[Effort (jours)]],"")</f>
        <v>0</v>
      </c>
      <c r="AG572">
        <f>IF([[#This Row],[Fin planifiée]]&lt;&gt;"",MONTH([[#This Row],[Fin planifiée]]),"")</f>
        <v>0</v>
      </c>
      <c r="AH572">
        <f>IF([[#This Row],[Fin planifiée]]&lt;&gt;"",YEAR([[#This Row],[Fin planifiée]]),"")</f>
        <v>0</v>
      </c>
      <c r="AI5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2">
        <f>IF(AND([[#This Row],Statut]="Terminé",[[#This Row],[Fin réelle]]&lt;&gt;""),IF([[#This Row],[Fin réelle]]&lt;=[[#This Row],[Fin planifiée]],"Oui","Non"),"")</f>
        <v>0</v>
      </c>
    </row>
    <row r="573" spans="13:36" ht="20" customHeight="1">
      <c r="M573">
        <f>IF(AND([[#This Row],Début]&lt;&gt;"",[[#This Row],[Fin planifiée]]&lt;&gt;""),[[#This Row],[Fin planifiée]]-[[#This Row],Début]+1,"")</f>
        <v>0</v>
      </c>
      <c r="N573">
        <f>IF(AND([[#This Row],Début]&lt;&gt;"",[[#This Row],[Fin réelle]]&lt;&gt;""),[[#This Row],[Fin réelle]]-[[#This Row],Début]+1,"")</f>
        <v>0</v>
      </c>
      <c r="S573">
        <f>[[#This Row],[Budget réalisé]]-[[#This Row],[Budget prévu]]</f>
        <v>0</v>
      </c>
      <c r="T573">
        <f>IF(OR([[#This Row],[Budget prévu]]="",[[#This Row],[Budget réalisé]]=""),"",IF([[#This Row],[Écart (€)]]=0,"À l'équilibre",IF([[#This Row],[Écart (€)]]&gt;0,"Dépassement","Sous budget")))</f>
        <v>0</v>
      </c>
      <c r="W573">
        <f>[[#This Row],[Risque – Probabilité (1-5)]]*[[#This Row],[Risque – Sévérité (1-5)]]</f>
        <v>0</v>
      </c>
      <c r="AC573">
        <f>IF([[#This Row],Effort (jours)]&gt;0,[[#This Row],[Reach (pers.)]]*[[#This Row],[Impact (1-5)]]*[[#This Row],[Confidence (0-1)]]/[[#This Row],[Effort (jours)]],"")</f>
        <v>0</v>
      </c>
      <c r="AG573">
        <f>IF([[#This Row],[Fin planifiée]]&lt;&gt;"",MONTH([[#This Row],[Fin planifiée]]),"")</f>
        <v>0</v>
      </c>
      <c r="AH573">
        <f>IF([[#This Row],[Fin planifiée]]&lt;&gt;"",YEAR([[#This Row],[Fin planifiée]]),"")</f>
        <v>0</v>
      </c>
      <c r="AI5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3">
        <f>IF(AND([[#This Row],Statut]="Terminé",[[#This Row],[Fin réelle]]&lt;&gt;""),IF([[#This Row],[Fin réelle]]&lt;=[[#This Row],[Fin planifiée]],"Oui","Non"),"")</f>
        <v>0</v>
      </c>
    </row>
    <row r="574" spans="13:36" ht="20" customHeight="1">
      <c r="M574">
        <f>IF(AND([[#This Row],Début]&lt;&gt;"",[[#This Row],[Fin planifiée]]&lt;&gt;""),[[#This Row],[Fin planifiée]]-[[#This Row],Début]+1,"")</f>
        <v>0</v>
      </c>
      <c r="N574">
        <f>IF(AND([[#This Row],Début]&lt;&gt;"",[[#This Row],[Fin réelle]]&lt;&gt;""),[[#This Row],[Fin réelle]]-[[#This Row],Début]+1,"")</f>
        <v>0</v>
      </c>
      <c r="S574">
        <f>[[#This Row],[Budget réalisé]]-[[#This Row],[Budget prévu]]</f>
        <v>0</v>
      </c>
      <c r="T574">
        <f>IF(OR([[#This Row],[Budget prévu]]="",[[#This Row],[Budget réalisé]]=""),"",IF([[#This Row],[Écart (€)]]=0,"À l'équilibre",IF([[#This Row],[Écart (€)]]&gt;0,"Dépassement","Sous budget")))</f>
        <v>0</v>
      </c>
      <c r="W574">
        <f>[[#This Row],[Risque – Probabilité (1-5)]]*[[#This Row],[Risque – Sévérité (1-5)]]</f>
        <v>0</v>
      </c>
      <c r="AC574">
        <f>IF([[#This Row],Effort (jours)]&gt;0,[[#This Row],[Reach (pers.)]]*[[#This Row],[Impact (1-5)]]*[[#This Row],[Confidence (0-1)]]/[[#This Row],[Effort (jours)]],"")</f>
        <v>0</v>
      </c>
      <c r="AG574">
        <f>IF([[#This Row],[Fin planifiée]]&lt;&gt;"",MONTH([[#This Row],[Fin planifiée]]),"")</f>
        <v>0</v>
      </c>
      <c r="AH574">
        <f>IF([[#This Row],[Fin planifiée]]&lt;&gt;"",YEAR([[#This Row],[Fin planifiée]]),"")</f>
        <v>0</v>
      </c>
      <c r="AI5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4">
        <f>IF(AND([[#This Row],Statut]="Terminé",[[#This Row],[Fin réelle]]&lt;&gt;""),IF([[#This Row],[Fin réelle]]&lt;=[[#This Row],[Fin planifiée]],"Oui","Non"),"")</f>
        <v>0</v>
      </c>
    </row>
    <row r="575" spans="13:36" ht="20" customHeight="1">
      <c r="M575">
        <f>IF(AND([[#This Row],Début]&lt;&gt;"",[[#This Row],[Fin planifiée]]&lt;&gt;""),[[#This Row],[Fin planifiée]]-[[#This Row],Début]+1,"")</f>
        <v>0</v>
      </c>
      <c r="N575">
        <f>IF(AND([[#This Row],Début]&lt;&gt;"",[[#This Row],[Fin réelle]]&lt;&gt;""),[[#This Row],[Fin réelle]]-[[#This Row],Début]+1,"")</f>
        <v>0</v>
      </c>
      <c r="S575">
        <f>[[#This Row],[Budget réalisé]]-[[#This Row],[Budget prévu]]</f>
        <v>0</v>
      </c>
      <c r="T575">
        <f>IF(OR([[#This Row],[Budget prévu]]="",[[#This Row],[Budget réalisé]]=""),"",IF([[#This Row],[Écart (€)]]=0,"À l'équilibre",IF([[#This Row],[Écart (€)]]&gt;0,"Dépassement","Sous budget")))</f>
        <v>0</v>
      </c>
      <c r="W575">
        <f>[[#This Row],[Risque – Probabilité (1-5)]]*[[#This Row],[Risque – Sévérité (1-5)]]</f>
        <v>0</v>
      </c>
      <c r="AC575">
        <f>IF([[#This Row],Effort (jours)]&gt;0,[[#This Row],[Reach (pers.)]]*[[#This Row],[Impact (1-5)]]*[[#This Row],[Confidence (0-1)]]/[[#This Row],[Effort (jours)]],"")</f>
        <v>0</v>
      </c>
      <c r="AG575">
        <f>IF([[#This Row],[Fin planifiée]]&lt;&gt;"",MONTH([[#This Row],[Fin planifiée]]),"")</f>
        <v>0</v>
      </c>
      <c r="AH575">
        <f>IF([[#This Row],[Fin planifiée]]&lt;&gt;"",YEAR([[#This Row],[Fin planifiée]]),"")</f>
        <v>0</v>
      </c>
      <c r="AI5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5">
        <f>IF(AND([[#This Row],Statut]="Terminé",[[#This Row],[Fin réelle]]&lt;&gt;""),IF([[#This Row],[Fin réelle]]&lt;=[[#This Row],[Fin planifiée]],"Oui","Non"),"")</f>
        <v>0</v>
      </c>
    </row>
    <row r="576" spans="13:36" ht="20" customHeight="1">
      <c r="M576">
        <f>IF(AND([[#This Row],Début]&lt;&gt;"",[[#This Row],[Fin planifiée]]&lt;&gt;""),[[#This Row],[Fin planifiée]]-[[#This Row],Début]+1,"")</f>
        <v>0</v>
      </c>
      <c r="N576">
        <f>IF(AND([[#This Row],Début]&lt;&gt;"",[[#This Row],[Fin réelle]]&lt;&gt;""),[[#This Row],[Fin réelle]]-[[#This Row],Début]+1,"")</f>
        <v>0</v>
      </c>
      <c r="S576">
        <f>[[#This Row],[Budget réalisé]]-[[#This Row],[Budget prévu]]</f>
        <v>0</v>
      </c>
      <c r="T576">
        <f>IF(OR([[#This Row],[Budget prévu]]="",[[#This Row],[Budget réalisé]]=""),"",IF([[#This Row],[Écart (€)]]=0,"À l'équilibre",IF([[#This Row],[Écart (€)]]&gt;0,"Dépassement","Sous budget")))</f>
        <v>0</v>
      </c>
      <c r="W576">
        <f>[[#This Row],[Risque – Probabilité (1-5)]]*[[#This Row],[Risque – Sévérité (1-5)]]</f>
        <v>0</v>
      </c>
      <c r="AC576">
        <f>IF([[#This Row],Effort (jours)]&gt;0,[[#This Row],[Reach (pers.)]]*[[#This Row],[Impact (1-5)]]*[[#This Row],[Confidence (0-1)]]/[[#This Row],[Effort (jours)]],"")</f>
        <v>0</v>
      </c>
      <c r="AG576">
        <f>IF([[#This Row],[Fin planifiée]]&lt;&gt;"",MONTH([[#This Row],[Fin planifiée]]),"")</f>
        <v>0</v>
      </c>
      <c r="AH576">
        <f>IF([[#This Row],[Fin planifiée]]&lt;&gt;"",YEAR([[#This Row],[Fin planifiée]]),"")</f>
        <v>0</v>
      </c>
      <c r="AI5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6">
        <f>IF(AND([[#This Row],Statut]="Terminé",[[#This Row],[Fin réelle]]&lt;&gt;""),IF([[#This Row],[Fin réelle]]&lt;=[[#This Row],[Fin planifiée]],"Oui","Non"),"")</f>
        <v>0</v>
      </c>
    </row>
    <row r="577" spans="13:36" ht="20" customHeight="1">
      <c r="M577">
        <f>IF(AND([[#This Row],Début]&lt;&gt;"",[[#This Row],[Fin planifiée]]&lt;&gt;""),[[#This Row],[Fin planifiée]]-[[#This Row],Début]+1,"")</f>
        <v>0</v>
      </c>
      <c r="N577">
        <f>IF(AND([[#This Row],Début]&lt;&gt;"",[[#This Row],[Fin réelle]]&lt;&gt;""),[[#This Row],[Fin réelle]]-[[#This Row],Début]+1,"")</f>
        <v>0</v>
      </c>
      <c r="S577">
        <f>[[#This Row],[Budget réalisé]]-[[#This Row],[Budget prévu]]</f>
        <v>0</v>
      </c>
      <c r="T577">
        <f>IF(OR([[#This Row],[Budget prévu]]="",[[#This Row],[Budget réalisé]]=""),"",IF([[#This Row],[Écart (€)]]=0,"À l'équilibre",IF([[#This Row],[Écart (€)]]&gt;0,"Dépassement","Sous budget")))</f>
        <v>0</v>
      </c>
      <c r="W577">
        <f>[[#This Row],[Risque – Probabilité (1-5)]]*[[#This Row],[Risque – Sévérité (1-5)]]</f>
        <v>0</v>
      </c>
      <c r="AC577">
        <f>IF([[#This Row],Effort (jours)]&gt;0,[[#This Row],[Reach (pers.)]]*[[#This Row],[Impact (1-5)]]*[[#This Row],[Confidence (0-1)]]/[[#This Row],[Effort (jours)]],"")</f>
        <v>0</v>
      </c>
      <c r="AG577">
        <f>IF([[#This Row],[Fin planifiée]]&lt;&gt;"",MONTH([[#This Row],[Fin planifiée]]),"")</f>
        <v>0</v>
      </c>
      <c r="AH577">
        <f>IF([[#This Row],[Fin planifiée]]&lt;&gt;"",YEAR([[#This Row],[Fin planifiée]]),"")</f>
        <v>0</v>
      </c>
      <c r="AI5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7">
        <f>IF(AND([[#This Row],Statut]="Terminé",[[#This Row],[Fin réelle]]&lt;&gt;""),IF([[#This Row],[Fin réelle]]&lt;=[[#This Row],[Fin planifiée]],"Oui","Non"),"")</f>
        <v>0</v>
      </c>
    </row>
    <row r="578" spans="13:36" ht="20" customHeight="1">
      <c r="M578">
        <f>IF(AND([[#This Row],Début]&lt;&gt;"",[[#This Row],[Fin planifiée]]&lt;&gt;""),[[#This Row],[Fin planifiée]]-[[#This Row],Début]+1,"")</f>
        <v>0</v>
      </c>
      <c r="N578">
        <f>IF(AND([[#This Row],Début]&lt;&gt;"",[[#This Row],[Fin réelle]]&lt;&gt;""),[[#This Row],[Fin réelle]]-[[#This Row],Début]+1,"")</f>
        <v>0</v>
      </c>
      <c r="S578">
        <f>[[#This Row],[Budget réalisé]]-[[#This Row],[Budget prévu]]</f>
        <v>0</v>
      </c>
      <c r="T578">
        <f>IF(OR([[#This Row],[Budget prévu]]="",[[#This Row],[Budget réalisé]]=""),"",IF([[#This Row],[Écart (€)]]=0,"À l'équilibre",IF([[#This Row],[Écart (€)]]&gt;0,"Dépassement","Sous budget")))</f>
        <v>0</v>
      </c>
      <c r="W578">
        <f>[[#This Row],[Risque – Probabilité (1-5)]]*[[#This Row],[Risque – Sévérité (1-5)]]</f>
        <v>0</v>
      </c>
      <c r="AC578">
        <f>IF([[#This Row],Effort (jours)]&gt;0,[[#This Row],[Reach (pers.)]]*[[#This Row],[Impact (1-5)]]*[[#This Row],[Confidence (0-1)]]/[[#This Row],[Effort (jours)]],"")</f>
        <v>0</v>
      </c>
      <c r="AG578">
        <f>IF([[#This Row],[Fin planifiée]]&lt;&gt;"",MONTH([[#This Row],[Fin planifiée]]),"")</f>
        <v>0</v>
      </c>
      <c r="AH578">
        <f>IF([[#This Row],[Fin planifiée]]&lt;&gt;"",YEAR([[#This Row],[Fin planifiée]]),"")</f>
        <v>0</v>
      </c>
      <c r="AI5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8">
        <f>IF(AND([[#This Row],Statut]="Terminé",[[#This Row],[Fin réelle]]&lt;&gt;""),IF([[#This Row],[Fin réelle]]&lt;=[[#This Row],[Fin planifiée]],"Oui","Non"),"")</f>
        <v>0</v>
      </c>
    </row>
    <row r="579" spans="13:36" ht="20" customHeight="1">
      <c r="M579">
        <f>IF(AND([[#This Row],Début]&lt;&gt;"",[[#This Row],[Fin planifiée]]&lt;&gt;""),[[#This Row],[Fin planifiée]]-[[#This Row],Début]+1,"")</f>
        <v>0</v>
      </c>
      <c r="N579">
        <f>IF(AND([[#This Row],Début]&lt;&gt;"",[[#This Row],[Fin réelle]]&lt;&gt;""),[[#This Row],[Fin réelle]]-[[#This Row],Début]+1,"")</f>
        <v>0</v>
      </c>
      <c r="S579">
        <f>[[#This Row],[Budget réalisé]]-[[#This Row],[Budget prévu]]</f>
        <v>0</v>
      </c>
      <c r="T579">
        <f>IF(OR([[#This Row],[Budget prévu]]="",[[#This Row],[Budget réalisé]]=""),"",IF([[#This Row],[Écart (€)]]=0,"À l'équilibre",IF([[#This Row],[Écart (€)]]&gt;0,"Dépassement","Sous budget")))</f>
        <v>0</v>
      </c>
      <c r="W579">
        <f>[[#This Row],[Risque – Probabilité (1-5)]]*[[#This Row],[Risque – Sévérité (1-5)]]</f>
        <v>0</v>
      </c>
      <c r="AC579">
        <f>IF([[#This Row],Effort (jours)]&gt;0,[[#This Row],[Reach (pers.)]]*[[#This Row],[Impact (1-5)]]*[[#This Row],[Confidence (0-1)]]/[[#This Row],[Effort (jours)]],"")</f>
        <v>0</v>
      </c>
      <c r="AG579">
        <f>IF([[#This Row],[Fin planifiée]]&lt;&gt;"",MONTH([[#This Row],[Fin planifiée]]),"")</f>
        <v>0</v>
      </c>
      <c r="AH579">
        <f>IF([[#This Row],[Fin planifiée]]&lt;&gt;"",YEAR([[#This Row],[Fin planifiée]]),"")</f>
        <v>0</v>
      </c>
      <c r="AI5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79">
        <f>IF(AND([[#This Row],Statut]="Terminé",[[#This Row],[Fin réelle]]&lt;&gt;""),IF([[#This Row],[Fin réelle]]&lt;=[[#This Row],[Fin planifiée]],"Oui","Non"),"")</f>
        <v>0</v>
      </c>
    </row>
    <row r="580" spans="13:36" ht="20" customHeight="1">
      <c r="M580">
        <f>IF(AND([[#This Row],Début]&lt;&gt;"",[[#This Row],[Fin planifiée]]&lt;&gt;""),[[#This Row],[Fin planifiée]]-[[#This Row],Début]+1,"")</f>
        <v>0</v>
      </c>
      <c r="N580">
        <f>IF(AND([[#This Row],Début]&lt;&gt;"",[[#This Row],[Fin réelle]]&lt;&gt;""),[[#This Row],[Fin réelle]]-[[#This Row],Début]+1,"")</f>
        <v>0</v>
      </c>
      <c r="S580">
        <f>[[#This Row],[Budget réalisé]]-[[#This Row],[Budget prévu]]</f>
        <v>0</v>
      </c>
      <c r="T580">
        <f>IF(OR([[#This Row],[Budget prévu]]="",[[#This Row],[Budget réalisé]]=""),"",IF([[#This Row],[Écart (€)]]=0,"À l'équilibre",IF([[#This Row],[Écart (€)]]&gt;0,"Dépassement","Sous budget")))</f>
        <v>0</v>
      </c>
      <c r="W580">
        <f>[[#This Row],[Risque – Probabilité (1-5)]]*[[#This Row],[Risque – Sévérité (1-5)]]</f>
        <v>0</v>
      </c>
      <c r="AC580">
        <f>IF([[#This Row],Effort (jours)]&gt;0,[[#This Row],[Reach (pers.)]]*[[#This Row],[Impact (1-5)]]*[[#This Row],[Confidence (0-1)]]/[[#This Row],[Effort (jours)]],"")</f>
        <v>0</v>
      </c>
      <c r="AG580">
        <f>IF([[#This Row],[Fin planifiée]]&lt;&gt;"",MONTH([[#This Row],[Fin planifiée]]),"")</f>
        <v>0</v>
      </c>
      <c r="AH580">
        <f>IF([[#This Row],[Fin planifiée]]&lt;&gt;"",YEAR([[#This Row],[Fin planifiée]]),"")</f>
        <v>0</v>
      </c>
      <c r="AI5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0">
        <f>IF(AND([[#This Row],Statut]="Terminé",[[#This Row],[Fin réelle]]&lt;&gt;""),IF([[#This Row],[Fin réelle]]&lt;=[[#This Row],[Fin planifiée]],"Oui","Non"),"")</f>
        <v>0</v>
      </c>
    </row>
    <row r="581" spans="13:36" ht="20" customHeight="1">
      <c r="M581">
        <f>IF(AND([[#This Row],Début]&lt;&gt;"",[[#This Row],[Fin planifiée]]&lt;&gt;""),[[#This Row],[Fin planifiée]]-[[#This Row],Début]+1,"")</f>
        <v>0</v>
      </c>
      <c r="N581">
        <f>IF(AND([[#This Row],Début]&lt;&gt;"",[[#This Row],[Fin réelle]]&lt;&gt;""),[[#This Row],[Fin réelle]]-[[#This Row],Début]+1,"")</f>
        <v>0</v>
      </c>
      <c r="S581">
        <f>[[#This Row],[Budget réalisé]]-[[#This Row],[Budget prévu]]</f>
        <v>0</v>
      </c>
      <c r="T581">
        <f>IF(OR([[#This Row],[Budget prévu]]="",[[#This Row],[Budget réalisé]]=""),"",IF([[#This Row],[Écart (€)]]=0,"À l'équilibre",IF([[#This Row],[Écart (€)]]&gt;0,"Dépassement","Sous budget")))</f>
        <v>0</v>
      </c>
      <c r="W581">
        <f>[[#This Row],[Risque – Probabilité (1-5)]]*[[#This Row],[Risque – Sévérité (1-5)]]</f>
        <v>0</v>
      </c>
      <c r="AC581">
        <f>IF([[#This Row],Effort (jours)]&gt;0,[[#This Row],[Reach (pers.)]]*[[#This Row],[Impact (1-5)]]*[[#This Row],[Confidence (0-1)]]/[[#This Row],[Effort (jours)]],"")</f>
        <v>0</v>
      </c>
      <c r="AG581">
        <f>IF([[#This Row],[Fin planifiée]]&lt;&gt;"",MONTH([[#This Row],[Fin planifiée]]),"")</f>
        <v>0</v>
      </c>
      <c r="AH581">
        <f>IF([[#This Row],[Fin planifiée]]&lt;&gt;"",YEAR([[#This Row],[Fin planifiée]]),"")</f>
        <v>0</v>
      </c>
      <c r="AI5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1">
        <f>IF(AND([[#This Row],Statut]="Terminé",[[#This Row],[Fin réelle]]&lt;&gt;""),IF([[#This Row],[Fin réelle]]&lt;=[[#This Row],[Fin planifiée]],"Oui","Non"),"")</f>
        <v>0</v>
      </c>
    </row>
    <row r="582" spans="13:36" ht="20" customHeight="1">
      <c r="M582">
        <f>IF(AND([[#This Row],Début]&lt;&gt;"",[[#This Row],[Fin planifiée]]&lt;&gt;""),[[#This Row],[Fin planifiée]]-[[#This Row],Début]+1,"")</f>
        <v>0</v>
      </c>
      <c r="N582">
        <f>IF(AND([[#This Row],Début]&lt;&gt;"",[[#This Row],[Fin réelle]]&lt;&gt;""),[[#This Row],[Fin réelle]]-[[#This Row],Début]+1,"")</f>
        <v>0</v>
      </c>
      <c r="S582">
        <f>[[#This Row],[Budget réalisé]]-[[#This Row],[Budget prévu]]</f>
        <v>0</v>
      </c>
      <c r="T582">
        <f>IF(OR([[#This Row],[Budget prévu]]="",[[#This Row],[Budget réalisé]]=""),"",IF([[#This Row],[Écart (€)]]=0,"À l'équilibre",IF([[#This Row],[Écart (€)]]&gt;0,"Dépassement","Sous budget")))</f>
        <v>0</v>
      </c>
      <c r="W582">
        <f>[[#This Row],[Risque – Probabilité (1-5)]]*[[#This Row],[Risque – Sévérité (1-5)]]</f>
        <v>0</v>
      </c>
      <c r="AC582">
        <f>IF([[#This Row],Effort (jours)]&gt;0,[[#This Row],[Reach (pers.)]]*[[#This Row],[Impact (1-5)]]*[[#This Row],[Confidence (0-1)]]/[[#This Row],[Effort (jours)]],"")</f>
        <v>0</v>
      </c>
      <c r="AG582">
        <f>IF([[#This Row],[Fin planifiée]]&lt;&gt;"",MONTH([[#This Row],[Fin planifiée]]),"")</f>
        <v>0</v>
      </c>
      <c r="AH582">
        <f>IF([[#This Row],[Fin planifiée]]&lt;&gt;"",YEAR([[#This Row],[Fin planifiée]]),"")</f>
        <v>0</v>
      </c>
      <c r="AI5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2">
        <f>IF(AND([[#This Row],Statut]="Terminé",[[#This Row],[Fin réelle]]&lt;&gt;""),IF([[#This Row],[Fin réelle]]&lt;=[[#This Row],[Fin planifiée]],"Oui","Non"),"")</f>
        <v>0</v>
      </c>
    </row>
    <row r="583" spans="13:36" ht="20" customHeight="1">
      <c r="M583">
        <f>IF(AND([[#This Row],Début]&lt;&gt;"",[[#This Row],[Fin planifiée]]&lt;&gt;""),[[#This Row],[Fin planifiée]]-[[#This Row],Début]+1,"")</f>
        <v>0</v>
      </c>
      <c r="N583">
        <f>IF(AND([[#This Row],Début]&lt;&gt;"",[[#This Row],[Fin réelle]]&lt;&gt;""),[[#This Row],[Fin réelle]]-[[#This Row],Début]+1,"")</f>
        <v>0</v>
      </c>
      <c r="S583">
        <f>[[#This Row],[Budget réalisé]]-[[#This Row],[Budget prévu]]</f>
        <v>0</v>
      </c>
      <c r="T583">
        <f>IF(OR([[#This Row],[Budget prévu]]="",[[#This Row],[Budget réalisé]]=""),"",IF([[#This Row],[Écart (€)]]=0,"À l'équilibre",IF([[#This Row],[Écart (€)]]&gt;0,"Dépassement","Sous budget")))</f>
        <v>0</v>
      </c>
      <c r="W583">
        <f>[[#This Row],[Risque – Probabilité (1-5)]]*[[#This Row],[Risque – Sévérité (1-5)]]</f>
        <v>0</v>
      </c>
      <c r="AC583">
        <f>IF([[#This Row],Effort (jours)]&gt;0,[[#This Row],[Reach (pers.)]]*[[#This Row],[Impact (1-5)]]*[[#This Row],[Confidence (0-1)]]/[[#This Row],[Effort (jours)]],"")</f>
        <v>0</v>
      </c>
      <c r="AG583">
        <f>IF([[#This Row],[Fin planifiée]]&lt;&gt;"",MONTH([[#This Row],[Fin planifiée]]),"")</f>
        <v>0</v>
      </c>
      <c r="AH583">
        <f>IF([[#This Row],[Fin planifiée]]&lt;&gt;"",YEAR([[#This Row],[Fin planifiée]]),"")</f>
        <v>0</v>
      </c>
      <c r="AI5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3">
        <f>IF(AND([[#This Row],Statut]="Terminé",[[#This Row],[Fin réelle]]&lt;&gt;""),IF([[#This Row],[Fin réelle]]&lt;=[[#This Row],[Fin planifiée]],"Oui","Non"),"")</f>
        <v>0</v>
      </c>
    </row>
    <row r="584" spans="13:36" ht="20" customHeight="1">
      <c r="M584">
        <f>IF(AND([[#This Row],Début]&lt;&gt;"",[[#This Row],[Fin planifiée]]&lt;&gt;""),[[#This Row],[Fin planifiée]]-[[#This Row],Début]+1,"")</f>
        <v>0</v>
      </c>
      <c r="N584">
        <f>IF(AND([[#This Row],Début]&lt;&gt;"",[[#This Row],[Fin réelle]]&lt;&gt;""),[[#This Row],[Fin réelle]]-[[#This Row],Début]+1,"")</f>
        <v>0</v>
      </c>
      <c r="S584">
        <f>[[#This Row],[Budget réalisé]]-[[#This Row],[Budget prévu]]</f>
        <v>0</v>
      </c>
      <c r="T584">
        <f>IF(OR([[#This Row],[Budget prévu]]="",[[#This Row],[Budget réalisé]]=""),"",IF([[#This Row],[Écart (€)]]=0,"À l'équilibre",IF([[#This Row],[Écart (€)]]&gt;0,"Dépassement","Sous budget")))</f>
        <v>0</v>
      </c>
      <c r="W584">
        <f>[[#This Row],[Risque – Probabilité (1-5)]]*[[#This Row],[Risque – Sévérité (1-5)]]</f>
        <v>0</v>
      </c>
      <c r="AC584">
        <f>IF([[#This Row],Effort (jours)]&gt;0,[[#This Row],[Reach (pers.)]]*[[#This Row],[Impact (1-5)]]*[[#This Row],[Confidence (0-1)]]/[[#This Row],[Effort (jours)]],"")</f>
        <v>0</v>
      </c>
      <c r="AG584">
        <f>IF([[#This Row],[Fin planifiée]]&lt;&gt;"",MONTH([[#This Row],[Fin planifiée]]),"")</f>
        <v>0</v>
      </c>
      <c r="AH584">
        <f>IF([[#This Row],[Fin planifiée]]&lt;&gt;"",YEAR([[#This Row],[Fin planifiée]]),"")</f>
        <v>0</v>
      </c>
      <c r="AI5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4">
        <f>IF(AND([[#This Row],Statut]="Terminé",[[#This Row],[Fin réelle]]&lt;&gt;""),IF([[#This Row],[Fin réelle]]&lt;=[[#This Row],[Fin planifiée]],"Oui","Non"),"")</f>
        <v>0</v>
      </c>
    </row>
    <row r="585" spans="13:36" ht="20" customHeight="1">
      <c r="M585">
        <f>IF(AND([[#This Row],Début]&lt;&gt;"",[[#This Row],[Fin planifiée]]&lt;&gt;""),[[#This Row],[Fin planifiée]]-[[#This Row],Début]+1,"")</f>
        <v>0</v>
      </c>
      <c r="N585">
        <f>IF(AND([[#This Row],Début]&lt;&gt;"",[[#This Row],[Fin réelle]]&lt;&gt;""),[[#This Row],[Fin réelle]]-[[#This Row],Début]+1,"")</f>
        <v>0</v>
      </c>
      <c r="S585">
        <f>[[#This Row],[Budget réalisé]]-[[#This Row],[Budget prévu]]</f>
        <v>0</v>
      </c>
      <c r="T585">
        <f>IF(OR([[#This Row],[Budget prévu]]="",[[#This Row],[Budget réalisé]]=""),"",IF([[#This Row],[Écart (€)]]=0,"À l'équilibre",IF([[#This Row],[Écart (€)]]&gt;0,"Dépassement","Sous budget")))</f>
        <v>0</v>
      </c>
      <c r="W585">
        <f>[[#This Row],[Risque – Probabilité (1-5)]]*[[#This Row],[Risque – Sévérité (1-5)]]</f>
        <v>0</v>
      </c>
      <c r="AC585">
        <f>IF([[#This Row],Effort (jours)]&gt;0,[[#This Row],[Reach (pers.)]]*[[#This Row],[Impact (1-5)]]*[[#This Row],[Confidence (0-1)]]/[[#This Row],[Effort (jours)]],"")</f>
        <v>0</v>
      </c>
      <c r="AG585">
        <f>IF([[#This Row],[Fin planifiée]]&lt;&gt;"",MONTH([[#This Row],[Fin planifiée]]),"")</f>
        <v>0</v>
      </c>
      <c r="AH585">
        <f>IF([[#This Row],[Fin planifiée]]&lt;&gt;"",YEAR([[#This Row],[Fin planifiée]]),"")</f>
        <v>0</v>
      </c>
      <c r="AI5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5">
        <f>IF(AND([[#This Row],Statut]="Terminé",[[#This Row],[Fin réelle]]&lt;&gt;""),IF([[#This Row],[Fin réelle]]&lt;=[[#This Row],[Fin planifiée]],"Oui","Non"),"")</f>
        <v>0</v>
      </c>
    </row>
    <row r="586" spans="13:36" ht="20" customHeight="1">
      <c r="M586">
        <f>IF(AND([[#This Row],Début]&lt;&gt;"",[[#This Row],[Fin planifiée]]&lt;&gt;""),[[#This Row],[Fin planifiée]]-[[#This Row],Début]+1,"")</f>
        <v>0</v>
      </c>
      <c r="N586">
        <f>IF(AND([[#This Row],Début]&lt;&gt;"",[[#This Row],[Fin réelle]]&lt;&gt;""),[[#This Row],[Fin réelle]]-[[#This Row],Début]+1,"")</f>
        <v>0</v>
      </c>
      <c r="S586">
        <f>[[#This Row],[Budget réalisé]]-[[#This Row],[Budget prévu]]</f>
        <v>0</v>
      </c>
      <c r="T586">
        <f>IF(OR([[#This Row],[Budget prévu]]="",[[#This Row],[Budget réalisé]]=""),"",IF([[#This Row],[Écart (€)]]=0,"À l'équilibre",IF([[#This Row],[Écart (€)]]&gt;0,"Dépassement","Sous budget")))</f>
        <v>0</v>
      </c>
      <c r="W586">
        <f>[[#This Row],[Risque – Probabilité (1-5)]]*[[#This Row],[Risque – Sévérité (1-5)]]</f>
        <v>0</v>
      </c>
      <c r="AC586">
        <f>IF([[#This Row],Effort (jours)]&gt;0,[[#This Row],[Reach (pers.)]]*[[#This Row],[Impact (1-5)]]*[[#This Row],[Confidence (0-1)]]/[[#This Row],[Effort (jours)]],"")</f>
        <v>0</v>
      </c>
      <c r="AG586">
        <f>IF([[#This Row],[Fin planifiée]]&lt;&gt;"",MONTH([[#This Row],[Fin planifiée]]),"")</f>
        <v>0</v>
      </c>
      <c r="AH586">
        <f>IF([[#This Row],[Fin planifiée]]&lt;&gt;"",YEAR([[#This Row],[Fin planifiée]]),"")</f>
        <v>0</v>
      </c>
      <c r="AI5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6">
        <f>IF(AND([[#This Row],Statut]="Terminé",[[#This Row],[Fin réelle]]&lt;&gt;""),IF([[#This Row],[Fin réelle]]&lt;=[[#This Row],[Fin planifiée]],"Oui","Non"),"")</f>
        <v>0</v>
      </c>
    </row>
    <row r="587" spans="13:36" ht="20" customHeight="1">
      <c r="M587">
        <f>IF(AND([[#This Row],Début]&lt;&gt;"",[[#This Row],[Fin planifiée]]&lt;&gt;""),[[#This Row],[Fin planifiée]]-[[#This Row],Début]+1,"")</f>
        <v>0</v>
      </c>
      <c r="N587">
        <f>IF(AND([[#This Row],Début]&lt;&gt;"",[[#This Row],[Fin réelle]]&lt;&gt;""),[[#This Row],[Fin réelle]]-[[#This Row],Début]+1,"")</f>
        <v>0</v>
      </c>
      <c r="S587">
        <f>[[#This Row],[Budget réalisé]]-[[#This Row],[Budget prévu]]</f>
        <v>0</v>
      </c>
      <c r="T587">
        <f>IF(OR([[#This Row],[Budget prévu]]="",[[#This Row],[Budget réalisé]]=""),"",IF([[#This Row],[Écart (€)]]=0,"À l'équilibre",IF([[#This Row],[Écart (€)]]&gt;0,"Dépassement","Sous budget")))</f>
        <v>0</v>
      </c>
      <c r="W587">
        <f>[[#This Row],[Risque – Probabilité (1-5)]]*[[#This Row],[Risque – Sévérité (1-5)]]</f>
        <v>0</v>
      </c>
      <c r="AC587">
        <f>IF([[#This Row],Effort (jours)]&gt;0,[[#This Row],[Reach (pers.)]]*[[#This Row],[Impact (1-5)]]*[[#This Row],[Confidence (0-1)]]/[[#This Row],[Effort (jours)]],"")</f>
        <v>0</v>
      </c>
      <c r="AG587">
        <f>IF([[#This Row],[Fin planifiée]]&lt;&gt;"",MONTH([[#This Row],[Fin planifiée]]),"")</f>
        <v>0</v>
      </c>
      <c r="AH587">
        <f>IF([[#This Row],[Fin planifiée]]&lt;&gt;"",YEAR([[#This Row],[Fin planifiée]]),"")</f>
        <v>0</v>
      </c>
      <c r="AI5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7">
        <f>IF(AND([[#This Row],Statut]="Terminé",[[#This Row],[Fin réelle]]&lt;&gt;""),IF([[#This Row],[Fin réelle]]&lt;=[[#This Row],[Fin planifiée]],"Oui","Non"),"")</f>
        <v>0</v>
      </c>
    </row>
    <row r="588" spans="13:36" ht="20" customHeight="1">
      <c r="M588">
        <f>IF(AND([[#This Row],Début]&lt;&gt;"",[[#This Row],[Fin planifiée]]&lt;&gt;""),[[#This Row],[Fin planifiée]]-[[#This Row],Début]+1,"")</f>
        <v>0</v>
      </c>
      <c r="N588">
        <f>IF(AND([[#This Row],Début]&lt;&gt;"",[[#This Row],[Fin réelle]]&lt;&gt;""),[[#This Row],[Fin réelle]]-[[#This Row],Début]+1,"")</f>
        <v>0</v>
      </c>
      <c r="S588">
        <f>[[#This Row],[Budget réalisé]]-[[#This Row],[Budget prévu]]</f>
        <v>0</v>
      </c>
      <c r="T588">
        <f>IF(OR([[#This Row],[Budget prévu]]="",[[#This Row],[Budget réalisé]]=""),"",IF([[#This Row],[Écart (€)]]=0,"À l'équilibre",IF([[#This Row],[Écart (€)]]&gt;0,"Dépassement","Sous budget")))</f>
        <v>0</v>
      </c>
      <c r="W588">
        <f>[[#This Row],[Risque – Probabilité (1-5)]]*[[#This Row],[Risque – Sévérité (1-5)]]</f>
        <v>0</v>
      </c>
      <c r="AC588">
        <f>IF([[#This Row],Effort (jours)]&gt;0,[[#This Row],[Reach (pers.)]]*[[#This Row],[Impact (1-5)]]*[[#This Row],[Confidence (0-1)]]/[[#This Row],[Effort (jours)]],"")</f>
        <v>0</v>
      </c>
      <c r="AG588">
        <f>IF([[#This Row],[Fin planifiée]]&lt;&gt;"",MONTH([[#This Row],[Fin planifiée]]),"")</f>
        <v>0</v>
      </c>
      <c r="AH588">
        <f>IF([[#This Row],[Fin planifiée]]&lt;&gt;"",YEAR([[#This Row],[Fin planifiée]]),"")</f>
        <v>0</v>
      </c>
      <c r="AI5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8">
        <f>IF(AND([[#This Row],Statut]="Terminé",[[#This Row],[Fin réelle]]&lt;&gt;""),IF([[#This Row],[Fin réelle]]&lt;=[[#This Row],[Fin planifiée]],"Oui","Non"),"")</f>
        <v>0</v>
      </c>
    </row>
    <row r="589" spans="13:36" ht="20" customHeight="1">
      <c r="M589">
        <f>IF(AND([[#This Row],Début]&lt;&gt;"",[[#This Row],[Fin planifiée]]&lt;&gt;""),[[#This Row],[Fin planifiée]]-[[#This Row],Début]+1,"")</f>
        <v>0</v>
      </c>
      <c r="N589">
        <f>IF(AND([[#This Row],Début]&lt;&gt;"",[[#This Row],[Fin réelle]]&lt;&gt;""),[[#This Row],[Fin réelle]]-[[#This Row],Début]+1,"")</f>
        <v>0</v>
      </c>
      <c r="S589">
        <f>[[#This Row],[Budget réalisé]]-[[#This Row],[Budget prévu]]</f>
        <v>0</v>
      </c>
      <c r="T589">
        <f>IF(OR([[#This Row],[Budget prévu]]="",[[#This Row],[Budget réalisé]]=""),"",IF([[#This Row],[Écart (€)]]=0,"À l'équilibre",IF([[#This Row],[Écart (€)]]&gt;0,"Dépassement","Sous budget")))</f>
        <v>0</v>
      </c>
      <c r="W589">
        <f>[[#This Row],[Risque – Probabilité (1-5)]]*[[#This Row],[Risque – Sévérité (1-5)]]</f>
        <v>0</v>
      </c>
      <c r="AC589">
        <f>IF([[#This Row],Effort (jours)]&gt;0,[[#This Row],[Reach (pers.)]]*[[#This Row],[Impact (1-5)]]*[[#This Row],[Confidence (0-1)]]/[[#This Row],[Effort (jours)]],"")</f>
        <v>0</v>
      </c>
      <c r="AG589">
        <f>IF([[#This Row],[Fin planifiée]]&lt;&gt;"",MONTH([[#This Row],[Fin planifiée]]),"")</f>
        <v>0</v>
      </c>
      <c r="AH589">
        <f>IF([[#This Row],[Fin planifiée]]&lt;&gt;"",YEAR([[#This Row],[Fin planifiée]]),"")</f>
        <v>0</v>
      </c>
      <c r="AI5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89">
        <f>IF(AND([[#This Row],Statut]="Terminé",[[#This Row],[Fin réelle]]&lt;&gt;""),IF([[#This Row],[Fin réelle]]&lt;=[[#This Row],[Fin planifiée]],"Oui","Non"),"")</f>
        <v>0</v>
      </c>
    </row>
    <row r="590" spans="13:36" ht="20" customHeight="1">
      <c r="M590">
        <f>IF(AND([[#This Row],Début]&lt;&gt;"",[[#This Row],[Fin planifiée]]&lt;&gt;""),[[#This Row],[Fin planifiée]]-[[#This Row],Début]+1,"")</f>
        <v>0</v>
      </c>
      <c r="N590">
        <f>IF(AND([[#This Row],Début]&lt;&gt;"",[[#This Row],[Fin réelle]]&lt;&gt;""),[[#This Row],[Fin réelle]]-[[#This Row],Début]+1,"")</f>
        <v>0</v>
      </c>
      <c r="S590">
        <f>[[#This Row],[Budget réalisé]]-[[#This Row],[Budget prévu]]</f>
        <v>0</v>
      </c>
      <c r="T590">
        <f>IF(OR([[#This Row],[Budget prévu]]="",[[#This Row],[Budget réalisé]]=""),"",IF([[#This Row],[Écart (€)]]=0,"À l'équilibre",IF([[#This Row],[Écart (€)]]&gt;0,"Dépassement","Sous budget")))</f>
        <v>0</v>
      </c>
      <c r="W590">
        <f>[[#This Row],[Risque – Probabilité (1-5)]]*[[#This Row],[Risque – Sévérité (1-5)]]</f>
        <v>0</v>
      </c>
      <c r="AC590">
        <f>IF([[#This Row],Effort (jours)]&gt;0,[[#This Row],[Reach (pers.)]]*[[#This Row],[Impact (1-5)]]*[[#This Row],[Confidence (0-1)]]/[[#This Row],[Effort (jours)]],"")</f>
        <v>0</v>
      </c>
      <c r="AG590">
        <f>IF([[#This Row],[Fin planifiée]]&lt;&gt;"",MONTH([[#This Row],[Fin planifiée]]),"")</f>
        <v>0</v>
      </c>
      <c r="AH590">
        <f>IF([[#This Row],[Fin planifiée]]&lt;&gt;"",YEAR([[#This Row],[Fin planifiée]]),"")</f>
        <v>0</v>
      </c>
      <c r="AI5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0">
        <f>IF(AND([[#This Row],Statut]="Terminé",[[#This Row],[Fin réelle]]&lt;&gt;""),IF([[#This Row],[Fin réelle]]&lt;=[[#This Row],[Fin planifiée]],"Oui","Non"),"")</f>
        <v>0</v>
      </c>
    </row>
    <row r="591" spans="13:36" ht="20" customHeight="1">
      <c r="M591">
        <f>IF(AND([[#This Row],Début]&lt;&gt;"",[[#This Row],[Fin planifiée]]&lt;&gt;""),[[#This Row],[Fin planifiée]]-[[#This Row],Début]+1,"")</f>
        <v>0</v>
      </c>
      <c r="N591">
        <f>IF(AND([[#This Row],Début]&lt;&gt;"",[[#This Row],[Fin réelle]]&lt;&gt;""),[[#This Row],[Fin réelle]]-[[#This Row],Début]+1,"")</f>
        <v>0</v>
      </c>
      <c r="S591">
        <f>[[#This Row],[Budget réalisé]]-[[#This Row],[Budget prévu]]</f>
        <v>0</v>
      </c>
      <c r="T591">
        <f>IF(OR([[#This Row],[Budget prévu]]="",[[#This Row],[Budget réalisé]]=""),"",IF([[#This Row],[Écart (€)]]=0,"À l'équilibre",IF([[#This Row],[Écart (€)]]&gt;0,"Dépassement","Sous budget")))</f>
        <v>0</v>
      </c>
      <c r="W591">
        <f>[[#This Row],[Risque – Probabilité (1-5)]]*[[#This Row],[Risque – Sévérité (1-5)]]</f>
        <v>0</v>
      </c>
      <c r="AC591">
        <f>IF([[#This Row],Effort (jours)]&gt;0,[[#This Row],[Reach (pers.)]]*[[#This Row],[Impact (1-5)]]*[[#This Row],[Confidence (0-1)]]/[[#This Row],[Effort (jours)]],"")</f>
        <v>0</v>
      </c>
      <c r="AG591">
        <f>IF([[#This Row],[Fin planifiée]]&lt;&gt;"",MONTH([[#This Row],[Fin planifiée]]),"")</f>
        <v>0</v>
      </c>
      <c r="AH591">
        <f>IF([[#This Row],[Fin planifiée]]&lt;&gt;"",YEAR([[#This Row],[Fin planifiée]]),"")</f>
        <v>0</v>
      </c>
      <c r="AI5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1">
        <f>IF(AND([[#This Row],Statut]="Terminé",[[#This Row],[Fin réelle]]&lt;&gt;""),IF([[#This Row],[Fin réelle]]&lt;=[[#This Row],[Fin planifiée]],"Oui","Non"),"")</f>
        <v>0</v>
      </c>
    </row>
    <row r="592" spans="13:36" ht="20" customHeight="1">
      <c r="M592">
        <f>IF(AND([[#This Row],Début]&lt;&gt;"",[[#This Row],[Fin planifiée]]&lt;&gt;""),[[#This Row],[Fin planifiée]]-[[#This Row],Début]+1,"")</f>
        <v>0</v>
      </c>
      <c r="N592">
        <f>IF(AND([[#This Row],Début]&lt;&gt;"",[[#This Row],[Fin réelle]]&lt;&gt;""),[[#This Row],[Fin réelle]]-[[#This Row],Début]+1,"")</f>
        <v>0</v>
      </c>
      <c r="S592">
        <f>[[#This Row],[Budget réalisé]]-[[#This Row],[Budget prévu]]</f>
        <v>0</v>
      </c>
      <c r="T592">
        <f>IF(OR([[#This Row],[Budget prévu]]="",[[#This Row],[Budget réalisé]]=""),"",IF([[#This Row],[Écart (€)]]=0,"À l'équilibre",IF([[#This Row],[Écart (€)]]&gt;0,"Dépassement","Sous budget")))</f>
        <v>0</v>
      </c>
      <c r="W592">
        <f>[[#This Row],[Risque – Probabilité (1-5)]]*[[#This Row],[Risque – Sévérité (1-5)]]</f>
        <v>0</v>
      </c>
      <c r="AC592">
        <f>IF([[#This Row],Effort (jours)]&gt;0,[[#This Row],[Reach (pers.)]]*[[#This Row],[Impact (1-5)]]*[[#This Row],[Confidence (0-1)]]/[[#This Row],[Effort (jours)]],"")</f>
        <v>0</v>
      </c>
      <c r="AG592">
        <f>IF([[#This Row],[Fin planifiée]]&lt;&gt;"",MONTH([[#This Row],[Fin planifiée]]),"")</f>
        <v>0</v>
      </c>
      <c r="AH592">
        <f>IF([[#This Row],[Fin planifiée]]&lt;&gt;"",YEAR([[#This Row],[Fin planifiée]]),"")</f>
        <v>0</v>
      </c>
      <c r="AI5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2">
        <f>IF(AND([[#This Row],Statut]="Terminé",[[#This Row],[Fin réelle]]&lt;&gt;""),IF([[#This Row],[Fin réelle]]&lt;=[[#This Row],[Fin planifiée]],"Oui","Non"),"")</f>
        <v>0</v>
      </c>
    </row>
    <row r="593" spans="13:36" ht="20" customHeight="1">
      <c r="M593">
        <f>IF(AND([[#This Row],Début]&lt;&gt;"",[[#This Row],[Fin planifiée]]&lt;&gt;""),[[#This Row],[Fin planifiée]]-[[#This Row],Début]+1,"")</f>
        <v>0</v>
      </c>
      <c r="N593">
        <f>IF(AND([[#This Row],Début]&lt;&gt;"",[[#This Row],[Fin réelle]]&lt;&gt;""),[[#This Row],[Fin réelle]]-[[#This Row],Début]+1,"")</f>
        <v>0</v>
      </c>
      <c r="S593">
        <f>[[#This Row],[Budget réalisé]]-[[#This Row],[Budget prévu]]</f>
        <v>0</v>
      </c>
      <c r="T593">
        <f>IF(OR([[#This Row],[Budget prévu]]="",[[#This Row],[Budget réalisé]]=""),"",IF([[#This Row],[Écart (€)]]=0,"À l'équilibre",IF([[#This Row],[Écart (€)]]&gt;0,"Dépassement","Sous budget")))</f>
        <v>0</v>
      </c>
      <c r="W593">
        <f>[[#This Row],[Risque – Probabilité (1-5)]]*[[#This Row],[Risque – Sévérité (1-5)]]</f>
        <v>0</v>
      </c>
      <c r="AC593">
        <f>IF([[#This Row],Effort (jours)]&gt;0,[[#This Row],[Reach (pers.)]]*[[#This Row],[Impact (1-5)]]*[[#This Row],[Confidence (0-1)]]/[[#This Row],[Effort (jours)]],"")</f>
        <v>0</v>
      </c>
      <c r="AG593">
        <f>IF([[#This Row],[Fin planifiée]]&lt;&gt;"",MONTH([[#This Row],[Fin planifiée]]),"")</f>
        <v>0</v>
      </c>
      <c r="AH593">
        <f>IF([[#This Row],[Fin planifiée]]&lt;&gt;"",YEAR([[#This Row],[Fin planifiée]]),"")</f>
        <v>0</v>
      </c>
      <c r="AI5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3">
        <f>IF(AND([[#This Row],Statut]="Terminé",[[#This Row],[Fin réelle]]&lt;&gt;""),IF([[#This Row],[Fin réelle]]&lt;=[[#This Row],[Fin planifiée]],"Oui","Non"),"")</f>
        <v>0</v>
      </c>
    </row>
    <row r="594" spans="13:36" ht="20" customHeight="1">
      <c r="M594">
        <f>IF(AND([[#This Row],Début]&lt;&gt;"",[[#This Row],[Fin planifiée]]&lt;&gt;""),[[#This Row],[Fin planifiée]]-[[#This Row],Début]+1,"")</f>
        <v>0</v>
      </c>
      <c r="N594">
        <f>IF(AND([[#This Row],Début]&lt;&gt;"",[[#This Row],[Fin réelle]]&lt;&gt;""),[[#This Row],[Fin réelle]]-[[#This Row],Début]+1,"")</f>
        <v>0</v>
      </c>
      <c r="S594">
        <f>[[#This Row],[Budget réalisé]]-[[#This Row],[Budget prévu]]</f>
        <v>0</v>
      </c>
      <c r="T594">
        <f>IF(OR([[#This Row],[Budget prévu]]="",[[#This Row],[Budget réalisé]]=""),"",IF([[#This Row],[Écart (€)]]=0,"À l'équilibre",IF([[#This Row],[Écart (€)]]&gt;0,"Dépassement","Sous budget")))</f>
        <v>0</v>
      </c>
      <c r="W594">
        <f>[[#This Row],[Risque – Probabilité (1-5)]]*[[#This Row],[Risque – Sévérité (1-5)]]</f>
        <v>0</v>
      </c>
      <c r="AC594">
        <f>IF([[#This Row],Effort (jours)]&gt;0,[[#This Row],[Reach (pers.)]]*[[#This Row],[Impact (1-5)]]*[[#This Row],[Confidence (0-1)]]/[[#This Row],[Effort (jours)]],"")</f>
        <v>0</v>
      </c>
      <c r="AG594">
        <f>IF([[#This Row],[Fin planifiée]]&lt;&gt;"",MONTH([[#This Row],[Fin planifiée]]),"")</f>
        <v>0</v>
      </c>
      <c r="AH594">
        <f>IF([[#This Row],[Fin planifiée]]&lt;&gt;"",YEAR([[#This Row],[Fin planifiée]]),"")</f>
        <v>0</v>
      </c>
      <c r="AI5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4">
        <f>IF(AND([[#This Row],Statut]="Terminé",[[#This Row],[Fin réelle]]&lt;&gt;""),IF([[#This Row],[Fin réelle]]&lt;=[[#This Row],[Fin planifiée]],"Oui","Non"),"")</f>
        <v>0</v>
      </c>
    </row>
    <row r="595" spans="13:36" ht="20" customHeight="1">
      <c r="M595">
        <f>IF(AND([[#This Row],Début]&lt;&gt;"",[[#This Row],[Fin planifiée]]&lt;&gt;""),[[#This Row],[Fin planifiée]]-[[#This Row],Début]+1,"")</f>
        <v>0</v>
      </c>
      <c r="N595">
        <f>IF(AND([[#This Row],Début]&lt;&gt;"",[[#This Row],[Fin réelle]]&lt;&gt;""),[[#This Row],[Fin réelle]]-[[#This Row],Début]+1,"")</f>
        <v>0</v>
      </c>
      <c r="S595">
        <f>[[#This Row],[Budget réalisé]]-[[#This Row],[Budget prévu]]</f>
        <v>0</v>
      </c>
      <c r="T595">
        <f>IF(OR([[#This Row],[Budget prévu]]="",[[#This Row],[Budget réalisé]]=""),"",IF([[#This Row],[Écart (€)]]=0,"À l'équilibre",IF([[#This Row],[Écart (€)]]&gt;0,"Dépassement","Sous budget")))</f>
        <v>0</v>
      </c>
      <c r="W595">
        <f>[[#This Row],[Risque – Probabilité (1-5)]]*[[#This Row],[Risque – Sévérité (1-5)]]</f>
        <v>0</v>
      </c>
      <c r="AC595">
        <f>IF([[#This Row],Effort (jours)]&gt;0,[[#This Row],[Reach (pers.)]]*[[#This Row],[Impact (1-5)]]*[[#This Row],[Confidence (0-1)]]/[[#This Row],[Effort (jours)]],"")</f>
        <v>0</v>
      </c>
      <c r="AG595">
        <f>IF([[#This Row],[Fin planifiée]]&lt;&gt;"",MONTH([[#This Row],[Fin planifiée]]),"")</f>
        <v>0</v>
      </c>
      <c r="AH595">
        <f>IF([[#This Row],[Fin planifiée]]&lt;&gt;"",YEAR([[#This Row],[Fin planifiée]]),"")</f>
        <v>0</v>
      </c>
      <c r="AI5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5">
        <f>IF(AND([[#This Row],Statut]="Terminé",[[#This Row],[Fin réelle]]&lt;&gt;""),IF([[#This Row],[Fin réelle]]&lt;=[[#This Row],[Fin planifiée]],"Oui","Non"),"")</f>
        <v>0</v>
      </c>
    </row>
    <row r="596" spans="13:36" ht="20" customHeight="1">
      <c r="M596">
        <f>IF(AND([[#This Row],Début]&lt;&gt;"",[[#This Row],[Fin planifiée]]&lt;&gt;""),[[#This Row],[Fin planifiée]]-[[#This Row],Début]+1,"")</f>
        <v>0</v>
      </c>
      <c r="N596">
        <f>IF(AND([[#This Row],Début]&lt;&gt;"",[[#This Row],[Fin réelle]]&lt;&gt;""),[[#This Row],[Fin réelle]]-[[#This Row],Début]+1,"")</f>
        <v>0</v>
      </c>
      <c r="S596">
        <f>[[#This Row],[Budget réalisé]]-[[#This Row],[Budget prévu]]</f>
        <v>0</v>
      </c>
      <c r="T596">
        <f>IF(OR([[#This Row],[Budget prévu]]="",[[#This Row],[Budget réalisé]]=""),"",IF([[#This Row],[Écart (€)]]=0,"À l'équilibre",IF([[#This Row],[Écart (€)]]&gt;0,"Dépassement","Sous budget")))</f>
        <v>0</v>
      </c>
      <c r="W596">
        <f>[[#This Row],[Risque – Probabilité (1-5)]]*[[#This Row],[Risque – Sévérité (1-5)]]</f>
        <v>0</v>
      </c>
      <c r="AC596">
        <f>IF([[#This Row],Effort (jours)]&gt;0,[[#This Row],[Reach (pers.)]]*[[#This Row],[Impact (1-5)]]*[[#This Row],[Confidence (0-1)]]/[[#This Row],[Effort (jours)]],"")</f>
        <v>0</v>
      </c>
      <c r="AG596">
        <f>IF([[#This Row],[Fin planifiée]]&lt;&gt;"",MONTH([[#This Row],[Fin planifiée]]),"")</f>
        <v>0</v>
      </c>
      <c r="AH596">
        <f>IF([[#This Row],[Fin planifiée]]&lt;&gt;"",YEAR([[#This Row],[Fin planifiée]]),"")</f>
        <v>0</v>
      </c>
      <c r="AI5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6">
        <f>IF(AND([[#This Row],Statut]="Terminé",[[#This Row],[Fin réelle]]&lt;&gt;""),IF([[#This Row],[Fin réelle]]&lt;=[[#This Row],[Fin planifiée]],"Oui","Non"),"")</f>
        <v>0</v>
      </c>
    </row>
    <row r="597" spans="13:36" ht="20" customHeight="1">
      <c r="M597">
        <f>IF(AND([[#This Row],Début]&lt;&gt;"",[[#This Row],[Fin planifiée]]&lt;&gt;""),[[#This Row],[Fin planifiée]]-[[#This Row],Début]+1,"")</f>
        <v>0</v>
      </c>
      <c r="N597">
        <f>IF(AND([[#This Row],Début]&lt;&gt;"",[[#This Row],[Fin réelle]]&lt;&gt;""),[[#This Row],[Fin réelle]]-[[#This Row],Début]+1,"")</f>
        <v>0</v>
      </c>
      <c r="S597">
        <f>[[#This Row],[Budget réalisé]]-[[#This Row],[Budget prévu]]</f>
        <v>0</v>
      </c>
      <c r="T597">
        <f>IF(OR([[#This Row],[Budget prévu]]="",[[#This Row],[Budget réalisé]]=""),"",IF([[#This Row],[Écart (€)]]=0,"À l'équilibre",IF([[#This Row],[Écart (€)]]&gt;0,"Dépassement","Sous budget")))</f>
        <v>0</v>
      </c>
      <c r="W597">
        <f>[[#This Row],[Risque – Probabilité (1-5)]]*[[#This Row],[Risque – Sévérité (1-5)]]</f>
        <v>0</v>
      </c>
      <c r="AC597">
        <f>IF([[#This Row],Effort (jours)]&gt;0,[[#This Row],[Reach (pers.)]]*[[#This Row],[Impact (1-5)]]*[[#This Row],[Confidence (0-1)]]/[[#This Row],[Effort (jours)]],"")</f>
        <v>0</v>
      </c>
      <c r="AG597">
        <f>IF([[#This Row],[Fin planifiée]]&lt;&gt;"",MONTH([[#This Row],[Fin planifiée]]),"")</f>
        <v>0</v>
      </c>
      <c r="AH597">
        <f>IF([[#This Row],[Fin planifiée]]&lt;&gt;"",YEAR([[#This Row],[Fin planifiée]]),"")</f>
        <v>0</v>
      </c>
      <c r="AI5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7">
        <f>IF(AND([[#This Row],Statut]="Terminé",[[#This Row],[Fin réelle]]&lt;&gt;""),IF([[#This Row],[Fin réelle]]&lt;=[[#This Row],[Fin planifiée]],"Oui","Non"),"")</f>
        <v>0</v>
      </c>
    </row>
    <row r="598" spans="13:36" ht="20" customHeight="1">
      <c r="M598">
        <f>IF(AND([[#This Row],Début]&lt;&gt;"",[[#This Row],[Fin planifiée]]&lt;&gt;""),[[#This Row],[Fin planifiée]]-[[#This Row],Début]+1,"")</f>
        <v>0</v>
      </c>
      <c r="N598">
        <f>IF(AND([[#This Row],Début]&lt;&gt;"",[[#This Row],[Fin réelle]]&lt;&gt;""),[[#This Row],[Fin réelle]]-[[#This Row],Début]+1,"")</f>
        <v>0</v>
      </c>
      <c r="S598">
        <f>[[#This Row],[Budget réalisé]]-[[#This Row],[Budget prévu]]</f>
        <v>0</v>
      </c>
      <c r="T598">
        <f>IF(OR([[#This Row],[Budget prévu]]="",[[#This Row],[Budget réalisé]]=""),"",IF([[#This Row],[Écart (€)]]=0,"À l'équilibre",IF([[#This Row],[Écart (€)]]&gt;0,"Dépassement","Sous budget")))</f>
        <v>0</v>
      </c>
      <c r="W598">
        <f>[[#This Row],[Risque – Probabilité (1-5)]]*[[#This Row],[Risque – Sévérité (1-5)]]</f>
        <v>0</v>
      </c>
      <c r="AC598">
        <f>IF([[#This Row],Effort (jours)]&gt;0,[[#This Row],[Reach (pers.)]]*[[#This Row],[Impact (1-5)]]*[[#This Row],[Confidence (0-1)]]/[[#This Row],[Effort (jours)]],"")</f>
        <v>0</v>
      </c>
      <c r="AG598">
        <f>IF([[#This Row],[Fin planifiée]]&lt;&gt;"",MONTH([[#This Row],[Fin planifiée]]),"")</f>
        <v>0</v>
      </c>
      <c r="AH598">
        <f>IF([[#This Row],[Fin planifiée]]&lt;&gt;"",YEAR([[#This Row],[Fin planifiée]]),"")</f>
        <v>0</v>
      </c>
      <c r="AI5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8">
        <f>IF(AND([[#This Row],Statut]="Terminé",[[#This Row],[Fin réelle]]&lt;&gt;""),IF([[#This Row],[Fin réelle]]&lt;=[[#This Row],[Fin planifiée]],"Oui","Non"),"")</f>
        <v>0</v>
      </c>
    </row>
    <row r="599" spans="13:36" ht="20" customHeight="1">
      <c r="M599">
        <f>IF(AND([[#This Row],Début]&lt;&gt;"",[[#This Row],[Fin planifiée]]&lt;&gt;""),[[#This Row],[Fin planifiée]]-[[#This Row],Début]+1,"")</f>
        <v>0</v>
      </c>
      <c r="N599">
        <f>IF(AND([[#This Row],Début]&lt;&gt;"",[[#This Row],[Fin réelle]]&lt;&gt;""),[[#This Row],[Fin réelle]]-[[#This Row],Début]+1,"")</f>
        <v>0</v>
      </c>
      <c r="S599">
        <f>[[#This Row],[Budget réalisé]]-[[#This Row],[Budget prévu]]</f>
        <v>0</v>
      </c>
      <c r="T599">
        <f>IF(OR([[#This Row],[Budget prévu]]="",[[#This Row],[Budget réalisé]]=""),"",IF([[#This Row],[Écart (€)]]=0,"À l'équilibre",IF([[#This Row],[Écart (€)]]&gt;0,"Dépassement","Sous budget")))</f>
        <v>0</v>
      </c>
      <c r="W599">
        <f>[[#This Row],[Risque – Probabilité (1-5)]]*[[#This Row],[Risque – Sévérité (1-5)]]</f>
        <v>0</v>
      </c>
      <c r="AC599">
        <f>IF([[#This Row],Effort (jours)]&gt;0,[[#This Row],[Reach (pers.)]]*[[#This Row],[Impact (1-5)]]*[[#This Row],[Confidence (0-1)]]/[[#This Row],[Effort (jours)]],"")</f>
        <v>0</v>
      </c>
      <c r="AG599">
        <f>IF([[#This Row],[Fin planifiée]]&lt;&gt;"",MONTH([[#This Row],[Fin planifiée]]),"")</f>
        <v>0</v>
      </c>
      <c r="AH599">
        <f>IF([[#This Row],[Fin planifiée]]&lt;&gt;"",YEAR([[#This Row],[Fin planifiée]]),"")</f>
        <v>0</v>
      </c>
      <c r="AI5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599">
        <f>IF(AND([[#This Row],Statut]="Terminé",[[#This Row],[Fin réelle]]&lt;&gt;""),IF([[#This Row],[Fin réelle]]&lt;=[[#This Row],[Fin planifiée]],"Oui","Non"),"")</f>
        <v>0</v>
      </c>
    </row>
    <row r="600" spans="13:36" ht="20" customHeight="1">
      <c r="M600">
        <f>IF(AND([[#This Row],Début]&lt;&gt;"",[[#This Row],[Fin planifiée]]&lt;&gt;""),[[#This Row],[Fin planifiée]]-[[#This Row],Début]+1,"")</f>
        <v>0</v>
      </c>
      <c r="N600">
        <f>IF(AND([[#This Row],Début]&lt;&gt;"",[[#This Row],[Fin réelle]]&lt;&gt;""),[[#This Row],[Fin réelle]]-[[#This Row],Début]+1,"")</f>
        <v>0</v>
      </c>
      <c r="S600">
        <f>[[#This Row],[Budget réalisé]]-[[#This Row],[Budget prévu]]</f>
        <v>0</v>
      </c>
      <c r="T600">
        <f>IF(OR([[#This Row],[Budget prévu]]="",[[#This Row],[Budget réalisé]]=""),"",IF([[#This Row],[Écart (€)]]=0,"À l'équilibre",IF([[#This Row],[Écart (€)]]&gt;0,"Dépassement","Sous budget")))</f>
        <v>0</v>
      </c>
      <c r="W600">
        <f>[[#This Row],[Risque – Probabilité (1-5)]]*[[#This Row],[Risque – Sévérité (1-5)]]</f>
        <v>0</v>
      </c>
      <c r="AC600">
        <f>IF([[#This Row],Effort (jours)]&gt;0,[[#This Row],[Reach (pers.)]]*[[#This Row],[Impact (1-5)]]*[[#This Row],[Confidence (0-1)]]/[[#This Row],[Effort (jours)]],"")</f>
        <v>0</v>
      </c>
      <c r="AG600">
        <f>IF([[#This Row],[Fin planifiée]]&lt;&gt;"",MONTH([[#This Row],[Fin planifiée]]),"")</f>
        <v>0</v>
      </c>
      <c r="AH600">
        <f>IF([[#This Row],[Fin planifiée]]&lt;&gt;"",YEAR([[#This Row],[Fin planifiée]]),"")</f>
        <v>0</v>
      </c>
      <c r="AI6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600">
        <f>IF(AND([[#This Row],Statut]="Terminé",[[#This Row],[Fin réelle]]&lt;&gt;""),IF([[#This Row],[Fin réelle]]&lt;=[[#This Row],[Fin planifiée]],"Oui","Non"),"")</f>
        <v>0</v>
      </c>
    </row>
    <row r="601" spans="13:36" ht="20" customHeight="1">
      <c r="M601">
        <f>IF(AND([[#This Row],Début]&lt;&gt;"",[[#This Row],[Fin planifiée]]&lt;&gt;""),[[#This Row],[Fin planifiée]]-[[#This Row],Début]+1,"")</f>
        <v>0</v>
      </c>
      <c r="N601">
        <f>IF(AND([[#This Row],Début]&lt;&gt;"",[[#This Row],[Fin réelle]]&lt;&gt;""),[[#This Row],[Fin réelle]]-[[#This Row],Début]+1,"")</f>
        <v>0</v>
      </c>
      <c r="S601">
        <f>[[#This Row],[Budget réalisé]]-[[#This Row],[Budget prévu]]</f>
        <v>0</v>
      </c>
      <c r="T601">
        <f>IF(OR([[#This Row],[Budget prévu]]="",[[#This Row],[Budget réalisé]]=""),"",IF([[#This Row],[Écart (€)]]=0,"À l'équilibre",IF([[#This Row],[Écart (€)]]&gt;0,"Dépassement","Sous budget")))</f>
        <v>0</v>
      </c>
      <c r="W601">
        <f>[[#This Row],[Risque – Probabilité (1-5)]]*[[#This Row],[Risque – Sévérité (1-5)]]</f>
        <v>0</v>
      </c>
      <c r="AC601">
        <f>IF([[#This Row],Effort (jours)]&gt;0,[[#This Row],[Reach (pers.)]]*[[#This Row],[Impact (1-5)]]*[[#This Row],[Confidence (0-1)]]/[[#This Row],[Effort (jours)]],"")</f>
        <v>0</v>
      </c>
      <c r="AG601">
        <f>IF([[#This Row],[Fin planifiée]]&lt;&gt;"",MONTH([[#This Row],[Fin planifiée]]),"")</f>
        <v>0</v>
      </c>
      <c r="AH601">
        <f>IF([[#This Row],[Fin planifiée]]&lt;&gt;"",YEAR([[#This Row],[Fin planifiée]]),"")</f>
        <v>0</v>
      </c>
      <c r="AI6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AJ601">
        <f>IF(AND([[#This Row],Statut]="Terminé",[[#This Row],[Fin réelle]]&lt;&gt;""),IF([[#This Row],[Fin réelle]]&lt;=[[#This Row],[Fin planifiée]],"Oui","Non"),"")</f>
        <v>0</v>
      </c>
    </row>
  </sheetData>
  <conditionalFormatting sqref="A2:AJ601">
    <cfRule type="expression" dxfId="0" priority="1">
      <formula>$O2="À planifier"</formula>
    </cfRule>
    <cfRule type="expression" dxfId="1" priority="2">
      <formula>$O2="Planifié"</formula>
    </cfRule>
    <cfRule type="expression" dxfId="2" priority="3">
      <formula>$O2="En cours"</formula>
    </cfRule>
    <cfRule type="expression" dxfId="3" priority="4">
      <formula>$O2="Bloqué"</formula>
    </cfRule>
    <cfRule type="expression" dxfId="4" priority="5">
      <formula>$O2="Terminé"</formula>
    </cfRule>
    <cfRule type="expression" dxfId="6" priority="7">
      <formula>$AI2="En retard"</formula>
    </cfRule>
  </conditionalFormatting>
  <conditionalFormatting sqref="W2:W601">
    <cfRule type="expression" dxfId="5" priority="6">
      <formula>$W2&gt;=seuil_crit</formula>
    </cfRule>
  </conditionalFormatting>
  <dataValidations count="12000">
    <dataValidation type="list" allowBlank="1" showInputMessage="1" showErrorMessage="1" sqref="B2">
      <formula1>liste_programmes</formula1>
    </dataValidation>
    <dataValidation type="list" allowBlank="1" showInputMessage="1" showErrorMessage="1" sqref="D2">
      <formula1>liste_types</formula1>
    </dataValidation>
    <dataValidation type="list" allowBlank="1" showInputMessage="1" showErrorMessage="1" sqref="F2">
      <formula1>liste_categories</formula1>
    </dataValidation>
    <dataValidation type="list" allowBlank="1" showInputMessage="1" showErrorMessage="1" sqref="G2">
      <formula1>liste_responsables</formula1>
    </dataValidation>
    <dataValidation type="list" allowBlank="1" showInputMessage="1" showErrorMessage="1" sqref="H2">
      <formula1>liste_sites</formula1>
    </dataValidation>
    <dataValidation type="list" allowBlank="1" showInputMessage="1" showErrorMessage="1" sqref="I2">
      <formula1>liste_priorites</formula1>
    </dataValidation>
    <dataValidation type="date" operator="greaterThanOrEqual" allowBlank="1" showInputMessage="1" showErrorMessage="1" sqref="J2">
      <formula1>730120</formula1>
    </dataValidation>
    <dataValidation type="date" operator="greaterThanOrEqual" allowBlank="1" showInputMessage="1" showErrorMessage="1" sqref="K2">
      <formula1>730120</formula1>
    </dataValidation>
    <dataValidation type="date" operator="greaterThanOrEqual" allowBlank="1" showInputMessage="1" showErrorMessage="1" sqref="L2">
      <formula1>730120</formula1>
    </dataValidation>
    <dataValidation type="whole" allowBlank="1" showInputMessage="1" showErrorMessage="1" sqref="P2">
      <formula1>0</formula1>
      <formula2>100</formula2>
    </dataValidation>
    <dataValidation type="decimal" operator="greaterThanOrEqual" allowBlank="1" showInputMessage="1" showErrorMessage="1" sqref="Q2">
      <formula1>0</formula1>
    </dataValidation>
    <dataValidation type="decimal" operator="greaterThanOrEqual" allowBlank="1" showInputMessage="1" showErrorMessage="1" sqref="R2">
      <formula1>0</formula1>
    </dataValidation>
    <dataValidation type="whole" allowBlank="1" showInputMessage="1" showErrorMessage="1" sqref="U2">
      <formula1>1</formula1>
      <formula2>5</formula2>
    </dataValidation>
    <dataValidation type="whole" allowBlank="1" showInputMessage="1" showErrorMessage="1" sqref="V2">
      <formula1>1</formula1>
      <formula2>5</formula2>
    </dataValidation>
    <dataValidation type="whole" allowBlank="1" showInputMessage="1" showErrorMessage="1" sqref="X2">
      <formula1>1</formula1>
      <formula2>5</formula2>
    </dataValidation>
    <dataValidation type="decimal" operator="greaterThanOrEqual" allowBlank="1" showInputMessage="1" showErrorMessage="1" sqref="Y2">
      <formula1>0</formula1>
    </dataValidation>
    <dataValidation type="whole" operator="greaterThanOrEqual" allowBlank="1" showInputMessage="1" showErrorMessage="1" sqref="Z2">
      <formula1>0</formula1>
    </dataValidation>
    <dataValidation type="whole" allowBlank="1" showInputMessage="1" showErrorMessage="1" sqref="AA2">
      <formula1>1</formula1>
      <formula2>5</formula2>
    </dataValidation>
    <dataValidation type="decimal" allowBlank="1" showInputMessage="1" showErrorMessage="1" sqref="AB2">
      <formula1>0</formula1>
      <formula2>1</formula2>
    </dataValidation>
    <dataValidation type="list" allowBlank="1" showInputMessage="1" showErrorMessage="1" sqref="O2">
      <formula1>liste_statuts</formula1>
    </dataValidation>
    <dataValidation type="list" allowBlank="1" showInputMessage="1" showErrorMessage="1" sqref="B3">
      <formula1>liste_programmes</formula1>
    </dataValidation>
    <dataValidation type="list" allowBlank="1" showInputMessage="1" showErrorMessage="1" sqref="D3">
      <formula1>liste_types</formula1>
    </dataValidation>
    <dataValidation type="list" allowBlank="1" showInputMessage="1" showErrorMessage="1" sqref="F3">
      <formula1>liste_categories</formula1>
    </dataValidation>
    <dataValidation type="list" allowBlank="1" showInputMessage="1" showErrorMessage="1" sqref="G3">
      <formula1>liste_responsables</formula1>
    </dataValidation>
    <dataValidation type="list" allowBlank="1" showInputMessage="1" showErrorMessage="1" sqref="H3">
      <formula1>liste_sites</formula1>
    </dataValidation>
    <dataValidation type="list" allowBlank="1" showInputMessage="1" showErrorMessage="1" sqref="I3">
      <formula1>liste_priorites</formula1>
    </dataValidation>
    <dataValidation type="date" operator="greaterThanOrEqual" allowBlank="1" showInputMessage="1" showErrorMessage="1" sqref="J3">
      <formula1>730120</formula1>
    </dataValidation>
    <dataValidation type="date" operator="greaterThanOrEqual" allowBlank="1" showInputMessage="1" showErrorMessage="1" sqref="K3">
      <formula1>730120</formula1>
    </dataValidation>
    <dataValidation type="date" operator="greaterThanOrEqual" allowBlank="1" showInputMessage="1" showErrorMessage="1" sqref="L3">
      <formula1>730120</formula1>
    </dataValidation>
    <dataValidation type="whole" allowBlank="1" showInputMessage="1" showErrorMessage="1" sqref="P3">
      <formula1>0</formula1>
      <formula2>100</formula2>
    </dataValidation>
    <dataValidation type="decimal" operator="greaterThanOrEqual" allowBlank="1" showInputMessage="1" showErrorMessage="1" sqref="Q3">
      <formula1>0</formula1>
    </dataValidation>
    <dataValidation type="decimal" operator="greaterThanOrEqual" allowBlank="1" showInputMessage="1" showErrorMessage="1" sqref="R3">
      <formula1>0</formula1>
    </dataValidation>
    <dataValidation type="whole" allowBlank="1" showInputMessage="1" showErrorMessage="1" sqref="U3">
      <formula1>1</formula1>
      <formula2>5</formula2>
    </dataValidation>
    <dataValidation type="whole" allowBlank="1" showInputMessage="1" showErrorMessage="1" sqref="V3">
      <formula1>1</formula1>
      <formula2>5</formula2>
    </dataValidation>
    <dataValidation type="whole" allowBlank="1" showInputMessage="1" showErrorMessage="1" sqref="X3">
      <formula1>1</formula1>
      <formula2>5</formula2>
    </dataValidation>
    <dataValidation type="decimal" operator="greaterThanOrEqual" allowBlank="1" showInputMessage="1" showErrorMessage="1" sqref="Y3">
      <formula1>0</formula1>
    </dataValidation>
    <dataValidation type="whole" operator="greaterThanOrEqual" allowBlank="1" showInputMessage="1" showErrorMessage="1" sqref="Z3">
      <formula1>0</formula1>
    </dataValidation>
    <dataValidation type="whole" allowBlank="1" showInputMessage="1" showErrorMessage="1" sqref="AA3">
      <formula1>1</formula1>
      <formula2>5</formula2>
    </dataValidation>
    <dataValidation type="decimal" allowBlank="1" showInputMessage="1" showErrorMessage="1" sqref="AB3">
      <formula1>0</formula1>
      <formula2>1</formula2>
    </dataValidation>
    <dataValidation type="list" allowBlank="1" showInputMessage="1" showErrorMessage="1" sqref="O3">
      <formula1>liste_statuts</formula1>
    </dataValidation>
    <dataValidation type="list" allowBlank="1" showInputMessage="1" showErrorMessage="1" sqref="B4">
      <formula1>liste_programmes</formula1>
    </dataValidation>
    <dataValidation type="list" allowBlank="1" showInputMessage="1" showErrorMessage="1" sqref="D4">
      <formula1>liste_types</formula1>
    </dataValidation>
    <dataValidation type="list" allowBlank="1" showInputMessage="1" showErrorMessage="1" sqref="F4">
      <formula1>liste_categories</formula1>
    </dataValidation>
    <dataValidation type="list" allowBlank="1" showInputMessage="1" showErrorMessage="1" sqref="G4">
      <formula1>liste_responsables</formula1>
    </dataValidation>
    <dataValidation type="list" allowBlank="1" showInputMessage="1" showErrorMessage="1" sqref="H4">
      <formula1>liste_sites</formula1>
    </dataValidation>
    <dataValidation type="list" allowBlank="1" showInputMessage="1" showErrorMessage="1" sqref="I4">
      <formula1>liste_priorites</formula1>
    </dataValidation>
    <dataValidation type="date" operator="greaterThanOrEqual" allowBlank="1" showInputMessage="1" showErrorMessage="1" sqref="J4">
      <formula1>730120</formula1>
    </dataValidation>
    <dataValidation type="date" operator="greaterThanOrEqual" allowBlank="1" showInputMessage="1" showErrorMessage="1" sqref="K4">
      <formula1>730120</formula1>
    </dataValidation>
    <dataValidation type="date" operator="greaterThanOrEqual" allowBlank="1" showInputMessage="1" showErrorMessage="1" sqref="L4">
      <formula1>730120</formula1>
    </dataValidation>
    <dataValidation type="whole" allowBlank="1" showInputMessage="1" showErrorMessage="1" sqref="P4">
      <formula1>0</formula1>
      <formula2>100</formula2>
    </dataValidation>
    <dataValidation type="decimal" operator="greaterThanOrEqual" allowBlank="1" showInputMessage="1" showErrorMessage="1" sqref="Q4">
      <formula1>0</formula1>
    </dataValidation>
    <dataValidation type="decimal" operator="greaterThanOrEqual" allowBlank="1" showInputMessage="1" showErrorMessage="1" sqref="R4">
      <formula1>0</formula1>
    </dataValidation>
    <dataValidation type="whole" allowBlank="1" showInputMessage="1" showErrorMessage="1" sqref="U4">
      <formula1>1</formula1>
      <formula2>5</formula2>
    </dataValidation>
    <dataValidation type="whole" allowBlank="1" showInputMessage="1" showErrorMessage="1" sqref="V4">
      <formula1>1</formula1>
      <formula2>5</formula2>
    </dataValidation>
    <dataValidation type="whole" allowBlank="1" showInputMessage="1" showErrorMessage="1" sqref="X4">
      <formula1>1</formula1>
      <formula2>5</formula2>
    </dataValidation>
    <dataValidation type="decimal" operator="greaterThanOrEqual" allowBlank="1" showInputMessage="1" showErrorMessage="1" sqref="Y4">
      <formula1>0</formula1>
    </dataValidation>
    <dataValidation type="whole" operator="greaterThanOrEqual" allowBlank="1" showInputMessage="1" showErrorMessage="1" sqref="Z4">
      <formula1>0</formula1>
    </dataValidation>
    <dataValidation type="whole" allowBlank="1" showInputMessage="1" showErrorMessage="1" sqref="AA4">
      <formula1>1</formula1>
      <formula2>5</formula2>
    </dataValidation>
    <dataValidation type="decimal" allowBlank="1" showInputMessage="1" showErrorMessage="1" sqref="AB4">
      <formula1>0</formula1>
      <formula2>1</formula2>
    </dataValidation>
    <dataValidation type="list" allowBlank="1" showInputMessage="1" showErrorMessage="1" sqref="O4">
      <formula1>liste_statuts</formula1>
    </dataValidation>
    <dataValidation type="list" allowBlank="1" showInputMessage="1" showErrorMessage="1" sqref="B5">
      <formula1>liste_programmes</formula1>
    </dataValidation>
    <dataValidation type="list" allowBlank="1" showInputMessage="1" showErrorMessage="1" sqref="D5">
      <formula1>liste_types</formula1>
    </dataValidation>
    <dataValidation type="list" allowBlank="1" showInputMessage="1" showErrorMessage="1" sqref="F5">
      <formula1>liste_categories</formula1>
    </dataValidation>
    <dataValidation type="list" allowBlank="1" showInputMessage="1" showErrorMessage="1" sqref="G5">
      <formula1>liste_responsables</formula1>
    </dataValidation>
    <dataValidation type="list" allowBlank="1" showInputMessage="1" showErrorMessage="1" sqref="H5">
      <formula1>liste_sites</formula1>
    </dataValidation>
    <dataValidation type="list" allowBlank="1" showInputMessage="1" showErrorMessage="1" sqref="I5">
      <formula1>liste_priorites</formula1>
    </dataValidation>
    <dataValidation type="date" operator="greaterThanOrEqual" allowBlank="1" showInputMessage="1" showErrorMessage="1" sqref="J5">
      <formula1>730120</formula1>
    </dataValidation>
    <dataValidation type="date" operator="greaterThanOrEqual" allowBlank="1" showInputMessage="1" showErrorMessage="1" sqref="K5">
      <formula1>730120</formula1>
    </dataValidation>
    <dataValidation type="date" operator="greaterThanOrEqual" allowBlank="1" showInputMessage="1" showErrorMessage="1" sqref="L5">
      <formula1>730120</formula1>
    </dataValidation>
    <dataValidation type="whole" allowBlank="1" showInputMessage="1" showErrorMessage="1" sqref="P5">
      <formula1>0</formula1>
      <formula2>100</formula2>
    </dataValidation>
    <dataValidation type="decimal" operator="greaterThanOrEqual" allowBlank="1" showInputMessage="1" showErrorMessage="1" sqref="Q5">
      <formula1>0</formula1>
    </dataValidation>
    <dataValidation type="decimal" operator="greaterThanOrEqual" allowBlank="1" showInputMessage="1" showErrorMessage="1" sqref="R5">
      <formula1>0</formula1>
    </dataValidation>
    <dataValidation type="whole" allowBlank="1" showInputMessage="1" showErrorMessage="1" sqref="U5">
      <formula1>1</formula1>
      <formula2>5</formula2>
    </dataValidation>
    <dataValidation type="whole" allowBlank="1" showInputMessage="1" showErrorMessage="1" sqref="V5">
      <formula1>1</formula1>
      <formula2>5</formula2>
    </dataValidation>
    <dataValidation type="whole" allowBlank="1" showInputMessage="1" showErrorMessage="1" sqref="X5">
      <formula1>1</formula1>
      <formula2>5</formula2>
    </dataValidation>
    <dataValidation type="decimal" operator="greaterThanOrEqual" allowBlank="1" showInputMessage="1" showErrorMessage="1" sqref="Y5">
      <formula1>0</formula1>
    </dataValidation>
    <dataValidation type="whole" operator="greaterThanOrEqual" allowBlank="1" showInputMessage="1" showErrorMessage="1" sqref="Z5">
      <formula1>0</formula1>
    </dataValidation>
    <dataValidation type="whole" allowBlank="1" showInputMessage="1" showErrorMessage="1" sqref="AA5">
      <formula1>1</formula1>
      <formula2>5</formula2>
    </dataValidation>
    <dataValidation type="decimal" allowBlank="1" showInputMessage="1" showErrorMessage="1" sqref="AB5">
      <formula1>0</formula1>
      <formula2>1</formula2>
    </dataValidation>
    <dataValidation type="list" allowBlank="1" showInputMessage="1" showErrorMessage="1" sqref="O5">
      <formula1>liste_statuts</formula1>
    </dataValidation>
    <dataValidation type="list" allowBlank="1" showInputMessage="1" showErrorMessage="1" sqref="B6">
      <formula1>liste_programmes</formula1>
    </dataValidation>
    <dataValidation type="list" allowBlank="1" showInputMessage="1" showErrorMessage="1" sqref="D6">
      <formula1>liste_types</formula1>
    </dataValidation>
    <dataValidation type="list" allowBlank="1" showInputMessage="1" showErrorMessage="1" sqref="F6">
      <formula1>liste_categories</formula1>
    </dataValidation>
    <dataValidation type="list" allowBlank="1" showInputMessage="1" showErrorMessage="1" sqref="G6">
      <formula1>liste_responsables</formula1>
    </dataValidation>
    <dataValidation type="list" allowBlank="1" showInputMessage="1" showErrorMessage="1" sqref="H6">
      <formula1>liste_sites</formula1>
    </dataValidation>
    <dataValidation type="list" allowBlank="1" showInputMessage="1" showErrorMessage="1" sqref="I6">
      <formula1>liste_priorites</formula1>
    </dataValidation>
    <dataValidation type="date" operator="greaterThanOrEqual" allowBlank="1" showInputMessage="1" showErrorMessage="1" sqref="J6">
      <formula1>730120</formula1>
    </dataValidation>
    <dataValidation type="date" operator="greaterThanOrEqual" allowBlank="1" showInputMessage="1" showErrorMessage="1" sqref="K6">
      <formula1>730120</formula1>
    </dataValidation>
    <dataValidation type="date" operator="greaterThanOrEqual" allowBlank="1" showInputMessage="1" showErrorMessage="1" sqref="L6">
      <formula1>730120</formula1>
    </dataValidation>
    <dataValidation type="whole" allowBlank="1" showInputMessage="1" showErrorMessage="1" sqref="P6">
      <formula1>0</formula1>
      <formula2>100</formula2>
    </dataValidation>
    <dataValidation type="decimal" operator="greaterThanOrEqual" allowBlank="1" showInputMessage="1" showErrorMessage="1" sqref="Q6">
      <formula1>0</formula1>
    </dataValidation>
    <dataValidation type="decimal" operator="greaterThanOrEqual" allowBlank="1" showInputMessage="1" showErrorMessage="1" sqref="R6">
      <formula1>0</formula1>
    </dataValidation>
    <dataValidation type="whole" allowBlank="1" showInputMessage="1" showErrorMessage="1" sqref="U6">
      <formula1>1</formula1>
      <formula2>5</formula2>
    </dataValidation>
    <dataValidation type="whole" allowBlank="1" showInputMessage="1" showErrorMessage="1" sqref="V6">
      <formula1>1</formula1>
      <formula2>5</formula2>
    </dataValidation>
    <dataValidation type="whole" allowBlank="1" showInputMessage="1" showErrorMessage="1" sqref="X6">
      <formula1>1</formula1>
      <formula2>5</formula2>
    </dataValidation>
    <dataValidation type="decimal" operator="greaterThanOrEqual" allowBlank="1" showInputMessage="1" showErrorMessage="1" sqref="Y6">
      <formula1>0</formula1>
    </dataValidation>
    <dataValidation type="whole" operator="greaterThanOrEqual" allowBlank="1" showInputMessage="1" showErrorMessage="1" sqref="Z6">
      <formula1>0</formula1>
    </dataValidation>
    <dataValidation type="whole" allowBlank="1" showInputMessage="1" showErrorMessage="1" sqref="AA6">
      <formula1>1</formula1>
      <formula2>5</formula2>
    </dataValidation>
    <dataValidation type="decimal" allowBlank="1" showInputMessage="1" showErrorMessage="1" sqref="AB6">
      <formula1>0</formula1>
      <formula2>1</formula2>
    </dataValidation>
    <dataValidation type="list" allowBlank="1" showInputMessage="1" showErrorMessage="1" sqref="O6">
      <formula1>liste_statuts</formula1>
    </dataValidation>
    <dataValidation type="list" allowBlank="1" showInputMessage="1" showErrorMessage="1" sqref="B7">
      <formula1>liste_programmes</formula1>
    </dataValidation>
    <dataValidation type="list" allowBlank="1" showInputMessage="1" showErrorMessage="1" sqref="D7">
      <formula1>liste_types</formula1>
    </dataValidation>
    <dataValidation type="list" allowBlank="1" showInputMessage="1" showErrorMessage="1" sqref="F7">
      <formula1>liste_categories</formula1>
    </dataValidation>
    <dataValidation type="list" allowBlank="1" showInputMessage="1" showErrorMessage="1" sqref="G7">
      <formula1>liste_responsables</formula1>
    </dataValidation>
    <dataValidation type="list" allowBlank="1" showInputMessage="1" showErrorMessage="1" sqref="H7">
      <formula1>liste_sites</formula1>
    </dataValidation>
    <dataValidation type="list" allowBlank="1" showInputMessage="1" showErrorMessage="1" sqref="I7">
      <formula1>liste_priorites</formula1>
    </dataValidation>
    <dataValidation type="date" operator="greaterThanOrEqual" allowBlank="1" showInputMessage="1" showErrorMessage="1" sqref="J7">
      <formula1>730120</formula1>
    </dataValidation>
    <dataValidation type="date" operator="greaterThanOrEqual" allowBlank="1" showInputMessage="1" showErrorMessage="1" sqref="K7">
      <formula1>730120</formula1>
    </dataValidation>
    <dataValidation type="date" operator="greaterThanOrEqual" allowBlank="1" showInputMessage="1" showErrorMessage="1" sqref="L7">
      <formula1>730120</formula1>
    </dataValidation>
    <dataValidation type="whole" allowBlank="1" showInputMessage="1" showErrorMessage="1" sqref="P7">
      <formula1>0</formula1>
      <formula2>100</formula2>
    </dataValidation>
    <dataValidation type="decimal" operator="greaterThanOrEqual" allowBlank="1" showInputMessage="1" showErrorMessage="1" sqref="Q7">
      <formula1>0</formula1>
    </dataValidation>
    <dataValidation type="decimal" operator="greaterThanOrEqual" allowBlank="1" showInputMessage="1" showErrorMessage="1" sqref="R7">
      <formula1>0</formula1>
    </dataValidation>
    <dataValidation type="whole" allowBlank="1" showInputMessage="1" showErrorMessage="1" sqref="U7">
      <formula1>1</formula1>
      <formula2>5</formula2>
    </dataValidation>
    <dataValidation type="whole" allowBlank="1" showInputMessage="1" showErrorMessage="1" sqref="V7">
      <formula1>1</formula1>
      <formula2>5</formula2>
    </dataValidation>
    <dataValidation type="whole" allowBlank="1" showInputMessage="1" showErrorMessage="1" sqref="X7">
      <formula1>1</formula1>
      <formula2>5</formula2>
    </dataValidation>
    <dataValidation type="decimal" operator="greaterThanOrEqual" allowBlank="1" showInputMessage="1" showErrorMessage="1" sqref="Y7">
      <formula1>0</formula1>
    </dataValidation>
    <dataValidation type="whole" operator="greaterThanOrEqual" allowBlank="1" showInputMessage="1" showErrorMessage="1" sqref="Z7">
      <formula1>0</formula1>
    </dataValidation>
    <dataValidation type="whole" allowBlank="1" showInputMessage="1" showErrorMessage="1" sqref="AA7">
      <formula1>1</formula1>
      <formula2>5</formula2>
    </dataValidation>
    <dataValidation type="decimal" allowBlank="1" showInputMessage="1" showErrorMessage="1" sqref="AB7">
      <formula1>0</formula1>
      <formula2>1</formula2>
    </dataValidation>
    <dataValidation type="list" allowBlank="1" showInputMessage="1" showErrorMessage="1" sqref="O7">
      <formula1>liste_statuts</formula1>
    </dataValidation>
    <dataValidation type="list" allowBlank="1" showInputMessage="1" showErrorMessage="1" sqref="B8">
      <formula1>liste_programmes</formula1>
    </dataValidation>
    <dataValidation type="list" allowBlank="1" showInputMessage="1" showErrorMessage="1" sqref="D8">
      <formula1>liste_types</formula1>
    </dataValidation>
    <dataValidation type="list" allowBlank="1" showInputMessage="1" showErrorMessage="1" sqref="F8">
      <formula1>liste_categories</formula1>
    </dataValidation>
    <dataValidation type="list" allowBlank="1" showInputMessage="1" showErrorMessage="1" sqref="G8">
      <formula1>liste_responsables</formula1>
    </dataValidation>
    <dataValidation type="list" allowBlank="1" showInputMessage="1" showErrorMessage="1" sqref="H8">
      <formula1>liste_sites</formula1>
    </dataValidation>
    <dataValidation type="list" allowBlank="1" showInputMessage="1" showErrorMessage="1" sqref="I8">
      <formula1>liste_priorites</formula1>
    </dataValidation>
    <dataValidation type="date" operator="greaterThanOrEqual" allowBlank="1" showInputMessage="1" showErrorMessage="1" sqref="J8">
      <formula1>730120</formula1>
    </dataValidation>
    <dataValidation type="date" operator="greaterThanOrEqual" allowBlank="1" showInputMessage="1" showErrorMessage="1" sqref="K8">
      <formula1>730120</formula1>
    </dataValidation>
    <dataValidation type="date" operator="greaterThanOrEqual" allowBlank="1" showInputMessage="1" showErrorMessage="1" sqref="L8">
      <formula1>730120</formula1>
    </dataValidation>
    <dataValidation type="whole" allowBlank="1" showInputMessage="1" showErrorMessage="1" sqref="P8">
      <formula1>0</formula1>
      <formula2>100</formula2>
    </dataValidation>
    <dataValidation type="decimal" operator="greaterThanOrEqual" allowBlank="1" showInputMessage="1" showErrorMessage="1" sqref="Q8">
      <formula1>0</formula1>
    </dataValidation>
    <dataValidation type="decimal" operator="greaterThanOrEqual" allowBlank="1" showInputMessage="1" showErrorMessage="1" sqref="R8">
      <formula1>0</formula1>
    </dataValidation>
    <dataValidation type="whole" allowBlank="1" showInputMessage="1" showErrorMessage="1" sqref="U8">
      <formula1>1</formula1>
      <formula2>5</formula2>
    </dataValidation>
    <dataValidation type="whole" allowBlank="1" showInputMessage="1" showErrorMessage="1" sqref="V8">
      <formula1>1</formula1>
      <formula2>5</formula2>
    </dataValidation>
    <dataValidation type="whole" allowBlank="1" showInputMessage="1" showErrorMessage="1" sqref="X8">
      <formula1>1</formula1>
      <formula2>5</formula2>
    </dataValidation>
    <dataValidation type="decimal" operator="greaterThanOrEqual" allowBlank="1" showInputMessage="1" showErrorMessage="1" sqref="Y8">
      <formula1>0</formula1>
    </dataValidation>
    <dataValidation type="whole" operator="greaterThanOrEqual" allowBlank="1" showInputMessage="1" showErrorMessage="1" sqref="Z8">
      <formula1>0</formula1>
    </dataValidation>
    <dataValidation type="whole" allowBlank="1" showInputMessage="1" showErrorMessage="1" sqref="AA8">
      <formula1>1</formula1>
      <formula2>5</formula2>
    </dataValidation>
    <dataValidation type="decimal" allowBlank="1" showInputMessage="1" showErrorMessage="1" sqref="AB8">
      <formula1>0</formula1>
      <formula2>1</formula2>
    </dataValidation>
    <dataValidation type="list" allowBlank="1" showInputMessage="1" showErrorMessage="1" sqref="O8">
      <formula1>liste_statuts</formula1>
    </dataValidation>
    <dataValidation type="list" allowBlank="1" showInputMessage="1" showErrorMessage="1" sqref="B9">
      <formula1>liste_programmes</formula1>
    </dataValidation>
    <dataValidation type="list" allowBlank="1" showInputMessage="1" showErrorMessage="1" sqref="D9">
      <formula1>liste_types</formula1>
    </dataValidation>
    <dataValidation type="list" allowBlank="1" showInputMessage="1" showErrorMessage="1" sqref="F9">
      <formula1>liste_categories</formula1>
    </dataValidation>
    <dataValidation type="list" allowBlank="1" showInputMessage="1" showErrorMessage="1" sqref="G9">
      <formula1>liste_responsables</formula1>
    </dataValidation>
    <dataValidation type="list" allowBlank="1" showInputMessage="1" showErrorMessage="1" sqref="H9">
      <formula1>liste_sites</formula1>
    </dataValidation>
    <dataValidation type="list" allowBlank="1" showInputMessage="1" showErrorMessage="1" sqref="I9">
      <formula1>liste_priorites</formula1>
    </dataValidation>
    <dataValidation type="date" operator="greaterThanOrEqual" allowBlank="1" showInputMessage="1" showErrorMessage="1" sqref="J9">
      <formula1>730120</formula1>
    </dataValidation>
    <dataValidation type="date" operator="greaterThanOrEqual" allowBlank="1" showInputMessage="1" showErrorMessage="1" sqref="K9">
      <formula1>730120</formula1>
    </dataValidation>
    <dataValidation type="date" operator="greaterThanOrEqual" allowBlank="1" showInputMessage="1" showErrorMessage="1" sqref="L9">
      <formula1>730120</formula1>
    </dataValidation>
    <dataValidation type="whole" allowBlank="1" showInputMessage="1" showErrorMessage="1" sqref="P9">
      <formula1>0</formula1>
      <formula2>100</formula2>
    </dataValidation>
    <dataValidation type="decimal" operator="greaterThanOrEqual" allowBlank="1" showInputMessage="1" showErrorMessage="1" sqref="Q9">
      <formula1>0</formula1>
    </dataValidation>
    <dataValidation type="decimal" operator="greaterThanOrEqual" allowBlank="1" showInputMessage="1" showErrorMessage="1" sqref="R9">
      <formula1>0</formula1>
    </dataValidation>
    <dataValidation type="whole" allowBlank="1" showInputMessage="1" showErrorMessage="1" sqref="U9">
      <formula1>1</formula1>
      <formula2>5</formula2>
    </dataValidation>
    <dataValidation type="whole" allowBlank="1" showInputMessage="1" showErrorMessage="1" sqref="V9">
      <formula1>1</formula1>
      <formula2>5</formula2>
    </dataValidation>
    <dataValidation type="whole" allowBlank="1" showInputMessage="1" showErrorMessage="1" sqref="X9">
      <formula1>1</formula1>
      <formula2>5</formula2>
    </dataValidation>
    <dataValidation type="decimal" operator="greaterThanOrEqual" allowBlank="1" showInputMessage="1" showErrorMessage="1" sqref="Y9">
      <formula1>0</formula1>
    </dataValidation>
    <dataValidation type="whole" operator="greaterThanOrEqual" allowBlank="1" showInputMessage="1" showErrorMessage="1" sqref="Z9">
      <formula1>0</formula1>
    </dataValidation>
    <dataValidation type="whole" allowBlank="1" showInputMessage="1" showErrorMessage="1" sqref="AA9">
      <formula1>1</formula1>
      <formula2>5</formula2>
    </dataValidation>
    <dataValidation type="decimal" allowBlank="1" showInputMessage="1" showErrorMessage="1" sqref="AB9">
      <formula1>0</formula1>
      <formula2>1</formula2>
    </dataValidation>
    <dataValidation type="list" allowBlank="1" showInputMessage="1" showErrorMessage="1" sqref="O9">
      <formula1>liste_statuts</formula1>
    </dataValidation>
    <dataValidation type="list" allowBlank="1" showInputMessage="1" showErrorMessage="1" sqref="B10">
      <formula1>liste_programmes</formula1>
    </dataValidation>
    <dataValidation type="list" allowBlank="1" showInputMessage="1" showErrorMessage="1" sqref="D10">
      <formula1>liste_types</formula1>
    </dataValidation>
    <dataValidation type="list" allowBlank="1" showInputMessage="1" showErrorMessage="1" sqref="F10">
      <formula1>liste_categories</formula1>
    </dataValidation>
    <dataValidation type="list" allowBlank="1" showInputMessage="1" showErrorMessage="1" sqref="G10">
      <formula1>liste_responsables</formula1>
    </dataValidation>
    <dataValidation type="list" allowBlank="1" showInputMessage="1" showErrorMessage="1" sqref="H10">
      <formula1>liste_sites</formula1>
    </dataValidation>
    <dataValidation type="list" allowBlank="1" showInputMessage="1" showErrorMessage="1" sqref="I10">
      <formula1>liste_priorites</formula1>
    </dataValidation>
    <dataValidation type="date" operator="greaterThanOrEqual" allowBlank="1" showInputMessage="1" showErrorMessage="1" sqref="J10">
      <formula1>730120</formula1>
    </dataValidation>
    <dataValidation type="date" operator="greaterThanOrEqual" allowBlank="1" showInputMessage="1" showErrorMessage="1" sqref="K10">
      <formula1>730120</formula1>
    </dataValidation>
    <dataValidation type="date" operator="greaterThanOrEqual" allowBlank="1" showInputMessage="1" showErrorMessage="1" sqref="L10">
      <formula1>730120</formula1>
    </dataValidation>
    <dataValidation type="whole" allowBlank="1" showInputMessage="1" showErrorMessage="1" sqref="P10">
      <formula1>0</formula1>
      <formula2>100</formula2>
    </dataValidation>
    <dataValidation type="decimal" operator="greaterThanOrEqual" allowBlank="1" showInputMessage="1" showErrorMessage="1" sqref="Q10">
      <formula1>0</formula1>
    </dataValidation>
    <dataValidation type="decimal" operator="greaterThanOrEqual" allowBlank="1" showInputMessage="1" showErrorMessage="1" sqref="R10">
      <formula1>0</formula1>
    </dataValidation>
    <dataValidation type="whole" allowBlank="1" showInputMessage="1" showErrorMessage="1" sqref="U10">
      <formula1>1</formula1>
      <formula2>5</formula2>
    </dataValidation>
    <dataValidation type="whole" allowBlank="1" showInputMessage="1" showErrorMessage="1" sqref="V10">
      <formula1>1</formula1>
      <formula2>5</formula2>
    </dataValidation>
    <dataValidation type="whole" allowBlank="1" showInputMessage="1" showErrorMessage="1" sqref="X10">
      <formula1>1</formula1>
      <formula2>5</formula2>
    </dataValidation>
    <dataValidation type="decimal" operator="greaterThanOrEqual" allowBlank="1" showInputMessage="1" showErrorMessage="1" sqref="Y10">
      <formula1>0</formula1>
    </dataValidation>
    <dataValidation type="whole" operator="greaterThanOrEqual" allowBlank="1" showInputMessage="1" showErrorMessage="1" sqref="Z10">
      <formula1>0</formula1>
    </dataValidation>
    <dataValidation type="whole" allowBlank="1" showInputMessage="1" showErrorMessage="1" sqref="AA10">
      <formula1>1</formula1>
      <formula2>5</formula2>
    </dataValidation>
    <dataValidation type="decimal" allowBlank="1" showInputMessage="1" showErrorMessage="1" sqref="AB10">
      <formula1>0</formula1>
      <formula2>1</formula2>
    </dataValidation>
    <dataValidation type="list" allowBlank="1" showInputMessage="1" showErrorMessage="1" sqref="O10">
      <formula1>liste_statuts</formula1>
    </dataValidation>
    <dataValidation type="list" allowBlank="1" showInputMessage="1" showErrorMessage="1" sqref="B11">
      <formula1>liste_programmes</formula1>
    </dataValidation>
    <dataValidation type="list" allowBlank="1" showInputMessage="1" showErrorMessage="1" sqref="D11">
      <formula1>liste_types</formula1>
    </dataValidation>
    <dataValidation type="list" allowBlank="1" showInputMessage="1" showErrorMessage="1" sqref="F11">
      <formula1>liste_categories</formula1>
    </dataValidation>
    <dataValidation type="list" allowBlank="1" showInputMessage="1" showErrorMessage="1" sqref="G11">
      <formula1>liste_responsables</formula1>
    </dataValidation>
    <dataValidation type="list" allowBlank="1" showInputMessage="1" showErrorMessage="1" sqref="H11">
      <formula1>liste_sites</formula1>
    </dataValidation>
    <dataValidation type="list" allowBlank="1" showInputMessage="1" showErrorMessage="1" sqref="I11">
      <formula1>liste_priorites</formula1>
    </dataValidation>
    <dataValidation type="date" operator="greaterThanOrEqual" allowBlank="1" showInputMessage="1" showErrorMessage="1" sqref="J11">
      <formula1>730120</formula1>
    </dataValidation>
    <dataValidation type="date" operator="greaterThanOrEqual" allowBlank="1" showInputMessage="1" showErrorMessage="1" sqref="K11">
      <formula1>730120</formula1>
    </dataValidation>
    <dataValidation type="date" operator="greaterThanOrEqual" allowBlank="1" showInputMessage="1" showErrorMessage="1" sqref="L11">
      <formula1>730120</formula1>
    </dataValidation>
    <dataValidation type="whole" allowBlank="1" showInputMessage="1" showErrorMessage="1" sqref="P11">
      <formula1>0</formula1>
      <formula2>100</formula2>
    </dataValidation>
    <dataValidation type="decimal" operator="greaterThanOrEqual" allowBlank="1" showInputMessage="1" showErrorMessage="1" sqref="Q11">
      <formula1>0</formula1>
    </dataValidation>
    <dataValidation type="decimal" operator="greaterThanOrEqual" allowBlank="1" showInputMessage="1" showErrorMessage="1" sqref="R11">
      <formula1>0</formula1>
    </dataValidation>
    <dataValidation type="whole" allowBlank="1" showInputMessage="1" showErrorMessage="1" sqref="U11">
      <formula1>1</formula1>
      <formula2>5</formula2>
    </dataValidation>
    <dataValidation type="whole" allowBlank="1" showInputMessage="1" showErrorMessage="1" sqref="V11">
      <formula1>1</formula1>
      <formula2>5</formula2>
    </dataValidation>
    <dataValidation type="whole" allowBlank="1" showInputMessage="1" showErrorMessage="1" sqref="X11">
      <formula1>1</formula1>
      <formula2>5</formula2>
    </dataValidation>
    <dataValidation type="decimal" operator="greaterThanOrEqual" allowBlank="1" showInputMessage="1" showErrorMessage="1" sqref="Y11">
      <formula1>0</formula1>
    </dataValidation>
    <dataValidation type="whole" operator="greaterThanOrEqual" allowBlank="1" showInputMessage="1" showErrorMessage="1" sqref="Z11">
      <formula1>0</formula1>
    </dataValidation>
    <dataValidation type="whole" allowBlank="1" showInputMessage="1" showErrorMessage="1" sqref="AA11">
      <formula1>1</formula1>
      <formula2>5</formula2>
    </dataValidation>
    <dataValidation type="decimal" allowBlank="1" showInputMessage="1" showErrorMessage="1" sqref="AB11">
      <formula1>0</formula1>
      <formula2>1</formula2>
    </dataValidation>
    <dataValidation type="list" allowBlank="1" showInputMessage="1" showErrorMessage="1" sqref="O11">
      <formula1>liste_statuts</formula1>
    </dataValidation>
    <dataValidation type="list" allowBlank="1" showInputMessage="1" showErrorMessage="1" sqref="B12">
      <formula1>liste_programmes</formula1>
    </dataValidation>
    <dataValidation type="list" allowBlank="1" showInputMessage="1" showErrorMessage="1" sqref="D12">
      <formula1>liste_types</formula1>
    </dataValidation>
    <dataValidation type="list" allowBlank="1" showInputMessage="1" showErrorMessage="1" sqref="F12">
      <formula1>liste_categories</formula1>
    </dataValidation>
    <dataValidation type="list" allowBlank="1" showInputMessage="1" showErrorMessage="1" sqref="G12">
      <formula1>liste_responsables</formula1>
    </dataValidation>
    <dataValidation type="list" allowBlank="1" showInputMessage="1" showErrorMessage="1" sqref="H12">
      <formula1>liste_sites</formula1>
    </dataValidation>
    <dataValidation type="list" allowBlank="1" showInputMessage="1" showErrorMessage="1" sqref="I12">
      <formula1>liste_priorites</formula1>
    </dataValidation>
    <dataValidation type="date" operator="greaterThanOrEqual" allowBlank="1" showInputMessage="1" showErrorMessage="1" sqref="J12">
      <formula1>730120</formula1>
    </dataValidation>
    <dataValidation type="date" operator="greaterThanOrEqual" allowBlank="1" showInputMessage="1" showErrorMessage="1" sqref="K12">
      <formula1>730120</formula1>
    </dataValidation>
    <dataValidation type="date" operator="greaterThanOrEqual" allowBlank="1" showInputMessage="1" showErrorMessage="1" sqref="L12">
      <formula1>730120</formula1>
    </dataValidation>
    <dataValidation type="whole" allowBlank="1" showInputMessage="1" showErrorMessage="1" sqref="P12">
      <formula1>0</formula1>
      <formula2>100</formula2>
    </dataValidation>
    <dataValidation type="decimal" operator="greaterThanOrEqual" allowBlank="1" showInputMessage="1" showErrorMessage="1" sqref="Q12">
      <formula1>0</formula1>
    </dataValidation>
    <dataValidation type="decimal" operator="greaterThanOrEqual" allowBlank="1" showInputMessage="1" showErrorMessage="1" sqref="R12">
      <formula1>0</formula1>
    </dataValidation>
    <dataValidation type="whole" allowBlank="1" showInputMessage="1" showErrorMessage="1" sqref="U12">
      <formula1>1</formula1>
      <formula2>5</formula2>
    </dataValidation>
    <dataValidation type="whole" allowBlank="1" showInputMessage="1" showErrorMessage="1" sqref="V12">
      <formula1>1</formula1>
      <formula2>5</formula2>
    </dataValidation>
    <dataValidation type="whole" allowBlank="1" showInputMessage="1" showErrorMessage="1" sqref="X12">
      <formula1>1</formula1>
      <formula2>5</formula2>
    </dataValidation>
    <dataValidation type="decimal" operator="greaterThanOrEqual" allowBlank="1" showInputMessage="1" showErrorMessage="1" sqref="Y12">
      <formula1>0</formula1>
    </dataValidation>
    <dataValidation type="whole" operator="greaterThanOrEqual" allowBlank="1" showInputMessage="1" showErrorMessage="1" sqref="Z12">
      <formula1>0</formula1>
    </dataValidation>
    <dataValidation type="whole" allowBlank="1" showInputMessage="1" showErrorMessage="1" sqref="AA12">
      <formula1>1</formula1>
      <formula2>5</formula2>
    </dataValidation>
    <dataValidation type="decimal" allowBlank="1" showInputMessage="1" showErrorMessage="1" sqref="AB12">
      <formula1>0</formula1>
      <formula2>1</formula2>
    </dataValidation>
    <dataValidation type="list" allowBlank="1" showInputMessage="1" showErrorMessage="1" sqref="O12">
      <formula1>liste_statuts</formula1>
    </dataValidation>
    <dataValidation type="list" allowBlank="1" showInputMessage="1" showErrorMessage="1" sqref="B13">
      <formula1>liste_programmes</formula1>
    </dataValidation>
    <dataValidation type="list" allowBlank="1" showInputMessage="1" showErrorMessage="1" sqref="D13">
      <formula1>liste_types</formula1>
    </dataValidation>
    <dataValidation type="list" allowBlank="1" showInputMessage="1" showErrorMessage="1" sqref="F13">
      <formula1>liste_categories</formula1>
    </dataValidation>
    <dataValidation type="list" allowBlank="1" showInputMessage="1" showErrorMessage="1" sqref="G13">
      <formula1>liste_responsables</formula1>
    </dataValidation>
    <dataValidation type="list" allowBlank="1" showInputMessage="1" showErrorMessage="1" sqref="H13">
      <formula1>liste_sites</formula1>
    </dataValidation>
    <dataValidation type="list" allowBlank="1" showInputMessage="1" showErrorMessage="1" sqref="I13">
      <formula1>liste_priorites</formula1>
    </dataValidation>
    <dataValidation type="date" operator="greaterThanOrEqual" allowBlank="1" showInputMessage="1" showErrorMessage="1" sqref="J13">
      <formula1>730120</formula1>
    </dataValidation>
    <dataValidation type="date" operator="greaterThanOrEqual" allowBlank="1" showInputMessage="1" showErrorMessage="1" sqref="K13">
      <formula1>730120</formula1>
    </dataValidation>
    <dataValidation type="date" operator="greaterThanOrEqual" allowBlank="1" showInputMessage="1" showErrorMessage="1" sqref="L13">
      <formula1>730120</formula1>
    </dataValidation>
    <dataValidation type="whole" allowBlank="1" showInputMessage="1" showErrorMessage="1" sqref="P13">
      <formula1>0</formula1>
      <formula2>100</formula2>
    </dataValidation>
    <dataValidation type="decimal" operator="greaterThanOrEqual" allowBlank="1" showInputMessage="1" showErrorMessage="1" sqref="Q13">
      <formula1>0</formula1>
    </dataValidation>
    <dataValidation type="decimal" operator="greaterThanOrEqual" allowBlank="1" showInputMessage="1" showErrorMessage="1" sqref="R13">
      <formula1>0</formula1>
    </dataValidation>
    <dataValidation type="whole" allowBlank="1" showInputMessage="1" showErrorMessage="1" sqref="U13">
      <formula1>1</formula1>
      <formula2>5</formula2>
    </dataValidation>
    <dataValidation type="whole" allowBlank="1" showInputMessage="1" showErrorMessage="1" sqref="V13">
      <formula1>1</formula1>
      <formula2>5</formula2>
    </dataValidation>
    <dataValidation type="whole" allowBlank="1" showInputMessage="1" showErrorMessage="1" sqref="X13">
      <formula1>1</formula1>
      <formula2>5</formula2>
    </dataValidation>
    <dataValidation type="decimal" operator="greaterThanOrEqual" allowBlank="1" showInputMessage="1" showErrorMessage="1" sqref="Y13">
      <formula1>0</formula1>
    </dataValidation>
    <dataValidation type="whole" operator="greaterThanOrEqual" allowBlank="1" showInputMessage="1" showErrorMessage="1" sqref="Z13">
      <formula1>0</formula1>
    </dataValidation>
    <dataValidation type="whole" allowBlank="1" showInputMessage="1" showErrorMessage="1" sqref="AA13">
      <formula1>1</formula1>
      <formula2>5</formula2>
    </dataValidation>
    <dataValidation type="decimal" allowBlank="1" showInputMessage="1" showErrorMessage="1" sqref="AB13">
      <formula1>0</formula1>
      <formula2>1</formula2>
    </dataValidation>
    <dataValidation type="list" allowBlank="1" showInputMessage="1" showErrorMessage="1" sqref="O13">
      <formula1>liste_statuts</formula1>
    </dataValidation>
    <dataValidation type="list" allowBlank="1" showInputMessage="1" showErrorMessage="1" sqref="B14">
      <formula1>liste_programmes</formula1>
    </dataValidation>
    <dataValidation type="list" allowBlank="1" showInputMessage="1" showErrorMessage="1" sqref="D14">
      <formula1>liste_types</formula1>
    </dataValidation>
    <dataValidation type="list" allowBlank="1" showInputMessage="1" showErrorMessage="1" sqref="F14">
      <formula1>liste_categories</formula1>
    </dataValidation>
    <dataValidation type="list" allowBlank="1" showInputMessage="1" showErrorMessage="1" sqref="G14">
      <formula1>liste_responsables</formula1>
    </dataValidation>
    <dataValidation type="list" allowBlank="1" showInputMessage="1" showErrorMessage="1" sqref="H14">
      <formula1>liste_sites</formula1>
    </dataValidation>
    <dataValidation type="list" allowBlank="1" showInputMessage="1" showErrorMessage="1" sqref="I14">
      <formula1>liste_priorites</formula1>
    </dataValidation>
    <dataValidation type="date" operator="greaterThanOrEqual" allowBlank="1" showInputMessage="1" showErrorMessage="1" sqref="J14">
      <formula1>730120</formula1>
    </dataValidation>
    <dataValidation type="date" operator="greaterThanOrEqual" allowBlank="1" showInputMessage="1" showErrorMessage="1" sqref="K14">
      <formula1>730120</formula1>
    </dataValidation>
    <dataValidation type="date" operator="greaterThanOrEqual" allowBlank="1" showInputMessage="1" showErrorMessage="1" sqref="L14">
      <formula1>730120</formula1>
    </dataValidation>
    <dataValidation type="whole" allowBlank="1" showInputMessage="1" showErrorMessage="1" sqref="P14">
      <formula1>0</formula1>
      <formula2>100</formula2>
    </dataValidation>
    <dataValidation type="decimal" operator="greaterThanOrEqual" allowBlank="1" showInputMessage="1" showErrorMessage="1" sqref="Q14">
      <formula1>0</formula1>
    </dataValidation>
    <dataValidation type="decimal" operator="greaterThanOrEqual" allowBlank="1" showInputMessage="1" showErrorMessage="1" sqref="R14">
      <formula1>0</formula1>
    </dataValidation>
    <dataValidation type="whole" allowBlank="1" showInputMessage="1" showErrorMessage="1" sqref="U14">
      <formula1>1</formula1>
      <formula2>5</formula2>
    </dataValidation>
    <dataValidation type="whole" allowBlank="1" showInputMessage="1" showErrorMessage="1" sqref="V14">
      <formula1>1</formula1>
      <formula2>5</formula2>
    </dataValidation>
    <dataValidation type="whole" allowBlank="1" showInputMessage="1" showErrorMessage="1" sqref="X14">
      <formula1>1</formula1>
      <formula2>5</formula2>
    </dataValidation>
    <dataValidation type="decimal" operator="greaterThanOrEqual" allowBlank="1" showInputMessage="1" showErrorMessage="1" sqref="Y14">
      <formula1>0</formula1>
    </dataValidation>
    <dataValidation type="whole" operator="greaterThanOrEqual" allowBlank="1" showInputMessage="1" showErrorMessage="1" sqref="Z14">
      <formula1>0</formula1>
    </dataValidation>
    <dataValidation type="whole" allowBlank="1" showInputMessage="1" showErrorMessage="1" sqref="AA14">
      <formula1>1</formula1>
      <formula2>5</formula2>
    </dataValidation>
    <dataValidation type="decimal" allowBlank="1" showInputMessage="1" showErrorMessage="1" sqref="AB14">
      <formula1>0</formula1>
      <formula2>1</formula2>
    </dataValidation>
    <dataValidation type="list" allowBlank="1" showInputMessage="1" showErrorMessage="1" sqref="O14">
      <formula1>liste_statuts</formula1>
    </dataValidation>
    <dataValidation type="list" allowBlank="1" showInputMessage="1" showErrorMessage="1" sqref="B15">
      <formula1>liste_programmes</formula1>
    </dataValidation>
    <dataValidation type="list" allowBlank="1" showInputMessage="1" showErrorMessage="1" sqref="D15">
      <formula1>liste_types</formula1>
    </dataValidation>
    <dataValidation type="list" allowBlank="1" showInputMessage="1" showErrorMessage="1" sqref="F15">
      <formula1>liste_categories</formula1>
    </dataValidation>
    <dataValidation type="list" allowBlank="1" showInputMessage="1" showErrorMessage="1" sqref="G15">
      <formula1>liste_responsables</formula1>
    </dataValidation>
    <dataValidation type="list" allowBlank="1" showInputMessage="1" showErrorMessage="1" sqref="H15">
      <formula1>liste_sites</formula1>
    </dataValidation>
    <dataValidation type="list" allowBlank="1" showInputMessage="1" showErrorMessage="1" sqref="I15">
      <formula1>liste_priorites</formula1>
    </dataValidation>
    <dataValidation type="date" operator="greaterThanOrEqual" allowBlank="1" showInputMessage="1" showErrorMessage="1" sqref="J15">
      <formula1>730120</formula1>
    </dataValidation>
    <dataValidation type="date" operator="greaterThanOrEqual" allowBlank="1" showInputMessage="1" showErrorMessage="1" sqref="K15">
      <formula1>730120</formula1>
    </dataValidation>
    <dataValidation type="date" operator="greaterThanOrEqual" allowBlank="1" showInputMessage="1" showErrorMessage="1" sqref="L15">
      <formula1>730120</formula1>
    </dataValidation>
    <dataValidation type="whole" allowBlank="1" showInputMessage="1" showErrorMessage="1" sqref="P15">
      <formula1>0</formula1>
      <formula2>100</formula2>
    </dataValidation>
    <dataValidation type="decimal" operator="greaterThanOrEqual" allowBlank="1" showInputMessage="1" showErrorMessage="1" sqref="Q15">
      <formula1>0</formula1>
    </dataValidation>
    <dataValidation type="decimal" operator="greaterThanOrEqual" allowBlank="1" showInputMessage="1" showErrorMessage="1" sqref="R15">
      <formula1>0</formula1>
    </dataValidation>
    <dataValidation type="whole" allowBlank="1" showInputMessage="1" showErrorMessage="1" sqref="U15">
      <formula1>1</formula1>
      <formula2>5</formula2>
    </dataValidation>
    <dataValidation type="whole" allowBlank="1" showInputMessage="1" showErrorMessage="1" sqref="V15">
      <formula1>1</formula1>
      <formula2>5</formula2>
    </dataValidation>
    <dataValidation type="whole" allowBlank="1" showInputMessage="1" showErrorMessage="1" sqref="X15">
      <formula1>1</formula1>
      <formula2>5</formula2>
    </dataValidation>
    <dataValidation type="decimal" operator="greaterThanOrEqual" allowBlank="1" showInputMessage="1" showErrorMessage="1" sqref="Y15">
      <formula1>0</formula1>
    </dataValidation>
    <dataValidation type="whole" operator="greaterThanOrEqual" allowBlank="1" showInputMessage="1" showErrorMessage="1" sqref="Z15">
      <formula1>0</formula1>
    </dataValidation>
    <dataValidation type="whole" allowBlank="1" showInputMessage="1" showErrorMessage="1" sqref="AA15">
      <formula1>1</formula1>
      <formula2>5</formula2>
    </dataValidation>
    <dataValidation type="decimal" allowBlank="1" showInputMessage="1" showErrorMessage="1" sqref="AB15">
      <formula1>0</formula1>
      <formula2>1</formula2>
    </dataValidation>
    <dataValidation type="list" allowBlank="1" showInputMessage="1" showErrorMessage="1" sqref="O15">
      <formula1>liste_statuts</formula1>
    </dataValidation>
    <dataValidation type="list" allowBlank="1" showInputMessage="1" showErrorMessage="1" sqref="B16">
      <formula1>liste_programmes</formula1>
    </dataValidation>
    <dataValidation type="list" allowBlank="1" showInputMessage="1" showErrorMessage="1" sqref="D16">
      <formula1>liste_types</formula1>
    </dataValidation>
    <dataValidation type="list" allowBlank="1" showInputMessage="1" showErrorMessage="1" sqref="F16">
      <formula1>liste_categories</formula1>
    </dataValidation>
    <dataValidation type="list" allowBlank="1" showInputMessage="1" showErrorMessage="1" sqref="G16">
      <formula1>liste_responsables</formula1>
    </dataValidation>
    <dataValidation type="list" allowBlank="1" showInputMessage="1" showErrorMessage="1" sqref="H16">
      <formula1>liste_sites</formula1>
    </dataValidation>
    <dataValidation type="list" allowBlank="1" showInputMessage="1" showErrorMessage="1" sqref="I16">
      <formula1>liste_priorites</formula1>
    </dataValidation>
    <dataValidation type="date" operator="greaterThanOrEqual" allowBlank="1" showInputMessage="1" showErrorMessage="1" sqref="J16">
      <formula1>730120</formula1>
    </dataValidation>
    <dataValidation type="date" operator="greaterThanOrEqual" allowBlank="1" showInputMessage="1" showErrorMessage="1" sqref="K16">
      <formula1>730120</formula1>
    </dataValidation>
    <dataValidation type="date" operator="greaterThanOrEqual" allowBlank="1" showInputMessage="1" showErrorMessage="1" sqref="L16">
      <formula1>730120</formula1>
    </dataValidation>
    <dataValidation type="whole" allowBlank="1" showInputMessage="1" showErrorMessage="1" sqref="P16">
      <formula1>0</formula1>
      <formula2>100</formula2>
    </dataValidation>
    <dataValidation type="decimal" operator="greaterThanOrEqual" allowBlank="1" showInputMessage="1" showErrorMessage="1" sqref="Q16">
      <formula1>0</formula1>
    </dataValidation>
    <dataValidation type="decimal" operator="greaterThanOrEqual" allowBlank="1" showInputMessage="1" showErrorMessage="1" sqref="R16">
      <formula1>0</formula1>
    </dataValidation>
    <dataValidation type="whole" allowBlank="1" showInputMessage="1" showErrorMessage="1" sqref="U16">
      <formula1>1</formula1>
      <formula2>5</formula2>
    </dataValidation>
    <dataValidation type="whole" allowBlank="1" showInputMessage="1" showErrorMessage="1" sqref="V16">
      <formula1>1</formula1>
      <formula2>5</formula2>
    </dataValidation>
    <dataValidation type="whole" allowBlank="1" showInputMessage="1" showErrorMessage="1" sqref="X16">
      <formula1>1</formula1>
      <formula2>5</formula2>
    </dataValidation>
    <dataValidation type="decimal" operator="greaterThanOrEqual" allowBlank="1" showInputMessage="1" showErrorMessage="1" sqref="Y16">
      <formula1>0</formula1>
    </dataValidation>
    <dataValidation type="whole" operator="greaterThanOrEqual" allowBlank="1" showInputMessage="1" showErrorMessage="1" sqref="Z16">
      <formula1>0</formula1>
    </dataValidation>
    <dataValidation type="whole" allowBlank="1" showInputMessage="1" showErrorMessage="1" sqref="AA16">
      <formula1>1</formula1>
      <formula2>5</formula2>
    </dataValidation>
    <dataValidation type="decimal" allowBlank="1" showInputMessage="1" showErrorMessage="1" sqref="AB16">
      <formula1>0</formula1>
      <formula2>1</formula2>
    </dataValidation>
    <dataValidation type="list" allowBlank="1" showInputMessage="1" showErrorMessage="1" sqref="O16">
      <formula1>liste_statuts</formula1>
    </dataValidation>
    <dataValidation type="list" allowBlank="1" showInputMessage="1" showErrorMessage="1" sqref="B17">
      <formula1>liste_programmes</formula1>
    </dataValidation>
    <dataValidation type="list" allowBlank="1" showInputMessage="1" showErrorMessage="1" sqref="D17">
      <formula1>liste_types</formula1>
    </dataValidation>
    <dataValidation type="list" allowBlank="1" showInputMessage="1" showErrorMessage="1" sqref="F17">
      <formula1>liste_categories</formula1>
    </dataValidation>
    <dataValidation type="list" allowBlank="1" showInputMessage="1" showErrorMessage="1" sqref="G17">
      <formula1>liste_responsables</formula1>
    </dataValidation>
    <dataValidation type="list" allowBlank="1" showInputMessage="1" showErrorMessage="1" sqref="H17">
      <formula1>liste_sites</formula1>
    </dataValidation>
    <dataValidation type="list" allowBlank="1" showInputMessage="1" showErrorMessage="1" sqref="I17">
      <formula1>liste_priorites</formula1>
    </dataValidation>
    <dataValidation type="date" operator="greaterThanOrEqual" allowBlank="1" showInputMessage="1" showErrorMessage="1" sqref="J17">
      <formula1>730120</formula1>
    </dataValidation>
    <dataValidation type="date" operator="greaterThanOrEqual" allowBlank="1" showInputMessage="1" showErrorMessage="1" sqref="K17">
      <formula1>730120</formula1>
    </dataValidation>
    <dataValidation type="date" operator="greaterThanOrEqual" allowBlank="1" showInputMessage="1" showErrorMessage="1" sqref="L17">
      <formula1>730120</formula1>
    </dataValidation>
    <dataValidation type="whole" allowBlank="1" showInputMessage="1" showErrorMessage="1" sqref="P17">
      <formula1>0</formula1>
      <formula2>100</formula2>
    </dataValidation>
    <dataValidation type="decimal" operator="greaterThanOrEqual" allowBlank="1" showInputMessage="1" showErrorMessage="1" sqref="Q17">
      <formula1>0</formula1>
    </dataValidation>
    <dataValidation type="decimal" operator="greaterThanOrEqual" allowBlank="1" showInputMessage="1" showErrorMessage="1" sqref="R17">
      <formula1>0</formula1>
    </dataValidation>
    <dataValidation type="whole" allowBlank="1" showInputMessage="1" showErrorMessage="1" sqref="U17">
      <formula1>1</formula1>
      <formula2>5</formula2>
    </dataValidation>
    <dataValidation type="whole" allowBlank="1" showInputMessage="1" showErrorMessage="1" sqref="V17">
      <formula1>1</formula1>
      <formula2>5</formula2>
    </dataValidation>
    <dataValidation type="whole" allowBlank="1" showInputMessage="1" showErrorMessage="1" sqref="X17">
      <formula1>1</formula1>
      <formula2>5</formula2>
    </dataValidation>
    <dataValidation type="decimal" operator="greaterThanOrEqual" allowBlank="1" showInputMessage="1" showErrorMessage="1" sqref="Y17">
      <formula1>0</formula1>
    </dataValidation>
    <dataValidation type="whole" operator="greaterThanOrEqual" allowBlank="1" showInputMessage="1" showErrorMessage="1" sqref="Z17">
      <formula1>0</formula1>
    </dataValidation>
    <dataValidation type="whole" allowBlank="1" showInputMessage="1" showErrorMessage="1" sqref="AA17">
      <formula1>1</formula1>
      <formula2>5</formula2>
    </dataValidation>
    <dataValidation type="decimal" allowBlank="1" showInputMessage="1" showErrorMessage="1" sqref="AB17">
      <formula1>0</formula1>
      <formula2>1</formula2>
    </dataValidation>
    <dataValidation type="list" allowBlank="1" showInputMessage="1" showErrorMessage="1" sqref="O17">
      <formula1>liste_statuts</formula1>
    </dataValidation>
    <dataValidation type="list" allowBlank="1" showInputMessage="1" showErrorMessage="1" sqref="B18">
      <formula1>liste_programmes</formula1>
    </dataValidation>
    <dataValidation type="list" allowBlank="1" showInputMessage="1" showErrorMessage="1" sqref="D18">
      <formula1>liste_types</formula1>
    </dataValidation>
    <dataValidation type="list" allowBlank="1" showInputMessage="1" showErrorMessage="1" sqref="F18">
      <formula1>liste_categories</formula1>
    </dataValidation>
    <dataValidation type="list" allowBlank="1" showInputMessage="1" showErrorMessage="1" sqref="G18">
      <formula1>liste_responsables</formula1>
    </dataValidation>
    <dataValidation type="list" allowBlank="1" showInputMessage="1" showErrorMessage="1" sqref="H18">
      <formula1>liste_sites</formula1>
    </dataValidation>
    <dataValidation type="list" allowBlank="1" showInputMessage="1" showErrorMessage="1" sqref="I18">
      <formula1>liste_priorites</formula1>
    </dataValidation>
    <dataValidation type="date" operator="greaterThanOrEqual" allowBlank="1" showInputMessage="1" showErrorMessage="1" sqref="J18">
      <formula1>730120</formula1>
    </dataValidation>
    <dataValidation type="date" operator="greaterThanOrEqual" allowBlank="1" showInputMessage="1" showErrorMessage="1" sqref="K18">
      <formula1>730120</formula1>
    </dataValidation>
    <dataValidation type="date" operator="greaterThanOrEqual" allowBlank="1" showInputMessage="1" showErrorMessage="1" sqref="L18">
      <formula1>730120</formula1>
    </dataValidation>
    <dataValidation type="whole" allowBlank="1" showInputMessage="1" showErrorMessage="1" sqref="P18">
      <formula1>0</formula1>
      <formula2>100</formula2>
    </dataValidation>
    <dataValidation type="decimal" operator="greaterThanOrEqual" allowBlank="1" showInputMessage="1" showErrorMessage="1" sqref="Q18">
      <formula1>0</formula1>
    </dataValidation>
    <dataValidation type="decimal" operator="greaterThanOrEqual" allowBlank="1" showInputMessage="1" showErrorMessage="1" sqref="R18">
      <formula1>0</formula1>
    </dataValidation>
    <dataValidation type="whole" allowBlank="1" showInputMessage="1" showErrorMessage="1" sqref="U18">
      <formula1>1</formula1>
      <formula2>5</formula2>
    </dataValidation>
    <dataValidation type="whole" allowBlank="1" showInputMessage="1" showErrorMessage="1" sqref="V18">
      <formula1>1</formula1>
      <formula2>5</formula2>
    </dataValidation>
    <dataValidation type="whole" allowBlank="1" showInputMessage="1" showErrorMessage="1" sqref="X18">
      <formula1>1</formula1>
      <formula2>5</formula2>
    </dataValidation>
    <dataValidation type="decimal" operator="greaterThanOrEqual" allowBlank="1" showInputMessage="1" showErrorMessage="1" sqref="Y18">
      <formula1>0</formula1>
    </dataValidation>
    <dataValidation type="whole" operator="greaterThanOrEqual" allowBlank="1" showInputMessage="1" showErrorMessage="1" sqref="Z18">
      <formula1>0</formula1>
    </dataValidation>
    <dataValidation type="whole" allowBlank="1" showInputMessage="1" showErrorMessage="1" sqref="AA18">
      <formula1>1</formula1>
      <formula2>5</formula2>
    </dataValidation>
    <dataValidation type="decimal" allowBlank="1" showInputMessage="1" showErrorMessage="1" sqref="AB18">
      <formula1>0</formula1>
      <formula2>1</formula2>
    </dataValidation>
    <dataValidation type="list" allowBlank="1" showInputMessage="1" showErrorMessage="1" sqref="O18">
      <formula1>liste_statuts</formula1>
    </dataValidation>
    <dataValidation type="list" allowBlank="1" showInputMessage="1" showErrorMessage="1" sqref="B19">
      <formula1>liste_programmes</formula1>
    </dataValidation>
    <dataValidation type="list" allowBlank="1" showInputMessage="1" showErrorMessage="1" sqref="D19">
      <formula1>liste_types</formula1>
    </dataValidation>
    <dataValidation type="list" allowBlank="1" showInputMessage="1" showErrorMessage="1" sqref="F19">
      <formula1>liste_categories</formula1>
    </dataValidation>
    <dataValidation type="list" allowBlank="1" showInputMessage="1" showErrorMessage="1" sqref="G19">
      <formula1>liste_responsables</formula1>
    </dataValidation>
    <dataValidation type="list" allowBlank="1" showInputMessage="1" showErrorMessage="1" sqref="H19">
      <formula1>liste_sites</formula1>
    </dataValidation>
    <dataValidation type="list" allowBlank="1" showInputMessage="1" showErrorMessage="1" sqref="I19">
      <formula1>liste_priorites</formula1>
    </dataValidation>
    <dataValidation type="date" operator="greaterThanOrEqual" allowBlank="1" showInputMessage="1" showErrorMessage="1" sqref="J19">
      <formula1>730120</formula1>
    </dataValidation>
    <dataValidation type="date" operator="greaterThanOrEqual" allowBlank="1" showInputMessage="1" showErrorMessage="1" sqref="K19">
      <formula1>730120</formula1>
    </dataValidation>
    <dataValidation type="date" operator="greaterThanOrEqual" allowBlank="1" showInputMessage="1" showErrorMessage="1" sqref="L19">
      <formula1>730120</formula1>
    </dataValidation>
    <dataValidation type="whole" allowBlank="1" showInputMessage="1" showErrorMessage="1" sqref="P19">
      <formula1>0</formula1>
      <formula2>100</formula2>
    </dataValidation>
    <dataValidation type="decimal" operator="greaterThanOrEqual" allowBlank="1" showInputMessage="1" showErrorMessage="1" sqref="Q19">
      <formula1>0</formula1>
    </dataValidation>
    <dataValidation type="decimal" operator="greaterThanOrEqual" allowBlank="1" showInputMessage="1" showErrorMessage="1" sqref="R19">
      <formula1>0</formula1>
    </dataValidation>
    <dataValidation type="whole" allowBlank="1" showInputMessage="1" showErrorMessage="1" sqref="U19">
      <formula1>1</formula1>
      <formula2>5</formula2>
    </dataValidation>
    <dataValidation type="whole" allowBlank="1" showInputMessage="1" showErrorMessage="1" sqref="V19">
      <formula1>1</formula1>
      <formula2>5</formula2>
    </dataValidation>
    <dataValidation type="whole" allowBlank="1" showInputMessage="1" showErrorMessage="1" sqref="X19">
      <formula1>1</formula1>
      <formula2>5</formula2>
    </dataValidation>
    <dataValidation type="decimal" operator="greaterThanOrEqual" allowBlank="1" showInputMessage="1" showErrorMessage="1" sqref="Y19">
      <formula1>0</formula1>
    </dataValidation>
    <dataValidation type="whole" operator="greaterThanOrEqual" allowBlank="1" showInputMessage="1" showErrorMessage="1" sqref="Z19">
      <formula1>0</formula1>
    </dataValidation>
    <dataValidation type="whole" allowBlank="1" showInputMessage="1" showErrorMessage="1" sqref="AA19">
      <formula1>1</formula1>
      <formula2>5</formula2>
    </dataValidation>
    <dataValidation type="decimal" allowBlank="1" showInputMessage="1" showErrorMessage="1" sqref="AB19">
      <formula1>0</formula1>
      <formula2>1</formula2>
    </dataValidation>
    <dataValidation type="list" allowBlank="1" showInputMessage="1" showErrorMessage="1" sqref="O19">
      <formula1>liste_statuts</formula1>
    </dataValidation>
    <dataValidation type="list" allowBlank="1" showInputMessage="1" showErrorMessage="1" sqref="B20">
      <formula1>liste_programmes</formula1>
    </dataValidation>
    <dataValidation type="list" allowBlank="1" showInputMessage="1" showErrorMessage="1" sqref="D20">
      <formula1>liste_types</formula1>
    </dataValidation>
    <dataValidation type="list" allowBlank="1" showInputMessage="1" showErrorMessage="1" sqref="F20">
      <formula1>liste_categories</formula1>
    </dataValidation>
    <dataValidation type="list" allowBlank="1" showInputMessage="1" showErrorMessage="1" sqref="G20">
      <formula1>liste_responsables</formula1>
    </dataValidation>
    <dataValidation type="list" allowBlank="1" showInputMessage="1" showErrorMessage="1" sqref="H20">
      <formula1>liste_sites</formula1>
    </dataValidation>
    <dataValidation type="list" allowBlank="1" showInputMessage="1" showErrorMessage="1" sqref="I20">
      <formula1>liste_priorites</formula1>
    </dataValidation>
    <dataValidation type="date" operator="greaterThanOrEqual" allowBlank="1" showInputMessage="1" showErrorMessage="1" sqref="J20">
      <formula1>730120</formula1>
    </dataValidation>
    <dataValidation type="date" operator="greaterThanOrEqual" allowBlank="1" showInputMessage="1" showErrorMessage="1" sqref="K20">
      <formula1>730120</formula1>
    </dataValidation>
    <dataValidation type="date" operator="greaterThanOrEqual" allowBlank="1" showInputMessage="1" showErrorMessage="1" sqref="L20">
      <formula1>730120</formula1>
    </dataValidation>
    <dataValidation type="whole" allowBlank="1" showInputMessage="1" showErrorMessage="1" sqref="P20">
      <formula1>0</formula1>
      <formula2>100</formula2>
    </dataValidation>
    <dataValidation type="decimal" operator="greaterThanOrEqual" allowBlank="1" showInputMessage="1" showErrorMessage="1" sqref="Q20">
      <formula1>0</formula1>
    </dataValidation>
    <dataValidation type="decimal" operator="greaterThanOrEqual" allowBlank="1" showInputMessage="1" showErrorMessage="1" sqref="R20">
      <formula1>0</formula1>
    </dataValidation>
    <dataValidation type="whole" allowBlank="1" showInputMessage="1" showErrorMessage="1" sqref="U20">
      <formula1>1</formula1>
      <formula2>5</formula2>
    </dataValidation>
    <dataValidation type="whole" allowBlank="1" showInputMessage="1" showErrorMessage="1" sqref="V20">
      <formula1>1</formula1>
      <formula2>5</formula2>
    </dataValidation>
    <dataValidation type="whole" allowBlank="1" showInputMessage="1" showErrorMessage="1" sqref="X20">
      <formula1>1</formula1>
      <formula2>5</formula2>
    </dataValidation>
    <dataValidation type="decimal" operator="greaterThanOrEqual" allowBlank="1" showInputMessage="1" showErrorMessage="1" sqref="Y20">
      <formula1>0</formula1>
    </dataValidation>
    <dataValidation type="whole" operator="greaterThanOrEqual" allowBlank="1" showInputMessage="1" showErrorMessage="1" sqref="Z20">
      <formula1>0</formula1>
    </dataValidation>
    <dataValidation type="whole" allowBlank="1" showInputMessage="1" showErrorMessage="1" sqref="AA20">
      <formula1>1</formula1>
      <formula2>5</formula2>
    </dataValidation>
    <dataValidation type="decimal" allowBlank="1" showInputMessage="1" showErrorMessage="1" sqref="AB20">
      <formula1>0</formula1>
      <formula2>1</formula2>
    </dataValidation>
    <dataValidation type="list" allowBlank="1" showInputMessage="1" showErrorMessage="1" sqref="O20">
      <formula1>liste_statuts</formula1>
    </dataValidation>
    <dataValidation type="list" allowBlank="1" showInputMessage="1" showErrorMessage="1" sqref="B21">
      <formula1>liste_programmes</formula1>
    </dataValidation>
    <dataValidation type="list" allowBlank="1" showInputMessage="1" showErrorMessage="1" sqref="D21">
      <formula1>liste_types</formula1>
    </dataValidation>
    <dataValidation type="list" allowBlank="1" showInputMessage="1" showErrorMessage="1" sqref="F21">
      <formula1>liste_categories</formula1>
    </dataValidation>
    <dataValidation type="list" allowBlank="1" showInputMessage="1" showErrorMessage="1" sqref="G21">
      <formula1>liste_responsables</formula1>
    </dataValidation>
    <dataValidation type="list" allowBlank="1" showInputMessage="1" showErrorMessage="1" sqref="H21">
      <formula1>liste_sites</formula1>
    </dataValidation>
    <dataValidation type="list" allowBlank="1" showInputMessage="1" showErrorMessage="1" sqref="I21">
      <formula1>liste_priorites</formula1>
    </dataValidation>
    <dataValidation type="date" operator="greaterThanOrEqual" allowBlank="1" showInputMessage="1" showErrorMessage="1" sqref="J21">
      <formula1>730120</formula1>
    </dataValidation>
    <dataValidation type="date" operator="greaterThanOrEqual" allowBlank="1" showInputMessage="1" showErrorMessage="1" sqref="K21">
      <formula1>730120</formula1>
    </dataValidation>
    <dataValidation type="date" operator="greaterThanOrEqual" allowBlank="1" showInputMessage="1" showErrorMessage="1" sqref="L21">
      <formula1>730120</formula1>
    </dataValidation>
    <dataValidation type="whole" allowBlank="1" showInputMessage="1" showErrorMessage="1" sqref="P21">
      <formula1>0</formula1>
      <formula2>100</formula2>
    </dataValidation>
    <dataValidation type="decimal" operator="greaterThanOrEqual" allowBlank="1" showInputMessage="1" showErrorMessage="1" sqref="Q21">
      <formula1>0</formula1>
    </dataValidation>
    <dataValidation type="decimal" operator="greaterThanOrEqual" allowBlank="1" showInputMessage="1" showErrorMessage="1" sqref="R21">
      <formula1>0</formula1>
    </dataValidation>
    <dataValidation type="whole" allowBlank="1" showInputMessage="1" showErrorMessage="1" sqref="U21">
      <formula1>1</formula1>
      <formula2>5</formula2>
    </dataValidation>
    <dataValidation type="whole" allowBlank="1" showInputMessage="1" showErrorMessage="1" sqref="V21">
      <formula1>1</formula1>
      <formula2>5</formula2>
    </dataValidation>
    <dataValidation type="whole" allowBlank="1" showInputMessage="1" showErrorMessage="1" sqref="X21">
      <formula1>1</formula1>
      <formula2>5</formula2>
    </dataValidation>
    <dataValidation type="decimal" operator="greaterThanOrEqual" allowBlank="1" showInputMessage="1" showErrorMessage="1" sqref="Y21">
      <formula1>0</formula1>
    </dataValidation>
    <dataValidation type="whole" operator="greaterThanOrEqual" allowBlank="1" showInputMessage="1" showErrorMessage="1" sqref="Z21">
      <formula1>0</formula1>
    </dataValidation>
    <dataValidation type="whole" allowBlank="1" showInputMessage="1" showErrorMessage="1" sqref="AA21">
      <formula1>1</formula1>
      <formula2>5</formula2>
    </dataValidation>
    <dataValidation type="decimal" allowBlank="1" showInputMessage="1" showErrorMessage="1" sqref="AB21">
      <formula1>0</formula1>
      <formula2>1</formula2>
    </dataValidation>
    <dataValidation type="list" allowBlank="1" showInputMessage="1" showErrorMessage="1" sqref="O21">
      <formula1>liste_statuts</formula1>
    </dataValidation>
    <dataValidation type="list" allowBlank="1" showInputMessage="1" showErrorMessage="1" sqref="B22">
      <formula1>liste_programmes</formula1>
    </dataValidation>
    <dataValidation type="list" allowBlank="1" showInputMessage="1" showErrorMessage="1" sqref="D22">
      <formula1>liste_types</formula1>
    </dataValidation>
    <dataValidation type="list" allowBlank="1" showInputMessage="1" showErrorMessage="1" sqref="F22">
      <formula1>liste_categories</formula1>
    </dataValidation>
    <dataValidation type="list" allowBlank="1" showInputMessage="1" showErrorMessage="1" sqref="G22">
      <formula1>liste_responsables</formula1>
    </dataValidation>
    <dataValidation type="list" allowBlank="1" showInputMessage="1" showErrorMessage="1" sqref="H22">
      <formula1>liste_sites</formula1>
    </dataValidation>
    <dataValidation type="list" allowBlank="1" showInputMessage="1" showErrorMessage="1" sqref="I22">
      <formula1>liste_priorites</formula1>
    </dataValidation>
    <dataValidation type="date" operator="greaterThanOrEqual" allowBlank="1" showInputMessage="1" showErrorMessage="1" sqref="J22">
      <formula1>730120</formula1>
    </dataValidation>
    <dataValidation type="date" operator="greaterThanOrEqual" allowBlank="1" showInputMessage="1" showErrorMessage="1" sqref="K22">
      <formula1>730120</formula1>
    </dataValidation>
    <dataValidation type="date" operator="greaterThanOrEqual" allowBlank="1" showInputMessage="1" showErrorMessage="1" sqref="L22">
      <formula1>730120</formula1>
    </dataValidation>
    <dataValidation type="whole" allowBlank="1" showInputMessage="1" showErrorMessage="1" sqref="P22">
      <formula1>0</formula1>
      <formula2>100</formula2>
    </dataValidation>
    <dataValidation type="decimal" operator="greaterThanOrEqual" allowBlank="1" showInputMessage="1" showErrorMessage="1" sqref="Q22">
      <formula1>0</formula1>
    </dataValidation>
    <dataValidation type="decimal" operator="greaterThanOrEqual" allowBlank="1" showInputMessage="1" showErrorMessage="1" sqref="R22">
      <formula1>0</formula1>
    </dataValidation>
    <dataValidation type="whole" allowBlank="1" showInputMessage="1" showErrorMessage="1" sqref="U22">
      <formula1>1</formula1>
      <formula2>5</formula2>
    </dataValidation>
    <dataValidation type="whole" allowBlank="1" showInputMessage="1" showErrorMessage="1" sqref="V22">
      <formula1>1</formula1>
      <formula2>5</formula2>
    </dataValidation>
    <dataValidation type="whole" allowBlank="1" showInputMessage="1" showErrorMessage="1" sqref="X22">
      <formula1>1</formula1>
      <formula2>5</formula2>
    </dataValidation>
    <dataValidation type="decimal" operator="greaterThanOrEqual" allowBlank="1" showInputMessage="1" showErrorMessage="1" sqref="Y22">
      <formula1>0</formula1>
    </dataValidation>
    <dataValidation type="whole" operator="greaterThanOrEqual" allowBlank="1" showInputMessage="1" showErrorMessage="1" sqref="Z22">
      <formula1>0</formula1>
    </dataValidation>
    <dataValidation type="whole" allowBlank="1" showInputMessage="1" showErrorMessage="1" sqref="AA22">
      <formula1>1</formula1>
      <formula2>5</formula2>
    </dataValidation>
    <dataValidation type="decimal" allowBlank="1" showInputMessage="1" showErrorMessage="1" sqref="AB22">
      <formula1>0</formula1>
      <formula2>1</formula2>
    </dataValidation>
    <dataValidation type="list" allowBlank="1" showInputMessage="1" showErrorMessage="1" sqref="O22">
      <formula1>liste_statuts</formula1>
    </dataValidation>
    <dataValidation type="list" allowBlank="1" showInputMessage="1" showErrorMessage="1" sqref="B23">
      <formula1>liste_programmes</formula1>
    </dataValidation>
    <dataValidation type="list" allowBlank="1" showInputMessage="1" showErrorMessage="1" sqref="D23">
      <formula1>liste_types</formula1>
    </dataValidation>
    <dataValidation type="list" allowBlank="1" showInputMessage="1" showErrorMessage="1" sqref="F23">
      <formula1>liste_categories</formula1>
    </dataValidation>
    <dataValidation type="list" allowBlank="1" showInputMessage="1" showErrorMessage="1" sqref="G23">
      <formula1>liste_responsables</formula1>
    </dataValidation>
    <dataValidation type="list" allowBlank="1" showInputMessage="1" showErrorMessage="1" sqref="H23">
      <formula1>liste_sites</formula1>
    </dataValidation>
    <dataValidation type="list" allowBlank="1" showInputMessage="1" showErrorMessage="1" sqref="I23">
      <formula1>liste_priorites</formula1>
    </dataValidation>
    <dataValidation type="date" operator="greaterThanOrEqual" allowBlank="1" showInputMessage="1" showErrorMessage="1" sqref="J23">
      <formula1>730120</formula1>
    </dataValidation>
    <dataValidation type="date" operator="greaterThanOrEqual" allowBlank="1" showInputMessage="1" showErrorMessage="1" sqref="K23">
      <formula1>730120</formula1>
    </dataValidation>
    <dataValidation type="date" operator="greaterThanOrEqual" allowBlank="1" showInputMessage="1" showErrorMessage="1" sqref="L23">
      <formula1>730120</formula1>
    </dataValidation>
    <dataValidation type="whole" allowBlank="1" showInputMessage="1" showErrorMessage="1" sqref="P23">
      <formula1>0</formula1>
      <formula2>100</formula2>
    </dataValidation>
    <dataValidation type="decimal" operator="greaterThanOrEqual" allowBlank="1" showInputMessage="1" showErrorMessage="1" sqref="Q23">
      <formula1>0</formula1>
    </dataValidation>
    <dataValidation type="decimal" operator="greaterThanOrEqual" allowBlank="1" showInputMessage="1" showErrorMessage="1" sqref="R23">
      <formula1>0</formula1>
    </dataValidation>
    <dataValidation type="whole" allowBlank="1" showInputMessage="1" showErrorMessage="1" sqref="U23">
      <formula1>1</formula1>
      <formula2>5</formula2>
    </dataValidation>
    <dataValidation type="whole" allowBlank="1" showInputMessage="1" showErrorMessage="1" sqref="V23">
      <formula1>1</formula1>
      <formula2>5</formula2>
    </dataValidation>
    <dataValidation type="whole" allowBlank="1" showInputMessage="1" showErrorMessage="1" sqref="X23">
      <formula1>1</formula1>
      <formula2>5</formula2>
    </dataValidation>
    <dataValidation type="decimal" operator="greaterThanOrEqual" allowBlank="1" showInputMessage="1" showErrorMessage="1" sqref="Y23">
      <formula1>0</formula1>
    </dataValidation>
    <dataValidation type="whole" operator="greaterThanOrEqual" allowBlank="1" showInputMessage="1" showErrorMessage="1" sqref="Z23">
      <formula1>0</formula1>
    </dataValidation>
    <dataValidation type="whole" allowBlank="1" showInputMessage="1" showErrorMessage="1" sqref="AA23">
      <formula1>1</formula1>
      <formula2>5</formula2>
    </dataValidation>
    <dataValidation type="decimal" allowBlank="1" showInputMessage="1" showErrorMessage="1" sqref="AB23">
      <formula1>0</formula1>
      <formula2>1</formula2>
    </dataValidation>
    <dataValidation type="list" allowBlank="1" showInputMessage="1" showErrorMessage="1" sqref="O23">
      <formula1>liste_statuts</formula1>
    </dataValidation>
    <dataValidation type="list" allowBlank="1" showInputMessage="1" showErrorMessage="1" sqref="B24">
      <formula1>liste_programmes</formula1>
    </dataValidation>
    <dataValidation type="list" allowBlank="1" showInputMessage="1" showErrorMessage="1" sqref="D24">
      <formula1>liste_types</formula1>
    </dataValidation>
    <dataValidation type="list" allowBlank="1" showInputMessage="1" showErrorMessage="1" sqref="F24">
      <formula1>liste_categories</formula1>
    </dataValidation>
    <dataValidation type="list" allowBlank="1" showInputMessage="1" showErrorMessage="1" sqref="G24">
      <formula1>liste_responsables</formula1>
    </dataValidation>
    <dataValidation type="list" allowBlank="1" showInputMessage="1" showErrorMessage="1" sqref="H24">
      <formula1>liste_sites</formula1>
    </dataValidation>
    <dataValidation type="list" allowBlank="1" showInputMessage="1" showErrorMessage="1" sqref="I24">
      <formula1>liste_priorites</formula1>
    </dataValidation>
    <dataValidation type="date" operator="greaterThanOrEqual" allowBlank="1" showInputMessage="1" showErrorMessage="1" sqref="J24">
      <formula1>730120</formula1>
    </dataValidation>
    <dataValidation type="date" operator="greaterThanOrEqual" allowBlank="1" showInputMessage="1" showErrorMessage="1" sqref="K24">
      <formula1>730120</formula1>
    </dataValidation>
    <dataValidation type="date" operator="greaterThanOrEqual" allowBlank="1" showInputMessage="1" showErrorMessage="1" sqref="L24">
      <formula1>730120</formula1>
    </dataValidation>
    <dataValidation type="whole" allowBlank="1" showInputMessage="1" showErrorMessage="1" sqref="P24">
      <formula1>0</formula1>
      <formula2>100</formula2>
    </dataValidation>
    <dataValidation type="decimal" operator="greaterThanOrEqual" allowBlank="1" showInputMessage="1" showErrorMessage="1" sqref="Q24">
      <formula1>0</formula1>
    </dataValidation>
    <dataValidation type="decimal" operator="greaterThanOrEqual" allowBlank="1" showInputMessage="1" showErrorMessage="1" sqref="R24">
      <formula1>0</formula1>
    </dataValidation>
    <dataValidation type="whole" allowBlank="1" showInputMessage="1" showErrorMessage="1" sqref="U24">
      <formula1>1</formula1>
      <formula2>5</formula2>
    </dataValidation>
    <dataValidation type="whole" allowBlank="1" showInputMessage="1" showErrorMessage="1" sqref="V24">
      <formula1>1</formula1>
      <formula2>5</formula2>
    </dataValidation>
    <dataValidation type="whole" allowBlank="1" showInputMessage="1" showErrorMessage="1" sqref="X24">
      <formula1>1</formula1>
      <formula2>5</formula2>
    </dataValidation>
    <dataValidation type="decimal" operator="greaterThanOrEqual" allowBlank="1" showInputMessage="1" showErrorMessage="1" sqref="Y24">
      <formula1>0</formula1>
    </dataValidation>
    <dataValidation type="whole" operator="greaterThanOrEqual" allowBlank="1" showInputMessage="1" showErrorMessage="1" sqref="Z24">
      <formula1>0</formula1>
    </dataValidation>
    <dataValidation type="whole" allowBlank="1" showInputMessage="1" showErrorMessage="1" sqref="AA24">
      <formula1>1</formula1>
      <formula2>5</formula2>
    </dataValidation>
    <dataValidation type="decimal" allowBlank="1" showInputMessage="1" showErrorMessage="1" sqref="AB24">
      <formula1>0</formula1>
      <formula2>1</formula2>
    </dataValidation>
    <dataValidation type="list" allowBlank="1" showInputMessage="1" showErrorMessage="1" sqref="O24">
      <formula1>liste_statuts</formula1>
    </dataValidation>
    <dataValidation type="list" allowBlank="1" showInputMessage="1" showErrorMessage="1" sqref="B25">
      <formula1>liste_programmes</formula1>
    </dataValidation>
    <dataValidation type="list" allowBlank="1" showInputMessage="1" showErrorMessage="1" sqref="D25">
      <formula1>liste_types</formula1>
    </dataValidation>
    <dataValidation type="list" allowBlank="1" showInputMessage="1" showErrorMessage="1" sqref="F25">
      <formula1>liste_categories</formula1>
    </dataValidation>
    <dataValidation type="list" allowBlank="1" showInputMessage="1" showErrorMessage="1" sqref="G25">
      <formula1>liste_responsables</formula1>
    </dataValidation>
    <dataValidation type="list" allowBlank="1" showInputMessage="1" showErrorMessage="1" sqref="H25">
      <formula1>liste_sites</formula1>
    </dataValidation>
    <dataValidation type="list" allowBlank="1" showInputMessage="1" showErrorMessage="1" sqref="I25">
      <formula1>liste_priorites</formula1>
    </dataValidation>
    <dataValidation type="date" operator="greaterThanOrEqual" allowBlank="1" showInputMessage="1" showErrorMessage="1" sqref="J25">
      <formula1>730120</formula1>
    </dataValidation>
    <dataValidation type="date" operator="greaterThanOrEqual" allowBlank="1" showInputMessage="1" showErrorMessage="1" sqref="K25">
      <formula1>730120</formula1>
    </dataValidation>
    <dataValidation type="date" operator="greaterThanOrEqual" allowBlank="1" showInputMessage="1" showErrorMessage="1" sqref="L25">
      <formula1>730120</formula1>
    </dataValidation>
    <dataValidation type="whole" allowBlank="1" showInputMessage="1" showErrorMessage="1" sqref="P25">
      <formula1>0</formula1>
      <formula2>100</formula2>
    </dataValidation>
    <dataValidation type="decimal" operator="greaterThanOrEqual" allowBlank="1" showInputMessage="1" showErrorMessage="1" sqref="Q25">
      <formula1>0</formula1>
    </dataValidation>
    <dataValidation type="decimal" operator="greaterThanOrEqual" allowBlank="1" showInputMessage="1" showErrorMessage="1" sqref="R25">
      <formula1>0</formula1>
    </dataValidation>
    <dataValidation type="whole" allowBlank="1" showInputMessage="1" showErrorMessage="1" sqref="U25">
      <formula1>1</formula1>
      <formula2>5</formula2>
    </dataValidation>
    <dataValidation type="whole" allowBlank="1" showInputMessage="1" showErrorMessage="1" sqref="V25">
      <formula1>1</formula1>
      <formula2>5</formula2>
    </dataValidation>
    <dataValidation type="whole" allowBlank="1" showInputMessage="1" showErrorMessage="1" sqref="X25">
      <formula1>1</formula1>
      <formula2>5</formula2>
    </dataValidation>
    <dataValidation type="decimal" operator="greaterThanOrEqual" allowBlank="1" showInputMessage="1" showErrorMessage="1" sqref="Y25">
      <formula1>0</formula1>
    </dataValidation>
    <dataValidation type="whole" operator="greaterThanOrEqual" allowBlank="1" showInputMessage="1" showErrorMessage="1" sqref="Z25">
      <formula1>0</formula1>
    </dataValidation>
    <dataValidation type="whole" allowBlank="1" showInputMessage="1" showErrorMessage="1" sqref="AA25">
      <formula1>1</formula1>
      <formula2>5</formula2>
    </dataValidation>
    <dataValidation type="decimal" allowBlank="1" showInputMessage="1" showErrorMessage="1" sqref="AB25">
      <formula1>0</formula1>
      <formula2>1</formula2>
    </dataValidation>
    <dataValidation type="list" allowBlank="1" showInputMessage="1" showErrorMessage="1" sqref="O25">
      <formula1>liste_statuts</formula1>
    </dataValidation>
    <dataValidation type="list" allowBlank="1" showInputMessage="1" showErrorMessage="1" sqref="B26">
      <formula1>liste_programmes</formula1>
    </dataValidation>
    <dataValidation type="list" allowBlank="1" showInputMessage="1" showErrorMessage="1" sqref="D26">
      <formula1>liste_types</formula1>
    </dataValidation>
    <dataValidation type="list" allowBlank="1" showInputMessage="1" showErrorMessage="1" sqref="F26">
      <formula1>liste_categories</formula1>
    </dataValidation>
    <dataValidation type="list" allowBlank="1" showInputMessage="1" showErrorMessage="1" sqref="G26">
      <formula1>liste_responsables</formula1>
    </dataValidation>
    <dataValidation type="list" allowBlank="1" showInputMessage="1" showErrorMessage="1" sqref="H26">
      <formula1>liste_sites</formula1>
    </dataValidation>
    <dataValidation type="list" allowBlank="1" showInputMessage="1" showErrorMessage="1" sqref="I26">
      <formula1>liste_priorites</formula1>
    </dataValidation>
    <dataValidation type="date" operator="greaterThanOrEqual" allowBlank="1" showInputMessage="1" showErrorMessage="1" sqref="J26">
      <formula1>730120</formula1>
    </dataValidation>
    <dataValidation type="date" operator="greaterThanOrEqual" allowBlank="1" showInputMessage="1" showErrorMessage="1" sqref="K26">
      <formula1>730120</formula1>
    </dataValidation>
    <dataValidation type="date" operator="greaterThanOrEqual" allowBlank="1" showInputMessage="1" showErrorMessage="1" sqref="L26">
      <formula1>730120</formula1>
    </dataValidation>
    <dataValidation type="whole" allowBlank="1" showInputMessage="1" showErrorMessage="1" sqref="P26">
      <formula1>0</formula1>
      <formula2>100</formula2>
    </dataValidation>
    <dataValidation type="decimal" operator="greaterThanOrEqual" allowBlank="1" showInputMessage="1" showErrorMessage="1" sqref="Q26">
      <formula1>0</formula1>
    </dataValidation>
    <dataValidation type="decimal" operator="greaterThanOrEqual" allowBlank="1" showInputMessage="1" showErrorMessage="1" sqref="R26">
      <formula1>0</formula1>
    </dataValidation>
    <dataValidation type="whole" allowBlank="1" showInputMessage="1" showErrorMessage="1" sqref="U26">
      <formula1>1</formula1>
      <formula2>5</formula2>
    </dataValidation>
    <dataValidation type="whole" allowBlank="1" showInputMessage="1" showErrorMessage="1" sqref="V26">
      <formula1>1</formula1>
      <formula2>5</formula2>
    </dataValidation>
    <dataValidation type="whole" allowBlank="1" showInputMessage="1" showErrorMessage="1" sqref="X26">
      <formula1>1</formula1>
      <formula2>5</formula2>
    </dataValidation>
    <dataValidation type="decimal" operator="greaterThanOrEqual" allowBlank="1" showInputMessage="1" showErrorMessage="1" sqref="Y26">
      <formula1>0</formula1>
    </dataValidation>
    <dataValidation type="whole" operator="greaterThanOrEqual" allowBlank="1" showInputMessage="1" showErrorMessage="1" sqref="Z26">
      <formula1>0</formula1>
    </dataValidation>
    <dataValidation type="whole" allowBlank="1" showInputMessage="1" showErrorMessage="1" sqref="AA26">
      <formula1>1</formula1>
      <formula2>5</formula2>
    </dataValidation>
    <dataValidation type="decimal" allowBlank="1" showInputMessage="1" showErrorMessage="1" sqref="AB26">
      <formula1>0</formula1>
      <formula2>1</formula2>
    </dataValidation>
    <dataValidation type="list" allowBlank="1" showInputMessage="1" showErrorMessage="1" sqref="O26">
      <formula1>liste_statuts</formula1>
    </dataValidation>
    <dataValidation type="list" allowBlank="1" showInputMessage="1" showErrorMessage="1" sqref="B27">
      <formula1>liste_programmes</formula1>
    </dataValidation>
    <dataValidation type="list" allowBlank="1" showInputMessage="1" showErrorMessage="1" sqref="D27">
      <formula1>liste_types</formula1>
    </dataValidation>
    <dataValidation type="list" allowBlank="1" showInputMessage="1" showErrorMessage="1" sqref="F27">
      <formula1>liste_categories</formula1>
    </dataValidation>
    <dataValidation type="list" allowBlank="1" showInputMessage="1" showErrorMessage="1" sqref="G27">
      <formula1>liste_responsables</formula1>
    </dataValidation>
    <dataValidation type="list" allowBlank="1" showInputMessage="1" showErrorMessage="1" sqref="H27">
      <formula1>liste_sites</formula1>
    </dataValidation>
    <dataValidation type="list" allowBlank="1" showInputMessage="1" showErrorMessage="1" sqref="I27">
      <formula1>liste_priorites</formula1>
    </dataValidation>
    <dataValidation type="date" operator="greaterThanOrEqual" allowBlank="1" showInputMessage="1" showErrorMessage="1" sqref="J27">
      <formula1>730120</formula1>
    </dataValidation>
    <dataValidation type="date" operator="greaterThanOrEqual" allowBlank="1" showInputMessage="1" showErrorMessage="1" sqref="K27">
      <formula1>730120</formula1>
    </dataValidation>
    <dataValidation type="date" operator="greaterThanOrEqual" allowBlank="1" showInputMessage="1" showErrorMessage="1" sqref="L27">
      <formula1>730120</formula1>
    </dataValidation>
    <dataValidation type="whole" allowBlank="1" showInputMessage="1" showErrorMessage="1" sqref="P27">
      <formula1>0</formula1>
      <formula2>100</formula2>
    </dataValidation>
    <dataValidation type="decimal" operator="greaterThanOrEqual" allowBlank="1" showInputMessage="1" showErrorMessage="1" sqref="Q27">
      <formula1>0</formula1>
    </dataValidation>
    <dataValidation type="decimal" operator="greaterThanOrEqual" allowBlank="1" showInputMessage="1" showErrorMessage="1" sqref="R27">
      <formula1>0</formula1>
    </dataValidation>
    <dataValidation type="whole" allowBlank="1" showInputMessage="1" showErrorMessage="1" sqref="U27">
      <formula1>1</formula1>
      <formula2>5</formula2>
    </dataValidation>
    <dataValidation type="whole" allowBlank="1" showInputMessage="1" showErrorMessage="1" sqref="V27">
      <formula1>1</formula1>
      <formula2>5</formula2>
    </dataValidation>
    <dataValidation type="whole" allowBlank="1" showInputMessage="1" showErrorMessage="1" sqref="X27">
      <formula1>1</formula1>
      <formula2>5</formula2>
    </dataValidation>
    <dataValidation type="decimal" operator="greaterThanOrEqual" allowBlank="1" showInputMessage="1" showErrorMessage="1" sqref="Y27">
      <formula1>0</formula1>
    </dataValidation>
    <dataValidation type="whole" operator="greaterThanOrEqual" allowBlank="1" showInputMessage="1" showErrorMessage="1" sqref="Z27">
      <formula1>0</formula1>
    </dataValidation>
    <dataValidation type="whole" allowBlank="1" showInputMessage="1" showErrorMessage="1" sqref="AA27">
      <formula1>1</formula1>
      <formula2>5</formula2>
    </dataValidation>
    <dataValidation type="decimal" allowBlank="1" showInputMessage="1" showErrorMessage="1" sqref="AB27">
      <formula1>0</formula1>
      <formula2>1</formula2>
    </dataValidation>
    <dataValidation type="list" allowBlank="1" showInputMessage="1" showErrorMessage="1" sqref="O27">
      <formula1>liste_statuts</formula1>
    </dataValidation>
    <dataValidation type="list" allowBlank="1" showInputMessage="1" showErrorMessage="1" sqref="B28">
      <formula1>liste_programmes</formula1>
    </dataValidation>
    <dataValidation type="list" allowBlank="1" showInputMessage="1" showErrorMessage="1" sqref="D28">
      <formula1>liste_types</formula1>
    </dataValidation>
    <dataValidation type="list" allowBlank="1" showInputMessage="1" showErrorMessage="1" sqref="F28">
      <formula1>liste_categories</formula1>
    </dataValidation>
    <dataValidation type="list" allowBlank="1" showInputMessage="1" showErrorMessage="1" sqref="G28">
      <formula1>liste_responsables</formula1>
    </dataValidation>
    <dataValidation type="list" allowBlank="1" showInputMessage="1" showErrorMessage="1" sqref="H28">
      <formula1>liste_sites</formula1>
    </dataValidation>
    <dataValidation type="list" allowBlank="1" showInputMessage="1" showErrorMessage="1" sqref="I28">
      <formula1>liste_priorites</formula1>
    </dataValidation>
    <dataValidation type="date" operator="greaterThanOrEqual" allowBlank="1" showInputMessage="1" showErrorMessage="1" sqref="J28">
      <formula1>730120</formula1>
    </dataValidation>
    <dataValidation type="date" operator="greaterThanOrEqual" allowBlank="1" showInputMessage="1" showErrorMessage="1" sqref="K28">
      <formula1>730120</formula1>
    </dataValidation>
    <dataValidation type="date" operator="greaterThanOrEqual" allowBlank="1" showInputMessage="1" showErrorMessage="1" sqref="L28">
      <formula1>730120</formula1>
    </dataValidation>
    <dataValidation type="whole" allowBlank="1" showInputMessage="1" showErrorMessage="1" sqref="P28">
      <formula1>0</formula1>
      <formula2>100</formula2>
    </dataValidation>
    <dataValidation type="decimal" operator="greaterThanOrEqual" allowBlank="1" showInputMessage="1" showErrorMessage="1" sqref="Q28">
      <formula1>0</formula1>
    </dataValidation>
    <dataValidation type="decimal" operator="greaterThanOrEqual" allowBlank="1" showInputMessage="1" showErrorMessage="1" sqref="R28">
      <formula1>0</formula1>
    </dataValidation>
    <dataValidation type="whole" allowBlank="1" showInputMessage="1" showErrorMessage="1" sqref="U28">
      <formula1>1</formula1>
      <formula2>5</formula2>
    </dataValidation>
    <dataValidation type="whole" allowBlank="1" showInputMessage="1" showErrorMessage="1" sqref="V28">
      <formula1>1</formula1>
      <formula2>5</formula2>
    </dataValidation>
    <dataValidation type="whole" allowBlank="1" showInputMessage="1" showErrorMessage="1" sqref="X28">
      <formula1>1</formula1>
      <formula2>5</formula2>
    </dataValidation>
    <dataValidation type="decimal" operator="greaterThanOrEqual" allowBlank="1" showInputMessage="1" showErrorMessage="1" sqref="Y28">
      <formula1>0</formula1>
    </dataValidation>
    <dataValidation type="whole" operator="greaterThanOrEqual" allowBlank="1" showInputMessage="1" showErrorMessage="1" sqref="Z28">
      <formula1>0</formula1>
    </dataValidation>
    <dataValidation type="whole" allowBlank="1" showInputMessage="1" showErrorMessage="1" sqref="AA28">
      <formula1>1</formula1>
      <formula2>5</formula2>
    </dataValidation>
    <dataValidation type="decimal" allowBlank="1" showInputMessage="1" showErrorMessage="1" sqref="AB28">
      <formula1>0</formula1>
      <formula2>1</formula2>
    </dataValidation>
    <dataValidation type="list" allowBlank="1" showInputMessage="1" showErrorMessage="1" sqref="O28">
      <formula1>liste_statuts</formula1>
    </dataValidation>
    <dataValidation type="list" allowBlank="1" showInputMessage="1" showErrorMessage="1" sqref="B29">
      <formula1>liste_programmes</formula1>
    </dataValidation>
    <dataValidation type="list" allowBlank="1" showInputMessage="1" showErrorMessage="1" sqref="D29">
      <formula1>liste_types</formula1>
    </dataValidation>
    <dataValidation type="list" allowBlank="1" showInputMessage="1" showErrorMessage="1" sqref="F29">
      <formula1>liste_categories</formula1>
    </dataValidation>
    <dataValidation type="list" allowBlank="1" showInputMessage="1" showErrorMessage="1" sqref="G29">
      <formula1>liste_responsables</formula1>
    </dataValidation>
    <dataValidation type="list" allowBlank="1" showInputMessage="1" showErrorMessage="1" sqref="H29">
      <formula1>liste_sites</formula1>
    </dataValidation>
    <dataValidation type="list" allowBlank="1" showInputMessage="1" showErrorMessage="1" sqref="I29">
      <formula1>liste_priorites</formula1>
    </dataValidation>
    <dataValidation type="date" operator="greaterThanOrEqual" allowBlank="1" showInputMessage="1" showErrorMessage="1" sqref="J29">
      <formula1>730120</formula1>
    </dataValidation>
    <dataValidation type="date" operator="greaterThanOrEqual" allowBlank="1" showInputMessage="1" showErrorMessage="1" sqref="K29">
      <formula1>730120</formula1>
    </dataValidation>
    <dataValidation type="date" operator="greaterThanOrEqual" allowBlank="1" showInputMessage="1" showErrorMessage="1" sqref="L29">
      <formula1>730120</formula1>
    </dataValidation>
    <dataValidation type="whole" allowBlank="1" showInputMessage="1" showErrorMessage="1" sqref="P29">
      <formula1>0</formula1>
      <formula2>100</formula2>
    </dataValidation>
    <dataValidation type="decimal" operator="greaterThanOrEqual" allowBlank="1" showInputMessage="1" showErrorMessage="1" sqref="Q29">
      <formula1>0</formula1>
    </dataValidation>
    <dataValidation type="decimal" operator="greaterThanOrEqual" allowBlank="1" showInputMessage="1" showErrorMessage="1" sqref="R29">
      <formula1>0</formula1>
    </dataValidation>
    <dataValidation type="whole" allowBlank="1" showInputMessage="1" showErrorMessage="1" sqref="U29">
      <formula1>1</formula1>
      <formula2>5</formula2>
    </dataValidation>
    <dataValidation type="whole" allowBlank="1" showInputMessage="1" showErrorMessage="1" sqref="V29">
      <formula1>1</formula1>
      <formula2>5</formula2>
    </dataValidation>
    <dataValidation type="whole" allowBlank="1" showInputMessage="1" showErrorMessage="1" sqref="X29">
      <formula1>1</formula1>
      <formula2>5</formula2>
    </dataValidation>
    <dataValidation type="decimal" operator="greaterThanOrEqual" allowBlank="1" showInputMessage="1" showErrorMessage="1" sqref="Y29">
      <formula1>0</formula1>
    </dataValidation>
    <dataValidation type="whole" operator="greaterThanOrEqual" allowBlank="1" showInputMessage="1" showErrorMessage="1" sqref="Z29">
      <formula1>0</formula1>
    </dataValidation>
    <dataValidation type="whole" allowBlank="1" showInputMessage="1" showErrorMessage="1" sqref="AA29">
      <formula1>1</formula1>
      <formula2>5</formula2>
    </dataValidation>
    <dataValidation type="decimal" allowBlank="1" showInputMessage="1" showErrorMessage="1" sqref="AB29">
      <formula1>0</formula1>
      <formula2>1</formula2>
    </dataValidation>
    <dataValidation type="list" allowBlank="1" showInputMessage="1" showErrorMessage="1" sqref="O29">
      <formula1>liste_statuts</formula1>
    </dataValidation>
    <dataValidation type="list" allowBlank="1" showInputMessage="1" showErrorMessage="1" sqref="B30">
      <formula1>liste_programmes</formula1>
    </dataValidation>
    <dataValidation type="list" allowBlank="1" showInputMessage="1" showErrorMessage="1" sqref="D30">
      <formula1>liste_types</formula1>
    </dataValidation>
    <dataValidation type="list" allowBlank="1" showInputMessage="1" showErrorMessage="1" sqref="F30">
      <formula1>liste_categories</formula1>
    </dataValidation>
    <dataValidation type="list" allowBlank="1" showInputMessage="1" showErrorMessage="1" sqref="G30">
      <formula1>liste_responsables</formula1>
    </dataValidation>
    <dataValidation type="list" allowBlank="1" showInputMessage="1" showErrorMessage="1" sqref="H30">
      <formula1>liste_sites</formula1>
    </dataValidation>
    <dataValidation type="list" allowBlank="1" showInputMessage="1" showErrorMessage="1" sqref="I30">
      <formula1>liste_priorites</formula1>
    </dataValidation>
    <dataValidation type="date" operator="greaterThanOrEqual" allowBlank="1" showInputMessage="1" showErrorMessage="1" sqref="J30">
      <formula1>730120</formula1>
    </dataValidation>
    <dataValidation type="date" operator="greaterThanOrEqual" allowBlank="1" showInputMessage="1" showErrorMessage="1" sqref="K30">
      <formula1>730120</formula1>
    </dataValidation>
    <dataValidation type="date" operator="greaterThanOrEqual" allowBlank="1" showInputMessage="1" showErrorMessage="1" sqref="L30">
      <formula1>730120</formula1>
    </dataValidation>
    <dataValidation type="whole" allowBlank="1" showInputMessage="1" showErrorMessage="1" sqref="P30">
      <formula1>0</formula1>
      <formula2>100</formula2>
    </dataValidation>
    <dataValidation type="decimal" operator="greaterThanOrEqual" allowBlank="1" showInputMessage="1" showErrorMessage="1" sqref="Q30">
      <formula1>0</formula1>
    </dataValidation>
    <dataValidation type="decimal" operator="greaterThanOrEqual" allowBlank="1" showInputMessage="1" showErrorMessage="1" sqref="R30">
      <formula1>0</formula1>
    </dataValidation>
    <dataValidation type="whole" allowBlank="1" showInputMessage="1" showErrorMessage="1" sqref="U30">
      <formula1>1</formula1>
      <formula2>5</formula2>
    </dataValidation>
    <dataValidation type="whole" allowBlank="1" showInputMessage="1" showErrorMessage="1" sqref="V30">
      <formula1>1</formula1>
      <formula2>5</formula2>
    </dataValidation>
    <dataValidation type="whole" allowBlank="1" showInputMessage="1" showErrorMessage="1" sqref="X30">
      <formula1>1</formula1>
      <formula2>5</formula2>
    </dataValidation>
    <dataValidation type="decimal" operator="greaterThanOrEqual" allowBlank="1" showInputMessage="1" showErrorMessage="1" sqref="Y30">
      <formula1>0</formula1>
    </dataValidation>
    <dataValidation type="whole" operator="greaterThanOrEqual" allowBlank="1" showInputMessage="1" showErrorMessage="1" sqref="Z30">
      <formula1>0</formula1>
    </dataValidation>
    <dataValidation type="whole" allowBlank="1" showInputMessage="1" showErrorMessage="1" sqref="AA30">
      <formula1>1</formula1>
      <formula2>5</formula2>
    </dataValidation>
    <dataValidation type="decimal" allowBlank="1" showInputMessage="1" showErrorMessage="1" sqref="AB30">
      <formula1>0</formula1>
      <formula2>1</formula2>
    </dataValidation>
    <dataValidation type="list" allowBlank="1" showInputMessage="1" showErrorMessage="1" sqref="O30">
      <formula1>liste_statuts</formula1>
    </dataValidation>
    <dataValidation type="list" allowBlank="1" showInputMessage="1" showErrorMessage="1" sqref="B31">
      <formula1>liste_programmes</formula1>
    </dataValidation>
    <dataValidation type="list" allowBlank="1" showInputMessage="1" showErrorMessage="1" sqref="D31">
      <formula1>liste_types</formula1>
    </dataValidation>
    <dataValidation type="list" allowBlank="1" showInputMessage="1" showErrorMessage="1" sqref="F31">
      <formula1>liste_categories</formula1>
    </dataValidation>
    <dataValidation type="list" allowBlank="1" showInputMessage="1" showErrorMessage="1" sqref="G31">
      <formula1>liste_responsables</formula1>
    </dataValidation>
    <dataValidation type="list" allowBlank="1" showInputMessage="1" showErrorMessage="1" sqref="H31">
      <formula1>liste_sites</formula1>
    </dataValidation>
    <dataValidation type="list" allowBlank="1" showInputMessage="1" showErrorMessage="1" sqref="I31">
      <formula1>liste_priorites</formula1>
    </dataValidation>
    <dataValidation type="date" operator="greaterThanOrEqual" allowBlank="1" showInputMessage="1" showErrorMessage="1" sqref="J31">
      <formula1>730120</formula1>
    </dataValidation>
    <dataValidation type="date" operator="greaterThanOrEqual" allowBlank="1" showInputMessage="1" showErrorMessage="1" sqref="K31">
      <formula1>730120</formula1>
    </dataValidation>
    <dataValidation type="date" operator="greaterThanOrEqual" allowBlank="1" showInputMessage="1" showErrorMessage="1" sqref="L31">
      <formula1>730120</formula1>
    </dataValidation>
    <dataValidation type="whole" allowBlank="1" showInputMessage="1" showErrorMessage="1" sqref="P31">
      <formula1>0</formula1>
      <formula2>100</formula2>
    </dataValidation>
    <dataValidation type="decimal" operator="greaterThanOrEqual" allowBlank="1" showInputMessage="1" showErrorMessage="1" sqref="Q31">
      <formula1>0</formula1>
    </dataValidation>
    <dataValidation type="decimal" operator="greaterThanOrEqual" allowBlank="1" showInputMessage="1" showErrorMessage="1" sqref="R31">
      <formula1>0</formula1>
    </dataValidation>
    <dataValidation type="whole" allowBlank="1" showInputMessage="1" showErrorMessage="1" sqref="U31">
      <formula1>1</formula1>
      <formula2>5</formula2>
    </dataValidation>
    <dataValidation type="whole" allowBlank="1" showInputMessage="1" showErrorMessage="1" sqref="V31">
      <formula1>1</formula1>
      <formula2>5</formula2>
    </dataValidation>
    <dataValidation type="whole" allowBlank="1" showInputMessage="1" showErrorMessage="1" sqref="X31">
      <formula1>1</formula1>
      <formula2>5</formula2>
    </dataValidation>
    <dataValidation type="decimal" operator="greaterThanOrEqual" allowBlank="1" showInputMessage="1" showErrorMessage="1" sqref="Y31">
      <formula1>0</formula1>
    </dataValidation>
    <dataValidation type="whole" operator="greaterThanOrEqual" allowBlank="1" showInputMessage="1" showErrorMessage="1" sqref="Z31">
      <formula1>0</formula1>
    </dataValidation>
    <dataValidation type="whole" allowBlank="1" showInputMessage="1" showErrorMessage="1" sqref="AA31">
      <formula1>1</formula1>
      <formula2>5</formula2>
    </dataValidation>
    <dataValidation type="decimal" allowBlank="1" showInputMessage="1" showErrorMessage="1" sqref="AB31">
      <formula1>0</formula1>
      <formula2>1</formula2>
    </dataValidation>
    <dataValidation type="list" allowBlank="1" showInputMessage="1" showErrorMessage="1" sqref="O31">
      <formula1>liste_statuts</formula1>
    </dataValidation>
    <dataValidation type="list" allowBlank="1" showInputMessage="1" showErrorMessage="1" sqref="B32">
      <formula1>liste_programmes</formula1>
    </dataValidation>
    <dataValidation type="list" allowBlank="1" showInputMessage="1" showErrorMessage="1" sqref="D32">
      <formula1>liste_types</formula1>
    </dataValidation>
    <dataValidation type="list" allowBlank="1" showInputMessage="1" showErrorMessage="1" sqref="F32">
      <formula1>liste_categories</formula1>
    </dataValidation>
    <dataValidation type="list" allowBlank="1" showInputMessage="1" showErrorMessage="1" sqref="G32">
      <formula1>liste_responsables</formula1>
    </dataValidation>
    <dataValidation type="list" allowBlank="1" showInputMessage="1" showErrorMessage="1" sqref="H32">
      <formula1>liste_sites</formula1>
    </dataValidation>
    <dataValidation type="list" allowBlank="1" showInputMessage="1" showErrorMessage="1" sqref="I32">
      <formula1>liste_priorites</formula1>
    </dataValidation>
    <dataValidation type="date" operator="greaterThanOrEqual" allowBlank="1" showInputMessage="1" showErrorMessage="1" sqref="J32">
      <formula1>730120</formula1>
    </dataValidation>
    <dataValidation type="date" operator="greaterThanOrEqual" allowBlank="1" showInputMessage="1" showErrorMessage="1" sqref="K32">
      <formula1>730120</formula1>
    </dataValidation>
    <dataValidation type="date" operator="greaterThanOrEqual" allowBlank="1" showInputMessage="1" showErrorMessage="1" sqref="L32">
      <formula1>730120</formula1>
    </dataValidation>
    <dataValidation type="whole" allowBlank="1" showInputMessage="1" showErrorMessage="1" sqref="P32">
      <formula1>0</formula1>
      <formula2>100</formula2>
    </dataValidation>
    <dataValidation type="decimal" operator="greaterThanOrEqual" allowBlank="1" showInputMessage="1" showErrorMessage="1" sqref="Q32">
      <formula1>0</formula1>
    </dataValidation>
    <dataValidation type="decimal" operator="greaterThanOrEqual" allowBlank="1" showInputMessage="1" showErrorMessage="1" sqref="R32">
      <formula1>0</formula1>
    </dataValidation>
    <dataValidation type="whole" allowBlank="1" showInputMessage="1" showErrorMessage="1" sqref="U32">
      <formula1>1</formula1>
      <formula2>5</formula2>
    </dataValidation>
    <dataValidation type="whole" allowBlank="1" showInputMessage="1" showErrorMessage="1" sqref="V32">
      <formula1>1</formula1>
      <formula2>5</formula2>
    </dataValidation>
    <dataValidation type="whole" allowBlank="1" showInputMessage="1" showErrorMessage="1" sqref="X32">
      <formula1>1</formula1>
      <formula2>5</formula2>
    </dataValidation>
    <dataValidation type="decimal" operator="greaterThanOrEqual" allowBlank="1" showInputMessage="1" showErrorMessage="1" sqref="Y32">
      <formula1>0</formula1>
    </dataValidation>
    <dataValidation type="whole" operator="greaterThanOrEqual" allowBlank="1" showInputMessage="1" showErrorMessage="1" sqref="Z32">
      <formula1>0</formula1>
    </dataValidation>
    <dataValidation type="whole" allowBlank="1" showInputMessage="1" showErrorMessage="1" sqref="AA32">
      <formula1>1</formula1>
      <formula2>5</formula2>
    </dataValidation>
    <dataValidation type="decimal" allowBlank="1" showInputMessage="1" showErrorMessage="1" sqref="AB32">
      <formula1>0</formula1>
      <formula2>1</formula2>
    </dataValidation>
    <dataValidation type="list" allowBlank="1" showInputMessage="1" showErrorMessage="1" sqref="O32">
      <formula1>liste_statuts</formula1>
    </dataValidation>
    <dataValidation type="list" allowBlank="1" showInputMessage="1" showErrorMessage="1" sqref="B33">
      <formula1>liste_programmes</formula1>
    </dataValidation>
    <dataValidation type="list" allowBlank="1" showInputMessage="1" showErrorMessage="1" sqref="D33">
      <formula1>liste_types</formula1>
    </dataValidation>
    <dataValidation type="list" allowBlank="1" showInputMessage="1" showErrorMessage="1" sqref="F33">
      <formula1>liste_categories</formula1>
    </dataValidation>
    <dataValidation type="list" allowBlank="1" showInputMessage="1" showErrorMessage="1" sqref="G33">
      <formula1>liste_responsables</formula1>
    </dataValidation>
    <dataValidation type="list" allowBlank="1" showInputMessage="1" showErrorMessage="1" sqref="H33">
      <formula1>liste_sites</formula1>
    </dataValidation>
    <dataValidation type="list" allowBlank="1" showInputMessage="1" showErrorMessage="1" sqref="I33">
      <formula1>liste_priorites</formula1>
    </dataValidation>
    <dataValidation type="date" operator="greaterThanOrEqual" allowBlank="1" showInputMessage="1" showErrorMessage="1" sqref="J33">
      <formula1>730120</formula1>
    </dataValidation>
    <dataValidation type="date" operator="greaterThanOrEqual" allowBlank="1" showInputMessage="1" showErrorMessage="1" sqref="K33">
      <formula1>730120</formula1>
    </dataValidation>
    <dataValidation type="date" operator="greaterThanOrEqual" allowBlank="1" showInputMessage="1" showErrorMessage="1" sqref="L33">
      <formula1>730120</formula1>
    </dataValidation>
    <dataValidation type="whole" allowBlank="1" showInputMessage="1" showErrorMessage="1" sqref="P33">
      <formula1>0</formula1>
      <formula2>100</formula2>
    </dataValidation>
    <dataValidation type="decimal" operator="greaterThanOrEqual" allowBlank="1" showInputMessage="1" showErrorMessage="1" sqref="Q33">
      <formula1>0</formula1>
    </dataValidation>
    <dataValidation type="decimal" operator="greaterThanOrEqual" allowBlank="1" showInputMessage="1" showErrorMessage="1" sqref="R33">
      <formula1>0</formula1>
    </dataValidation>
    <dataValidation type="whole" allowBlank="1" showInputMessage="1" showErrorMessage="1" sqref="U33">
      <formula1>1</formula1>
      <formula2>5</formula2>
    </dataValidation>
    <dataValidation type="whole" allowBlank="1" showInputMessage="1" showErrorMessage="1" sqref="V33">
      <formula1>1</formula1>
      <formula2>5</formula2>
    </dataValidation>
    <dataValidation type="whole" allowBlank="1" showInputMessage="1" showErrorMessage="1" sqref="X33">
      <formula1>1</formula1>
      <formula2>5</formula2>
    </dataValidation>
    <dataValidation type="decimal" operator="greaterThanOrEqual" allowBlank="1" showInputMessage="1" showErrorMessage="1" sqref="Y33">
      <formula1>0</formula1>
    </dataValidation>
    <dataValidation type="whole" operator="greaterThanOrEqual" allowBlank="1" showInputMessage="1" showErrorMessage="1" sqref="Z33">
      <formula1>0</formula1>
    </dataValidation>
    <dataValidation type="whole" allowBlank="1" showInputMessage="1" showErrorMessage="1" sqref="AA33">
      <formula1>1</formula1>
      <formula2>5</formula2>
    </dataValidation>
    <dataValidation type="decimal" allowBlank="1" showInputMessage="1" showErrorMessage="1" sqref="AB33">
      <formula1>0</formula1>
      <formula2>1</formula2>
    </dataValidation>
    <dataValidation type="list" allowBlank="1" showInputMessage="1" showErrorMessage="1" sqref="O33">
      <formula1>liste_statuts</formula1>
    </dataValidation>
    <dataValidation type="list" allowBlank="1" showInputMessage="1" showErrorMessage="1" sqref="B34">
      <formula1>liste_programmes</formula1>
    </dataValidation>
    <dataValidation type="list" allowBlank="1" showInputMessage="1" showErrorMessage="1" sqref="D34">
      <formula1>liste_types</formula1>
    </dataValidation>
    <dataValidation type="list" allowBlank="1" showInputMessage="1" showErrorMessage="1" sqref="F34">
      <formula1>liste_categories</formula1>
    </dataValidation>
    <dataValidation type="list" allowBlank="1" showInputMessage="1" showErrorMessage="1" sqref="G34">
      <formula1>liste_responsables</formula1>
    </dataValidation>
    <dataValidation type="list" allowBlank="1" showInputMessage="1" showErrorMessage="1" sqref="H34">
      <formula1>liste_sites</formula1>
    </dataValidation>
    <dataValidation type="list" allowBlank="1" showInputMessage="1" showErrorMessage="1" sqref="I34">
      <formula1>liste_priorites</formula1>
    </dataValidation>
    <dataValidation type="date" operator="greaterThanOrEqual" allowBlank="1" showInputMessage="1" showErrorMessage="1" sqref="J34">
      <formula1>730120</formula1>
    </dataValidation>
    <dataValidation type="date" operator="greaterThanOrEqual" allowBlank="1" showInputMessage="1" showErrorMessage="1" sqref="K34">
      <formula1>730120</formula1>
    </dataValidation>
    <dataValidation type="date" operator="greaterThanOrEqual" allowBlank="1" showInputMessage="1" showErrorMessage="1" sqref="L34">
      <formula1>730120</formula1>
    </dataValidation>
    <dataValidation type="whole" allowBlank="1" showInputMessage="1" showErrorMessage="1" sqref="P34">
      <formula1>0</formula1>
      <formula2>100</formula2>
    </dataValidation>
    <dataValidation type="decimal" operator="greaterThanOrEqual" allowBlank="1" showInputMessage="1" showErrorMessage="1" sqref="Q34">
      <formula1>0</formula1>
    </dataValidation>
    <dataValidation type="decimal" operator="greaterThanOrEqual" allowBlank="1" showInputMessage="1" showErrorMessage="1" sqref="R34">
      <formula1>0</formula1>
    </dataValidation>
    <dataValidation type="whole" allowBlank="1" showInputMessage="1" showErrorMessage="1" sqref="U34">
      <formula1>1</formula1>
      <formula2>5</formula2>
    </dataValidation>
    <dataValidation type="whole" allowBlank="1" showInputMessage="1" showErrorMessage="1" sqref="V34">
      <formula1>1</formula1>
      <formula2>5</formula2>
    </dataValidation>
    <dataValidation type="whole" allowBlank="1" showInputMessage="1" showErrorMessage="1" sqref="X34">
      <formula1>1</formula1>
      <formula2>5</formula2>
    </dataValidation>
    <dataValidation type="decimal" operator="greaterThanOrEqual" allowBlank="1" showInputMessage="1" showErrorMessage="1" sqref="Y34">
      <formula1>0</formula1>
    </dataValidation>
    <dataValidation type="whole" operator="greaterThanOrEqual" allowBlank="1" showInputMessage="1" showErrorMessage="1" sqref="Z34">
      <formula1>0</formula1>
    </dataValidation>
    <dataValidation type="whole" allowBlank="1" showInputMessage="1" showErrorMessage="1" sqref="AA34">
      <formula1>1</formula1>
      <formula2>5</formula2>
    </dataValidation>
    <dataValidation type="decimal" allowBlank="1" showInputMessage="1" showErrorMessage="1" sqref="AB34">
      <formula1>0</formula1>
      <formula2>1</formula2>
    </dataValidation>
    <dataValidation type="list" allowBlank="1" showInputMessage="1" showErrorMessage="1" sqref="O34">
      <formula1>liste_statuts</formula1>
    </dataValidation>
    <dataValidation type="list" allowBlank="1" showInputMessage="1" showErrorMessage="1" sqref="B35">
      <formula1>liste_programmes</formula1>
    </dataValidation>
    <dataValidation type="list" allowBlank="1" showInputMessage="1" showErrorMessage="1" sqref="D35">
      <formula1>liste_types</formula1>
    </dataValidation>
    <dataValidation type="list" allowBlank="1" showInputMessage="1" showErrorMessage="1" sqref="F35">
      <formula1>liste_categories</formula1>
    </dataValidation>
    <dataValidation type="list" allowBlank="1" showInputMessage="1" showErrorMessage="1" sqref="G35">
      <formula1>liste_responsables</formula1>
    </dataValidation>
    <dataValidation type="list" allowBlank="1" showInputMessage="1" showErrorMessage="1" sqref="H35">
      <formula1>liste_sites</formula1>
    </dataValidation>
    <dataValidation type="list" allowBlank="1" showInputMessage="1" showErrorMessage="1" sqref="I35">
      <formula1>liste_priorites</formula1>
    </dataValidation>
    <dataValidation type="date" operator="greaterThanOrEqual" allowBlank="1" showInputMessage="1" showErrorMessage="1" sqref="J35">
      <formula1>730120</formula1>
    </dataValidation>
    <dataValidation type="date" operator="greaterThanOrEqual" allowBlank="1" showInputMessage="1" showErrorMessage="1" sqref="K35">
      <formula1>730120</formula1>
    </dataValidation>
    <dataValidation type="date" operator="greaterThanOrEqual" allowBlank="1" showInputMessage="1" showErrorMessage="1" sqref="L35">
      <formula1>730120</formula1>
    </dataValidation>
    <dataValidation type="whole" allowBlank="1" showInputMessage="1" showErrorMessage="1" sqref="P35">
      <formula1>0</formula1>
      <formula2>100</formula2>
    </dataValidation>
    <dataValidation type="decimal" operator="greaterThanOrEqual" allowBlank="1" showInputMessage="1" showErrorMessage="1" sqref="Q35">
      <formula1>0</formula1>
    </dataValidation>
    <dataValidation type="decimal" operator="greaterThanOrEqual" allowBlank="1" showInputMessage="1" showErrorMessage="1" sqref="R35">
      <formula1>0</formula1>
    </dataValidation>
    <dataValidation type="whole" allowBlank="1" showInputMessage="1" showErrorMessage="1" sqref="U35">
      <formula1>1</formula1>
      <formula2>5</formula2>
    </dataValidation>
    <dataValidation type="whole" allowBlank="1" showInputMessage="1" showErrorMessage="1" sqref="V35">
      <formula1>1</formula1>
      <formula2>5</formula2>
    </dataValidation>
    <dataValidation type="whole" allowBlank="1" showInputMessage="1" showErrorMessage="1" sqref="X35">
      <formula1>1</formula1>
      <formula2>5</formula2>
    </dataValidation>
    <dataValidation type="decimal" operator="greaterThanOrEqual" allowBlank="1" showInputMessage="1" showErrorMessage="1" sqref="Y35">
      <formula1>0</formula1>
    </dataValidation>
    <dataValidation type="whole" operator="greaterThanOrEqual" allowBlank="1" showInputMessage="1" showErrorMessage="1" sqref="Z35">
      <formula1>0</formula1>
    </dataValidation>
    <dataValidation type="whole" allowBlank="1" showInputMessage="1" showErrorMessage="1" sqref="AA35">
      <formula1>1</formula1>
      <formula2>5</formula2>
    </dataValidation>
    <dataValidation type="decimal" allowBlank="1" showInputMessage="1" showErrorMessage="1" sqref="AB35">
      <formula1>0</formula1>
      <formula2>1</formula2>
    </dataValidation>
    <dataValidation type="list" allowBlank="1" showInputMessage="1" showErrorMessage="1" sqref="O35">
      <formula1>liste_statuts</formula1>
    </dataValidation>
    <dataValidation type="list" allowBlank="1" showInputMessage="1" showErrorMessage="1" sqref="B36">
      <formula1>liste_programmes</formula1>
    </dataValidation>
    <dataValidation type="list" allowBlank="1" showInputMessage="1" showErrorMessage="1" sqref="D36">
      <formula1>liste_types</formula1>
    </dataValidation>
    <dataValidation type="list" allowBlank="1" showInputMessage="1" showErrorMessage="1" sqref="F36">
      <formula1>liste_categories</formula1>
    </dataValidation>
    <dataValidation type="list" allowBlank="1" showInputMessage="1" showErrorMessage="1" sqref="G36">
      <formula1>liste_responsables</formula1>
    </dataValidation>
    <dataValidation type="list" allowBlank="1" showInputMessage="1" showErrorMessage="1" sqref="H36">
      <formula1>liste_sites</formula1>
    </dataValidation>
    <dataValidation type="list" allowBlank="1" showInputMessage="1" showErrorMessage="1" sqref="I36">
      <formula1>liste_priorites</formula1>
    </dataValidation>
    <dataValidation type="date" operator="greaterThanOrEqual" allowBlank="1" showInputMessage="1" showErrorMessage="1" sqref="J36">
      <formula1>730120</formula1>
    </dataValidation>
    <dataValidation type="date" operator="greaterThanOrEqual" allowBlank="1" showInputMessage="1" showErrorMessage="1" sqref="K36">
      <formula1>730120</formula1>
    </dataValidation>
    <dataValidation type="date" operator="greaterThanOrEqual" allowBlank="1" showInputMessage="1" showErrorMessage="1" sqref="L36">
      <formula1>730120</formula1>
    </dataValidation>
    <dataValidation type="whole" allowBlank="1" showInputMessage="1" showErrorMessage="1" sqref="P36">
      <formula1>0</formula1>
      <formula2>100</formula2>
    </dataValidation>
    <dataValidation type="decimal" operator="greaterThanOrEqual" allowBlank="1" showInputMessage="1" showErrorMessage="1" sqref="Q36">
      <formula1>0</formula1>
    </dataValidation>
    <dataValidation type="decimal" operator="greaterThanOrEqual" allowBlank="1" showInputMessage="1" showErrorMessage="1" sqref="R36">
      <formula1>0</formula1>
    </dataValidation>
    <dataValidation type="whole" allowBlank="1" showInputMessage="1" showErrorMessage="1" sqref="U36">
      <formula1>1</formula1>
      <formula2>5</formula2>
    </dataValidation>
    <dataValidation type="whole" allowBlank="1" showInputMessage="1" showErrorMessage="1" sqref="V36">
      <formula1>1</formula1>
      <formula2>5</formula2>
    </dataValidation>
    <dataValidation type="whole" allowBlank="1" showInputMessage="1" showErrorMessage="1" sqref="X36">
      <formula1>1</formula1>
      <formula2>5</formula2>
    </dataValidation>
    <dataValidation type="decimal" operator="greaterThanOrEqual" allowBlank="1" showInputMessage="1" showErrorMessage="1" sqref="Y36">
      <formula1>0</formula1>
    </dataValidation>
    <dataValidation type="whole" operator="greaterThanOrEqual" allowBlank="1" showInputMessage="1" showErrorMessage="1" sqref="Z36">
      <formula1>0</formula1>
    </dataValidation>
    <dataValidation type="whole" allowBlank="1" showInputMessage="1" showErrorMessage="1" sqref="AA36">
      <formula1>1</formula1>
      <formula2>5</formula2>
    </dataValidation>
    <dataValidation type="decimal" allowBlank="1" showInputMessage="1" showErrorMessage="1" sqref="AB36">
      <formula1>0</formula1>
      <formula2>1</formula2>
    </dataValidation>
    <dataValidation type="list" allowBlank="1" showInputMessage="1" showErrorMessage="1" sqref="O36">
      <formula1>liste_statuts</formula1>
    </dataValidation>
    <dataValidation type="list" allowBlank="1" showInputMessage="1" showErrorMessage="1" sqref="B37">
      <formula1>liste_programmes</formula1>
    </dataValidation>
    <dataValidation type="list" allowBlank="1" showInputMessage="1" showErrorMessage="1" sqref="D37">
      <formula1>liste_types</formula1>
    </dataValidation>
    <dataValidation type="list" allowBlank="1" showInputMessage="1" showErrorMessage="1" sqref="F37">
      <formula1>liste_categories</formula1>
    </dataValidation>
    <dataValidation type="list" allowBlank="1" showInputMessage="1" showErrorMessage="1" sqref="G37">
      <formula1>liste_responsables</formula1>
    </dataValidation>
    <dataValidation type="list" allowBlank="1" showInputMessage="1" showErrorMessage="1" sqref="H37">
      <formula1>liste_sites</formula1>
    </dataValidation>
    <dataValidation type="list" allowBlank="1" showInputMessage="1" showErrorMessage="1" sqref="I37">
      <formula1>liste_priorites</formula1>
    </dataValidation>
    <dataValidation type="date" operator="greaterThanOrEqual" allowBlank="1" showInputMessage="1" showErrorMessage="1" sqref="J37">
      <formula1>730120</formula1>
    </dataValidation>
    <dataValidation type="date" operator="greaterThanOrEqual" allowBlank="1" showInputMessage="1" showErrorMessage="1" sqref="K37">
      <formula1>730120</formula1>
    </dataValidation>
    <dataValidation type="date" operator="greaterThanOrEqual" allowBlank="1" showInputMessage="1" showErrorMessage="1" sqref="L37">
      <formula1>730120</formula1>
    </dataValidation>
    <dataValidation type="whole" allowBlank="1" showInputMessage="1" showErrorMessage="1" sqref="P37">
      <formula1>0</formula1>
      <formula2>100</formula2>
    </dataValidation>
    <dataValidation type="decimal" operator="greaterThanOrEqual" allowBlank="1" showInputMessage="1" showErrorMessage="1" sqref="Q37">
      <formula1>0</formula1>
    </dataValidation>
    <dataValidation type="decimal" operator="greaterThanOrEqual" allowBlank="1" showInputMessage="1" showErrorMessage="1" sqref="R37">
      <formula1>0</formula1>
    </dataValidation>
    <dataValidation type="whole" allowBlank="1" showInputMessage="1" showErrorMessage="1" sqref="U37">
      <formula1>1</formula1>
      <formula2>5</formula2>
    </dataValidation>
    <dataValidation type="whole" allowBlank="1" showInputMessage="1" showErrorMessage="1" sqref="V37">
      <formula1>1</formula1>
      <formula2>5</formula2>
    </dataValidation>
    <dataValidation type="whole" allowBlank="1" showInputMessage="1" showErrorMessage="1" sqref="X37">
      <formula1>1</formula1>
      <formula2>5</formula2>
    </dataValidation>
    <dataValidation type="decimal" operator="greaterThanOrEqual" allowBlank="1" showInputMessage="1" showErrorMessage="1" sqref="Y37">
      <formula1>0</formula1>
    </dataValidation>
    <dataValidation type="whole" operator="greaterThanOrEqual" allowBlank="1" showInputMessage="1" showErrorMessage="1" sqref="Z37">
      <formula1>0</formula1>
    </dataValidation>
    <dataValidation type="whole" allowBlank="1" showInputMessage="1" showErrorMessage="1" sqref="AA37">
      <formula1>1</formula1>
      <formula2>5</formula2>
    </dataValidation>
    <dataValidation type="decimal" allowBlank="1" showInputMessage="1" showErrorMessage="1" sqref="AB37">
      <formula1>0</formula1>
      <formula2>1</formula2>
    </dataValidation>
    <dataValidation type="list" allowBlank="1" showInputMessage="1" showErrorMessage="1" sqref="O37">
      <formula1>liste_statuts</formula1>
    </dataValidation>
    <dataValidation type="list" allowBlank="1" showInputMessage="1" showErrorMessage="1" sqref="B38">
      <formula1>liste_programmes</formula1>
    </dataValidation>
    <dataValidation type="list" allowBlank="1" showInputMessage="1" showErrorMessage="1" sqref="D38">
      <formula1>liste_types</formula1>
    </dataValidation>
    <dataValidation type="list" allowBlank="1" showInputMessage="1" showErrorMessage="1" sqref="F38">
      <formula1>liste_categories</formula1>
    </dataValidation>
    <dataValidation type="list" allowBlank="1" showInputMessage="1" showErrorMessage="1" sqref="G38">
      <formula1>liste_responsables</formula1>
    </dataValidation>
    <dataValidation type="list" allowBlank="1" showInputMessage="1" showErrorMessage="1" sqref="H38">
      <formula1>liste_sites</formula1>
    </dataValidation>
    <dataValidation type="list" allowBlank="1" showInputMessage="1" showErrorMessage="1" sqref="I38">
      <formula1>liste_priorites</formula1>
    </dataValidation>
    <dataValidation type="date" operator="greaterThanOrEqual" allowBlank="1" showInputMessage="1" showErrorMessage="1" sqref="J38">
      <formula1>730120</formula1>
    </dataValidation>
    <dataValidation type="date" operator="greaterThanOrEqual" allowBlank="1" showInputMessage="1" showErrorMessage="1" sqref="K38">
      <formula1>730120</formula1>
    </dataValidation>
    <dataValidation type="date" operator="greaterThanOrEqual" allowBlank="1" showInputMessage="1" showErrorMessage="1" sqref="L38">
      <formula1>730120</formula1>
    </dataValidation>
    <dataValidation type="whole" allowBlank="1" showInputMessage="1" showErrorMessage="1" sqref="P38">
      <formula1>0</formula1>
      <formula2>100</formula2>
    </dataValidation>
    <dataValidation type="decimal" operator="greaterThanOrEqual" allowBlank="1" showInputMessage="1" showErrorMessage="1" sqref="Q38">
      <formula1>0</formula1>
    </dataValidation>
    <dataValidation type="decimal" operator="greaterThanOrEqual" allowBlank="1" showInputMessage="1" showErrorMessage="1" sqref="R38">
      <formula1>0</formula1>
    </dataValidation>
    <dataValidation type="whole" allowBlank="1" showInputMessage="1" showErrorMessage="1" sqref="U38">
      <formula1>1</formula1>
      <formula2>5</formula2>
    </dataValidation>
    <dataValidation type="whole" allowBlank="1" showInputMessage="1" showErrorMessage="1" sqref="V38">
      <formula1>1</formula1>
      <formula2>5</formula2>
    </dataValidation>
    <dataValidation type="whole" allowBlank="1" showInputMessage="1" showErrorMessage="1" sqref="X38">
      <formula1>1</formula1>
      <formula2>5</formula2>
    </dataValidation>
    <dataValidation type="decimal" operator="greaterThanOrEqual" allowBlank="1" showInputMessage="1" showErrorMessage="1" sqref="Y38">
      <formula1>0</formula1>
    </dataValidation>
    <dataValidation type="whole" operator="greaterThanOrEqual" allowBlank="1" showInputMessage="1" showErrorMessage="1" sqref="Z38">
      <formula1>0</formula1>
    </dataValidation>
    <dataValidation type="whole" allowBlank="1" showInputMessage="1" showErrorMessage="1" sqref="AA38">
      <formula1>1</formula1>
      <formula2>5</formula2>
    </dataValidation>
    <dataValidation type="decimal" allowBlank="1" showInputMessage="1" showErrorMessage="1" sqref="AB38">
      <formula1>0</formula1>
      <formula2>1</formula2>
    </dataValidation>
    <dataValidation type="list" allowBlank="1" showInputMessage="1" showErrorMessage="1" sqref="O38">
      <formula1>liste_statuts</formula1>
    </dataValidation>
    <dataValidation type="list" allowBlank="1" showInputMessage="1" showErrorMessage="1" sqref="B39">
      <formula1>liste_programmes</formula1>
    </dataValidation>
    <dataValidation type="list" allowBlank="1" showInputMessage="1" showErrorMessage="1" sqref="D39">
      <formula1>liste_types</formula1>
    </dataValidation>
    <dataValidation type="list" allowBlank="1" showInputMessage="1" showErrorMessage="1" sqref="F39">
      <formula1>liste_categories</formula1>
    </dataValidation>
    <dataValidation type="list" allowBlank="1" showInputMessage="1" showErrorMessage="1" sqref="G39">
      <formula1>liste_responsables</formula1>
    </dataValidation>
    <dataValidation type="list" allowBlank="1" showInputMessage="1" showErrorMessage="1" sqref="H39">
      <formula1>liste_sites</formula1>
    </dataValidation>
    <dataValidation type="list" allowBlank="1" showInputMessage="1" showErrorMessage="1" sqref="I39">
      <formula1>liste_priorites</formula1>
    </dataValidation>
    <dataValidation type="date" operator="greaterThanOrEqual" allowBlank="1" showInputMessage="1" showErrorMessage="1" sqref="J39">
      <formula1>730120</formula1>
    </dataValidation>
    <dataValidation type="date" operator="greaterThanOrEqual" allowBlank="1" showInputMessage="1" showErrorMessage="1" sqref="K39">
      <formula1>730120</formula1>
    </dataValidation>
    <dataValidation type="date" operator="greaterThanOrEqual" allowBlank="1" showInputMessage="1" showErrorMessage="1" sqref="L39">
      <formula1>730120</formula1>
    </dataValidation>
    <dataValidation type="whole" allowBlank="1" showInputMessage="1" showErrorMessage="1" sqref="P39">
      <formula1>0</formula1>
      <formula2>100</formula2>
    </dataValidation>
    <dataValidation type="decimal" operator="greaterThanOrEqual" allowBlank="1" showInputMessage="1" showErrorMessage="1" sqref="Q39">
      <formula1>0</formula1>
    </dataValidation>
    <dataValidation type="decimal" operator="greaterThanOrEqual" allowBlank="1" showInputMessage="1" showErrorMessage="1" sqref="R39">
      <formula1>0</formula1>
    </dataValidation>
    <dataValidation type="whole" allowBlank="1" showInputMessage="1" showErrorMessage="1" sqref="U39">
      <formula1>1</formula1>
      <formula2>5</formula2>
    </dataValidation>
    <dataValidation type="whole" allowBlank="1" showInputMessage="1" showErrorMessage="1" sqref="V39">
      <formula1>1</formula1>
      <formula2>5</formula2>
    </dataValidation>
    <dataValidation type="whole" allowBlank="1" showInputMessage="1" showErrorMessage="1" sqref="X39">
      <formula1>1</formula1>
      <formula2>5</formula2>
    </dataValidation>
    <dataValidation type="decimal" operator="greaterThanOrEqual" allowBlank="1" showInputMessage="1" showErrorMessage="1" sqref="Y39">
      <formula1>0</formula1>
    </dataValidation>
    <dataValidation type="whole" operator="greaterThanOrEqual" allowBlank="1" showInputMessage="1" showErrorMessage="1" sqref="Z39">
      <formula1>0</formula1>
    </dataValidation>
    <dataValidation type="whole" allowBlank="1" showInputMessage="1" showErrorMessage="1" sqref="AA39">
      <formula1>1</formula1>
      <formula2>5</formula2>
    </dataValidation>
    <dataValidation type="decimal" allowBlank="1" showInputMessage="1" showErrorMessage="1" sqref="AB39">
      <formula1>0</formula1>
      <formula2>1</formula2>
    </dataValidation>
    <dataValidation type="list" allowBlank="1" showInputMessage="1" showErrorMessage="1" sqref="O39">
      <formula1>liste_statuts</formula1>
    </dataValidation>
    <dataValidation type="list" allowBlank="1" showInputMessage="1" showErrorMessage="1" sqref="B40">
      <formula1>liste_programmes</formula1>
    </dataValidation>
    <dataValidation type="list" allowBlank="1" showInputMessage="1" showErrorMessage="1" sqref="D40">
      <formula1>liste_types</formula1>
    </dataValidation>
    <dataValidation type="list" allowBlank="1" showInputMessage="1" showErrorMessage="1" sqref="F40">
      <formula1>liste_categories</formula1>
    </dataValidation>
    <dataValidation type="list" allowBlank="1" showInputMessage="1" showErrorMessage="1" sqref="G40">
      <formula1>liste_responsables</formula1>
    </dataValidation>
    <dataValidation type="list" allowBlank="1" showInputMessage="1" showErrorMessage="1" sqref="H40">
      <formula1>liste_sites</formula1>
    </dataValidation>
    <dataValidation type="list" allowBlank="1" showInputMessage="1" showErrorMessage="1" sqref="I40">
      <formula1>liste_priorites</formula1>
    </dataValidation>
    <dataValidation type="date" operator="greaterThanOrEqual" allowBlank="1" showInputMessage="1" showErrorMessage="1" sqref="J40">
      <formula1>730120</formula1>
    </dataValidation>
    <dataValidation type="date" operator="greaterThanOrEqual" allowBlank="1" showInputMessage="1" showErrorMessage="1" sqref="K40">
      <formula1>730120</formula1>
    </dataValidation>
    <dataValidation type="date" operator="greaterThanOrEqual" allowBlank="1" showInputMessage="1" showErrorMessage="1" sqref="L40">
      <formula1>730120</formula1>
    </dataValidation>
    <dataValidation type="whole" allowBlank="1" showInputMessage="1" showErrorMessage="1" sqref="P40">
      <formula1>0</formula1>
      <formula2>100</formula2>
    </dataValidation>
    <dataValidation type="decimal" operator="greaterThanOrEqual" allowBlank="1" showInputMessage="1" showErrorMessage="1" sqref="Q40">
      <formula1>0</formula1>
    </dataValidation>
    <dataValidation type="decimal" operator="greaterThanOrEqual" allowBlank="1" showInputMessage="1" showErrorMessage="1" sqref="R40">
      <formula1>0</formula1>
    </dataValidation>
    <dataValidation type="whole" allowBlank="1" showInputMessage="1" showErrorMessage="1" sqref="U40">
      <formula1>1</formula1>
      <formula2>5</formula2>
    </dataValidation>
    <dataValidation type="whole" allowBlank="1" showInputMessage="1" showErrorMessage="1" sqref="V40">
      <formula1>1</formula1>
      <formula2>5</formula2>
    </dataValidation>
    <dataValidation type="whole" allowBlank="1" showInputMessage="1" showErrorMessage="1" sqref="X40">
      <formula1>1</formula1>
      <formula2>5</formula2>
    </dataValidation>
    <dataValidation type="decimal" operator="greaterThanOrEqual" allowBlank="1" showInputMessage="1" showErrorMessage="1" sqref="Y40">
      <formula1>0</formula1>
    </dataValidation>
    <dataValidation type="whole" operator="greaterThanOrEqual" allowBlank="1" showInputMessage="1" showErrorMessage="1" sqref="Z40">
      <formula1>0</formula1>
    </dataValidation>
    <dataValidation type="whole" allowBlank="1" showInputMessage="1" showErrorMessage="1" sqref="AA40">
      <formula1>1</formula1>
      <formula2>5</formula2>
    </dataValidation>
    <dataValidation type="decimal" allowBlank="1" showInputMessage="1" showErrorMessage="1" sqref="AB40">
      <formula1>0</formula1>
      <formula2>1</formula2>
    </dataValidation>
    <dataValidation type="list" allowBlank="1" showInputMessage="1" showErrorMessage="1" sqref="O40">
      <formula1>liste_statuts</formula1>
    </dataValidation>
    <dataValidation type="list" allowBlank="1" showInputMessage="1" showErrorMessage="1" sqref="B41">
      <formula1>liste_programmes</formula1>
    </dataValidation>
    <dataValidation type="list" allowBlank="1" showInputMessage="1" showErrorMessage="1" sqref="D41">
      <formula1>liste_types</formula1>
    </dataValidation>
    <dataValidation type="list" allowBlank="1" showInputMessage="1" showErrorMessage="1" sqref="F41">
      <formula1>liste_categories</formula1>
    </dataValidation>
    <dataValidation type="list" allowBlank="1" showInputMessage="1" showErrorMessage="1" sqref="G41">
      <formula1>liste_responsables</formula1>
    </dataValidation>
    <dataValidation type="list" allowBlank="1" showInputMessage="1" showErrorMessage="1" sqref="H41">
      <formula1>liste_sites</formula1>
    </dataValidation>
    <dataValidation type="list" allowBlank="1" showInputMessage="1" showErrorMessage="1" sqref="I41">
      <formula1>liste_priorites</formula1>
    </dataValidation>
    <dataValidation type="date" operator="greaterThanOrEqual" allowBlank="1" showInputMessage="1" showErrorMessage="1" sqref="J41">
      <formula1>730120</formula1>
    </dataValidation>
    <dataValidation type="date" operator="greaterThanOrEqual" allowBlank="1" showInputMessage="1" showErrorMessage="1" sqref="K41">
      <formula1>730120</formula1>
    </dataValidation>
    <dataValidation type="date" operator="greaterThanOrEqual" allowBlank="1" showInputMessage="1" showErrorMessage="1" sqref="L41">
      <formula1>730120</formula1>
    </dataValidation>
    <dataValidation type="whole" allowBlank="1" showInputMessage="1" showErrorMessage="1" sqref="P41">
      <formula1>0</formula1>
      <formula2>100</formula2>
    </dataValidation>
    <dataValidation type="decimal" operator="greaterThanOrEqual" allowBlank="1" showInputMessage="1" showErrorMessage="1" sqref="Q41">
      <formula1>0</formula1>
    </dataValidation>
    <dataValidation type="decimal" operator="greaterThanOrEqual" allowBlank="1" showInputMessage="1" showErrorMessage="1" sqref="R41">
      <formula1>0</formula1>
    </dataValidation>
    <dataValidation type="whole" allowBlank="1" showInputMessage="1" showErrorMessage="1" sqref="U41">
      <formula1>1</formula1>
      <formula2>5</formula2>
    </dataValidation>
    <dataValidation type="whole" allowBlank="1" showInputMessage="1" showErrorMessage="1" sqref="V41">
      <formula1>1</formula1>
      <formula2>5</formula2>
    </dataValidation>
    <dataValidation type="whole" allowBlank="1" showInputMessage="1" showErrorMessage="1" sqref="X41">
      <formula1>1</formula1>
      <formula2>5</formula2>
    </dataValidation>
    <dataValidation type="decimal" operator="greaterThanOrEqual" allowBlank="1" showInputMessage="1" showErrorMessage="1" sqref="Y41">
      <formula1>0</formula1>
    </dataValidation>
    <dataValidation type="whole" operator="greaterThanOrEqual" allowBlank="1" showInputMessage="1" showErrorMessage="1" sqref="Z41">
      <formula1>0</formula1>
    </dataValidation>
    <dataValidation type="whole" allowBlank="1" showInputMessage="1" showErrorMessage="1" sqref="AA41">
      <formula1>1</formula1>
      <formula2>5</formula2>
    </dataValidation>
    <dataValidation type="decimal" allowBlank="1" showInputMessage="1" showErrorMessage="1" sqref="AB41">
      <formula1>0</formula1>
      <formula2>1</formula2>
    </dataValidation>
    <dataValidation type="list" allowBlank="1" showInputMessage="1" showErrorMessage="1" sqref="O41">
      <formula1>liste_statuts</formula1>
    </dataValidation>
    <dataValidation type="list" allowBlank="1" showInputMessage="1" showErrorMessage="1" sqref="B42">
      <formula1>liste_programmes</formula1>
    </dataValidation>
    <dataValidation type="list" allowBlank="1" showInputMessage="1" showErrorMessage="1" sqref="D42">
      <formula1>liste_types</formula1>
    </dataValidation>
    <dataValidation type="list" allowBlank="1" showInputMessage="1" showErrorMessage="1" sqref="F42">
      <formula1>liste_categories</formula1>
    </dataValidation>
    <dataValidation type="list" allowBlank="1" showInputMessage="1" showErrorMessage="1" sqref="G42">
      <formula1>liste_responsables</formula1>
    </dataValidation>
    <dataValidation type="list" allowBlank="1" showInputMessage="1" showErrorMessage="1" sqref="H42">
      <formula1>liste_sites</formula1>
    </dataValidation>
    <dataValidation type="list" allowBlank="1" showInputMessage="1" showErrorMessage="1" sqref="I42">
      <formula1>liste_priorites</formula1>
    </dataValidation>
    <dataValidation type="date" operator="greaterThanOrEqual" allowBlank="1" showInputMessage="1" showErrorMessage="1" sqref="J42">
      <formula1>730120</formula1>
    </dataValidation>
    <dataValidation type="date" operator="greaterThanOrEqual" allowBlank="1" showInputMessage="1" showErrorMessage="1" sqref="K42">
      <formula1>730120</formula1>
    </dataValidation>
    <dataValidation type="date" operator="greaterThanOrEqual" allowBlank="1" showInputMessage="1" showErrorMessage="1" sqref="L42">
      <formula1>730120</formula1>
    </dataValidation>
    <dataValidation type="whole" allowBlank="1" showInputMessage="1" showErrorMessage="1" sqref="P42">
      <formula1>0</formula1>
      <formula2>100</formula2>
    </dataValidation>
    <dataValidation type="decimal" operator="greaterThanOrEqual" allowBlank="1" showInputMessage="1" showErrorMessage="1" sqref="Q42">
      <formula1>0</formula1>
    </dataValidation>
    <dataValidation type="decimal" operator="greaterThanOrEqual" allowBlank="1" showInputMessage="1" showErrorMessage="1" sqref="R42">
      <formula1>0</formula1>
    </dataValidation>
    <dataValidation type="whole" allowBlank="1" showInputMessage="1" showErrorMessage="1" sqref="U42">
      <formula1>1</formula1>
      <formula2>5</formula2>
    </dataValidation>
    <dataValidation type="whole" allowBlank="1" showInputMessage="1" showErrorMessage="1" sqref="V42">
      <formula1>1</formula1>
      <formula2>5</formula2>
    </dataValidation>
    <dataValidation type="whole" allowBlank="1" showInputMessage="1" showErrorMessage="1" sqref="X42">
      <formula1>1</formula1>
      <formula2>5</formula2>
    </dataValidation>
    <dataValidation type="decimal" operator="greaterThanOrEqual" allowBlank="1" showInputMessage="1" showErrorMessage="1" sqref="Y42">
      <formula1>0</formula1>
    </dataValidation>
    <dataValidation type="whole" operator="greaterThanOrEqual" allowBlank="1" showInputMessage="1" showErrorMessage="1" sqref="Z42">
      <formula1>0</formula1>
    </dataValidation>
    <dataValidation type="whole" allowBlank="1" showInputMessage="1" showErrorMessage="1" sqref="AA42">
      <formula1>1</formula1>
      <formula2>5</formula2>
    </dataValidation>
    <dataValidation type="decimal" allowBlank="1" showInputMessage="1" showErrorMessage="1" sqref="AB42">
      <formula1>0</formula1>
      <formula2>1</formula2>
    </dataValidation>
    <dataValidation type="list" allowBlank="1" showInputMessage="1" showErrorMessage="1" sqref="O42">
      <formula1>liste_statuts</formula1>
    </dataValidation>
    <dataValidation type="list" allowBlank="1" showInputMessage="1" showErrorMessage="1" sqref="B43">
      <formula1>liste_programmes</formula1>
    </dataValidation>
    <dataValidation type="list" allowBlank="1" showInputMessage="1" showErrorMessage="1" sqref="D43">
      <formula1>liste_types</formula1>
    </dataValidation>
    <dataValidation type="list" allowBlank="1" showInputMessage="1" showErrorMessage="1" sqref="F43">
      <formula1>liste_categories</formula1>
    </dataValidation>
    <dataValidation type="list" allowBlank="1" showInputMessage="1" showErrorMessage="1" sqref="G43">
      <formula1>liste_responsables</formula1>
    </dataValidation>
    <dataValidation type="list" allowBlank="1" showInputMessage="1" showErrorMessage="1" sqref="H43">
      <formula1>liste_sites</formula1>
    </dataValidation>
    <dataValidation type="list" allowBlank="1" showInputMessage="1" showErrorMessage="1" sqref="I43">
      <formula1>liste_priorites</formula1>
    </dataValidation>
    <dataValidation type="date" operator="greaterThanOrEqual" allowBlank="1" showInputMessage="1" showErrorMessage="1" sqref="J43">
      <formula1>730120</formula1>
    </dataValidation>
    <dataValidation type="date" operator="greaterThanOrEqual" allowBlank="1" showInputMessage="1" showErrorMessage="1" sqref="K43">
      <formula1>730120</formula1>
    </dataValidation>
    <dataValidation type="date" operator="greaterThanOrEqual" allowBlank="1" showInputMessage="1" showErrorMessage="1" sqref="L43">
      <formula1>730120</formula1>
    </dataValidation>
    <dataValidation type="whole" allowBlank="1" showInputMessage="1" showErrorMessage="1" sqref="P43">
      <formula1>0</formula1>
      <formula2>100</formula2>
    </dataValidation>
    <dataValidation type="decimal" operator="greaterThanOrEqual" allowBlank="1" showInputMessage="1" showErrorMessage="1" sqref="Q43">
      <formula1>0</formula1>
    </dataValidation>
    <dataValidation type="decimal" operator="greaterThanOrEqual" allowBlank="1" showInputMessage="1" showErrorMessage="1" sqref="R43">
      <formula1>0</formula1>
    </dataValidation>
    <dataValidation type="whole" allowBlank="1" showInputMessage="1" showErrorMessage="1" sqref="U43">
      <formula1>1</formula1>
      <formula2>5</formula2>
    </dataValidation>
    <dataValidation type="whole" allowBlank="1" showInputMessage="1" showErrorMessage="1" sqref="V43">
      <formula1>1</formula1>
      <formula2>5</formula2>
    </dataValidation>
    <dataValidation type="whole" allowBlank="1" showInputMessage="1" showErrorMessage="1" sqref="X43">
      <formula1>1</formula1>
      <formula2>5</formula2>
    </dataValidation>
    <dataValidation type="decimal" operator="greaterThanOrEqual" allowBlank="1" showInputMessage="1" showErrorMessage="1" sqref="Y43">
      <formula1>0</formula1>
    </dataValidation>
    <dataValidation type="whole" operator="greaterThanOrEqual" allowBlank="1" showInputMessage="1" showErrorMessage="1" sqref="Z43">
      <formula1>0</formula1>
    </dataValidation>
    <dataValidation type="whole" allowBlank="1" showInputMessage="1" showErrorMessage="1" sqref="AA43">
      <formula1>1</formula1>
      <formula2>5</formula2>
    </dataValidation>
    <dataValidation type="decimal" allowBlank="1" showInputMessage="1" showErrorMessage="1" sqref="AB43">
      <formula1>0</formula1>
      <formula2>1</formula2>
    </dataValidation>
    <dataValidation type="list" allowBlank="1" showInputMessage="1" showErrorMessage="1" sqref="O43">
      <formula1>liste_statuts</formula1>
    </dataValidation>
    <dataValidation type="list" allowBlank="1" showInputMessage="1" showErrorMessage="1" sqref="B44">
      <formula1>liste_programmes</formula1>
    </dataValidation>
    <dataValidation type="list" allowBlank="1" showInputMessage="1" showErrorMessage="1" sqref="D44">
      <formula1>liste_types</formula1>
    </dataValidation>
    <dataValidation type="list" allowBlank="1" showInputMessage="1" showErrorMessage="1" sqref="F44">
      <formula1>liste_categories</formula1>
    </dataValidation>
    <dataValidation type="list" allowBlank="1" showInputMessage="1" showErrorMessage="1" sqref="G44">
      <formula1>liste_responsables</formula1>
    </dataValidation>
    <dataValidation type="list" allowBlank="1" showInputMessage="1" showErrorMessage="1" sqref="H44">
      <formula1>liste_sites</formula1>
    </dataValidation>
    <dataValidation type="list" allowBlank="1" showInputMessage="1" showErrorMessage="1" sqref="I44">
      <formula1>liste_priorites</formula1>
    </dataValidation>
    <dataValidation type="date" operator="greaterThanOrEqual" allowBlank="1" showInputMessage="1" showErrorMessage="1" sqref="J44">
      <formula1>730120</formula1>
    </dataValidation>
    <dataValidation type="date" operator="greaterThanOrEqual" allowBlank="1" showInputMessage="1" showErrorMessage="1" sqref="K44">
      <formula1>730120</formula1>
    </dataValidation>
    <dataValidation type="date" operator="greaterThanOrEqual" allowBlank="1" showInputMessage="1" showErrorMessage="1" sqref="L44">
      <formula1>730120</formula1>
    </dataValidation>
    <dataValidation type="whole" allowBlank="1" showInputMessage="1" showErrorMessage="1" sqref="P44">
      <formula1>0</formula1>
      <formula2>100</formula2>
    </dataValidation>
    <dataValidation type="decimal" operator="greaterThanOrEqual" allowBlank="1" showInputMessage="1" showErrorMessage="1" sqref="Q44">
      <formula1>0</formula1>
    </dataValidation>
    <dataValidation type="decimal" operator="greaterThanOrEqual" allowBlank="1" showInputMessage="1" showErrorMessage="1" sqref="R44">
      <formula1>0</formula1>
    </dataValidation>
    <dataValidation type="whole" allowBlank="1" showInputMessage="1" showErrorMessage="1" sqref="U44">
      <formula1>1</formula1>
      <formula2>5</formula2>
    </dataValidation>
    <dataValidation type="whole" allowBlank="1" showInputMessage="1" showErrorMessage="1" sqref="V44">
      <formula1>1</formula1>
      <formula2>5</formula2>
    </dataValidation>
    <dataValidation type="whole" allowBlank="1" showInputMessage="1" showErrorMessage="1" sqref="X44">
      <formula1>1</formula1>
      <formula2>5</formula2>
    </dataValidation>
    <dataValidation type="decimal" operator="greaterThanOrEqual" allowBlank="1" showInputMessage="1" showErrorMessage="1" sqref="Y44">
      <formula1>0</formula1>
    </dataValidation>
    <dataValidation type="whole" operator="greaterThanOrEqual" allowBlank="1" showInputMessage="1" showErrorMessage="1" sqref="Z44">
      <formula1>0</formula1>
    </dataValidation>
    <dataValidation type="whole" allowBlank="1" showInputMessage="1" showErrorMessage="1" sqref="AA44">
      <formula1>1</formula1>
      <formula2>5</formula2>
    </dataValidation>
    <dataValidation type="decimal" allowBlank="1" showInputMessage="1" showErrorMessage="1" sqref="AB44">
      <formula1>0</formula1>
      <formula2>1</formula2>
    </dataValidation>
    <dataValidation type="list" allowBlank="1" showInputMessage="1" showErrorMessage="1" sqref="O44">
      <formula1>liste_statuts</formula1>
    </dataValidation>
    <dataValidation type="list" allowBlank="1" showInputMessage="1" showErrorMessage="1" sqref="B45">
      <formula1>liste_programmes</formula1>
    </dataValidation>
    <dataValidation type="list" allowBlank="1" showInputMessage="1" showErrorMessage="1" sqref="D45">
      <formula1>liste_types</formula1>
    </dataValidation>
    <dataValidation type="list" allowBlank="1" showInputMessage="1" showErrorMessage="1" sqref="F45">
      <formula1>liste_categories</formula1>
    </dataValidation>
    <dataValidation type="list" allowBlank="1" showInputMessage="1" showErrorMessage="1" sqref="G45">
      <formula1>liste_responsables</formula1>
    </dataValidation>
    <dataValidation type="list" allowBlank="1" showInputMessage="1" showErrorMessage="1" sqref="H45">
      <formula1>liste_sites</formula1>
    </dataValidation>
    <dataValidation type="list" allowBlank="1" showInputMessage="1" showErrorMessage="1" sqref="I45">
      <formula1>liste_priorites</formula1>
    </dataValidation>
    <dataValidation type="date" operator="greaterThanOrEqual" allowBlank="1" showInputMessage="1" showErrorMessage="1" sqref="J45">
      <formula1>730120</formula1>
    </dataValidation>
    <dataValidation type="date" operator="greaterThanOrEqual" allowBlank="1" showInputMessage="1" showErrorMessage="1" sqref="K45">
      <formula1>730120</formula1>
    </dataValidation>
    <dataValidation type="date" operator="greaterThanOrEqual" allowBlank="1" showInputMessage="1" showErrorMessage="1" sqref="L45">
      <formula1>730120</formula1>
    </dataValidation>
    <dataValidation type="whole" allowBlank="1" showInputMessage="1" showErrorMessage="1" sqref="P45">
      <formula1>0</formula1>
      <formula2>100</formula2>
    </dataValidation>
    <dataValidation type="decimal" operator="greaterThanOrEqual" allowBlank="1" showInputMessage="1" showErrorMessage="1" sqref="Q45">
      <formula1>0</formula1>
    </dataValidation>
    <dataValidation type="decimal" operator="greaterThanOrEqual" allowBlank="1" showInputMessage="1" showErrorMessage="1" sqref="R45">
      <formula1>0</formula1>
    </dataValidation>
    <dataValidation type="whole" allowBlank="1" showInputMessage="1" showErrorMessage="1" sqref="U45">
      <formula1>1</formula1>
      <formula2>5</formula2>
    </dataValidation>
    <dataValidation type="whole" allowBlank="1" showInputMessage="1" showErrorMessage="1" sqref="V45">
      <formula1>1</formula1>
      <formula2>5</formula2>
    </dataValidation>
    <dataValidation type="whole" allowBlank="1" showInputMessage="1" showErrorMessage="1" sqref="X45">
      <formula1>1</formula1>
      <formula2>5</formula2>
    </dataValidation>
    <dataValidation type="decimal" operator="greaterThanOrEqual" allowBlank="1" showInputMessage="1" showErrorMessage="1" sqref="Y45">
      <formula1>0</formula1>
    </dataValidation>
    <dataValidation type="whole" operator="greaterThanOrEqual" allowBlank="1" showInputMessage="1" showErrorMessage="1" sqref="Z45">
      <formula1>0</formula1>
    </dataValidation>
    <dataValidation type="whole" allowBlank="1" showInputMessage="1" showErrorMessage="1" sqref="AA45">
      <formula1>1</formula1>
      <formula2>5</formula2>
    </dataValidation>
    <dataValidation type="decimal" allowBlank="1" showInputMessage="1" showErrorMessage="1" sqref="AB45">
      <formula1>0</formula1>
      <formula2>1</formula2>
    </dataValidation>
    <dataValidation type="list" allowBlank="1" showInputMessage="1" showErrorMessage="1" sqref="O45">
      <formula1>liste_statuts</formula1>
    </dataValidation>
    <dataValidation type="list" allowBlank="1" showInputMessage="1" showErrorMessage="1" sqref="B46">
      <formula1>liste_programmes</formula1>
    </dataValidation>
    <dataValidation type="list" allowBlank="1" showInputMessage="1" showErrorMessage="1" sqref="D46">
      <formula1>liste_types</formula1>
    </dataValidation>
    <dataValidation type="list" allowBlank="1" showInputMessage="1" showErrorMessage="1" sqref="F46">
      <formula1>liste_categories</formula1>
    </dataValidation>
    <dataValidation type="list" allowBlank="1" showInputMessage="1" showErrorMessage="1" sqref="G46">
      <formula1>liste_responsables</formula1>
    </dataValidation>
    <dataValidation type="list" allowBlank="1" showInputMessage="1" showErrorMessage="1" sqref="H46">
      <formula1>liste_sites</formula1>
    </dataValidation>
    <dataValidation type="list" allowBlank="1" showInputMessage="1" showErrorMessage="1" sqref="I46">
      <formula1>liste_priorites</formula1>
    </dataValidation>
    <dataValidation type="date" operator="greaterThanOrEqual" allowBlank="1" showInputMessage="1" showErrorMessage="1" sqref="J46">
      <formula1>730120</formula1>
    </dataValidation>
    <dataValidation type="date" operator="greaterThanOrEqual" allowBlank="1" showInputMessage="1" showErrorMessage="1" sqref="K46">
      <formula1>730120</formula1>
    </dataValidation>
    <dataValidation type="date" operator="greaterThanOrEqual" allowBlank="1" showInputMessage="1" showErrorMessage="1" sqref="L46">
      <formula1>730120</formula1>
    </dataValidation>
    <dataValidation type="whole" allowBlank="1" showInputMessage="1" showErrorMessage="1" sqref="P46">
      <formula1>0</formula1>
      <formula2>100</formula2>
    </dataValidation>
    <dataValidation type="decimal" operator="greaterThanOrEqual" allowBlank="1" showInputMessage="1" showErrorMessage="1" sqref="Q46">
      <formula1>0</formula1>
    </dataValidation>
    <dataValidation type="decimal" operator="greaterThanOrEqual" allowBlank="1" showInputMessage="1" showErrorMessage="1" sqref="R46">
      <formula1>0</formula1>
    </dataValidation>
    <dataValidation type="whole" allowBlank="1" showInputMessage="1" showErrorMessage="1" sqref="U46">
      <formula1>1</formula1>
      <formula2>5</formula2>
    </dataValidation>
    <dataValidation type="whole" allowBlank="1" showInputMessage="1" showErrorMessage="1" sqref="V46">
      <formula1>1</formula1>
      <formula2>5</formula2>
    </dataValidation>
    <dataValidation type="whole" allowBlank="1" showInputMessage="1" showErrorMessage="1" sqref="X46">
      <formula1>1</formula1>
      <formula2>5</formula2>
    </dataValidation>
    <dataValidation type="decimal" operator="greaterThanOrEqual" allowBlank="1" showInputMessage="1" showErrorMessage="1" sqref="Y46">
      <formula1>0</formula1>
    </dataValidation>
    <dataValidation type="whole" operator="greaterThanOrEqual" allowBlank="1" showInputMessage="1" showErrorMessage="1" sqref="Z46">
      <formula1>0</formula1>
    </dataValidation>
    <dataValidation type="whole" allowBlank="1" showInputMessage="1" showErrorMessage="1" sqref="AA46">
      <formula1>1</formula1>
      <formula2>5</formula2>
    </dataValidation>
    <dataValidation type="decimal" allowBlank="1" showInputMessage="1" showErrorMessage="1" sqref="AB46">
      <formula1>0</formula1>
      <formula2>1</formula2>
    </dataValidation>
    <dataValidation type="list" allowBlank="1" showInputMessage="1" showErrorMessage="1" sqref="O46">
      <formula1>liste_statuts</formula1>
    </dataValidation>
    <dataValidation type="list" allowBlank="1" showInputMessage="1" showErrorMessage="1" sqref="B47">
      <formula1>liste_programmes</formula1>
    </dataValidation>
    <dataValidation type="list" allowBlank="1" showInputMessage="1" showErrorMessage="1" sqref="D47">
      <formula1>liste_types</formula1>
    </dataValidation>
    <dataValidation type="list" allowBlank="1" showInputMessage="1" showErrorMessage="1" sqref="F47">
      <formula1>liste_categories</formula1>
    </dataValidation>
    <dataValidation type="list" allowBlank="1" showInputMessage="1" showErrorMessage="1" sqref="G47">
      <formula1>liste_responsables</formula1>
    </dataValidation>
    <dataValidation type="list" allowBlank="1" showInputMessage="1" showErrorMessage="1" sqref="H47">
      <formula1>liste_sites</formula1>
    </dataValidation>
    <dataValidation type="list" allowBlank="1" showInputMessage="1" showErrorMessage="1" sqref="I47">
      <formula1>liste_priorites</formula1>
    </dataValidation>
    <dataValidation type="date" operator="greaterThanOrEqual" allowBlank="1" showInputMessage="1" showErrorMessage="1" sqref="J47">
      <formula1>730120</formula1>
    </dataValidation>
    <dataValidation type="date" operator="greaterThanOrEqual" allowBlank="1" showInputMessage="1" showErrorMessage="1" sqref="K47">
      <formula1>730120</formula1>
    </dataValidation>
    <dataValidation type="date" operator="greaterThanOrEqual" allowBlank="1" showInputMessage="1" showErrorMessage="1" sqref="L47">
      <formula1>730120</formula1>
    </dataValidation>
    <dataValidation type="whole" allowBlank="1" showInputMessage="1" showErrorMessage="1" sqref="P47">
      <formula1>0</formula1>
      <formula2>100</formula2>
    </dataValidation>
    <dataValidation type="decimal" operator="greaterThanOrEqual" allowBlank="1" showInputMessage="1" showErrorMessage="1" sqref="Q47">
      <formula1>0</formula1>
    </dataValidation>
    <dataValidation type="decimal" operator="greaterThanOrEqual" allowBlank="1" showInputMessage="1" showErrorMessage="1" sqref="R47">
      <formula1>0</formula1>
    </dataValidation>
    <dataValidation type="whole" allowBlank="1" showInputMessage="1" showErrorMessage="1" sqref="U47">
      <formula1>1</formula1>
      <formula2>5</formula2>
    </dataValidation>
    <dataValidation type="whole" allowBlank="1" showInputMessage="1" showErrorMessage="1" sqref="V47">
      <formula1>1</formula1>
      <formula2>5</formula2>
    </dataValidation>
    <dataValidation type="whole" allowBlank="1" showInputMessage="1" showErrorMessage="1" sqref="X47">
      <formula1>1</formula1>
      <formula2>5</formula2>
    </dataValidation>
    <dataValidation type="decimal" operator="greaterThanOrEqual" allowBlank="1" showInputMessage="1" showErrorMessage="1" sqref="Y47">
      <formula1>0</formula1>
    </dataValidation>
    <dataValidation type="whole" operator="greaterThanOrEqual" allowBlank="1" showInputMessage="1" showErrorMessage="1" sqref="Z47">
      <formula1>0</formula1>
    </dataValidation>
    <dataValidation type="whole" allowBlank="1" showInputMessage="1" showErrorMessage="1" sqref="AA47">
      <formula1>1</formula1>
      <formula2>5</formula2>
    </dataValidation>
    <dataValidation type="decimal" allowBlank="1" showInputMessage="1" showErrorMessage="1" sqref="AB47">
      <formula1>0</formula1>
      <formula2>1</formula2>
    </dataValidation>
    <dataValidation type="list" allowBlank="1" showInputMessage="1" showErrorMessage="1" sqref="O47">
      <formula1>liste_statuts</formula1>
    </dataValidation>
    <dataValidation type="list" allowBlank="1" showInputMessage="1" showErrorMessage="1" sqref="B48">
      <formula1>liste_programmes</formula1>
    </dataValidation>
    <dataValidation type="list" allowBlank="1" showInputMessage="1" showErrorMessage="1" sqref="D48">
      <formula1>liste_types</formula1>
    </dataValidation>
    <dataValidation type="list" allowBlank="1" showInputMessage="1" showErrorMessage="1" sqref="F48">
      <formula1>liste_categories</formula1>
    </dataValidation>
    <dataValidation type="list" allowBlank="1" showInputMessage="1" showErrorMessage="1" sqref="G48">
      <formula1>liste_responsables</formula1>
    </dataValidation>
    <dataValidation type="list" allowBlank="1" showInputMessage="1" showErrorMessage="1" sqref="H48">
      <formula1>liste_sites</formula1>
    </dataValidation>
    <dataValidation type="list" allowBlank="1" showInputMessage="1" showErrorMessage="1" sqref="I48">
      <formula1>liste_priorites</formula1>
    </dataValidation>
    <dataValidation type="date" operator="greaterThanOrEqual" allowBlank="1" showInputMessage="1" showErrorMessage="1" sqref="J48">
      <formula1>730120</formula1>
    </dataValidation>
    <dataValidation type="date" operator="greaterThanOrEqual" allowBlank="1" showInputMessage="1" showErrorMessage="1" sqref="K48">
      <formula1>730120</formula1>
    </dataValidation>
    <dataValidation type="date" operator="greaterThanOrEqual" allowBlank="1" showInputMessage="1" showErrorMessage="1" sqref="L48">
      <formula1>730120</formula1>
    </dataValidation>
    <dataValidation type="whole" allowBlank="1" showInputMessage="1" showErrorMessage="1" sqref="P48">
      <formula1>0</formula1>
      <formula2>100</formula2>
    </dataValidation>
    <dataValidation type="decimal" operator="greaterThanOrEqual" allowBlank="1" showInputMessage="1" showErrorMessage="1" sqref="Q48">
      <formula1>0</formula1>
    </dataValidation>
    <dataValidation type="decimal" operator="greaterThanOrEqual" allowBlank="1" showInputMessage="1" showErrorMessage="1" sqref="R48">
      <formula1>0</formula1>
    </dataValidation>
    <dataValidation type="whole" allowBlank="1" showInputMessage="1" showErrorMessage="1" sqref="U48">
      <formula1>1</formula1>
      <formula2>5</formula2>
    </dataValidation>
    <dataValidation type="whole" allowBlank="1" showInputMessage="1" showErrorMessage="1" sqref="V48">
      <formula1>1</formula1>
      <formula2>5</formula2>
    </dataValidation>
    <dataValidation type="whole" allowBlank="1" showInputMessage="1" showErrorMessage="1" sqref="X48">
      <formula1>1</formula1>
      <formula2>5</formula2>
    </dataValidation>
    <dataValidation type="decimal" operator="greaterThanOrEqual" allowBlank="1" showInputMessage="1" showErrorMessage="1" sqref="Y48">
      <formula1>0</formula1>
    </dataValidation>
    <dataValidation type="whole" operator="greaterThanOrEqual" allowBlank="1" showInputMessage="1" showErrorMessage="1" sqref="Z48">
      <formula1>0</formula1>
    </dataValidation>
    <dataValidation type="whole" allowBlank="1" showInputMessage="1" showErrorMessage="1" sqref="AA48">
      <formula1>1</formula1>
      <formula2>5</formula2>
    </dataValidation>
    <dataValidation type="decimal" allowBlank="1" showInputMessage="1" showErrorMessage="1" sqref="AB48">
      <formula1>0</formula1>
      <formula2>1</formula2>
    </dataValidation>
    <dataValidation type="list" allowBlank="1" showInputMessage="1" showErrorMessage="1" sqref="O48">
      <formula1>liste_statuts</formula1>
    </dataValidation>
    <dataValidation type="list" allowBlank="1" showInputMessage="1" showErrorMessage="1" sqref="B49">
      <formula1>liste_programmes</formula1>
    </dataValidation>
    <dataValidation type="list" allowBlank="1" showInputMessage="1" showErrorMessage="1" sqref="D49">
      <formula1>liste_types</formula1>
    </dataValidation>
    <dataValidation type="list" allowBlank="1" showInputMessage="1" showErrorMessage="1" sqref="F49">
      <formula1>liste_categories</formula1>
    </dataValidation>
    <dataValidation type="list" allowBlank="1" showInputMessage="1" showErrorMessage="1" sqref="G49">
      <formula1>liste_responsables</formula1>
    </dataValidation>
    <dataValidation type="list" allowBlank="1" showInputMessage="1" showErrorMessage="1" sqref="H49">
      <formula1>liste_sites</formula1>
    </dataValidation>
    <dataValidation type="list" allowBlank="1" showInputMessage="1" showErrorMessage="1" sqref="I49">
      <formula1>liste_priorites</formula1>
    </dataValidation>
    <dataValidation type="date" operator="greaterThanOrEqual" allowBlank="1" showInputMessage="1" showErrorMessage="1" sqref="J49">
      <formula1>730120</formula1>
    </dataValidation>
    <dataValidation type="date" operator="greaterThanOrEqual" allowBlank="1" showInputMessage="1" showErrorMessage="1" sqref="K49">
      <formula1>730120</formula1>
    </dataValidation>
    <dataValidation type="date" operator="greaterThanOrEqual" allowBlank="1" showInputMessage="1" showErrorMessage="1" sqref="L49">
      <formula1>730120</formula1>
    </dataValidation>
    <dataValidation type="whole" allowBlank="1" showInputMessage="1" showErrorMessage="1" sqref="P49">
      <formula1>0</formula1>
      <formula2>100</formula2>
    </dataValidation>
    <dataValidation type="decimal" operator="greaterThanOrEqual" allowBlank="1" showInputMessage="1" showErrorMessage="1" sqref="Q49">
      <formula1>0</formula1>
    </dataValidation>
    <dataValidation type="decimal" operator="greaterThanOrEqual" allowBlank="1" showInputMessage="1" showErrorMessage="1" sqref="R49">
      <formula1>0</formula1>
    </dataValidation>
    <dataValidation type="whole" allowBlank="1" showInputMessage="1" showErrorMessage="1" sqref="U49">
      <formula1>1</formula1>
      <formula2>5</formula2>
    </dataValidation>
    <dataValidation type="whole" allowBlank="1" showInputMessage="1" showErrorMessage="1" sqref="V49">
      <formula1>1</formula1>
      <formula2>5</formula2>
    </dataValidation>
    <dataValidation type="whole" allowBlank="1" showInputMessage="1" showErrorMessage="1" sqref="X49">
      <formula1>1</formula1>
      <formula2>5</formula2>
    </dataValidation>
    <dataValidation type="decimal" operator="greaterThanOrEqual" allowBlank="1" showInputMessage="1" showErrorMessage="1" sqref="Y49">
      <formula1>0</formula1>
    </dataValidation>
    <dataValidation type="whole" operator="greaterThanOrEqual" allowBlank="1" showInputMessage="1" showErrorMessage="1" sqref="Z49">
      <formula1>0</formula1>
    </dataValidation>
    <dataValidation type="whole" allowBlank="1" showInputMessage="1" showErrorMessage="1" sqref="AA49">
      <formula1>1</formula1>
      <formula2>5</formula2>
    </dataValidation>
    <dataValidation type="decimal" allowBlank="1" showInputMessage="1" showErrorMessage="1" sqref="AB49">
      <formula1>0</formula1>
      <formula2>1</formula2>
    </dataValidation>
    <dataValidation type="list" allowBlank="1" showInputMessage="1" showErrorMessage="1" sqref="O49">
      <formula1>liste_statuts</formula1>
    </dataValidation>
    <dataValidation type="list" allowBlank="1" showInputMessage="1" showErrorMessage="1" sqref="B50">
      <formula1>liste_programmes</formula1>
    </dataValidation>
    <dataValidation type="list" allowBlank="1" showInputMessage="1" showErrorMessage="1" sqref="D50">
      <formula1>liste_types</formula1>
    </dataValidation>
    <dataValidation type="list" allowBlank="1" showInputMessage="1" showErrorMessage="1" sqref="F50">
      <formula1>liste_categories</formula1>
    </dataValidation>
    <dataValidation type="list" allowBlank="1" showInputMessage="1" showErrorMessage="1" sqref="G50">
      <formula1>liste_responsables</formula1>
    </dataValidation>
    <dataValidation type="list" allowBlank="1" showInputMessage="1" showErrorMessage="1" sqref="H50">
      <formula1>liste_sites</formula1>
    </dataValidation>
    <dataValidation type="list" allowBlank="1" showInputMessage="1" showErrorMessage="1" sqref="I50">
      <formula1>liste_priorites</formula1>
    </dataValidation>
    <dataValidation type="date" operator="greaterThanOrEqual" allowBlank="1" showInputMessage="1" showErrorMessage="1" sqref="J50">
      <formula1>730120</formula1>
    </dataValidation>
    <dataValidation type="date" operator="greaterThanOrEqual" allowBlank="1" showInputMessage="1" showErrorMessage="1" sqref="K50">
      <formula1>730120</formula1>
    </dataValidation>
    <dataValidation type="date" operator="greaterThanOrEqual" allowBlank="1" showInputMessage="1" showErrorMessage="1" sqref="L50">
      <formula1>730120</formula1>
    </dataValidation>
    <dataValidation type="whole" allowBlank="1" showInputMessage="1" showErrorMessage="1" sqref="P50">
      <formula1>0</formula1>
      <formula2>100</formula2>
    </dataValidation>
    <dataValidation type="decimal" operator="greaterThanOrEqual" allowBlank="1" showInputMessage="1" showErrorMessage="1" sqref="Q50">
      <formula1>0</formula1>
    </dataValidation>
    <dataValidation type="decimal" operator="greaterThanOrEqual" allowBlank="1" showInputMessage="1" showErrorMessage="1" sqref="R50">
      <formula1>0</formula1>
    </dataValidation>
    <dataValidation type="whole" allowBlank="1" showInputMessage="1" showErrorMessage="1" sqref="U50">
      <formula1>1</formula1>
      <formula2>5</formula2>
    </dataValidation>
    <dataValidation type="whole" allowBlank="1" showInputMessage="1" showErrorMessage="1" sqref="V50">
      <formula1>1</formula1>
      <formula2>5</formula2>
    </dataValidation>
    <dataValidation type="whole" allowBlank="1" showInputMessage="1" showErrorMessage="1" sqref="X50">
      <formula1>1</formula1>
      <formula2>5</formula2>
    </dataValidation>
    <dataValidation type="decimal" operator="greaterThanOrEqual" allowBlank="1" showInputMessage="1" showErrorMessage="1" sqref="Y50">
      <formula1>0</formula1>
    </dataValidation>
    <dataValidation type="whole" operator="greaterThanOrEqual" allowBlank="1" showInputMessage="1" showErrorMessage="1" sqref="Z50">
      <formula1>0</formula1>
    </dataValidation>
    <dataValidation type="whole" allowBlank="1" showInputMessage="1" showErrorMessage="1" sqref="AA50">
      <formula1>1</formula1>
      <formula2>5</formula2>
    </dataValidation>
    <dataValidation type="decimal" allowBlank="1" showInputMessage="1" showErrorMessage="1" sqref="AB50">
      <formula1>0</formula1>
      <formula2>1</formula2>
    </dataValidation>
    <dataValidation type="list" allowBlank="1" showInputMessage="1" showErrorMessage="1" sqref="O50">
      <formula1>liste_statuts</formula1>
    </dataValidation>
    <dataValidation type="list" allowBlank="1" showInputMessage="1" showErrorMessage="1" sqref="B51">
      <formula1>liste_programmes</formula1>
    </dataValidation>
    <dataValidation type="list" allowBlank="1" showInputMessage="1" showErrorMessage="1" sqref="D51">
      <formula1>liste_types</formula1>
    </dataValidation>
    <dataValidation type="list" allowBlank="1" showInputMessage="1" showErrorMessage="1" sqref="F51">
      <formula1>liste_categories</formula1>
    </dataValidation>
    <dataValidation type="list" allowBlank="1" showInputMessage="1" showErrorMessage="1" sqref="G51">
      <formula1>liste_responsables</formula1>
    </dataValidation>
    <dataValidation type="list" allowBlank="1" showInputMessage="1" showErrorMessage="1" sqref="H51">
      <formula1>liste_sites</formula1>
    </dataValidation>
    <dataValidation type="list" allowBlank="1" showInputMessage="1" showErrorMessage="1" sqref="I51">
      <formula1>liste_priorites</formula1>
    </dataValidation>
    <dataValidation type="date" operator="greaterThanOrEqual" allowBlank="1" showInputMessage="1" showErrorMessage="1" sqref="J51">
      <formula1>730120</formula1>
    </dataValidation>
    <dataValidation type="date" operator="greaterThanOrEqual" allowBlank="1" showInputMessage="1" showErrorMessage="1" sqref="K51">
      <formula1>730120</formula1>
    </dataValidation>
    <dataValidation type="date" operator="greaterThanOrEqual" allowBlank="1" showInputMessage="1" showErrorMessage="1" sqref="L51">
      <formula1>730120</formula1>
    </dataValidation>
    <dataValidation type="whole" allowBlank="1" showInputMessage="1" showErrorMessage="1" sqref="P51">
      <formula1>0</formula1>
      <formula2>100</formula2>
    </dataValidation>
    <dataValidation type="decimal" operator="greaterThanOrEqual" allowBlank="1" showInputMessage="1" showErrorMessage="1" sqref="Q51">
      <formula1>0</formula1>
    </dataValidation>
    <dataValidation type="decimal" operator="greaterThanOrEqual" allowBlank="1" showInputMessage="1" showErrorMessage="1" sqref="R51">
      <formula1>0</formula1>
    </dataValidation>
    <dataValidation type="whole" allowBlank="1" showInputMessage="1" showErrorMessage="1" sqref="U51">
      <formula1>1</formula1>
      <formula2>5</formula2>
    </dataValidation>
    <dataValidation type="whole" allowBlank="1" showInputMessage="1" showErrorMessage="1" sqref="V51">
      <formula1>1</formula1>
      <formula2>5</formula2>
    </dataValidation>
    <dataValidation type="whole" allowBlank="1" showInputMessage="1" showErrorMessage="1" sqref="X51">
      <formula1>1</formula1>
      <formula2>5</formula2>
    </dataValidation>
    <dataValidation type="decimal" operator="greaterThanOrEqual" allowBlank="1" showInputMessage="1" showErrorMessage="1" sqref="Y51">
      <formula1>0</formula1>
    </dataValidation>
    <dataValidation type="whole" operator="greaterThanOrEqual" allowBlank="1" showInputMessage="1" showErrorMessage="1" sqref="Z51">
      <formula1>0</formula1>
    </dataValidation>
    <dataValidation type="whole" allowBlank="1" showInputMessage="1" showErrorMessage="1" sqref="AA51">
      <formula1>1</formula1>
      <formula2>5</formula2>
    </dataValidation>
    <dataValidation type="decimal" allowBlank="1" showInputMessage="1" showErrorMessage="1" sqref="AB51">
      <formula1>0</formula1>
      <formula2>1</formula2>
    </dataValidation>
    <dataValidation type="list" allowBlank="1" showInputMessage="1" showErrorMessage="1" sqref="O51">
      <formula1>liste_statuts</formula1>
    </dataValidation>
    <dataValidation type="list" allowBlank="1" showInputMessage="1" showErrorMessage="1" sqref="B52">
      <formula1>liste_programmes</formula1>
    </dataValidation>
    <dataValidation type="list" allowBlank="1" showInputMessage="1" showErrorMessage="1" sqref="D52">
      <formula1>liste_types</formula1>
    </dataValidation>
    <dataValidation type="list" allowBlank="1" showInputMessage="1" showErrorMessage="1" sqref="F52">
      <formula1>liste_categories</formula1>
    </dataValidation>
    <dataValidation type="list" allowBlank="1" showInputMessage="1" showErrorMessage="1" sqref="G52">
      <formula1>liste_responsables</formula1>
    </dataValidation>
    <dataValidation type="list" allowBlank="1" showInputMessage="1" showErrorMessage="1" sqref="H52">
      <formula1>liste_sites</formula1>
    </dataValidation>
    <dataValidation type="list" allowBlank="1" showInputMessage="1" showErrorMessage="1" sqref="I52">
      <formula1>liste_priorites</formula1>
    </dataValidation>
    <dataValidation type="date" operator="greaterThanOrEqual" allowBlank="1" showInputMessage="1" showErrorMessage="1" sqref="J52">
      <formula1>730120</formula1>
    </dataValidation>
    <dataValidation type="date" operator="greaterThanOrEqual" allowBlank="1" showInputMessage="1" showErrorMessage="1" sqref="K52">
      <formula1>730120</formula1>
    </dataValidation>
    <dataValidation type="date" operator="greaterThanOrEqual" allowBlank="1" showInputMessage="1" showErrorMessage="1" sqref="L52">
      <formula1>730120</formula1>
    </dataValidation>
    <dataValidation type="whole" allowBlank="1" showInputMessage="1" showErrorMessage="1" sqref="P52">
      <formula1>0</formula1>
      <formula2>100</formula2>
    </dataValidation>
    <dataValidation type="decimal" operator="greaterThanOrEqual" allowBlank="1" showInputMessage="1" showErrorMessage="1" sqref="Q52">
      <formula1>0</formula1>
    </dataValidation>
    <dataValidation type="decimal" operator="greaterThanOrEqual" allowBlank="1" showInputMessage="1" showErrorMessage="1" sqref="R52">
      <formula1>0</formula1>
    </dataValidation>
    <dataValidation type="whole" allowBlank="1" showInputMessage="1" showErrorMessage="1" sqref="U52">
      <formula1>1</formula1>
      <formula2>5</formula2>
    </dataValidation>
    <dataValidation type="whole" allowBlank="1" showInputMessage="1" showErrorMessage="1" sqref="V52">
      <formula1>1</formula1>
      <formula2>5</formula2>
    </dataValidation>
    <dataValidation type="whole" allowBlank="1" showInputMessage="1" showErrorMessage="1" sqref="X52">
      <formula1>1</formula1>
      <formula2>5</formula2>
    </dataValidation>
    <dataValidation type="decimal" operator="greaterThanOrEqual" allowBlank="1" showInputMessage="1" showErrorMessage="1" sqref="Y52">
      <formula1>0</formula1>
    </dataValidation>
    <dataValidation type="whole" operator="greaterThanOrEqual" allowBlank="1" showInputMessage="1" showErrorMessage="1" sqref="Z52">
      <formula1>0</formula1>
    </dataValidation>
    <dataValidation type="whole" allowBlank="1" showInputMessage="1" showErrorMessage="1" sqref="AA52">
      <formula1>1</formula1>
      <formula2>5</formula2>
    </dataValidation>
    <dataValidation type="decimal" allowBlank="1" showInputMessage="1" showErrorMessage="1" sqref="AB52">
      <formula1>0</formula1>
      <formula2>1</formula2>
    </dataValidation>
    <dataValidation type="list" allowBlank="1" showInputMessage="1" showErrorMessage="1" sqref="O52">
      <formula1>liste_statuts</formula1>
    </dataValidation>
    <dataValidation type="list" allowBlank="1" showInputMessage="1" showErrorMessage="1" sqref="B53">
      <formula1>liste_programmes</formula1>
    </dataValidation>
    <dataValidation type="list" allowBlank="1" showInputMessage="1" showErrorMessage="1" sqref="D53">
      <formula1>liste_types</formula1>
    </dataValidation>
    <dataValidation type="list" allowBlank="1" showInputMessage="1" showErrorMessage="1" sqref="F53">
      <formula1>liste_categories</formula1>
    </dataValidation>
    <dataValidation type="list" allowBlank="1" showInputMessage="1" showErrorMessage="1" sqref="G53">
      <formula1>liste_responsables</formula1>
    </dataValidation>
    <dataValidation type="list" allowBlank="1" showInputMessage="1" showErrorMessage="1" sqref="H53">
      <formula1>liste_sites</formula1>
    </dataValidation>
    <dataValidation type="list" allowBlank="1" showInputMessage="1" showErrorMessage="1" sqref="I53">
      <formula1>liste_priorites</formula1>
    </dataValidation>
    <dataValidation type="date" operator="greaterThanOrEqual" allowBlank="1" showInputMessage="1" showErrorMessage="1" sqref="J53">
      <formula1>730120</formula1>
    </dataValidation>
    <dataValidation type="date" operator="greaterThanOrEqual" allowBlank="1" showInputMessage="1" showErrorMessage="1" sqref="K53">
      <formula1>730120</formula1>
    </dataValidation>
    <dataValidation type="date" operator="greaterThanOrEqual" allowBlank="1" showInputMessage="1" showErrorMessage="1" sqref="L53">
      <formula1>730120</formula1>
    </dataValidation>
    <dataValidation type="whole" allowBlank="1" showInputMessage="1" showErrorMessage="1" sqref="P53">
      <formula1>0</formula1>
      <formula2>100</formula2>
    </dataValidation>
    <dataValidation type="decimal" operator="greaterThanOrEqual" allowBlank="1" showInputMessage="1" showErrorMessage="1" sqref="Q53">
      <formula1>0</formula1>
    </dataValidation>
    <dataValidation type="decimal" operator="greaterThanOrEqual" allowBlank="1" showInputMessage="1" showErrorMessage="1" sqref="R53">
      <formula1>0</formula1>
    </dataValidation>
    <dataValidation type="whole" allowBlank="1" showInputMessage="1" showErrorMessage="1" sqref="U53">
      <formula1>1</formula1>
      <formula2>5</formula2>
    </dataValidation>
    <dataValidation type="whole" allowBlank="1" showInputMessage="1" showErrorMessage="1" sqref="V53">
      <formula1>1</formula1>
      <formula2>5</formula2>
    </dataValidation>
    <dataValidation type="whole" allowBlank="1" showInputMessage="1" showErrorMessage="1" sqref="X53">
      <formula1>1</formula1>
      <formula2>5</formula2>
    </dataValidation>
    <dataValidation type="decimal" operator="greaterThanOrEqual" allowBlank="1" showInputMessage="1" showErrorMessage="1" sqref="Y53">
      <formula1>0</formula1>
    </dataValidation>
    <dataValidation type="whole" operator="greaterThanOrEqual" allowBlank="1" showInputMessage="1" showErrorMessage="1" sqref="Z53">
      <formula1>0</formula1>
    </dataValidation>
    <dataValidation type="whole" allowBlank="1" showInputMessage="1" showErrorMessage="1" sqref="AA53">
      <formula1>1</formula1>
      <formula2>5</formula2>
    </dataValidation>
    <dataValidation type="decimal" allowBlank="1" showInputMessage="1" showErrorMessage="1" sqref="AB53">
      <formula1>0</formula1>
      <formula2>1</formula2>
    </dataValidation>
    <dataValidation type="list" allowBlank="1" showInputMessage="1" showErrorMessage="1" sqref="O53">
      <formula1>liste_statuts</formula1>
    </dataValidation>
    <dataValidation type="list" allowBlank="1" showInputMessage="1" showErrorMessage="1" sqref="B54">
      <formula1>liste_programmes</formula1>
    </dataValidation>
    <dataValidation type="list" allowBlank="1" showInputMessage="1" showErrorMessage="1" sqref="D54">
      <formula1>liste_types</formula1>
    </dataValidation>
    <dataValidation type="list" allowBlank="1" showInputMessage="1" showErrorMessage="1" sqref="F54">
      <formula1>liste_categories</formula1>
    </dataValidation>
    <dataValidation type="list" allowBlank="1" showInputMessage="1" showErrorMessage="1" sqref="G54">
      <formula1>liste_responsables</formula1>
    </dataValidation>
    <dataValidation type="list" allowBlank="1" showInputMessage="1" showErrorMessage="1" sqref="H54">
      <formula1>liste_sites</formula1>
    </dataValidation>
    <dataValidation type="list" allowBlank="1" showInputMessage="1" showErrorMessage="1" sqref="I54">
      <formula1>liste_priorites</formula1>
    </dataValidation>
    <dataValidation type="date" operator="greaterThanOrEqual" allowBlank="1" showInputMessage="1" showErrorMessage="1" sqref="J54">
      <formula1>730120</formula1>
    </dataValidation>
    <dataValidation type="date" operator="greaterThanOrEqual" allowBlank="1" showInputMessage="1" showErrorMessage="1" sqref="K54">
      <formula1>730120</formula1>
    </dataValidation>
    <dataValidation type="date" operator="greaterThanOrEqual" allowBlank="1" showInputMessage="1" showErrorMessage="1" sqref="L54">
      <formula1>730120</formula1>
    </dataValidation>
    <dataValidation type="whole" allowBlank="1" showInputMessage="1" showErrorMessage="1" sqref="P54">
      <formula1>0</formula1>
      <formula2>100</formula2>
    </dataValidation>
    <dataValidation type="decimal" operator="greaterThanOrEqual" allowBlank="1" showInputMessage="1" showErrorMessage="1" sqref="Q54">
      <formula1>0</formula1>
    </dataValidation>
    <dataValidation type="decimal" operator="greaterThanOrEqual" allowBlank="1" showInputMessage="1" showErrorMessage="1" sqref="R54">
      <formula1>0</formula1>
    </dataValidation>
    <dataValidation type="whole" allowBlank="1" showInputMessage="1" showErrorMessage="1" sqref="U54">
      <formula1>1</formula1>
      <formula2>5</formula2>
    </dataValidation>
    <dataValidation type="whole" allowBlank="1" showInputMessage="1" showErrorMessage="1" sqref="V54">
      <formula1>1</formula1>
      <formula2>5</formula2>
    </dataValidation>
    <dataValidation type="whole" allowBlank="1" showInputMessage="1" showErrorMessage="1" sqref="X54">
      <formula1>1</formula1>
      <formula2>5</formula2>
    </dataValidation>
    <dataValidation type="decimal" operator="greaterThanOrEqual" allowBlank="1" showInputMessage="1" showErrorMessage="1" sqref="Y54">
      <formula1>0</formula1>
    </dataValidation>
    <dataValidation type="whole" operator="greaterThanOrEqual" allowBlank="1" showInputMessage="1" showErrorMessage="1" sqref="Z54">
      <formula1>0</formula1>
    </dataValidation>
    <dataValidation type="whole" allowBlank="1" showInputMessage="1" showErrorMessage="1" sqref="AA54">
      <formula1>1</formula1>
      <formula2>5</formula2>
    </dataValidation>
    <dataValidation type="decimal" allowBlank="1" showInputMessage="1" showErrorMessage="1" sqref="AB54">
      <formula1>0</formula1>
      <formula2>1</formula2>
    </dataValidation>
    <dataValidation type="list" allowBlank="1" showInputMessage="1" showErrorMessage="1" sqref="O54">
      <formula1>liste_statuts</formula1>
    </dataValidation>
    <dataValidation type="list" allowBlank="1" showInputMessage="1" showErrorMessage="1" sqref="B55">
      <formula1>liste_programmes</formula1>
    </dataValidation>
    <dataValidation type="list" allowBlank="1" showInputMessage="1" showErrorMessage="1" sqref="D55">
      <formula1>liste_types</formula1>
    </dataValidation>
    <dataValidation type="list" allowBlank="1" showInputMessage="1" showErrorMessage="1" sqref="F55">
      <formula1>liste_categories</formula1>
    </dataValidation>
    <dataValidation type="list" allowBlank="1" showInputMessage="1" showErrorMessage="1" sqref="G55">
      <formula1>liste_responsables</formula1>
    </dataValidation>
    <dataValidation type="list" allowBlank="1" showInputMessage="1" showErrorMessage="1" sqref="H55">
      <formula1>liste_sites</formula1>
    </dataValidation>
    <dataValidation type="list" allowBlank="1" showInputMessage="1" showErrorMessage="1" sqref="I55">
      <formula1>liste_priorites</formula1>
    </dataValidation>
    <dataValidation type="date" operator="greaterThanOrEqual" allowBlank="1" showInputMessage="1" showErrorMessage="1" sqref="J55">
      <formula1>730120</formula1>
    </dataValidation>
    <dataValidation type="date" operator="greaterThanOrEqual" allowBlank="1" showInputMessage="1" showErrorMessage="1" sqref="K55">
      <formula1>730120</formula1>
    </dataValidation>
    <dataValidation type="date" operator="greaterThanOrEqual" allowBlank="1" showInputMessage="1" showErrorMessage="1" sqref="L55">
      <formula1>730120</formula1>
    </dataValidation>
    <dataValidation type="whole" allowBlank="1" showInputMessage="1" showErrorMessage="1" sqref="P55">
      <formula1>0</formula1>
      <formula2>100</formula2>
    </dataValidation>
    <dataValidation type="decimal" operator="greaterThanOrEqual" allowBlank="1" showInputMessage="1" showErrorMessage="1" sqref="Q55">
      <formula1>0</formula1>
    </dataValidation>
    <dataValidation type="decimal" operator="greaterThanOrEqual" allowBlank="1" showInputMessage="1" showErrorMessage="1" sqref="R55">
      <formula1>0</formula1>
    </dataValidation>
    <dataValidation type="whole" allowBlank="1" showInputMessage="1" showErrorMessage="1" sqref="U55">
      <formula1>1</formula1>
      <formula2>5</formula2>
    </dataValidation>
    <dataValidation type="whole" allowBlank="1" showInputMessage="1" showErrorMessage="1" sqref="V55">
      <formula1>1</formula1>
      <formula2>5</formula2>
    </dataValidation>
    <dataValidation type="whole" allowBlank="1" showInputMessage="1" showErrorMessage="1" sqref="X55">
      <formula1>1</formula1>
      <formula2>5</formula2>
    </dataValidation>
    <dataValidation type="decimal" operator="greaterThanOrEqual" allowBlank="1" showInputMessage="1" showErrorMessage="1" sqref="Y55">
      <formula1>0</formula1>
    </dataValidation>
    <dataValidation type="whole" operator="greaterThanOrEqual" allowBlank="1" showInputMessage="1" showErrorMessage="1" sqref="Z55">
      <formula1>0</formula1>
    </dataValidation>
    <dataValidation type="whole" allowBlank="1" showInputMessage="1" showErrorMessage="1" sqref="AA55">
      <formula1>1</formula1>
      <formula2>5</formula2>
    </dataValidation>
    <dataValidation type="decimal" allowBlank="1" showInputMessage="1" showErrorMessage="1" sqref="AB55">
      <formula1>0</formula1>
      <formula2>1</formula2>
    </dataValidation>
    <dataValidation type="list" allowBlank="1" showInputMessage="1" showErrorMessage="1" sqref="O55">
      <formula1>liste_statuts</formula1>
    </dataValidation>
    <dataValidation type="list" allowBlank="1" showInputMessage="1" showErrorMessage="1" sqref="B56">
      <formula1>liste_programmes</formula1>
    </dataValidation>
    <dataValidation type="list" allowBlank="1" showInputMessage="1" showErrorMessage="1" sqref="D56">
      <formula1>liste_types</formula1>
    </dataValidation>
    <dataValidation type="list" allowBlank="1" showInputMessage="1" showErrorMessage="1" sqref="F56">
      <formula1>liste_categories</formula1>
    </dataValidation>
    <dataValidation type="list" allowBlank="1" showInputMessage="1" showErrorMessage="1" sqref="G56">
      <formula1>liste_responsables</formula1>
    </dataValidation>
    <dataValidation type="list" allowBlank="1" showInputMessage="1" showErrorMessage="1" sqref="H56">
      <formula1>liste_sites</formula1>
    </dataValidation>
    <dataValidation type="list" allowBlank="1" showInputMessage="1" showErrorMessage="1" sqref="I56">
      <formula1>liste_priorites</formula1>
    </dataValidation>
    <dataValidation type="date" operator="greaterThanOrEqual" allowBlank="1" showInputMessage="1" showErrorMessage="1" sqref="J56">
      <formula1>730120</formula1>
    </dataValidation>
    <dataValidation type="date" operator="greaterThanOrEqual" allowBlank="1" showInputMessage="1" showErrorMessage="1" sqref="K56">
      <formula1>730120</formula1>
    </dataValidation>
    <dataValidation type="date" operator="greaterThanOrEqual" allowBlank="1" showInputMessage="1" showErrorMessage="1" sqref="L56">
      <formula1>730120</formula1>
    </dataValidation>
    <dataValidation type="whole" allowBlank="1" showInputMessage="1" showErrorMessage="1" sqref="P56">
      <formula1>0</formula1>
      <formula2>100</formula2>
    </dataValidation>
    <dataValidation type="decimal" operator="greaterThanOrEqual" allowBlank="1" showInputMessage="1" showErrorMessage="1" sqref="Q56">
      <formula1>0</formula1>
    </dataValidation>
    <dataValidation type="decimal" operator="greaterThanOrEqual" allowBlank="1" showInputMessage="1" showErrorMessage="1" sqref="R56">
      <formula1>0</formula1>
    </dataValidation>
    <dataValidation type="whole" allowBlank="1" showInputMessage="1" showErrorMessage="1" sqref="U56">
      <formula1>1</formula1>
      <formula2>5</formula2>
    </dataValidation>
    <dataValidation type="whole" allowBlank="1" showInputMessage="1" showErrorMessage="1" sqref="V56">
      <formula1>1</formula1>
      <formula2>5</formula2>
    </dataValidation>
    <dataValidation type="whole" allowBlank="1" showInputMessage="1" showErrorMessage="1" sqref="X56">
      <formula1>1</formula1>
      <formula2>5</formula2>
    </dataValidation>
    <dataValidation type="decimal" operator="greaterThanOrEqual" allowBlank="1" showInputMessage="1" showErrorMessage="1" sqref="Y56">
      <formula1>0</formula1>
    </dataValidation>
    <dataValidation type="whole" operator="greaterThanOrEqual" allowBlank="1" showInputMessage="1" showErrorMessage="1" sqref="Z56">
      <formula1>0</formula1>
    </dataValidation>
    <dataValidation type="whole" allowBlank="1" showInputMessage="1" showErrorMessage="1" sqref="AA56">
      <formula1>1</formula1>
      <formula2>5</formula2>
    </dataValidation>
    <dataValidation type="decimal" allowBlank="1" showInputMessage="1" showErrorMessage="1" sqref="AB56">
      <formula1>0</formula1>
      <formula2>1</formula2>
    </dataValidation>
    <dataValidation type="list" allowBlank="1" showInputMessage="1" showErrorMessage="1" sqref="O56">
      <formula1>liste_statuts</formula1>
    </dataValidation>
    <dataValidation type="list" allowBlank="1" showInputMessage="1" showErrorMessage="1" sqref="B57">
      <formula1>liste_programmes</formula1>
    </dataValidation>
    <dataValidation type="list" allowBlank="1" showInputMessage="1" showErrorMessage="1" sqref="D57">
      <formula1>liste_types</formula1>
    </dataValidation>
    <dataValidation type="list" allowBlank="1" showInputMessage="1" showErrorMessage="1" sqref="F57">
      <formula1>liste_categories</formula1>
    </dataValidation>
    <dataValidation type="list" allowBlank="1" showInputMessage="1" showErrorMessage="1" sqref="G57">
      <formula1>liste_responsables</formula1>
    </dataValidation>
    <dataValidation type="list" allowBlank="1" showInputMessage="1" showErrorMessage="1" sqref="H57">
      <formula1>liste_sites</formula1>
    </dataValidation>
    <dataValidation type="list" allowBlank="1" showInputMessage="1" showErrorMessage="1" sqref="I57">
      <formula1>liste_priorites</formula1>
    </dataValidation>
    <dataValidation type="date" operator="greaterThanOrEqual" allowBlank="1" showInputMessage="1" showErrorMessage="1" sqref="J57">
      <formula1>730120</formula1>
    </dataValidation>
    <dataValidation type="date" operator="greaterThanOrEqual" allowBlank="1" showInputMessage="1" showErrorMessage="1" sqref="K57">
      <formula1>730120</formula1>
    </dataValidation>
    <dataValidation type="date" operator="greaterThanOrEqual" allowBlank="1" showInputMessage="1" showErrorMessage="1" sqref="L57">
      <formula1>730120</formula1>
    </dataValidation>
    <dataValidation type="whole" allowBlank="1" showInputMessage="1" showErrorMessage="1" sqref="P57">
      <formula1>0</formula1>
      <formula2>100</formula2>
    </dataValidation>
    <dataValidation type="decimal" operator="greaterThanOrEqual" allowBlank="1" showInputMessage="1" showErrorMessage="1" sqref="Q57">
      <formula1>0</formula1>
    </dataValidation>
    <dataValidation type="decimal" operator="greaterThanOrEqual" allowBlank="1" showInputMessage="1" showErrorMessage="1" sqref="R57">
      <formula1>0</formula1>
    </dataValidation>
    <dataValidation type="whole" allowBlank="1" showInputMessage="1" showErrorMessage="1" sqref="U57">
      <formula1>1</formula1>
      <formula2>5</formula2>
    </dataValidation>
    <dataValidation type="whole" allowBlank="1" showInputMessage="1" showErrorMessage="1" sqref="V57">
      <formula1>1</formula1>
      <formula2>5</formula2>
    </dataValidation>
    <dataValidation type="whole" allowBlank="1" showInputMessage="1" showErrorMessage="1" sqref="X57">
      <formula1>1</formula1>
      <formula2>5</formula2>
    </dataValidation>
    <dataValidation type="decimal" operator="greaterThanOrEqual" allowBlank="1" showInputMessage="1" showErrorMessage="1" sqref="Y57">
      <formula1>0</formula1>
    </dataValidation>
    <dataValidation type="whole" operator="greaterThanOrEqual" allowBlank="1" showInputMessage="1" showErrorMessage="1" sqref="Z57">
      <formula1>0</formula1>
    </dataValidation>
    <dataValidation type="whole" allowBlank="1" showInputMessage="1" showErrorMessage="1" sqref="AA57">
      <formula1>1</formula1>
      <formula2>5</formula2>
    </dataValidation>
    <dataValidation type="decimal" allowBlank="1" showInputMessage="1" showErrorMessage="1" sqref="AB57">
      <formula1>0</formula1>
      <formula2>1</formula2>
    </dataValidation>
    <dataValidation type="list" allowBlank="1" showInputMessage="1" showErrorMessage="1" sqref="O57">
      <formula1>liste_statuts</formula1>
    </dataValidation>
    <dataValidation type="list" allowBlank="1" showInputMessage="1" showErrorMessage="1" sqref="B58">
      <formula1>liste_programmes</formula1>
    </dataValidation>
    <dataValidation type="list" allowBlank="1" showInputMessage="1" showErrorMessage="1" sqref="D58">
      <formula1>liste_types</formula1>
    </dataValidation>
    <dataValidation type="list" allowBlank="1" showInputMessage="1" showErrorMessage="1" sqref="F58">
      <formula1>liste_categories</formula1>
    </dataValidation>
    <dataValidation type="list" allowBlank="1" showInputMessage="1" showErrorMessage="1" sqref="G58">
      <formula1>liste_responsables</formula1>
    </dataValidation>
    <dataValidation type="list" allowBlank="1" showInputMessage="1" showErrorMessage="1" sqref="H58">
      <formula1>liste_sites</formula1>
    </dataValidation>
    <dataValidation type="list" allowBlank="1" showInputMessage="1" showErrorMessage="1" sqref="I58">
      <formula1>liste_priorites</formula1>
    </dataValidation>
    <dataValidation type="date" operator="greaterThanOrEqual" allowBlank="1" showInputMessage="1" showErrorMessage="1" sqref="J58">
      <formula1>730120</formula1>
    </dataValidation>
    <dataValidation type="date" operator="greaterThanOrEqual" allowBlank="1" showInputMessage="1" showErrorMessage="1" sqref="K58">
      <formula1>730120</formula1>
    </dataValidation>
    <dataValidation type="date" operator="greaterThanOrEqual" allowBlank="1" showInputMessage="1" showErrorMessage="1" sqref="L58">
      <formula1>730120</formula1>
    </dataValidation>
    <dataValidation type="whole" allowBlank="1" showInputMessage="1" showErrorMessage="1" sqref="P58">
      <formula1>0</formula1>
      <formula2>100</formula2>
    </dataValidation>
    <dataValidation type="decimal" operator="greaterThanOrEqual" allowBlank="1" showInputMessage="1" showErrorMessage="1" sqref="Q58">
      <formula1>0</formula1>
    </dataValidation>
    <dataValidation type="decimal" operator="greaterThanOrEqual" allowBlank="1" showInputMessage="1" showErrorMessage="1" sqref="R58">
      <formula1>0</formula1>
    </dataValidation>
    <dataValidation type="whole" allowBlank="1" showInputMessage="1" showErrorMessage="1" sqref="U58">
      <formula1>1</formula1>
      <formula2>5</formula2>
    </dataValidation>
    <dataValidation type="whole" allowBlank="1" showInputMessage="1" showErrorMessage="1" sqref="V58">
      <formula1>1</formula1>
      <formula2>5</formula2>
    </dataValidation>
    <dataValidation type="whole" allowBlank="1" showInputMessage="1" showErrorMessage="1" sqref="X58">
      <formula1>1</formula1>
      <formula2>5</formula2>
    </dataValidation>
    <dataValidation type="decimal" operator="greaterThanOrEqual" allowBlank="1" showInputMessage="1" showErrorMessage="1" sqref="Y58">
      <formula1>0</formula1>
    </dataValidation>
    <dataValidation type="whole" operator="greaterThanOrEqual" allowBlank="1" showInputMessage="1" showErrorMessage="1" sqref="Z58">
      <formula1>0</formula1>
    </dataValidation>
    <dataValidation type="whole" allowBlank="1" showInputMessage="1" showErrorMessage="1" sqref="AA58">
      <formula1>1</formula1>
      <formula2>5</formula2>
    </dataValidation>
    <dataValidation type="decimal" allowBlank="1" showInputMessage="1" showErrorMessage="1" sqref="AB58">
      <formula1>0</formula1>
      <formula2>1</formula2>
    </dataValidation>
    <dataValidation type="list" allowBlank="1" showInputMessage="1" showErrorMessage="1" sqref="O58">
      <formula1>liste_statuts</formula1>
    </dataValidation>
    <dataValidation type="list" allowBlank="1" showInputMessage="1" showErrorMessage="1" sqref="B59">
      <formula1>liste_programmes</formula1>
    </dataValidation>
    <dataValidation type="list" allowBlank="1" showInputMessage="1" showErrorMessage="1" sqref="D59">
      <formula1>liste_types</formula1>
    </dataValidation>
    <dataValidation type="list" allowBlank="1" showInputMessage="1" showErrorMessage="1" sqref="F59">
      <formula1>liste_categories</formula1>
    </dataValidation>
    <dataValidation type="list" allowBlank="1" showInputMessage="1" showErrorMessage="1" sqref="G59">
      <formula1>liste_responsables</formula1>
    </dataValidation>
    <dataValidation type="list" allowBlank="1" showInputMessage="1" showErrorMessage="1" sqref="H59">
      <formula1>liste_sites</formula1>
    </dataValidation>
    <dataValidation type="list" allowBlank="1" showInputMessage="1" showErrorMessage="1" sqref="I59">
      <formula1>liste_priorites</formula1>
    </dataValidation>
    <dataValidation type="date" operator="greaterThanOrEqual" allowBlank="1" showInputMessage="1" showErrorMessage="1" sqref="J59">
      <formula1>730120</formula1>
    </dataValidation>
    <dataValidation type="date" operator="greaterThanOrEqual" allowBlank="1" showInputMessage="1" showErrorMessage="1" sqref="K59">
      <formula1>730120</formula1>
    </dataValidation>
    <dataValidation type="date" operator="greaterThanOrEqual" allowBlank="1" showInputMessage="1" showErrorMessage="1" sqref="L59">
      <formula1>730120</formula1>
    </dataValidation>
    <dataValidation type="whole" allowBlank="1" showInputMessage="1" showErrorMessage="1" sqref="P59">
      <formula1>0</formula1>
      <formula2>100</formula2>
    </dataValidation>
    <dataValidation type="decimal" operator="greaterThanOrEqual" allowBlank="1" showInputMessage="1" showErrorMessage="1" sqref="Q59">
      <formula1>0</formula1>
    </dataValidation>
    <dataValidation type="decimal" operator="greaterThanOrEqual" allowBlank="1" showInputMessage="1" showErrorMessage="1" sqref="R59">
      <formula1>0</formula1>
    </dataValidation>
    <dataValidation type="whole" allowBlank="1" showInputMessage="1" showErrorMessage="1" sqref="U59">
      <formula1>1</formula1>
      <formula2>5</formula2>
    </dataValidation>
    <dataValidation type="whole" allowBlank="1" showInputMessage="1" showErrorMessage="1" sqref="V59">
      <formula1>1</formula1>
      <formula2>5</formula2>
    </dataValidation>
    <dataValidation type="whole" allowBlank="1" showInputMessage="1" showErrorMessage="1" sqref="X59">
      <formula1>1</formula1>
      <formula2>5</formula2>
    </dataValidation>
    <dataValidation type="decimal" operator="greaterThanOrEqual" allowBlank="1" showInputMessage="1" showErrorMessage="1" sqref="Y59">
      <formula1>0</formula1>
    </dataValidation>
    <dataValidation type="whole" operator="greaterThanOrEqual" allowBlank="1" showInputMessage="1" showErrorMessage="1" sqref="Z59">
      <formula1>0</formula1>
    </dataValidation>
    <dataValidation type="whole" allowBlank="1" showInputMessage="1" showErrorMessage="1" sqref="AA59">
      <formula1>1</formula1>
      <formula2>5</formula2>
    </dataValidation>
    <dataValidation type="decimal" allowBlank="1" showInputMessage="1" showErrorMessage="1" sqref="AB59">
      <formula1>0</formula1>
      <formula2>1</formula2>
    </dataValidation>
    <dataValidation type="list" allowBlank="1" showInputMessage="1" showErrorMessage="1" sqref="O59">
      <formula1>liste_statuts</formula1>
    </dataValidation>
    <dataValidation type="list" allowBlank="1" showInputMessage="1" showErrorMessage="1" sqref="B60">
      <formula1>liste_programmes</formula1>
    </dataValidation>
    <dataValidation type="list" allowBlank="1" showInputMessage="1" showErrorMessage="1" sqref="D60">
      <formula1>liste_types</formula1>
    </dataValidation>
    <dataValidation type="list" allowBlank="1" showInputMessage="1" showErrorMessage="1" sqref="F60">
      <formula1>liste_categories</formula1>
    </dataValidation>
    <dataValidation type="list" allowBlank="1" showInputMessage="1" showErrorMessage="1" sqref="G60">
      <formula1>liste_responsables</formula1>
    </dataValidation>
    <dataValidation type="list" allowBlank="1" showInputMessage="1" showErrorMessage="1" sqref="H60">
      <formula1>liste_sites</formula1>
    </dataValidation>
    <dataValidation type="list" allowBlank="1" showInputMessage="1" showErrorMessage="1" sqref="I60">
      <formula1>liste_priorites</formula1>
    </dataValidation>
    <dataValidation type="date" operator="greaterThanOrEqual" allowBlank="1" showInputMessage="1" showErrorMessage="1" sqref="J60">
      <formula1>730120</formula1>
    </dataValidation>
    <dataValidation type="date" operator="greaterThanOrEqual" allowBlank="1" showInputMessage="1" showErrorMessage="1" sqref="K60">
      <formula1>730120</formula1>
    </dataValidation>
    <dataValidation type="date" operator="greaterThanOrEqual" allowBlank="1" showInputMessage="1" showErrorMessage="1" sqref="L60">
      <formula1>730120</formula1>
    </dataValidation>
    <dataValidation type="whole" allowBlank="1" showInputMessage="1" showErrorMessage="1" sqref="P60">
      <formula1>0</formula1>
      <formula2>100</formula2>
    </dataValidation>
    <dataValidation type="decimal" operator="greaterThanOrEqual" allowBlank="1" showInputMessage="1" showErrorMessage="1" sqref="Q60">
      <formula1>0</formula1>
    </dataValidation>
    <dataValidation type="decimal" operator="greaterThanOrEqual" allowBlank="1" showInputMessage="1" showErrorMessage="1" sqref="R60">
      <formula1>0</formula1>
    </dataValidation>
    <dataValidation type="whole" allowBlank="1" showInputMessage="1" showErrorMessage="1" sqref="U60">
      <formula1>1</formula1>
      <formula2>5</formula2>
    </dataValidation>
    <dataValidation type="whole" allowBlank="1" showInputMessage="1" showErrorMessage="1" sqref="V60">
      <formula1>1</formula1>
      <formula2>5</formula2>
    </dataValidation>
    <dataValidation type="whole" allowBlank="1" showInputMessage="1" showErrorMessage="1" sqref="X60">
      <formula1>1</formula1>
      <formula2>5</formula2>
    </dataValidation>
    <dataValidation type="decimal" operator="greaterThanOrEqual" allowBlank="1" showInputMessage="1" showErrorMessage="1" sqref="Y60">
      <formula1>0</formula1>
    </dataValidation>
    <dataValidation type="whole" operator="greaterThanOrEqual" allowBlank="1" showInputMessage="1" showErrorMessage="1" sqref="Z60">
      <formula1>0</formula1>
    </dataValidation>
    <dataValidation type="whole" allowBlank="1" showInputMessage="1" showErrorMessage="1" sqref="AA60">
      <formula1>1</formula1>
      <formula2>5</formula2>
    </dataValidation>
    <dataValidation type="decimal" allowBlank="1" showInputMessage="1" showErrorMessage="1" sqref="AB60">
      <formula1>0</formula1>
      <formula2>1</formula2>
    </dataValidation>
    <dataValidation type="list" allowBlank="1" showInputMessage="1" showErrorMessage="1" sqref="O60">
      <formula1>liste_statuts</formula1>
    </dataValidation>
    <dataValidation type="list" allowBlank="1" showInputMessage="1" showErrorMessage="1" sqref="B61">
      <formula1>liste_programmes</formula1>
    </dataValidation>
    <dataValidation type="list" allowBlank="1" showInputMessage="1" showErrorMessage="1" sqref="D61">
      <formula1>liste_types</formula1>
    </dataValidation>
    <dataValidation type="list" allowBlank="1" showInputMessage="1" showErrorMessage="1" sqref="F61">
      <formula1>liste_categories</formula1>
    </dataValidation>
    <dataValidation type="list" allowBlank="1" showInputMessage="1" showErrorMessage="1" sqref="G61">
      <formula1>liste_responsables</formula1>
    </dataValidation>
    <dataValidation type="list" allowBlank="1" showInputMessage="1" showErrorMessage="1" sqref="H61">
      <formula1>liste_sites</formula1>
    </dataValidation>
    <dataValidation type="list" allowBlank="1" showInputMessage="1" showErrorMessage="1" sqref="I61">
      <formula1>liste_priorites</formula1>
    </dataValidation>
    <dataValidation type="date" operator="greaterThanOrEqual" allowBlank="1" showInputMessage="1" showErrorMessage="1" sqref="J61">
      <formula1>730120</formula1>
    </dataValidation>
    <dataValidation type="date" operator="greaterThanOrEqual" allowBlank="1" showInputMessage="1" showErrorMessage="1" sqref="K61">
      <formula1>730120</formula1>
    </dataValidation>
    <dataValidation type="date" operator="greaterThanOrEqual" allowBlank="1" showInputMessage="1" showErrorMessage="1" sqref="L61">
      <formula1>730120</formula1>
    </dataValidation>
    <dataValidation type="whole" allowBlank="1" showInputMessage="1" showErrorMessage="1" sqref="P61">
      <formula1>0</formula1>
      <formula2>100</formula2>
    </dataValidation>
    <dataValidation type="decimal" operator="greaterThanOrEqual" allowBlank="1" showInputMessage="1" showErrorMessage="1" sqref="Q61">
      <formula1>0</formula1>
    </dataValidation>
    <dataValidation type="decimal" operator="greaterThanOrEqual" allowBlank="1" showInputMessage="1" showErrorMessage="1" sqref="R61">
      <formula1>0</formula1>
    </dataValidation>
    <dataValidation type="whole" allowBlank="1" showInputMessage="1" showErrorMessage="1" sqref="U61">
      <formula1>1</formula1>
      <formula2>5</formula2>
    </dataValidation>
    <dataValidation type="whole" allowBlank="1" showInputMessage="1" showErrorMessage="1" sqref="V61">
      <formula1>1</formula1>
      <formula2>5</formula2>
    </dataValidation>
    <dataValidation type="whole" allowBlank="1" showInputMessage="1" showErrorMessage="1" sqref="X61">
      <formula1>1</formula1>
      <formula2>5</formula2>
    </dataValidation>
    <dataValidation type="decimal" operator="greaterThanOrEqual" allowBlank="1" showInputMessage="1" showErrorMessage="1" sqref="Y61">
      <formula1>0</formula1>
    </dataValidation>
    <dataValidation type="whole" operator="greaterThanOrEqual" allowBlank="1" showInputMessage="1" showErrorMessage="1" sqref="Z61">
      <formula1>0</formula1>
    </dataValidation>
    <dataValidation type="whole" allowBlank="1" showInputMessage="1" showErrorMessage="1" sqref="AA61">
      <formula1>1</formula1>
      <formula2>5</formula2>
    </dataValidation>
    <dataValidation type="decimal" allowBlank="1" showInputMessage="1" showErrorMessage="1" sqref="AB61">
      <formula1>0</formula1>
      <formula2>1</formula2>
    </dataValidation>
    <dataValidation type="list" allowBlank="1" showInputMessage="1" showErrorMessage="1" sqref="O61">
      <formula1>liste_statuts</formula1>
    </dataValidation>
    <dataValidation type="list" allowBlank="1" showInputMessage="1" showErrorMessage="1" sqref="B62">
      <formula1>liste_programmes</formula1>
    </dataValidation>
    <dataValidation type="list" allowBlank="1" showInputMessage="1" showErrorMessage="1" sqref="D62">
      <formula1>liste_types</formula1>
    </dataValidation>
    <dataValidation type="list" allowBlank="1" showInputMessage="1" showErrorMessage="1" sqref="F62">
      <formula1>liste_categories</formula1>
    </dataValidation>
    <dataValidation type="list" allowBlank="1" showInputMessage="1" showErrorMessage="1" sqref="G62">
      <formula1>liste_responsables</formula1>
    </dataValidation>
    <dataValidation type="list" allowBlank="1" showInputMessage="1" showErrorMessage="1" sqref="H62">
      <formula1>liste_sites</formula1>
    </dataValidation>
    <dataValidation type="list" allowBlank="1" showInputMessage="1" showErrorMessage="1" sqref="I62">
      <formula1>liste_priorites</formula1>
    </dataValidation>
    <dataValidation type="date" operator="greaterThanOrEqual" allowBlank="1" showInputMessage="1" showErrorMessage="1" sqref="J62">
      <formula1>730120</formula1>
    </dataValidation>
    <dataValidation type="date" operator="greaterThanOrEqual" allowBlank="1" showInputMessage="1" showErrorMessage="1" sqref="K62">
      <formula1>730120</formula1>
    </dataValidation>
    <dataValidation type="date" operator="greaterThanOrEqual" allowBlank="1" showInputMessage="1" showErrorMessage="1" sqref="L62">
      <formula1>730120</formula1>
    </dataValidation>
    <dataValidation type="whole" allowBlank="1" showInputMessage="1" showErrorMessage="1" sqref="P62">
      <formula1>0</formula1>
      <formula2>100</formula2>
    </dataValidation>
    <dataValidation type="decimal" operator="greaterThanOrEqual" allowBlank="1" showInputMessage="1" showErrorMessage="1" sqref="Q62">
      <formula1>0</formula1>
    </dataValidation>
    <dataValidation type="decimal" operator="greaterThanOrEqual" allowBlank="1" showInputMessage="1" showErrorMessage="1" sqref="R62">
      <formula1>0</formula1>
    </dataValidation>
    <dataValidation type="whole" allowBlank="1" showInputMessage="1" showErrorMessage="1" sqref="U62">
      <formula1>1</formula1>
      <formula2>5</formula2>
    </dataValidation>
    <dataValidation type="whole" allowBlank="1" showInputMessage="1" showErrorMessage="1" sqref="V62">
      <formula1>1</formula1>
      <formula2>5</formula2>
    </dataValidation>
    <dataValidation type="whole" allowBlank="1" showInputMessage="1" showErrorMessage="1" sqref="X62">
      <formula1>1</formula1>
      <formula2>5</formula2>
    </dataValidation>
    <dataValidation type="decimal" operator="greaterThanOrEqual" allowBlank="1" showInputMessage="1" showErrorMessage="1" sqref="Y62">
      <formula1>0</formula1>
    </dataValidation>
    <dataValidation type="whole" operator="greaterThanOrEqual" allowBlank="1" showInputMessage="1" showErrorMessage="1" sqref="Z62">
      <formula1>0</formula1>
    </dataValidation>
    <dataValidation type="whole" allowBlank="1" showInputMessage="1" showErrorMessage="1" sqref="AA62">
      <formula1>1</formula1>
      <formula2>5</formula2>
    </dataValidation>
    <dataValidation type="decimal" allowBlank="1" showInputMessage="1" showErrorMessage="1" sqref="AB62">
      <formula1>0</formula1>
      <formula2>1</formula2>
    </dataValidation>
    <dataValidation type="list" allowBlank="1" showInputMessage="1" showErrorMessage="1" sqref="O62">
      <formula1>liste_statuts</formula1>
    </dataValidation>
    <dataValidation type="list" allowBlank="1" showInputMessage="1" showErrorMessage="1" sqref="B63">
      <formula1>liste_programmes</formula1>
    </dataValidation>
    <dataValidation type="list" allowBlank="1" showInputMessage="1" showErrorMessage="1" sqref="D63">
      <formula1>liste_types</formula1>
    </dataValidation>
    <dataValidation type="list" allowBlank="1" showInputMessage="1" showErrorMessage="1" sqref="F63">
      <formula1>liste_categories</formula1>
    </dataValidation>
    <dataValidation type="list" allowBlank="1" showInputMessage="1" showErrorMessage="1" sqref="G63">
      <formula1>liste_responsables</formula1>
    </dataValidation>
    <dataValidation type="list" allowBlank="1" showInputMessage="1" showErrorMessage="1" sqref="H63">
      <formula1>liste_sites</formula1>
    </dataValidation>
    <dataValidation type="list" allowBlank="1" showInputMessage="1" showErrorMessage="1" sqref="I63">
      <formula1>liste_priorites</formula1>
    </dataValidation>
    <dataValidation type="date" operator="greaterThanOrEqual" allowBlank="1" showInputMessage="1" showErrorMessage="1" sqref="J63">
      <formula1>730120</formula1>
    </dataValidation>
    <dataValidation type="date" operator="greaterThanOrEqual" allowBlank="1" showInputMessage="1" showErrorMessage="1" sqref="K63">
      <formula1>730120</formula1>
    </dataValidation>
    <dataValidation type="date" operator="greaterThanOrEqual" allowBlank="1" showInputMessage="1" showErrorMessage="1" sqref="L63">
      <formula1>730120</formula1>
    </dataValidation>
    <dataValidation type="whole" allowBlank="1" showInputMessage="1" showErrorMessage="1" sqref="P63">
      <formula1>0</formula1>
      <formula2>100</formula2>
    </dataValidation>
    <dataValidation type="decimal" operator="greaterThanOrEqual" allowBlank="1" showInputMessage="1" showErrorMessage="1" sqref="Q63">
      <formula1>0</formula1>
    </dataValidation>
    <dataValidation type="decimal" operator="greaterThanOrEqual" allowBlank="1" showInputMessage="1" showErrorMessage="1" sqref="R63">
      <formula1>0</formula1>
    </dataValidation>
    <dataValidation type="whole" allowBlank="1" showInputMessage="1" showErrorMessage="1" sqref="U63">
      <formula1>1</formula1>
      <formula2>5</formula2>
    </dataValidation>
    <dataValidation type="whole" allowBlank="1" showInputMessage="1" showErrorMessage="1" sqref="V63">
      <formula1>1</formula1>
      <formula2>5</formula2>
    </dataValidation>
    <dataValidation type="whole" allowBlank="1" showInputMessage="1" showErrorMessage="1" sqref="X63">
      <formula1>1</formula1>
      <formula2>5</formula2>
    </dataValidation>
    <dataValidation type="decimal" operator="greaterThanOrEqual" allowBlank="1" showInputMessage="1" showErrorMessage="1" sqref="Y63">
      <formula1>0</formula1>
    </dataValidation>
    <dataValidation type="whole" operator="greaterThanOrEqual" allowBlank="1" showInputMessage="1" showErrorMessage="1" sqref="Z63">
      <formula1>0</formula1>
    </dataValidation>
    <dataValidation type="whole" allowBlank="1" showInputMessage="1" showErrorMessage="1" sqref="AA63">
      <formula1>1</formula1>
      <formula2>5</formula2>
    </dataValidation>
    <dataValidation type="decimal" allowBlank="1" showInputMessage="1" showErrorMessage="1" sqref="AB63">
      <formula1>0</formula1>
      <formula2>1</formula2>
    </dataValidation>
    <dataValidation type="list" allowBlank="1" showInputMessage="1" showErrorMessage="1" sqref="O63">
      <formula1>liste_statuts</formula1>
    </dataValidation>
    <dataValidation type="list" allowBlank="1" showInputMessage="1" showErrorMessage="1" sqref="B64">
      <formula1>liste_programmes</formula1>
    </dataValidation>
    <dataValidation type="list" allowBlank="1" showInputMessage="1" showErrorMessage="1" sqref="D64">
      <formula1>liste_types</formula1>
    </dataValidation>
    <dataValidation type="list" allowBlank="1" showInputMessage="1" showErrorMessage="1" sqref="F64">
      <formula1>liste_categories</formula1>
    </dataValidation>
    <dataValidation type="list" allowBlank="1" showInputMessage="1" showErrorMessage="1" sqref="G64">
      <formula1>liste_responsables</formula1>
    </dataValidation>
    <dataValidation type="list" allowBlank="1" showInputMessage="1" showErrorMessage="1" sqref="H64">
      <formula1>liste_sites</formula1>
    </dataValidation>
    <dataValidation type="list" allowBlank="1" showInputMessage="1" showErrorMessage="1" sqref="I64">
      <formula1>liste_priorites</formula1>
    </dataValidation>
    <dataValidation type="date" operator="greaterThanOrEqual" allowBlank="1" showInputMessage="1" showErrorMessage="1" sqref="J64">
      <formula1>730120</formula1>
    </dataValidation>
    <dataValidation type="date" operator="greaterThanOrEqual" allowBlank="1" showInputMessage="1" showErrorMessage="1" sqref="K64">
      <formula1>730120</formula1>
    </dataValidation>
    <dataValidation type="date" operator="greaterThanOrEqual" allowBlank="1" showInputMessage="1" showErrorMessage="1" sqref="L64">
      <formula1>730120</formula1>
    </dataValidation>
    <dataValidation type="whole" allowBlank="1" showInputMessage="1" showErrorMessage="1" sqref="P64">
      <formula1>0</formula1>
      <formula2>100</formula2>
    </dataValidation>
    <dataValidation type="decimal" operator="greaterThanOrEqual" allowBlank="1" showInputMessage="1" showErrorMessage="1" sqref="Q64">
      <formula1>0</formula1>
    </dataValidation>
    <dataValidation type="decimal" operator="greaterThanOrEqual" allowBlank="1" showInputMessage="1" showErrorMessage="1" sqref="R64">
      <formula1>0</formula1>
    </dataValidation>
    <dataValidation type="whole" allowBlank="1" showInputMessage="1" showErrorMessage="1" sqref="U64">
      <formula1>1</formula1>
      <formula2>5</formula2>
    </dataValidation>
    <dataValidation type="whole" allowBlank="1" showInputMessage="1" showErrorMessage="1" sqref="V64">
      <formula1>1</formula1>
      <formula2>5</formula2>
    </dataValidation>
    <dataValidation type="whole" allowBlank="1" showInputMessage="1" showErrorMessage="1" sqref="X64">
      <formula1>1</formula1>
      <formula2>5</formula2>
    </dataValidation>
    <dataValidation type="decimal" operator="greaterThanOrEqual" allowBlank="1" showInputMessage="1" showErrorMessage="1" sqref="Y64">
      <formula1>0</formula1>
    </dataValidation>
    <dataValidation type="whole" operator="greaterThanOrEqual" allowBlank="1" showInputMessage="1" showErrorMessage="1" sqref="Z64">
      <formula1>0</formula1>
    </dataValidation>
    <dataValidation type="whole" allowBlank="1" showInputMessage="1" showErrorMessage="1" sqref="AA64">
      <formula1>1</formula1>
      <formula2>5</formula2>
    </dataValidation>
    <dataValidation type="decimal" allowBlank="1" showInputMessage="1" showErrorMessage="1" sqref="AB64">
      <formula1>0</formula1>
      <formula2>1</formula2>
    </dataValidation>
    <dataValidation type="list" allowBlank="1" showInputMessage="1" showErrorMessage="1" sqref="O64">
      <formula1>liste_statuts</formula1>
    </dataValidation>
    <dataValidation type="list" allowBlank="1" showInputMessage="1" showErrorMessage="1" sqref="B65">
      <formula1>liste_programmes</formula1>
    </dataValidation>
    <dataValidation type="list" allowBlank="1" showInputMessage="1" showErrorMessage="1" sqref="D65">
      <formula1>liste_types</formula1>
    </dataValidation>
    <dataValidation type="list" allowBlank="1" showInputMessage="1" showErrorMessage="1" sqref="F65">
      <formula1>liste_categories</formula1>
    </dataValidation>
    <dataValidation type="list" allowBlank="1" showInputMessage="1" showErrorMessage="1" sqref="G65">
      <formula1>liste_responsables</formula1>
    </dataValidation>
    <dataValidation type="list" allowBlank="1" showInputMessage="1" showErrorMessage="1" sqref="H65">
      <formula1>liste_sites</formula1>
    </dataValidation>
    <dataValidation type="list" allowBlank="1" showInputMessage="1" showErrorMessage="1" sqref="I65">
      <formula1>liste_priorites</formula1>
    </dataValidation>
    <dataValidation type="date" operator="greaterThanOrEqual" allowBlank="1" showInputMessage="1" showErrorMessage="1" sqref="J65">
      <formula1>730120</formula1>
    </dataValidation>
    <dataValidation type="date" operator="greaterThanOrEqual" allowBlank="1" showInputMessage="1" showErrorMessage="1" sqref="K65">
      <formula1>730120</formula1>
    </dataValidation>
    <dataValidation type="date" operator="greaterThanOrEqual" allowBlank="1" showInputMessage="1" showErrorMessage="1" sqref="L65">
      <formula1>730120</formula1>
    </dataValidation>
    <dataValidation type="whole" allowBlank="1" showInputMessage="1" showErrorMessage="1" sqref="P65">
      <formula1>0</formula1>
      <formula2>100</formula2>
    </dataValidation>
    <dataValidation type="decimal" operator="greaterThanOrEqual" allowBlank="1" showInputMessage="1" showErrorMessage="1" sqref="Q65">
      <formula1>0</formula1>
    </dataValidation>
    <dataValidation type="decimal" operator="greaterThanOrEqual" allowBlank="1" showInputMessage="1" showErrorMessage="1" sqref="R65">
      <formula1>0</formula1>
    </dataValidation>
    <dataValidation type="whole" allowBlank="1" showInputMessage="1" showErrorMessage="1" sqref="U65">
      <formula1>1</formula1>
      <formula2>5</formula2>
    </dataValidation>
    <dataValidation type="whole" allowBlank="1" showInputMessage="1" showErrorMessage="1" sqref="V65">
      <formula1>1</formula1>
      <formula2>5</formula2>
    </dataValidation>
    <dataValidation type="whole" allowBlank="1" showInputMessage="1" showErrorMessage="1" sqref="X65">
      <formula1>1</formula1>
      <formula2>5</formula2>
    </dataValidation>
    <dataValidation type="decimal" operator="greaterThanOrEqual" allowBlank="1" showInputMessage="1" showErrorMessage="1" sqref="Y65">
      <formula1>0</formula1>
    </dataValidation>
    <dataValidation type="whole" operator="greaterThanOrEqual" allowBlank="1" showInputMessage="1" showErrorMessage="1" sqref="Z65">
      <formula1>0</formula1>
    </dataValidation>
    <dataValidation type="whole" allowBlank="1" showInputMessage="1" showErrorMessage="1" sqref="AA65">
      <formula1>1</formula1>
      <formula2>5</formula2>
    </dataValidation>
    <dataValidation type="decimal" allowBlank="1" showInputMessage="1" showErrorMessage="1" sqref="AB65">
      <formula1>0</formula1>
      <formula2>1</formula2>
    </dataValidation>
    <dataValidation type="list" allowBlank="1" showInputMessage="1" showErrorMessage="1" sqref="O65">
      <formula1>liste_statuts</formula1>
    </dataValidation>
    <dataValidation type="list" allowBlank="1" showInputMessage="1" showErrorMessage="1" sqref="B66">
      <formula1>liste_programmes</formula1>
    </dataValidation>
    <dataValidation type="list" allowBlank="1" showInputMessage="1" showErrorMessage="1" sqref="D66">
      <formula1>liste_types</formula1>
    </dataValidation>
    <dataValidation type="list" allowBlank="1" showInputMessage="1" showErrorMessage="1" sqref="F66">
      <formula1>liste_categories</formula1>
    </dataValidation>
    <dataValidation type="list" allowBlank="1" showInputMessage="1" showErrorMessage="1" sqref="G66">
      <formula1>liste_responsables</formula1>
    </dataValidation>
    <dataValidation type="list" allowBlank="1" showInputMessage="1" showErrorMessage="1" sqref="H66">
      <formula1>liste_sites</formula1>
    </dataValidation>
    <dataValidation type="list" allowBlank="1" showInputMessage="1" showErrorMessage="1" sqref="I66">
      <formula1>liste_priorites</formula1>
    </dataValidation>
    <dataValidation type="date" operator="greaterThanOrEqual" allowBlank="1" showInputMessage="1" showErrorMessage="1" sqref="J66">
      <formula1>730120</formula1>
    </dataValidation>
    <dataValidation type="date" operator="greaterThanOrEqual" allowBlank="1" showInputMessage="1" showErrorMessage="1" sqref="K66">
      <formula1>730120</formula1>
    </dataValidation>
    <dataValidation type="date" operator="greaterThanOrEqual" allowBlank="1" showInputMessage="1" showErrorMessage="1" sqref="L66">
      <formula1>730120</formula1>
    </dataValidation>
    <dataValidation type="whole" allowBlank="1" showInputMessage="1" showErrorMessage="1" sqref="P66">
      <formula1>0</formula1>
      <formula2>100</formula2>
    </dataValidation>
    <dataValidation type="decimal" operator="greaterThanOrEqual" allowBlank="1" showInputMessage="1" showErrorMessage="1" sqref="Q66">
      <formula1>0</formula1>
    </dataValidation>
    <dataValidation type="decimal" operator="greaterThanOrEqual" allowBlank="1" showInputMessage="1" showErrorMessage="1" sqref="R66">
      <formula1>0</formula1>
    </dataValidation>
    <dataValidation type="whole" allowBlank="1" showInputMessage="1" showErrorMessage="1" sqref="U66">
      <formula1>1</formula1>
      <formula2>5</formula2>
    </dataValidation>
    <dataValidation type="whole" allowBlank="1" showInputMessage="1" showErrorMessage="1" sqref="V66">
      <formula1>1</formula1>
      <formula2>5</formula2>
    </dataValidation>
    <dataValidation type="whole" allowBlank="1" showInputMessage="1" showErrorMessage="1" sqref="X66">
      <formula1>1</formula1>
      <formula2>5</formula2>
    </dataValidation>
    <dataValidation type="decimal" operator="greaterThanOrEqual" allowBlank="1" showInputMessage="1" showErrorMessage="1" sqref="Y66">
      <formula1>0</formula1>
    </dataValidation>
    <dataValidation type="whole" operator="greaterThanOrEqual" allowBlank="1" showInputMessage="1" showErrorMessage="1" sqref="Z66">
      <formula1>0</formula1>
    </dataValidation>
    <dataValidation type="whole" allowBlank="1" showInputMessage="1" showErrorMessage="1" sqref="AA66">
      <formula1>1</formula1>
      <formula2>5</formula2>
    </dataValidation>
    <dataValidation type="decimal" allowBlank="1" showInputMessage="1" showErrorMessage="1" sqref="AB66">
      <formula1>0</formula1>
      <formula2>1</formula2>
    </dataValidation>
    <dataValidation type="list" allowBlank="1" showInputMessage="1" showErrorMessage="1" sqref="O66">
      <formula1>liste_statuts</formula1>
    </dataValidation>
    <dataValidation type="list" allowBlank="1" showInputMessage="1" showErrorMessage="1" sqref="B67">
      <formula1>liste_programmes</formula1>
    </dataValidation>
    <dataValidation type="list" allowBlank="1" showInputMessage="1" showErrorMessage="1" sqref="D67">
      <formula1>liste_types</formula1>
    </dataValidation>
    <dataValidation type="list" allowBlank="1" showInputMessage="1" showErrorMessage="1" sqref="F67">
      <formula1>liste_categories</formula1>
    </dataValidation>
    <dataValidation type="list" allowBlank="1" showInputMessage="1" showErrorMessage="1" sqref="G67">
      <formula1>liste_responsables</formula1>
    </dataValidation>
    <dataValidation type="list" allowBlank="1" showInputMessage="1" showErrorMessage="1" sqref="H67">
      <formula1>liste_sites</formula1>
    </dataValidation>
    <dataValidation type="list" allowBlank="1" showInputMessage="1" showErrorMessage="1" sqref="I67">
      <formula1>liste_priorites</formula1>
    </dataValidation>
    <dataValidation type="date" operator="greaterThanOrEqual" allowBlank="1" showInputMessage="1" showErrorMessage="1" sqref="J67">
      <formula1>730120</formula1>
    </dataValidation>
    <dataValidation type="date" operator="greaterThanOrEqual" allowBlank="1" showInputMessage="1" showErrorMessage="1" sqref="K67">
      <formula1>730120</formula1>
    </dataValidation>
    <dataValidation type="date" operator="greaterThanOrEqual" allowBlank="1" showInputMessage="1" showErrorMessage="1" sqref="L67">
      <formula1>730120</formula1>
    </dataValidation>
    <dataValidation type="whole" allowBlank="1" showInputMessage="1" showErrorMessage="1" sqref="P67">
      <formula1>0</formula1>
      <formula2>100</formula2>
    </dataValidation>
    <dataValidation type="decimal" operator="greaterThanOrEqual" allowBlank="1" showInputMessage="1" showErrorMessage="1" sqref="Q67">
      <formula1>0</formula1>
    </dataValidation>
    <dataValidation type="decimal" operator="greaterThanOrEqual" allowBlank="1" showInputMessage="1" showErrorMessage="1" sqref="R67">
      <formula1>0</formula1>
    </dataValidation>
    <dataValidation type="whole" allowBlank="1" showInputMessage="1" showErrorMessage="1" sqref="U67">
      <formula1>1</formula1>
      <formula2>5</formula2>
    </dataValidation>
    <dataValidation type="whole" allowBlank="1" showInputMessage="1" showErrorMessage="1" sqref="V67">
      <formula1>1</formula1>
      <formula2>5</formula2>
    </dataValidation>
    <dataValidation type="whole" allowBlank="1" showInputMessage="1" showErrorMessage="1" sqref="X67">
      <formula1>1</formula1>
      <formula2>5</formula2>
    </dataValidation>
    <dataValidation type="decimal" operator="greaterThanOrEqual" allowBlank="1" showInputMessage="1" showErrorMessage="1" sqref="Y67">
      <formula1>0</formula1>
    </dataValidation>
    <dataValidation type="whole" operator="greaterThanOrEqual" allowBlank="1" showInputMessage="1" showErrorMessage="1" sqref="Z67">
      <formula1>0</formula1>
    </dataValidation>
    <dataValidation type="whole" allowBlank="1" showInputMessage="1" showErrorMessage="1" sqref="AA67">
      <formula1>1</formula1>
      <formula2>5</formula2>
    </dataValidation>
    <dataValidation type="decimal" allowBlank="1" showInputMessage="1" showErrorMessage="1" sqref="AB67">
      <formula1>0</formula1>
      <formula2>1</formula2>
    </dataValidation>
    <dataValidation type="list" allowBlank="1" showInputMessage="1" showErrorMessage="1" sqref="O67">
      <formula1>liste_statuts</formula1>
    </dataValidation>
    <dataValidation type="list" allowBlank="1" showInputMessage="1" showErrorMessage="1" sqref="B68">
      <formula1>liste_programmes</formula1>
    </dataValidation>
    <dataValidation type="list" allowBlank="1" showInputMessage="1" showErrorMessage="1" sqref="D68">
      <formula1>liste_types</formula1>
    </dataValidation>
    <dataValidation type="list" allowBlank="1" showInputMessage="1" showErrorMessage="1" sqref="F68">
      <formula1>liste_categories</formula1>
    </dataValidation>
    <dataValidation type="list" allowBlank="1" showInputMessage="1" showErrorMessage="1" sqref="G68">
      <formula1>liste_responsables</formula1>
    </dataValidation>
    <dataValidation type="list" allowBlank="1" showInputMessage="1" showErrorMessage="1" sqref="H68">
      <formula1>liste_sites</formula1>
    </dataValidation>
    <dataValidation type="list" allowBlank="1" showInputMessage="1" showErrorMessage="1" sqref="I68">
      <formula1>liste_priorites</formula1>
    </dataValidation>
    <dataValidation type="date" operator="greaterThanOrEqual" allowBlank="1" showInputMessage="1" showErrorMessage="1" sqref="J68">
      <formula1>730120</formula1>
    </dataValidation>
    <dataValidation type="date" operator="greaterThanOrEqual" allowBlank="1" showInputMessage="1" showErrorMessage="1" sqref="K68">
      <formula1>730120</formula1>
    </dataValidation>
    <dataValidation type="date" operator="greaterThanOrEqual" allowBlank="1" showInputMessage="1" showErrorMessage="1" sqref="L68">
      <formula1>730120</formula1>
    </dataValidation>
    <dataValidation type="whole" allowBlank="1" showInputMessage="1" showErrorMessage="1" sqref="P68">
      <formula1>0</formula1>
      <formula2>100</formula2>
    </dataValidation>
    <dataValidation type="decimal" operator="greaterThanOrEqual" allowBlank="1" showInputMessage="1" showErrorMessage="1" sqref="Q68">
      <formula1>0</formula1>
    </dataValidation>
    <dataValidation type="decimal" operator="greaterThanOrEqual" allowBlank="1" showInputMessage="1" showErrorMessage="1" sqref="R68">
      <formula1>0</formula1>
    </dataValidation>
    <dataValidation type="whole" allowBlank="1" showInputMessage="1" showErrorMessage="1" sqref="U68">
      <formula1>1</formula1>
      <formula2>5</formula2>
    </dataValidation>
    <dataValidation type="whole" allowBlank="1" showInputMessage="1" showErrorMessage="1" sqref="V68">
      <formula1>1</formula1>
      <formula2>5</formula2>
    </dataValidation>
    <dataValidation type="whole" allowBlank="1" showInputMessage="1" showErrorMessage="1" sqref="X68">
      <formula1>1</formula1>
      <formula2>5</formula2>
    </dataValidation>
    <dataValidation type="decimal" operator="greaterThanOrEqual" allowBlank="1" showInputMessage="1" showErrorMessage="1" sqref="Y68">
      <formula1>0</formula1>
    </dataValidation>
    <dataValidation type="whole" operator="greaterThanOrEqual" allowBlank="1" showInputMessage="1" showErrorMessage="1" sqref="Z68">
      <formula1>0</formula1>
    </dataValidation>
    <dataValidation type="whole" allowBlank="1" showInputMessage="1" showErrorMessage="1" sqref="AA68">
      <formula1>1</formula1>
      <formula2>5</formula2>
    </dataValidation>
    <dataValidation type="decimal" allowBlank="1" showInputMessage="1" showErrorMessage="1" sqref="AB68">
      <formula1>0</formula1>
      <formula2>1</formula2>
    </dataValidation>
    <dataValidation type="list" allowBlank="1" showInputMessage="1" showErrorMessage="1" sqref="O68">
      <formula1>liste_statuts</formula1>
    </dataValidation>
    <dataValidation type="list" allowBlank="1" showInputMessage="1" showErrorMessage="1" sqref="B69">
      <formula1>liste_programmes</formula1>
    </dataValidation>
    <dataValidation type="list" allowBlank="1" showInputMessage="1" showErrorMessage="1" sqref="D69">
      <formula1>liste_types</formula1>
    </dataValidation>
    <dataValidation type="list" allowBlank="1" showInputMessage="1" showErrorMessage="1" sqref="F69">
      <formula1>liste_categories</formula1>
    </dataValidation>
    <dataValidation type="list" allowBlank="1" showInputMessage="1" showErrorMessage="1" sqref="G69">
      <formula1>liste_responsables</formula1>
    </dataValidation>
    <dataValidation type="list" allowBlank="1" showInputMessage="1" showErrorMessage="1" sqref="H69">
      <formula1>liste_sites</formula1>
    </dataValidation>
    <dataValidation type="list" allowBlank="1" showInputMessage="1" showErrorMessage="1" sqref="I69">
      <formula1>liste_priorites</formula1>
    </dataValidation>
    <dataValidation type="date" operator="greaterThanOrEqual" allowBlank="1" showInputMessage="1" showErrorMessage="1" sqref="J69">
      <formula1>730120</formula1>
    </dataValidation>
    <dataValidation type="date" operator="greaterThanOrEqual" allowBlank="1" showInputMessage="1" showErrorMessage="1" sqref="K69">
      <formula1>730120</formula1>
    </dataValidation>
    <dataValidation type="date" operator="greaterThanOrEqual" allowBlank="1" showInputMessage="1" showErrorMessage="1" sqref="L69">
      <formula1>730120</formula1>
    </dataValidation>
    <dataValidation type="whole" allowBlank="1" showInputMessage="1" showErrorMessage="1" sqref="P69">
      <formula1>0</formula1>
      <formula2>100</formula2>
    </dataValidation>
    <dataValidation type="decimal" operator="greaterThanOrEqual" allowBlank="1" showInputMessage="1" showErrorMessage="1" sqref="Q69">
      <formula1>0</formula1>
    </dataValidation>
    <dataValidation type="decimal" operator="greaterThanOrEqual" allowBlank="1" showInputMessage="1" showErrorMessage="1" sqref="R69">
      <formula1>0</formula1>
    </dataValidation>
    <dataValidation type="whole" allowBlank="1" showInputMessage="1" showErrorMessage="1" sqref="U69">
      <formula1>1</formula1>
      <formula2>5</formula2>
    </dataValidation>
    <dataValidation type="whole" allowBlank="1" showInputMessage="1" showErrorMessage="1" sqref="V69">
      <formula1>1</formula1>
      <formula2>5</formula2>
    </dataValidation>
    <dataValidation type="whole" allowBlank="1" showInputMessage="1" showErrorMessage="1" sqref="X69">
      <formula1>1</formula1>
      <formula2>5</formula2>
    </dataValidation>
    <dataValidation type="decimal" operator="greaterThanOrEqual" allowBlank="1" showInputMessage="1" showErrorMessage="1" sqref="Y69">
      <formula1>0</formula1>
    </dataValidation>
    <dataValidation type="whole" operator="greaterThanOrEqual" allowBlank="1" showInputMessage="1" showErrorMessage="1" sqref="Z69">
      <formula1>0</formula1>
    </dataValidation>
    <dataValidation type="whole" allowBlank="1" showInputMessage="1" showErrorMessage="1" sqref="AA69">
      <formula1>1</formula1>
      <formula2>5</formula2>
    </dataValidation>
    <dataValidation type="decimal" allowBlank="1" showInputMessage="1" showErrorMessage="1" sqref="AB69">
      <formula1>0</formula1>
      <formula2>1</formula2>
    </dataValidation>
    <dataValidation type="list" allowBlank="1" showInputMessage="1" showErrorMessage="1" sqref="O69">
      <formula1>liste_statuts</formula1>
    </dataValidation>
    <dataValidation type="list" allowBlank="1" showInputMessage="1" showErrorMessage="1" sqref="B70">
      <formula1>liste_programmes</formula1>
    </dataValidation>
    <dataValidation type="list" allowBlank="1" showInputMessage="1" showErrorMessage="1" sqref="D70">
      <formula1>liste_types</formula1>
    </dataValidation>
    <dataValidation type="list" allowBlank="1" showInputMessage="1" showErrorMessage="1" sqref="F70">
      <formula1>liste_categories</formula1>
    </dataValidation>
    <dataValidation type="list" allowBlank="1" showInputMessage="1" showErrorMessage="1" sqref="G70">
      <formula1>liste_responsables</formula1>
    </dataValidation>
    <dataValidation type="list" allowBlank="1" showInputMessage="1" showErrorMessage="1" sqref="H70">
      <formula1>liste_sites</formula1>
    </dataValidation>
    <dataValidation type="list" allowBlank="1" showInputMessage="1" showErrorMessage="1" sqref="I70">
      <formula1>liste_priorites</formula1>
    </dataValidation>
    <dataValidation type="date" operator="greaterThanOrEqual" allowBlank="1" showInputMessage="1" showErrorMessage="1" sqref="J70">
      <formula1>730120</formula1>
    </dataValidation>
    <dataValidation type="date" operator="greaterThanOrEqual" allowBlank="1" showInputMessage="1" showErrorMessage="1" sqref="K70">
      <formula1>730120</formula1>
    </dataValidation>
    <dataValidation type="date" operator="greaterThanOrEqual" allowBlank="1" showInputMessage="1" showErrorMessage="1" sqref="L70">
      <formula1>730120</formula1>
    </dataValidation>
    <dataValidation type="whole" allowBlank="1" showInputMessage="1" showErrorMessage="1" sqref="P70">
      <formula1>0</formula1>
      <formula2>100</formula2>
    </dataValidation>
    <dataValidation type="decimal" operator="greaterThanOrEqual" allowBlank="1" showInputMessage="1" showErrorMessage="1" sqref="Q70">
      <formula1>0</formula1>
    </dataValidation>
    <dataValidation type="decimal" operator="greaterThanOrEqual" allowBlank="1" showInputMessage="1" showErrorMessage="1" sqref="R70">
      <formula1>0</formula1>
    </dataValidation>
    <dataValidation type="whole" allowBlank="1" showInputMessage="1" showErrorMessage="1" sqref="U70">
      <formula1>1</formula1>
      <formula2>5</formula2>
    </dataValidation>
    <dataValidation type="whole" allowBlank="1" showInputMessage="1" showErrorMessage="1" sqref="V70">
      <formula1>1</formula1>
      <formula2>5</formula2>
    </dataValidation>
    <dataValidation type="whole" allowBlank="1" showInputMessage="1" showErrorMessage="1" sqref="X70">
      <formula1>1</formula1>
      <formula2>5</formula2>
    </dataValidation>
    <dataValidation type="decimal" operator="greaterThanOrEqual" allowBlank="1" showInputMessage="1" showErrorMessage="1" sqref="Y70">
      <formula1>0</formula1>
    </dataValidation>
    <dataValidation type="whole" operator="greaterThanOrEqual" allowBlank="1" showInputMessage="1" showErrorMessage="1" sqref="Z70">
      <formula1>0</formula1>
    </dataValidation>
    <dataValidation type="whole" allowBlank="1" showInputMessage="1" showErrorMessage="1" sqref="AA70">
      <formula1>1</formula1>
      <formula2>5</formula2>
    </dataValidation>
    <dataValidation type="decimal" allowBlank="1" showInputMessage="1" showErrorMessage="1" sqref="AB70">
      <formula1>0</formula1>
      <formula2>1</formula2>
    </dataValidation>
    <dataValidation type="list" allowBlank="1" showInputMessage="1" showErrorMessage="1" sqref="O70">
      <formula1>liste_statuts</formula1>
    </dataValidation>
    <dataValidation type="list" allowBlank="1" showInputMessage="1" showErrorMessage="1" sqref="B71">
      <formula1>liste_programmes</formula1>
    </dataValidation>
    <dataValidation type="list" allowBlank="1" showInputMessage="1" showErrorMessage="1" sqref="D71">
      <formula1>liste_types</formula1>
    </dataValidation>
    <dataValidation type="list" allowBlank="1" showInputMessage="1" showErrorMessage="1" sqref="F71">
      <formula1>liste_categories</formula1>
    </dataValidation>
    <dataValidation type="list" allowBlank="1" showInputMessage="1" showErrorMessage="1" sqref="G71">
      <formula1>liste_responsables</formula1>
    </dataValidation>
    <dataValidation type="list" allowBlank="1" showInputMessage="1" showErrorMessage="1" sqref="H71">
      <formula1>liste_sites</formula1>
    </dataValidation>
    <dataValidation type="list" allowBlank="1" showInputMessage="1" showErrorMessage="1" sqref="I71">
      <formula1>liste_priorites</formula1>
    </dataValidation>
    <dataValidation type="date" operator="greaterThanOrEqual" allowBlank="1" showInputMessage="1" showErrorMessage="1" sqref="J71">
      <formula1>730120</formula1>
    </dataValidation>
    <dataValidation type="date" operator="greaterThanOrEqual" allowBlank="1" showInputMessage="1" showErrorMessage="1" sqref="K71">
      <formula1>730120</formula1>
    </dataValidation>
    <dataValidation type="date" operator="greaterThanOrEqual" allowBlank="1" showInputMessage="1" showErrorMessage="1" sqref="L71">
      <formula1>730120</formula1>
    </dataValidation>
    <dataValidation type="whole" allowBlank="1" showInputMessage="1" showErrorMessage="1" sqref="P71">
      <formula1>0</formula1>
      <formula2>100</formula2>
    </dataValidation>
    <dataValidation type="decimal" operator="greaterThanOrEqual" allowBlank="1" showInputMessage="1" showErrorMessage="1" sqref="Q71">
      <formula1>0</formula1>
    </dataValidation>
    <dataValidation type="decimal" operator="greaterThanOrEqual" allowBlank="1" showInputMessage="1" showErrorMessage="1" sqref="R71">
      <formula1>0</formula1>
    </dataValidation>
    <dataValidation type="whole" allowBlank="1" showInputMessage="1" showErrorMessage="1" sqref="U71">
      <formula1>1</formula1>
      <formula2>5</formula2>
    </dataValidation>
    <dataValidation type="whole" allowBlank="1" showInputMessage="1" showErrorMessage="1" sqref="V71">
      <formula1>1</formula1>
      <formula2>5</formula2>
    </dataValidation>
    <dataValidation type="whole" allowBlank="1" showInputMessage="1" showErrorMessage="1" sqref="X71">
      <formula1>1</formula1>
      <formula2>5</formula2>
    </dataValidation>
    <dataValidation type="decimal" operator="greaterThanOrEqual" allowBlank="1" showInputMessage="1" showErrorMessage="1" sqref="Y71">
      <formula1>0</formula1>
    </dataValidation>
    <dataValidation type="whole" operator="greaterThanOrEqual" allowBlank="1" showInputMessage="1" showErrorMessage="1" sqref="Z71">
      <formula1>0</formula1>
    </dataValidation>
    <dataValidation type="whole" allowBlank="1" showInputMessage="1" showErrorMessage="1" sqref="AA71">
      <formula1>1</formula1>
      <formula2>5</formula2>
    </dataValidation>
    <dataValidation type="decimal" allowBlank="1" showInputMessage="1" showErrorMessage="1" sqref="AB71">
      <formula1>0</formula1>
      <formula2>1</formula2>
    </dataValidation>
    <dataValidation type="list" allowBlank="1" showInputMessage="1" showErrorMessage="1" sqref="O71">
      <formula1>liste_statuts</formula1>
    </dataValidation>
    <dataValidation type="list" allowBlank="1" showInputMessage="1" showErrorMessage="1" sqref="B72">
      <formula1>liste_programmes</formula1>
    </dataValidation>
    <dataValidation type="list" allowBlank="1" showInputMessage="1" showErrorMessage="1" sqref="D72">
      <formula1>liste_types</formula1>
    </dataValidation>
    <dataValidation type="list" allowBlank="1" showInputMessage="1" showErrorMessage="1" sqref="F72">
      <formula1>liste_categories</formula1>
    </dataValidation>
    <dataValidation type="list" allowBlank="1" showInputMessage="1" showErrorMessage="1" sqref="G72">
      <formula1>liste_responsables</formula1>
    </dataValidation>
    <dataValidation type="list" allowBlank="1" showInputMessage="1" showErrorMessage="1" sqref="H72">
      <formula1>liste_sites</formula1>
    </dataValidation>
    <dataValidation type="list" allowBlank="1" showInputMessage="1" showErrorMessage="1" sqref="I72">
      <formula1>liste_priorites</formula1>
    </dataValidation>
    <dataValidation type="date" operator="greaterThanOrEqual" allowBlank="1" showInputMessage="1" showErrorMessage="1" sqref="J72">
      <formula1>730120</formula1>
    </dataValidation>
    <dataValidation type="date" operator="greaterThanOrEqual" allowBlank="1" showInputMessage="1" showErrorMessage="1" sqref="K72">
      <formula1>730120</formula1>
    </dataValidation>
    <dataValidation type="date" operator="greaterThanOrEqual" allowBlank="1" showInputMessage="1" showErrorMessage="1" sqref="L72">
      <formula1>730120</formula1>
    </dataValidation>
    <dataValidation type="whole" allowBlank="1" showInputMessage="1" showErrorMessage="1" sqref="P72">
      <formula1>0</formula1>
      <formula2>100</formula2>
    </dataValidation>
    <dataValidation type="decimal" operator="greaterThanOrEqual" allowBlank="1" showInputMessage="1" showErrorMessage="1" sqref="Q72">
      <formula1>0</formula1>
    </dataValidation>
    <dataValidation type="decimal" operator="greaterThanOrEqual" allowBlank="1" showInputMessage="1" showErrorMessage="1" sqref="R72">
      <formula1>0</formula1>
    </dataValidation>
    <dataValidation type="whole" allowBlank="1" showInputMessage="1" showErrorMessage="1" sqref="U72">
      <formula1>1</formula1>
      <formula2>5</formula2>
    </dataValidation>
    <dataValidation type="whole" allowBlank="1" showInputMessage="1" showErrorMessage="1" sqref="V72">
      <formula1>1</formula1>
      <formula2>5</formula2>
    </dataValidation>
    <dataValidation type="whole" allowBlank="1" showInputMessage="1" showErrorMessage="1" sqref="X72">
      <formula1>1</formula1>
      <formula2>5</formula2>
    </dataValidation>
    <dataValidation type="decimal" operator="greaterThanOrEqual" allowBlank="1" showInputMessage="1" showErrorMessage="1" sqref="Y72">
      <formula1>0</formula1>
    </dataValidation>
    <dataValidation type="whole" operator="greaterThanOrEqual" allowBlank="1" showInputMessage="1" showErrorMessage="1" sqref="Z72">
      <formula1>0</formula1>
    </dataValidation>
    <dataValidation type="whole" allowBlank="1" showInputMessage="1" showErrorMessage="1" sqref="AA72">
      <formula1>1</formula1>
      <formula2>5</formula2>
    </dataValidation>
    <dataValidation type="decimal" allowBlank="1" showInputMessage="1" showErrorMessage="1" sqref="AB72">
      <formula1>0</formula1>
      <formula2>1</formula2>
    </dataValidation>
    <dataValidation type="list" allowBlank="1" showInputMessage="1" showErrorMessage="1" sqref="O72">
      <formula1>liste_statuts</formula1>
    </dataValidation>
    <dataValidation type="list" allowBlank="1" showInputMessage="1" showErrorMessage="1" sqref="B73">
      <formula1>liste_programmes</formula1>
    </dataValidation>
    <dataValidation type="list" allowBlank="1" showInputMessage="1" showErrorMessage="1" sqref="D73">
      <formula1>liste_types</formula1>
    </dataValidation>
    <dataValidation type="list" allowBlank="1" showInputMessage="1" showErrorMessage="1" sqref="F73">
      <formula1>liste_categories</formula1>
    </dataValidation>
    <dataValidation type="list" allowBlank="1" showInputMessage="1" showErrorMessage="1" sqref="G73">
      <formula1>liste_responsables</formula1>
    </dataValidation>
    <dataValidation type="list" allowBlank="1" showInputMessage="1" showErrorMessage="1" sqref="H73">
      <formula1>liste_sites</formula1>
    </dataValidation>
    <dataValidation type="list" allowBlank="1" showInputMessage="1" showErrorMessage="1" sqref="I73">
      <formula1>liste_priorites</formula1>
    </dataValidation>
    <dataValidation type="date" operator="greaterThanOrEqual" allowBlank="1" showInputMessage="1" showErrorMessage="1" sqref="J73">
      <formula1>730120</formula1>
    </dataValidation>
    <dataValidation type="date" operator="greaterThanOrEqual" allowBlank="1" showInputMessage="1" showErrorMessage="1" sqref="K73">
      <formula1>730120</formula1>
    </dataValidation>
    <dataValidation type="date" operator="greaterThanOrEqual" allowBlank="1" showInputMessage="1" showErrorMessage="1" sqref="L73">
      <formula1>730120</formula1>
    </dataValidation>
    <dataValidation type="whole" allowBlank="1" showInputMessage="1" showErrorMessage="1" sqref="P73">
      <formula1>0</formula1>
      <formula2>100</formula2>
    </dataValidation>
    <dataValidation type="decimal" operator="greaterThanOrEqual" allowBlank="1" showInputMessage="1" showErrorMessage="1" sqref="Q73">
      <formula1>0</formula1>
    </dataValidation>
    <dataValidation type="decimal" operator="greaterThanOrEqual" allowBlank="1" showInputMessage="1" showErrorMessage="1" sqref="R73">
      <formula1>0</formula1>
    </dataValidation>
    <dataValidation type="whole" allowBlank="1" showInputMessage="1" showErrorMessage="1" sqref="U73">
      <formula1>1</formula1>
      <formula2>5</formula2>
    </dataValidation>
    <dataValidation type="whole" allowBlank="1" showInputMessage="1" showErrorMessage="1" sqref="V73">
      <formula1>1</formula1>
      <formula2>5</formula2>
    </dataValidation>
    <dataValidation type="whole" allowBlank="1" showInputMessage="1" showErrorMessage="1" sqref="X73">
      <formula1>1</formula1>
      <formula2>5</formula2>
    </dataValidation>
    <dataValidation type="decimal" operator="greaterThanOrEqual" allowBlank="1" showInputMessage="1" showErrorMessage="1" sqref="Y73">
      <formula1>0</formula1>
    </dataValidation>
    <dataValidation type="whole" operator="greaterThanOrEqual" allowBlank="1" showInputMessage="1" showErrorMessage="1" sqref="Z73">
      <formula1>0</formula1>
    </dataValidation>
    <dataValidation type="whole" allowBlank="1" showInputMessage="1" showErrorMessage="1" sqref="AA73">
      <formula1>1</formula1>
      <formula2>5</formula2>
    </dataValidation>
    <dataValidation type="decimal" allowBlank="1" showInputMessage="1" showErrorMessage="1" sqref="AB73">
      <formula1>0</formula1>
      <formula2>1</formula2>
    </dataValidation>
    <dataValidation type="list" allowBlank="1" showInputMessage="1" showErrorMessage="1" sqref="O73">
      <formula1>liste_statuts</formula1>
    </dataValidation>
    <dataValidation type="list" allowBlank="1" showInputMessage="1" showErrorMessage="1" sqref="B74">
      <formula1>liste_programmes</formula1>
    </dataValidation>
    <dataValidation type="list" allowBlank="1" showInputMessage="1" showErrorMessage="1" sqref="D74">
      <formula1>liste_types</formula1>
    </dataValidation>
    <dataValidation type="list" allowBlank="1" showInputMessage="1" showErrorMessage="1" sqref="F74">
      <formula1>liste_categories</formula1>
    </dataValidation>
    <dataValidation type="list" allowBlank="1" showInputMessage="1" showErrorMessage="1" sqref="G74">
      <formula1>liste_responsables</formula1>
    </dataValidation>
    <dataValidation type="list" allowBlank="1" showInputMessage="1" showErrorMessage="1" sqref="H74">
      <formula1>liste_sites</formula1>
    </dataValidation>
    <dataValidation type="list" allowBlank="1" showInputMessage="1" showErrorMessage="1" sqref="I74">
      <formula1>liste_priorites</formula1>
    </dataValidation>
    <dataValidation type="date" operator="greaterThanOrEqual" allowBlank="1" showInputMessage="1" showErrorMessage="1" sqref="J74">
      <formula1>730120</formula1>
    </dataValidation>
    <dataValidation type="date" operator="greaterThanOrEqual" allowBlank="1" showInputMessage="1" showErrorMessage="1" sqref="K74">
      <formula1>730120</formula1>
    </dataValidation>
    <dataValidation type="date" operator="greaterThanOrEqual" allowBlank="1" showInputMessage="1" showErrorMessage="1" sqref="L74">
      <formula1>730120</formula1>
    </dataValidation>
    <dataValidation type="whole" allowBlank="1" showInputMessage="1" showErrorMessage="1" sqref="P74">
      <formula1>0</formula1>
      <formula2>100</formula2>
    </dataValidation>
    <dataValidation type="decimal" operator="greaterThanOrEqual" allowBlank="1" showInputMessage="1" showErrorMessage="1" sqref="Q74">
      <formula1>0</formula1>
    </dataValidation>
    <dataValidation type="decimal" operator="greaterThanOrEqual" allowBlank="1" showInputMessage="1" showErrorMessage="1" sqref="R74">
      <formula1>0</formula1>
    </dataValidation>
    <dataValidation type="whole" allowBlank="1" showInputMessage="1" showErrorMessage="1" sqref="U74">
      <formula1>1</formula1>
      <formula2>5</formula2>
    </dataValidation>
    <dataValidation type="whole" allowBlank="1" showInputMessage="1" showErrorMessage="1" sqref="V74">
      <formula1>1</formula1>
      <formula2>5</formula2>
    </dataValidation>
    <dataValidation type="whole" allowBlank="1" showInputMessage="1" showErrorMessage="1" sqref="X74">
      <formula1>1</formula1>
      <formula2>5</formula2>
    </dataValidation>
    <dataValidation type="decimal" operator="greaterThanOrEqual" allowBlank="1" showInputMessage="1" showErrorMessage="1" sqref="Y74">
      <formula1>0</formula1>
    </dataValidation>
    <dataValidation type="whole" operator="greaterThanOrEqual" allowBlank="1" showInputMessage="1" showErrorMessage="1" sqref="Z74">
      <formula1>0</formula1>
    </dataValidation>
    <dataValidation type="whole" allowBlank="1" showInputMessage="1" showErrorMessage="1" sqref="AA74">
      <formula1>1</formula1>
      <formula2>5</formula2>
    </dataValidation>
    <dataValidation type="decimal" allowBlank="1" showInputMessage="1" showErrorMessage="1" sqref="AB74">
      <formula1>0</formula1>
      <formula2>1</formula2>
    </dataValidation>
    <dataValidation type="list" allowBlank="1" showInputMessage="1" showErrorMessage="1" sqref="O74">
      <formula1>liste_statuts</formula1>
    </dataValidation>
    <dataValidation type="list" allowBlank="1" showInputMessage="1" showErrorMessage="1" sqref="B75">
      <formula1>liste_programmes</formula1>
    </dataValidation>
    <dataValidation type="list" allowBlank="1" showInputMessage="1" showErrorMessage="1" sqref="D75">
      <formula1>liste_types</formula1>
    </dataValidation>
    <dataValidation type="list" allowBlank="1" showInputMessage="1" showErrorMessage="1" sqref="F75">
      <formula1>liste_categories</formula1>
    </dataValidation>
    <dataValidation type="list" allowBlank="1" showInputMessage="1" showErrorMessage="1" sqref="G75">
      <formula1>liste_responsables</formula1>
    </dataValidation>
    <dataValidation type="list" allowBlank="1" showInputMessage="1" showErrorMessage="1" sqref="H75">
      <formula1>liste_sites</formula1>
    </dataValidation>
    <dataValidation type="list" allowBlank="1" showInputMessage="1" showErrorMessage="1" sqref="I75">
      <formula1>liste_priorites</formula1>
    </dataValidation>
    <dataValidation type="date" operator="greaterThanOrEqual" allowBlank="1" showInputMessage="1" showErrorMessage="1" sqref="J75">
      <formula1>730120</formula1>
    </dataValidation>
    <dataValidation type="date" operator="greaterThanOrEqual" allowBlank="1" showInputMessage="1" showErrorMessage="1" sqref="K75">
      <formula1>730120</formula1>
    </dataValidation>
    <dataValidation type="date" operator="greaterThanOrEqual" allowBlank="1" showInputMessage="1" showErrorMessage="1" sqref="L75">
      <formula1>730120</formula1>
    </dataValidation>
    <dataValidation type="whole" allowBlank="1" showInputMessage="1" showErrorMessage="1" sqref="P75">
      <formula1>0</formula1>
      <formula2>100</formula2>
    </dataValidation>
    <dataValidation type="decimal" operator="greaterThanOrEqual" allowBlank="1" showInputMessage="1" showErrorMessage="1" sqref="Q75">
      <formula1>0</formula1>
    </dataValidation>
    <dataValidation type="decimal" operator="greaterThanOrEqual" allowBlank="1" showInputMessage="1" showErrorMessage="1" sqref="R75">
      <formula1>0</formula1>
    </dataValidation>
    <dataValidation type="whole" allowBlank="1" showInputMessage="1" showErrorMessage="1" sqref="U75">
      <formula1>1</formula1>
      <formula2>5</formula2>
    </dataValidation>
    <dataValidation type="whole" allowBlank="1" showInputMessage="1" showErrorMessage="1" sqref="V75">
      <formula1>1</formula1>
      <formula2>5</formula2>
    </dataValidation>
    <dataValidation type="whole" allowBlank="1" showInputMessage="1" showErrorMessage="1" sqref="X75">
      <formula1>1</formula1>
      <formula2>5</formula2>
    </dataValidation>
    <dataValidation type="decimal" operator="greaterThanOrEqual" allowBlank="1" showInputMessage="1" showErrorMessage="1" sqref="Y75">
      <formula1>0</formula1>
    </dataValidation>
    <dataValidation type="whole" operator="greaterThanOrEqual" allowBlank="1" showInputMessage="1" showErrorMessage="1" sqref="Z75">
      <formula1>0</formula1>
    </dataValidation>
    <dataValidation type="whole" allowBlank="1" showInputMessage="1" showErrorMessage="1" sqref="AA75">
      <formula1>1</formula1>
      <formula2>5</formula2>
    </dataValidation>
    <dataValidation type="decimal" allowBlank="1" showInputMessage="1" showErrorMessage="1" sqref="AB75">
      <formula1>0</formula1>
      <formula2>1</formula2>
    </dataValidation>
    <dataValidation type="list" allowBlank="1" showInputMessage="1" showErrorMessage="1" sqref="O75">
      <formula1>liste_statuts</formula1>
    </dataValidation>
    <dataValidation type="list" allowBlank="1" showInputMessage="1" showErrorMessage="1" sqref="B76">
      <formula1>liste_programmes</formula1>
    </dataValidation>
    <dataValidation type="list" allowBlank="1" showInputMessage="1" showErrorMessage="1" sqref="D76">
      <formula1>liste_types</formula1>
    </dataValidation>
    <dataValidation type="list" allowBlank="1" showInputMessage="1" showErrorMessage="1" sqref="F76">
      <formula1>liste_categories</formula1>
    </dataValidation>
    <dataValidation type="list" allowBlank="1" showInputMessage="1" showErrorMessage="1" sqref="G76">
      <formula1>liste_responsables</formula1>
    </dataValidation>
    <dataValidation type="list" allowBlank="1" showInputMessage="1" showErrorMessage="1" sqref="H76">
      <formula1>liste_sites</formula1>
    </dataValidation>
    <dataValidation type="list" allowBlank="1" showInputMessage="1" showErrorMessage="1" sqref="I76">
      <formula1>liste_priorites</formula1>
    </dataValidation>
    <dataValidation type="date" operator="greaterThanOrEqual" allowBlank="1" showInputMessage="1" showErrorMessage="1" sqref="J76">
      <formula1>730120</formula1>
    </dataValidation>
    <dataValidation type="date" operator="greaterThanOrEqual" allowBlank="1" showInputMessage="1" showErrorMessage="1" sqref="K76">
      <formula1>730120</formula1>
    </dataValidation>
    <dataValidation type="date" operator="greaterThanOrEqual" allowBlank="1" showInputMessage="1" showErrorMessage="1" sqref="L76">
      <formula1>730120</formula1>
    </dataValidation>
    <dataValidation type="whole" allowBlank="1" showInputMessage="1" showErrorMessage="1" sqref="P76">
      <formula1>0</formula1>
      <formula2>100</formula2>
    </dataValidation>
    <dataValidation type="decimal" operator="greaterThanOrEqual" allowBlank="1" showInputMessage="1" showErrorMessage="1" sqref="Q76">
      <formula1>0</formula1>
    </dataValidation>
    <dataValidation type="decimal" operator="greaterThanOrEqual" allowBlank="1" showInputMessage="1" showErrorMessage="1" sqref="R76">
      <formula1>0</formula1>
    </dataValidation>
    <dataValidation type="whole" allowBlank="1" showInputMessage="1" showErrorMessage="1" sqref="U76">
      <formula1>1</formula1>
      <formula2>5</formula2>
    </dataValidation>
    <dataValidation type="whole" allowBlank="1" showInputMessage="1" showErrorMessage="1" sqref="V76">
      <formula1>1</formula1>
      <formula2>5</formula2>
    </dataValidation>
    <dataValidation type="whole" allowBlank="1" showInputMessage="1" showErrorMessage="1" sqref="X76">
      <formula1>1</formula1>
      <formula2>5</formula2>
    </dataValidation>
    <dataValidation type="decimal" operator="greaterThanOrEqual" allowBlank="1" showInputMessage="1" showErrorMessage="1" sqref="Y76">
      <formula1>0</formula1>
    </dataValidation>
    <dataValidation type="whole" operator="greaterThanOrEqual" allowBlank="1" showInputMessage="1" showErrorMessage="1" sqref="Z76">
      <formula1>0</formula1>
    </dataValidation>
    <dataValidation type="whole" allowBlank="1" showInputMessage="1" showErrorMessage="1" sqref="AA76">
      <formula1>1</formula1>
      <formula2>5</formula2>
    </dataValidation>
    <dataValidation type="decimal" allowBlank="1" showInputMessage="1" showErrorMessage="1" sqref="AB76">
      <formula1>0</formula1>
      <formula2>1</formula2>
    </dataValidation>
    <dataValidation type="list" allowBlank="1" showInputMessage="1" showErrorMessage="1" sqref="O76">
      <formula1>liste_statuts</formula1>
    </dataValidation>
    <dataValidation type="list" allowBlank="1" showInputMessage="1" showErrorMessage="1" sqref="B77">
      <formula1>liste_programmes</formula1>
    </dataValidation>
    <dataValidation type="list" allowBlank="1" showInputMessage="1" showErrorMessage="1" sqref="D77">
      <formula1>liste_types</formula1>
    </dataValidation>
    <dataValidation type="list" allowBlank="1" showInputMessage="1" showErrorMessage="1" sqref="F77">
      <formula1>liste_categories</formula1>
    </dataValidation>
    <dataValidation type="list" allowBlank="1" showInputMessage="1" showErrorMessage="1" sqref="G77">
      <formula1>liste_responsables</formula1>
    </dataValidation>
    <dataValidation type="list" allowBlank="1" showInputMessage="1" showErrorMessage="1" sqref="H77">
      <formula1>liste_sites</formula1>
    </dataValidation>
    <dataValidation type="list" allowBlank="1" showInputMessage="1" showErrorMessage="1" sqref="I77">
      <formula1>liste_priorites</formula1>
    </dataValidation>
    <dataValidation type="date" operator="greaterThanOrEqual" allowBlank="1" showInputMessage="1" showErrorMessage="1" sqref="J77">
      <formula1>730120</formula1>
    </dataValidation>
    <dataValidation type="date" operator="greaterThanOrEqual" allowBlank="1" showInputMessage="1" showErrorMessage="1" sqref="K77">
      <formula1>730120</formula1>
    </dataValidation>
    <dataValidation type="date" operator="greaterThanOrEqual" allowBlank="1" showInputMessage="1" showErrorMessage="1" sqref="L77">
      <formula1>730120</formula1>
    </dataValidation>
    <dataValidation type="whole" allowBlank="1" showInputMessage="1" showErrorMessage="1" sqref="P77">
      <formula1>0</formula1>
      <formula2>100</formula2>
    </dataValidation>
    <dataValidation type="decimal" operator="greaterThanOrEqual" allowBlank="1" showInputMessage="1" showErrorMessage="1" sqref="Q77">
      <formula1>0</formula1>
    </dataValidation>
    <dataValidation type="decimal" operator="greaterThanOrEqual" allowBlank="1" showInputMessage="1" showErrorMessage="1" sqref="R77">
      <formula1>0</formula1>
    </dataValidation>
    <dataValidation type="whole" allowBlank="1" showInputMessage="1" showErrorMessage="1" sqref="U77">
      <formula1>1</formula1>
      <formula2>5</formula2>
    </dataValidation>
    <dataValidation type="whole" allowBlank="1" showInputMessage="1" showErrorMessage="1" sqref="V77">
      <formula1>1</formula1>
      <formula2>5</formula2>
    </dataValidation>
    <dataValidation type="whole" allowBlank="1" showInputMessage="1" showErrorMessage="1" sqref="X77">
      <formula1>1</formula1>
      <formula2>5</formula2>
    </dataValidation>
    <dataValidation type="decimal" operator="greaterThanOrEqual" allowBlank="1" showInputMessage="1" showErrorMessage="1" sqref="Y77">
      <formula1>0</formula1>
    </dataValidation>
    <dataValidation type="whole" operator="greaterThanOrEqual" allowBlank="1" showInputMessage="1" showErrorMessage="1" sqref="Z77">
      <formula1>0</formula1>
    </dataValidation>
    <dataValidation type="whole" allowBlank="1" showInputMessage="1" showErrorMessage="1" sqref="AA77">
      <formula1>1</formula1>
      <formula2>5</formula2>
    </dataValidation>
    <dataValidation type="decimal" allowBlank="1" showInputMessage="1" showErrorMessage="1" sqref="AB77">
      <formula1>0</formula1>
      <formula2>1</formula2>
    </dataValidation>
    <dataValidation type="list" allowBlank="1" showInputMessage="1" showErrorMessage="1" sqref="O77">
      <formula1>liste_statuts</formula1>
    </dataValidation>
    <dataValidation type="list" allowBlank="1" showInputMessage="1" showErrorMessage="1" sqref="B78">
      <formula1>liste_programmes</formula1>
    </dataValidation>
    <dataValidation type="list" allowBlank="1" showInputMessage="1" showErrorMessage="1" sqref="D78">
      <formula1>liste_types</formula1>
    </dataValidation>
    <dataValidation type="list" allowBlank="1" showInputMessage="1" showErrorMessage="1" sqref="F78">
      <formula1>liste_categories</formula1>
    </dataValidation>
    <dataValidation type="list" allowBlank="1" showInputMessage="1" showErrorMessage="1" sqref="G78">
      <formula1>liste_responsables</formula1>
    </dataValidation>
    <dataValidation type="list" allowBlank="1" showInputMessage="1" showErrorMessage="1" sqref="H78">
      <formula1>liste_sites</formula1>
    </dataValidation>
    <dataValidation type="list" allowBlank="1" showInputMessage="1" showErrorMessage="1" sqref="I78">
      <formula1>liste_priorites</formula1>
    </dataValidation>
    <dataValidation type="date" operator="greaterThanOrEqual" allowBlank="1" showInputMessage="1" showErrorMessage="1" sqref="J78">
      <formula1>730120</formula1>
    </dataValidation>
    <dataValidation type="date" operator="greaterThanOrEqual" allowBlank="1" showInputMessage="1" showErrorMessage="1" sqref="K78">
      <formula1>730120</formula1>
    </dataValidation>
    <dataValidation type="date" operator="greaterThanOrEqual" allowBlank="1" showInputMessage="1" showErrorMessage="1" sqref="L78">
      <formula1>730120</formula1>
    </dataValidation>
    <dataValidation type="whole" allowBlank="1" showInputMessage="1" showErrorMessage="1" sqref="P78">
      <formula1>0</formula1>
      <formula2>100</formula2>
    </dataValidation>
    <dataValidation type="decimal" operator="greaterThanOrEqual" allowBlank="1" showInputMessage="1" showErrorMessage="1" sqref="Q78">
      <formula1>0</formula1>
    </dataValidation>
    <dataValidation type="decimal" operator="greaterThanOrEqual" allowBlank="1" showInputMessage="1" showErrorMessage="1" sqref="R78">
      <formula1>0</formula1>
    </dataValidation>
    <dataValidation type="whole" allowBlank="1" showInputMessage="1" showErrorMessage="1" sqref="U78">
      <formula1>1</formula1>
      <formula2>5</formula2>
    </dataValidation>
    <dataValidation type="whole" allowBlank="1" showInputMessage="1" showErrorMessage="1" sqref="V78">
      <formula1>1</formula1>
      <formula2>5</formula2>
    </dataValidation>
    <dataValidation type="whole" allowBlank="1" showInputMessage="1" showErrorMessage="1" sqref="X78">
      <formula1>1</formula1>
      <formula2>5</formula2>
    </dataValidation>
    <dataValidation type="decimal" operator="greaterThanOrEqual" allowBlank="1" showInputMessage="1" showErrorMessage="1" sqref="Y78">
      <formula1>0</formula1>
    </dataValidation>
    <dataValidation type="whole" operator="greaterThanOrEqual" allowBlank="1" showInputMessage="1" showErrorMessage="1" sqref="Z78">
      <formula1>0</formula1>
    </dataValidation>
    <dataValidation type="whole" allowBlank="1" showInputMessage="1" showErrorMessage="1" sqref="AA78">
      <formula1>1</formula1>
      <formula2>5</formula2>
    </dataValidation>
    <dataValidation type="decimal" allowBlank="1" showInputMessage="1" showErrorMessage="1" sqref="AB78">
      <formula1>0</formula1>
      <formula2>1</formula2>
    </dataValidation>
    <dataValidation type="list" allowBlank="1" showInputMessage="1" showErrorMessage="1" sqref="O78">
      <formula1>liste_statuts</formula1>
    </dataValidation>
    <dataValidation type="list" allowBlank="1" showInputMessage="1" showErrorMessage="1" sqref="B79">
      <formula1>liste_programmes</formula1>
    </dataValidation>
    <dataValidation type="list" allowBlank="1" showInputMessage="1" showErrorMessage="1" sqref="D79">
      <formula1>liste_types</formula1>
    </dataValidation>
    <dataValidation type="list" allowBlank="1" showInputMessage="1" showErrorMessage="1" sqref="F79">
      <formula1>liste_categories</formula1>
    </dataValidation>
    <dataValidation type="list" allowBlank="1" showInputMessage="1" showErrorMessage="1" sqref="G79">
      <formula1>liste_responsables</formula1>
    </dataValidation>
    <dataValidation type="list" allowBlank="1" showInputMessage="1" showErrorMessage="1" sqref="H79">
      <formula1>liste_sites</formula1>
    </dataValidation>
    <dataValidation type="list" allowBlank="1" showInputMessage="1" showErrorMessage="1" sqref="I79">
      <formula1>liste_priorites</formula1>
    </dataValidation>
    <dataValidation type="date" operator="greaterThanOrEqual" allowBlank="1" showInputMessage="1" showErrorMessage="1" sqref="J79">
      <formula1>730120</formula1>
    </dataValidation>
    <dataValidation type="date" operator="greaterThanOrEqual" allowBlank="1" showInputMessage="1" showErrorMessage="1" sqref="K79">
      <formula1>730120</formula1>
    </dataValidation>
    <dataValidation type="date" operator="greaterThanOrEqual" allowBlank="1" showInputMessage="1" showErrorMessage="1" sqref="L79">
      <formula1>730120</formula1>
    </dataValidation>
    <dataValidation type="whole" allowBlank="1" showInputMessage="1" showErrorMessage="1" sqref="P79">
      <formula1>0</formula1>
      <formula2>100</formula2>
    </dataValidation>
    <dataValidation type="decimal" operator="greaterThanOrEqual" allowBlank="1" showInputMessage="1" showErrorMessage="1" sqref="Q79">
      <formula1>0</formula1>
    </dataValidation>
    <dataValidation type="decimal" operator="greaterThanOrEqual" allowBlank="1" showInputMessage="1" showErrorMessage="1" sqref="R79">
      <formula1>0</formula1>
    </dataValidation>
    <dataValidation type="whole" allowBlank="1" showInputMessage="1" showErrorMessage="1" sqref="U79">
      <formula1>1</formula1>
      <formula2>5</formula2>
    </dataValidation>
    <dataValidation type="whole" allowBlank="1" showInputMessage="1" showErrorMessage="1" sqref="V79">
      <formula1>1</formula1>
      <formula2>5</formula2>
    </dataValidation>
    <dataValidation type="whole" allowBlank="1" showInputMessage="1" showErrorMessage="1" sqref="X79">
      <formula1>1</formula1>
      <formula2>5</formula2>
    </dataValidation>
    <dataValidation type="decimal" operator="greaterThanOrEqual" allowBlank="1" showInputMessage="1" showErrorMessage="1" sqref="Y79">
      <formula1>0</formula1>
    </dataValidation>
    <dataValidation type="whole" operator="greaterThanOrEqual" allowBlank="1" showInputMessage="1" showErrorMessage="1" sqref="Z79">
      <formula1>0</formula1>
    </dataValidation>
    <dataValidation type="whole" allowBlank="1" showInputMessage="1" showErrorMessage="1" sqref="AA79">
      <formula1>1</formula1>
      <formula2>5</formula2>
    </dataValidation>
    <dataValidation type="decimal" allowBlank="1" showInputMessage="1" showErrorMessage="1" sqref="AB79">
      <formula1>0</formula1>
      <formula2>1</formula2>
    </dataValidation>
    <dataValidation type="list" allowBlank="1" showInputMessage="1" showErrorMessage="1" sqref="O79">
      <formula1>liste_statuts</formula1>
    </dataValidation>
    <dataValidation type="list" allowBlank="1" showInputMessage="1" showErrorMessage="1" sqref="B80">
      <formula1>liste_programmes</formula1>
    </dataValidation>
    <dataValidation type="list" allowBlank="1" showInputMessage="1" showErrorMessage="1" sqref="D80">
      <formula1>liste_types</formula1>
    </dataValidation>
    <dataValidation type="list" allowBlank="1" showInputMessage="1" showErrorMessage="1" sqref="F80">
      <formula1>liste_categories</formula1>
    </dataValidation>
    <dataValidation type="list" allowBlank="1" showInputMessage="1" showErrorMessage="1" sqref="G80">
      <formula1>liste_responsables</formula1>
    </dataValidation>
    <dataValidation type="list" allowBlank="1" showInputMessage="1" showErrorMessage="1" sqref="H80">
      <formula1>liste_sites</formula1>
    </dataValidation>
    <dataValidation type="list" allowBlank="1" showInputMessage="1" showErrorMessage="1" sqref="I80">
      <formula1>liste_priorites</formula1>
    </dataValidation>
    <dataValidation type="date" operator="greaterThanOrEqual" allowBlank="1" showInputMessage="1" showErrorMessage="1" sqref="J80">
      <formula1>730120</formula1>
    </dataValidation>
    <dataValidation type="date" operator="greaterThanOrEqual" allowBlank="1" showInputMessage="1" showErrorMessage="1" sqref="K80">
      <formula1>730120</formula1>
    </dataValidation>
    <dataValidation type="date" operator="greaterThanOrEqual" allowBlank="1" showInputMessage="1" showErrorMessage="1" sqref="L80">
      <formula1>730120</formula1>
    </dataValidation>
    <dataValidation type="whole" allowBlank="1" showInputMessage="1" showErrorMessage="1" sqref="P80">
      <formula1>0</formula1>
      <formula2>100</formula2>
    </dataValidation>
    <dataValidation type="decimal" operator="greaterThanOrEqual" allowBlank="1" showInputMessage="1" showErrorMessage="1" sqref="Q80">
      <formula1>0</formula1>
    </dataValidation>
    <dataValidation type="decimal" operator="greaterThanOrEqual" allowBlank="1" showInputMessage="1" showErrorMessage="1" sqref="R80">
      <formula1>0</formula1>
    </dataValidation>
    <dataValidation type="whole" allowBlank="1" showInputMessage="1" showErrorMessage="1" sqref="U80">
      <formula1>1</formula1>
      <formula2>5</formula2>
    </dataValidation>
    <dataValidation type="whole" allowBlank="1" showInputMessage="1" showErrorMessage="1" sqref="V80">
      <formula1>1</formula1>
      <formula2>5</formula2>
    </dataValidation>
    <dataValidation type="whole" allowBlank="1" showInputMessage="1" showErrorMessage="1" sqref="X80">
      <formula1>1</formula1>
      <formula2>5</formula2>
    </dataValidation>
    <dataValidation type="decimal" operator="greaterThanOrEqual" allowBlank="1" showInputMessage="1" showErrorMessage="1" sqref="Y80">
      <formula1>0</formula1>
    </dataValidation>
    <dataValidation type="whole" operator="greaterThanOrEqual" allowBlank="1" showInputMessage="1" showErrorMessage="1" sqref="Z80">
      <formula1>0</formula1>
    </dataValidation>
    <dataValidation type="whole" allowBlank="1" showInputMessage="1" showErrorMessage="1" sqref="AA80">
      <formula1>1</formula1>
      <formula2>5</formula2>
    </dataValidation>
    <dataValidation type="decimal" allowBlank="1" showInputMessage="1" showErrorMessage="1" sqref="AB80">
      <formula1>0</formula1>
      <formula2>1</formula2>
    </dataValidation>
    <dataValidation type="list" allowBlank="1" showInputMessage="1" showErrorMessage="1" sqref="O80">
      <formula1>liste_statuts</formula1>
    </dataValidation>
    <dataValidation type="list" allowBlank="1" showInputMessage="1" showErrorMessage="1" sqref="B81">
      <formula1>liste_programmes</formula1>
    </dataValidation>
    <dataValidation type="list" allowBlank="1" showInputMessage="1" showErrorMessage="1" sqref="D81">
      <formula1>liste_types</formula1>
    </dataValidation>
    <dataValidation type="list" allowBlank="1" showInputMessage="1" showErrorMessage="1" sqref="F81">
      <formula1>liste_categories</formula1>
    </dataValidation>
    <dataValidation type="list" allowBlank="1" showInputMessage="1" showErrorMessage="1" sqref="G81">
      <formula1>liste_responsables</formula1>
    </dataValidation>
    <dataValidation type="list" allowBlank="1" showInputMessage="1" showErrorMessage="1" sqref="H81">
      <formula1>liste_sites</formula1>
    </dataValidation>
    <dataValidation type="list" allowBlank="1" showInputMessage="1" showErrorMessage="1" sqref="I81">
      <formula1>liste_priorites</formula1>
    </dataValidation>
    <dataValidation type="date" operator="greaterThanOrEqual" allowBlank="1" showInputMessage="1" showErrorMessage="1" sqref="J81">
      <formula1>730120</formula1>
    </dataValidation>
    <dataValidation type="date" operator="greaterThanOrEqual" allowBlank="1" showInputMessage="1" showErrorMessage="1" sqref="K81">
      <formula1>730120</formula1>
    </dataValidation>
    <dataValidation type="date" operator="greaterThanOrEqual" allowBlank="1" showInputMessage="1" showErrorMessage="1" sqref="L81">
      <formula1>730120</formula1>
    </dataValidation>
    <dataValidation type="whole" allowBlank="1" showInputMessage="1" showErrorMessage="1" sqref="P81">
      <formula1>0</formula1>
      <formula2>100</formula2>
    </dataValidation>
    <dataValidation type="decimal" operator="greaterThanOrEqual" allowBlank="1" showInputMessage="1" showErrorMessage="1" sqref="Q81">
      <formula1>0</formula1>
    </dataValidation>
    <dataValidation type="decimal" operator="greaterThanOrEqual" allowBlank="1" showInputMessage="1" showErrorMessage="1" sqref="R81">
      <formula1>0</formula1>
    </dataValidation>
    <dataValidation type="whole" allowBlank="1" showInputMessage="1" showErrorMessage="1" sqref="U81">
      <formula1>1</formula1>
      <formula2>5</formula2>
    </dataValidation>
    <dataValidation type="whole" allowBlank="1" showInputMessage="1" showErrorMessage="1" sqref="V81">
      <formula1>1</formula1>
      <formula2>5</formula2>
    </dataValidation>
    <dataValidation type="whole" allowBlank="1" showInputMessage="1" showErrorMessage="1" sqref="X81">
      <formula1>1</formula1>
      <formula2>5</formula2>
    </dataValidation>
    <dataValidation type="decimal" operator="greaterThanOrEqual" allowBlank="1" showInputMessage="1" showErrorMessage="1" sqref="Y81">
      <formula1>0</formula1>
    </dataValidation>
    <dataValidation type="whole" operator="greaterThanOrEqual" allowBlank="1" showInputMessage="1" showErrorMessage="1" sqref="Z81">
      <formula1>0</formula1>
    </dataValidation>
    <dataValidation type="whole" allowBlank="1" showInputMessage="1" showErrorMessage="1" sqref="AA81">
      <formula1>1</formula1>
      <formula2>5</formula2>
    </dataValidation>
    <dataValidation type="decimal" allowBlank="1" showInputMessage="1" showErrorMessage="1" sqref="AB81">
      <formula1>0</formula1>
      <formula2>1</formula2>
    </dataValidation>
    <dataValidation type="list" allowBlank="1" showInputMessage="1" showErrorMessage="1" sqref="O81">
      <formula1>liste_statuts</formula1>
    </dataValidation>
    <dataValidation type="list" allowBlank="1" showInputMessage="1" showErrorMessage="1" sqref="B82">
      <formula1>liste_programmes</formula1>
    </dataValidation>
    <dataValidation type="list" allowBlank="1" showInputMessage="1" showErrorMessage="1" sqref="D82">
      <formula1>liste_types</formula1>
    </dataValidation>
    <dataValidation type="list" allowBlank="1" showInputMessage="1" showErrorMessage="1" sqref="F82">
      <formula1>liste_categories</formula1>
    </dataValidation>
    <dataValidation type="list" allowBlank="1" showInputMessage="1" showErrorMessage="1" sqref="G82">
      <formula1>liste_responsables</formula1>
    </dataValidation>
    <dataValidation type="list" allowBlank="1" showInputMessage="1" showErrorMessage="1" sqref="H82">
      <formula1>liste_sites</formula1>
    </dataValidation>
    <dataValidation type="list" allowBlank="1" showInputMessage="1" showErrorMessage="1" sqref="I82">
      <formula1>liste_priorites</formula1>
    </dataValidation>
    <dataValidation type="date" operator="greaterThanOrEqual" allowBlank="1" showInputMessage="1" showErrorMessage="1" sqref="J82">
      <formula1>730120</formula1>
    </dataValidation>
    <dataValidation type="date" operator="greaterThanOrEqual" allowBlank="1" showInputMessage="1" showErrorMessage="1" sqref="K82">
      <formula1>730120</formula1>
    </dataValidation>
    <dataValidation type="date" operator="greaterThanOrEqual" allowBlank="1" showInputMessage="1" showErrorMessage="1" sqref="L82">
      <formula1>730120</formula1>
    </dataValidation>
    <dataValidation type="whole" allowBlank="1" showInputMessage="1" showErrorMessage="1" sqref="P82">
      <formula1>0</formula1>
      <formula2>100</formula2>
    </dataValidation>
    <dataValidation type="decimal" operator="greaterThanOrEqual" allowBlank="1" showInputMessage="1" showErrorMessage="1" sqref="Q82">
      <formula1>0</formula1>
    </dataValidation>
    <dataValidation type="decimal" operator="greaterThanOrEqual" allowBlank="1" showInputMessage="1" showErrorMessage="1" sqref="R82">
      <formula1>0</formula1>
    </dataValidation>
    <dataValidation type="whole" allowBlank="1" showInputMessage="1" showErrorMessage="1" sqref="U82">
      <formula1>1</formula1>
      <formula2>5</formula2>
    </dataValidation>
    <dataValidation type="whole" allowBlank="1" showInputMessage="1" showErrorMessage="1" sqref="V82">
      <formula1>1</formula1>
      <formula2>5</formula2>
    </dataValidation>
    <dataValidation type="whole" allowBlank="1" showInputMessage="1" showErrorMessage="1" sqref="X82">
      <formula1>1</formula1>
      <formula2>5</formula2>
    </dataValidation>
    <dataValidation type="decimal" operator="greaterThanOrEqual" allowBlank="1" showInputMessage="1" showErrorMessage="1" sqref="Y82">
      <formula1>0</formula1>
    </dataValidation>
    <dataValidation type="whole" operator="greaterThanOrEqual" allowBlank="1" showInputMessage="1" showErrorMessage="1" sqref="Z82">
      <formula1>0</formula1>
    </dataValidation>
    <dataValidation type="whole" allowBlank="1" showInputMessage="1" showErrorMessage="1" sqref="AA82">
      <formula1>1</formula1>
      <formula2>5</formula2>
    </dataValidation>
    <dataValidation type="decimal" allowBlank="1" showInputMessage="1" showErrorMessage="1" sqref="AB82">
      <formula1>0</formula1>
      <formula2>1</formula2>
    </dataValidation>
    <dataValidation type="list" allowBlank="1" showInputMessage="1" showErrorMessage="1" sqref="O82">
      <formula1>liste_statuts</formula1>
    </dataValidation>
    <dataValidation type="list" allowBlank="1" showInputMessage="1" showErrorMessage="1" sqref="B83">
      <formula1>liste_programmes</formula1>
    </dataValidation>
    <dataValidation type="list" allowBlank="1" showInputMessage="1" showErrorMessage="1" sqref="D83">
      <formula1>liste_types</formula1>
    </dataValidation>
    <dataValidation type="list" allowBlank="1" showInputMessage="1" showErrorMessage="1" sqref="F83">
      <formula1>liste_categories</formula1>
    </dataValidation>
    <dataValidation type="list" allowBlank="1" showInputMessage="1" showErrorMessage="1" sqref="G83">
      <formula1>liste_responsables</formula1>
    </dataValidation>
    <dataValidation type="list" allowBlank="1" showInputMessage="1" showErrorMessage="1" sqref="H83">
      <formula1>liste_sites</formula1>
    </dataValidation>
    <dataValidation type="list" allowBlank="1" showInputMessage="1" showErrorMessage="1" sqref="I83">
      <formula1>liste_priorites</formula1>
    </dataValidation>
    <dataValidation type="date" operator="greaterThanOrEqual" allowBlank="1" showInputMessage="1" showErrorMessage="1" sqref="J83">
      <formula1>730120</formula1>
    </dataValidation>
    <dataValidation type="date" operator="greaterThanOrEqual" allowBlank="1" showInputMessage="1" showErrorMessage="1" sqref="K83">
      <formula1>730120</formula1>
    </dataValidation>
    <dataValidation type="date" operator="greaterThanOrEqual" allowBlank="1" showInputMessage="1" showErrorMessage="1" sqref="L83">
      <formula1>730120</formula1>
    </dataValidation>
    <dataValidation type="whole" allowBlank="1" showInputMessage="1" showErrorMessage="1" sqref="P83">
      <formula1>0</formula1>
      <formula2>100</formula2>
    </dataValidation>
    <dataValidation type="decimal" operator="greaterThanOrEqual" allowBlank="1" showInputMessage="1" showErrorMessage="1" sqref="Q83">
      <formula1>0</formula1>
    </dataValidation>
    <dataValidation type="decimal" operator="greaterThanOrEqual" allowBlank="1" showInputMessage="1" showErrorMessage="1" sqref="R83">
      <formula1>0</formula1>
    </dataValidation>
    <dataValidation type="whole" allowBlank="1" showInputMessage="1" showErrorMessage="1" sqref="U83">
      <formula1>1</formula1>
      <formula2>5</formula2>
    </dataValidation>
    <dataValidation type="whole" allowBlank="1" showInputMessage="1" showErrorMessage="1" sqref="V83">
      <formula1>1</formula1>
      <formula2>5</formula2>
    </dataValidation>
    <dataValidation type="whole" allowBlank="1" showInputMessage="1" showErrorMessage="1" sqref="X83">
      <formula1>1</formula1>
      <formula2>5</formula2>
    </dataValidation>
    <dataValidation type="decimal" operator="greaterThanOrEqual" allowBlank="1" showInputMessage="1" showErrorMessage="1" sqref="Y83">
      <formula1>0</formula1>
    </dataValidation>
    <dataValidation type="whole" operator="greaterThanOrEqual" allowBlank="1" showInputMessage="1" showErrorMessage="1" sqref="Z83">
      <formula1>0</formula1>
    </dataValidation>
    <dataValidation type="whole" allowBlank="1" showInputMessage="1" showErrorMessage="1" sqref="AA83">
      <formula1>1</formula1>
      <formula2>5</formula2>
    </dataValidation>
    <dataValidation type="decimal" allowBlank="1" showInputMessage="1" showErrorMessage="1" sqref="AB83">
      <formula1>0</formula1>
      <formula2>1</formula2>
    </dataValidation>
    <dataValidation type="list" allowBlank="1" showInputMessage="1" showErrorMessage="1" sqref="O83">
      <formula1>liste_statuts</formula1>
    </dataValidation>
    <dataValidation type="list" allowBlank="1" showInputMessage="1" showErrorMessage="1" sqref="B84">
      <formula1>liste_programmes</formula1>
    </dataValidation>
    <dataValidation type="list" allowBlank="1" showInputMessage="1" showErrorMessage="1" sqref="D84">
      <formula1>liste_types</formula1>
    </dataValidation>
    <dataValidation type="list" allowBlank="1" showInputMessage="1" showErrorMessage="1" sqref="F84">
      <formula1>liste_categories</formula1>
    </dataValidation>
    <dataValidation type="list" allowBlank="1" showInputMessage="1" showErrorMessage="1" sqref="G84">
      <formula1>liste_responsables</formula1>
    </dataValidation>
    <dataValidation type="list" allowBlank="1" showInputMessage="1" showErrorMessage="1" sqref="H84">
      <formula1>liste_sites</formula1>
    </dataValidation>
    <dataValidation type="list" allowBlank="1" showInputMessage="1" showErrorMessage="1" sqref="I84">
      <formula1>liste_priorites</formula1>
    </dataValidation>
    <dataValidation type="date" operator="greaterThanOrEqual" allowBlank="1" showInputMessage="1" showErrorMessage="1" sqref="J84">
      <formula1>730120</formula1>
    </dataValidation>
    <dataValidation type="date" operator="greaterThanOrEqual" allowBlank="1" showInputMessage="1" showErrorMessage="1" sqref="K84">
      <formula1>730120</formula1>
    </dataValidation>
    <dataValidation type="date" operator="greaterThanOrEqual" allowBlank="1" showInputMessage="1" showErrorMessage="1" sqref="L84">
      <formula1>730120</formula1>
    </dataValidation>
    <dataValidation type="whole" allowBlank="1" showInputMessage="1" showErrorMessage="1" sqref="P84">
      <formula1>0</formula1>
      <formula2>100</formula2>
    </dataValidation>
    <dataValidation type="decimal" operator="greaterThanOrEqual" allowBlank="1" showInputMessage="1" showErrorMessage="1" sqref="Q84">
      <formula1>0</formula1>
    </dataValidation>
    <dataValidation type="decimal" operator="greaterThanOrEqual" allowBlank="1" showInputMessage="1" showErrorMessage="1" sqref="R84">
      <formula1>0</formula1>
    </dataValidation>
    <dataValidation type="whole" allowBlank="1" showInputMessage="1" showErrorMessage="1" sqref="U84">
      <formula1>1</formula1>
      <formula2>5</formula2>
    </dataValidation>
    <dataValidation type="whole" allowBlank="1" showInputMessage="1" showErrorMessage="1" sqref="V84">
      <formula1>1</formula1>
      <formula2>5</formula2>
    </dataValidation>
    <dataValidation type="whole" allowBlank="1" showInputMessage="1" showErrorMessage="1" sqref="X84">
      <formula1>1</formula1>
      <formula2>5</formula2>
    </dataValidation>
    <dataValidation type="decimal" operator="greaterThanOrEqual" allowBlank="1" showInputMessage="1" showErrorMessage="1" sqref="Y84">
      <formula1>0</formula1>
    </dataValidation>
    <dataValidation type="whole" operator="greaterThanOrEqual" allowBlank="1" showInputMessage="1" showErrorMessage="1" sqref="Z84">
      <formula1>0</formula1>
    </dataValidation>
    <dataValidation type="whole" allowBlank="1" showInputMessage="1" showErrorMessage="1" sqref="AA84">
      <formula1>1</formula1>
      <formula2>5</formula2>
    </dataValidation>
    <dataValidation type="decimal" allowBlank="1" showInputMessage="1" showErrorMessage="1" sqref="AB84">
      <formula1>0</formula1>
      <formula2>1</formula2>
    </dataValidation>
    <dataValidation type="list" allowBlank="1" showInputMessage="1" showErrorMessage="1" sqref="O84">
      <formula1>liste_statuts</formula1>
    </dataValidation>
    <dataValidation type="list" allowBlank="1" showInputMessage="1" showErrorMessage="1" sqref="B85">
      <formula1>liste_programmes</formula1>
    </dataValidation>
    <dataValidation type="list" allowBlank="1" showInputMessage="1" showErrorMessage="1" sqref="D85">
      <formula1>liste_types</formula1>
    </dataValidation>
    <dataValidation type="list" allowBlank="1" showInputMessage="1" showErrorMessage="1" sqref="F85">
      <formula1>liste_categories</formula1>
    </dataValidation>
    <dataValidation type="list" allowBlank="1" showInputMessage="1" showErrorMessage="1" sqref="G85">
      <formula1>liste_responsables</formula1>
    </dataValidation>
    <dataValidation type="list" allowBlank="1" showInputMessage="1" showErrorMessage="1" sqref="H85">
      <formula1>liste_sites</formula1>
    </dataValidation>
    <dataValidation type="list" allowBlank="1" showInputMessage="1" showErrorMessage="1" sqref="I85">
      <formula1>liste_priorites</formula1>
    </dataValidation>
    <dataValidation type="date" operator="greaterThanOrEqual" allowBlank="1" showInputMessage="1" showErrorMessage="1" sqref="J85">
      <formula1>730120</formula1>
    </dataValidation>
    <dataValidation type="date" operator="greaterThanOrEqual" allowBlank="1" showInputMessage="1" showErrorMessage="1" sqref="K85">
      <formula1>730120</formula1>
    </dataValidation>
    <dataValidation type="date" operator="greaterThanOrEqual" allowBlank="1" showInputMessage="1" showErrorMessage="1" sqref="L85">
      <formula1>730120</formula1>
    </dataValidation>
    <dataValidation type="whole" allowBlank="1" showInputMessage="1" showErrorMessage="1" sqref="P85">
      <formula1>0</formula1>
      <formula2>100</formula2>
    </dataValidation>
    <dataValidation type="decimal" operator="greaterThanOrEqual" allowBlank="1" showInputMessage="1" showErrorMessage="1" sqref="Q85">
      <formula1>0</formula1>
    </dataValidation>
    <dataValidation type="decimal" operator="greaterThanOrEqual" allowBlank="1" showInputMessage="1" showErrorMessage="1" sqref="R85">
      <formula1>0</formula1>
    </dataValidation>
    <dataValidation type="whole" allowBlank="1" showInputMessage="1" showErrorMessage="1" sqref="U85">
      <formula1>1</formula1>
      <formula2>5</formula2>
    </dataValidation>
    <dataValidation type="whole" allowBlank="1" showInputMessage="1" showErrorMessage="1" sqref="V85">
      <formula1>1</formula1>
      <formula2>5</formula2>
    </dataValidation>
    <dataValidation type="whole" allowBlank="1" showInputMessage="1" showErrorMessage="1" sqref="X85">
      <formula1>1</formula1>
      <formula2>5</formula2>
    </dataValidation>
    <dataValidation type="decimal" operator="greaterThanOrEqual" allowBlank="1" showInputMessage="1" showErrorMessage="1" sqref="Y85">
      <formula1>0</formula1>
    </dataValidation>
    <dataValidation type="whole" operator="greaterThanOrEqual" allowBlank="1" showInputMessage="1" showErrorMessage="1" sqref="Z85">
      <formula1>0</formula1>
    </dataValidation>
    <dataValidation type="whole" allowBlank="1" showInputMessage="1" showErrorMessage="1" sqref="AA85">
      <formula1>1</formula1>
      <formula2>5</formula2>
    </dataValidation>
    <dataValidation type="decimal" allowBlank="1" showInputMessage="1" showErrorMessage="1" sqref="AB85">
      <formula1>0</formula1>
      <formula2>1</formula2>
    </dataValidation>
    <dataValidation type="list" allowBlank="1" showInputMessage="1" showErrorMessage="1" sqref="O85">
      <formula1>liste_statuts</formula1>
    </dataValidation>
    <dataValidation type="list" allowBlank="1" showInputMessage="1" showErrorMessage="1" sqref="B86">
      <formula1>liste_programmes</formula1>
    </dataValidation>
    <dataValidation type="list" allowBlank="1" showInputMessage="1" showErrorMessage="1" sqref="D86">
      <formula1>liste_types</formula1>
    </dataValidation>
    <dataValidation type="list" allowBlank="1" showInputMessage="1" showErrorMessage="1" sqref="F86">
      <formula1>liste_categories</formula1>
    </dataValidation>
    <dataValidation type="list" allowBlank="1" showInputMessage="1" showErrorMessage="1" sqref="G86">
      <formula1>liste_responsables</formula1>
    </dataValidation>
    <dataValidation type="list" allowBlank="1" showInputMessage="1" showErrorMessage="1" sqref="H86">
      <formula1>liste_sites</formula1>
    </dataValidation>
    <dataValidation type="list" allowBlank="1" showInputMessage="1" showErrorMessage="1" sqref="I86">
      <formula1>liste_priorites</formula1>
    </dataValidation>
    <dataValidation type="date" operator="greaterThanOrEqual" allowBlank="1" showInputMessage="1" showErrorMessage="1" sqref="J86">
      <formula1>730120</formula1>
    </dataValidation>
    <dataValidation type="date" operator="greaterThanOrEqual" allowBlank="1" showInputMessage="1" showErrorMessage="1" sqref="K86">
      <formula1>730120</formula1>
    </dataValidation>
    <dataValidation type="date" operator="greaterThanOrEqual" allowBlank="1" showInputMessage="1" showErrorMessage="1" sqref="L86">
      <formula1>730120</formula1>
    </dataValidation>
    <dataValidation type="whole" allowBlank="1" showInputMessage="1" showErrorMessage="1" sqref="P86">
      <formula1>0</formula1>
      <formula2>100</formula2>
    </dataValidation>
    <dataValidation type="decimal" operator="greaterThanOrEqual" allowBlank="1" showInputMessage="1" showErrorMessage="1" sqref="Q86">
      <formula1>0</formula1>
    </dataValidation>
    <dataValidation type="decimal" operator="greaterThanOrEqual" allowBlank="1" showInputMessage="1" showErrorMessage="1" sqref="R86">
      <formula1>0</formula1>
    </dataValidation>
    <dataValidation type="whole" allowBlank="1" showInputMessage="1" showErrorMessage="1" sqref="U86">
      <formula1>1</formula1>
      <formula2>5</formula2>
    </dataValidation>
    <dataValidation type="whole" allowBlank="1" showInputMessage="1" showErrorMessage="1" sqref="V86">
      <formula1>1</formula1>
      <formula2>5</formula2>
    </dataValidation>
    <dataValidation type="whole" allowBlank="1" showInputMessage="1" showErrorMessage="1" sqref="X86">
      <formula1>1</formula1>
      <formula2>5</formula2>
    </dataValidation>
    <dataValidation type="decimal" operator="greaterThanOrEqual" allowBlank="1" showInputMessage="1" showErrorMessage="1" sqref="Y86">
      <formula1>0</formula1>
    </dataValidation>
    <dataValidation type="whole" operator="greaterThanOrEqual" allowBlank="1" showInputMessage="1" showErrorMessage="1" sqref="Z86">
      <formula1>0</formula1>
    </dataValidation>
    <dataValidation type="whole" allowBlank="1" showInputMessage="1" showErrorMessage="1" sqref="AA86">
      <formula1>1</formula1>
      <formula2>5</formula2>
    </dataValidation>
    <dataValidation type="decimal" allowBlank="1" showInputMessage="1" showErrorMessage="1" sqref="AB86">
      <formula1>0</formula1>
      <formula2>1</formula2>
    </dataValidation>
    <dataValidation type="list" allowBlank="1" showInputMessage="1" showErrorMessage="1" sqref="O86">
      <formula1>liste_statuts</formula1>
    </dataValidation>
    <dataValidation type="list" allowBlank="1" showInputMessage="1" showErrorMessage="1" sqref="B87">
      <formula1>liste_programmes</formula1>
    </dataValidation>
    <dataValidation type="list" allowBlank="1" showInputMessage="1" showErrorMessage="1" sqref="D87">
      <formula1>liste_types</formula1>
    </dataValidation>
    <dataValidation type="list" allowBlank="1" showInputMessage="1" showErrorMessage="1" sqref="F87">
      <formula1>liste_categories</formula1>
    </dataValidation>
    <dataValidation type="list" allowBlank="1" showInputMessage="1" showErrorMessage="1" sqref="G87">
      <formula1>liste_responsables</formula1>
    </dataValidation>
    <dataValidation type="list" allowBlank="1" showInputMessage="1" showErrorMessage="1" sqref="H87">
      <formula1>liste_sites</formula1>
    </dataValidation>
    <dataValidation type="list" allowBlank="1" showInputMessage="1" showErrorMessage="1" sqref="I87">
      <formula1>liste_priorites</formula1>
    </dataValidation>
    <dataValidation type="date" operator="greaterThanOrEqual" allowBlank="1" showInputMessage="1" showErrorMessage="1" sqref="J87">
      <formula1>730120</formula1>
    </dataValidation>
    <dataValidation type="date" operator="greaterThanOrEqual" allowBlank="1" showInputMessage="1" showErrorMessage="1" sqref="K87">
      <formula1>730120</formula1>
    </dataValidation>
    <dataValidation type="date" operator="greaterThanOrEqual" allowBlank="1" showInputMessage="1" showErrorMessage="1" sqref="L87">
      <formula1>730120</formula1>
    </dataValidation>
    <dataValidation type="whole" allowBlank="1" showInputMessage="1" showErrorMessage="1" sqref="P87">
      <formula1>0</formula1>
      <formula2>100</formula2>
    </dataValidation>
    <dataValidation type="decimal" operator="greaterThanOrEqual" allowBlank="1" showInputMessage="1" showErrorMessage="1" sqref="Q87">
      <formula1>0</formula1>
    </dataValidation>
    <dataValidation type="decimal" operator="greaterThanOrEqual" allowBlank="1" showInputMessage="1" showErrorMessage="1" sqref="R87">
      <formula1>0</formula1>
    </dataValidation>
    <dataValidation type="whole" allowBlank="1" showInputMessage="1" showErrorMessage="1" sqref="U87">
      <formula1>1</formula1>
      <formula2>5</formula2>
    </dataValidation>
    <dataValidation type="whole" allowBlank="1" showInputMessage="1" showErrorMessage="1" sqref="V87">
      <formula1>1</formula1>
      <formula2>5</formula2>
    </dataValidation>
    <dataValidation type="whole" allowBlank="1" showInputMessage="1" showErrorMessage="1" sqref="X87">
      <formula1>1</formula1>
      <formula2>5</formula2>
    </dataValidation>
    <dataValidation type="decimal" operator="greaterThanOrEqual" allowBlank="1" showInputMessage="1" showErrorMessage="1" sqref="Y87">
      <formula1>0</formula1>
    </dataValidation>
    <dataValidation type="whole" operator="greaterThanOrEqual" allowBlank="1" showInputMessage="1" showErrorMessage="1" sqref="Z87">
      <formula1>0</formula1>
    </dataValidation>
    <dataValidation type="whole" allowBlank="1" showInputMessage="1" showErrorMessage="1" sqref="AA87">
      <formula1>1</formula1>
      <formula2>5</formula2>
    </dataValidation>
    <dataValidation type="decimal" allowBlank="1" showInputMessage="1" showErrorMessage="1" sqref="AB87">
      <formula1>0</formula1>
      <formula2>1</formula2>
    </dataValidation>
    <dataValidation type="list" allowBlank="1" showInputMessage="1" showErrorMessage="1" sqref="O87">
      <formula1>liste_statuts</formula1>
    </dataValidation>
    <dataValidation type="list" allowBlank="1" showInputMessage="1" showErrorMessage="1" sqref="B88">
      <formula1>liste_programmes</formula1>
    </dataValidation>
    <dataValidation type="list" allowBlank="1" showInputMessage="1" showErrorMessage="1" sqref="D88">
      <formula1>liste_types</formula1>
    </dataValidation>
    <dataValidation type="list" allowBlank="1" showInputMessage="1" showErrorMessage="1" sqref="F88">
      <formula1>liste_categories</formula1>
    </dataValidation>
    <dataValidation type="list" allowBlank="1" showInputMessage="1" showErrorMessage="1" sqref="G88">
      <formula1>liste_responsables</formula1>
    </dataValidation>
    <dataValidation type="list" allowBlank="1" showInputMessage="1" showErrorMessage="1" sqref="H88">
      <formula1>liste_sites</formula1>
    </dataValidation>
    <dataValidation type="list" allowBlank="1" showInputMessage="1" showErrorMessage="1" sqref="I88">
      <formula1>liste_priorites</formula1>
    </dataValidation>
    <dataValidation type="date" operator="greaterThanOrEqual" allowBlank="1" showInputMessage="1" showErrorMessage="1" sqref="J88">
      <formula1>730120</formula1>
    </dataValidation>
    <dataValidation type="date" operator="greaterThanOrEqual" allowBlank="1" showInputMessage="1" showErrorMessage="1" sqref="K88">
      <formula1>730120</formula1>
    </dataValidation>
    <dataValidation type="date" operator="greaterThanOrEqual" allowBlank="1" showInputMessage="1" showErrorMessage="1" sqref="L88">
      <formula1>730120</formula1>
    </dataValidation>
    <dataValidation type="whole" allowBlank="1" showInputMessage="1" showErrorMessage="1" sqref="P88">
      <formula1>0</formula1>
      <formula2>100</formula2>
    </dataValidation>
    <dataValidation type="decimal" operator="greaterThanOrEqual" allowBlank="1" showInputMessage="1" showErrorMessage="1" sqref="Q88">
      <formula1>0</formula1>
    </dataValidation>
    <dataValidation type="decimal" operator="greaterThanOrEqual" allowBlank="1" showInputMessage="1" showErrorMessage="1" sqref="R88">
      <formula1>0</formula1>
    </dataValidation>
    <dataValidation type="whole" allowBlank="1" showInputMessage="1" showErrorMessage="1" sqref="U88">
      <formula1>1</formula1>
      <formula2>5</formula2>
    </dataValidation>
    <dataValidation type="whole" allowBlank="1" showInputMessage="1" showErrorMessage="1" sqref="V88">
      <formula1>1</formula1>
      <formula2>5</formula2>
    </dataValidation>
    <dataValidation type="whole" allowBlank="1" showInputMessage="1" showErrorMessage="1" sqref="X88">
      <formula1>1</formula1>
      <formula2>5</formula2>
    </dataValidation>
    <dataValidation type="decimal" operator="greaterThanOrEqual" allowBlank="1" showInputMessage="1" showErrorMessage="1" sqref="Y88">
      <formula1>0</formula1>
    </dataValidation>
    <dataValidation type="whole" operator="greaterThanOrEqual" allowBlank="1" showInputMessage="1" showErrorMessage="1" sqref="Z88">
      <formula1>0</formula1>
    </dataValidation>
    <dataValidation type="whole" allowBlank="1" showInputMessage="1" showErrorMessage="1" sqref="AA88">
      <formula1>1</formula1>
      <formula2>5</formula2>
    </dataValidation>
    <dataValidation type="decimal" allowBlank="1" showInputMessage="1" showErrorMessage="1" sqref="AB88">
      <formula1>0</formula1>
      <formula2>1</formula2>
    </dataValidation>
    <dataValidation type="list" allowBlank="1" showInputMessage="1" showErrorMessage="1" sqref="O88">
      <formula1>liste_statuts</formula1>
    </dataValidation>
    <dataValidation type="list" allowBlank="1" showInputMessage="1" showErrorMessage="1" sqref="B89">
      <formula1>liste_programmes</formula1>
    </dataValidation>
    <dataValidation type="list" allowBlank="1" showInputMessage="1" showErrorMessage="1" sqref="D89">
      <formula1>liste_types</formula1>
    </dataValidation>
    <dataValidation type="list" allowBlank="1" showInputMessage="1" showErrorMessage="1" sqref="F89">
      <formula1>liste_categories</formula1>
    </dataValidation>
    <dataValidation type="list" allowBlank="1" showInputMessage="1" showErrorMessage="1" sqref="G89">
      <formula1>liste_responsables</formula1>
    </dataValidation>
    <dataValidation type="list" allowBlank="1" showInputMessage="1" showErrorMessage="1" sqref="H89">
      <formula1>liste_sites</formula1>
    </dataValidation>
    <dataValidation type="list" allowBlank="1" showInputMessage="1" showErrorMessage="1" sqref="I89">
      <formula1>liste_priorites</formula1>
    </dataValidation>
    <dataValidation type="date" operator="greaterThanOrEqual" allowBlank="1" showInputMessage="1" showErrorMessage="1" sqref="J89">
      <formula1>730120</formula1>
    </dataValidation>
    <dataValidation type="date" operator="greaterThanOrEqual" allowBlank="1" showInputMessage="1" showErrorMessage="1" sqref="K89">
      <formula1>730120</formula1>
    </dataValidation>
    <dataValidation type="date" operator="greaterThanOrEqual" allowBlank="1" showInputMessage="1" showErrorMessage="1" sqref="L89">
      <formula1>730120</formula1>
    </dataValidation>
    <dataValidation type="whole" allowBlank="1" showInputMessage="1" showErrorMessage="1" sqref="P89">
      <formula1>0</formula1>
      <formula2>100</formula2>
    </dataValidation>
    <dataValidation type="decimal" operator="greaterThanOrEqual" allowBlank="1" showInputMessage="1" showErrorMessage="1" sqref="Q89">
      <formula1>0</formula1>
    </dataValidation>
    <dataValidation type="decimal" operator="greaterThanOrEqual" allowBlank="1" showInputMessage="1" showErrorMessage="1" sqref="R89">
      <formula1>0</formula1>
    </dataValidation>
    <dataValidation type="whole" allowBlank="1" showInputMessage="1" showErrorMessage="1" sqref="U89">
      <formula1>1</formula1>
      <formula2>5</formula2>
    </dataValidation>
    <dataValidation type="whole" allowBlank="1" showInputMessage="1" showErrorMessage="1" sqref="V89">
      <formula1>1</formula1>
      <formula2>5</formula2>
    </dataValidation>
    <dataValidation type="whole" allowBlank="1" showInputMessage="1" showErrorMessage="1" sqref="X89">
      <formula1>1</formula1>
      <formula2>5</formula2>
    </dataValidation>
    <dataValidation type="decimal" operator="greaterThanOrEqual" allowBlank="1" showInputMessage="1" showErrorMessage="1" sqref="Y89">
      <formula1>0</formula1>
    </dataValidation>
    <dataValidation type="whole" operator="greaterThanOrEqual" allowBlank="1" showInputMessage="1" showErrorMessage="1" sqref="Z89">
      <formula1>0</formula1>
    </dataValidation>
    <dataValidation type="whole" allowBlank="1" showInputMessage="1" showErrorMessage="1" sqref="AA89">
      <formula1>1</formula1>
      <formula2>5</formula2>
    </dataValidation>
    <dataValidation type="decimal" allowBlank="1" showInputMessage="1" showErrorMessage="1" sqref="AB89">
      <formula1>0</formula1>
      <formula2>1</formula2>
    </dataValidation>
    <dataValidation type="list" allowBlank="1" showInputMessage="1" showErrorMessage="1" sqref="O89">
      <formula1>liste_statuts</formula1>
    </dataValidation>
    <dataValidation type="list" allowBlank="1" showInputMessage="1" showErrorMessage="1" sqref="B90">
      <formula1>liste_programmes</formula1>
    </dataValidation>
    <dataValidation type="list" allowBlank="1" showInputMessage="1" showErrorMessage="1" sqref="D90">
      <formula1>liste_types</formula1>
    </dataValidation>
    <dataValidation type="list" allowBlank="1" showInputMessage="1" showErrorMessage="1" sqref="F90">
      <formula1>liste_categories</formula1>
    </dataValidation>
    <dataValidation type="list" allowBlank="1" showInputMessage="1" showErrorMessage="1" sqref="G90">
      <formula1>liste_responsables</formula1>
    </dataValidation>
    <dataValidation type="list" allowBlank="1" showInputMessage="1" showErrorMessage="1" sqref="H90">
      <formula1>liste_sites</formula1>
    </dataValidation>
    <dataValidation type="list" allowBlank="1" showInputMessage="1" showErrorMessage="1" sqref="I90">
      <formula1>liste_priorites</formula1>
    </dataValidation>
    <dataValidation type="date" operator="greaterThanOrEqual" allowBlank="1" showInputMessage="1" showErrorMessage="1" sqref="J90">
      <formula1>730120</formula1>
    </dataValidation>
    <dataValidation type="date" operator="greaterThanOrEqual" allowBlank="1" showInputMessage="1" showErrorMessage="1" sqref="K90">
      <formula1>730120</formula1>
    </dataValidation>
    <dataValidation type="date" operator="greaterThanOrEqual" allowBlank="1" showInputMessage="1" showErrorMessage="1" sqref="L90">
      <formula1>730120</formula1>
    </dataValidation>
    <dataValidation type="whole" allowBlank="1" showInputMessage="1" showErrorMessage="1" sqref="P90">
      <formula1>0</formula1>
      <formula2>100</formula2>
    </dataValidation>
    <dataValidation type="decimal" operator="greaterThanOrEqual" allowBlank="1" showInputMessage="1" showErrorMessage="1" sqref="Q90">
      <formula1>0</formula1>
    </dataValidation>
    <dataValidation type="decimal" operator="greaterThanOrEqual" allowBlank="1" showInputMessage="1" showErrorMessage="1" sqref="R90">
      <formula1>0</formula1>
    </dataValidation>
    <dataValidation type="whole" allowBlank="1" showInputMessage="1" showErrorMessage="1" sqref="U90">
      <formula1>1</formula1>
      <formula2>5</formula2>
    </dataValidation>
    <dataValidation type="whole" allowBlank="1" showInputMessage="1" showErrorMessage="1" sqref="V90">
      <formula1>1</formula1>
      <formula2>5</formula2>
    </dataValidation>
    <dataValidation type="whole" allowBlank="1" showInputMessage="1" showErrorMessage="1" sqref="X90">
      <formula1>1</formula1>
      <formula2>5</formula2>
    </dataValidation>
    <dataValidation type="decimal" operator="greaterThanOrEqual" allowBlank="1" showInputMessage="1" showErrorMessage="1" sqref="Y90">
      <formula1>0</formula1>
    </dataValidation>
    <dataValidation type="whole" operator="greaterThanOrEqual" allowBlank="1" showInputMessage="1" showErrorMessage="1" sqref="Z90">
      <formula1>0</formula1>
    </dataValidation>
    <dataValidation type="whole" allowBlank="1" showInputMessage="1" showErrorMessage="1" sqref="AA90">
      <formula1>1</formula1>
      <formula2>5</formula2>
    </dataValidation>
    <dataValidation type="decimal" allowBlank="1" showInputMessage="1" showErrorMessage="1" sqref="AB90">
      <formula1>0</formula1>
      <formula2>1</formula2>
    </dataValidation>
    <dataValidation type="list" allowBlank="1" showInputMessage="1" showErrorMessage="1" sqref="O90">
      <formula1>liste_statuts</formula1>
    </dataValidation>
    <dataValidation type="list" allowBlank="1" showInputMessage="1" showErrorMessage="1" sqref="B91">
      <formula1>liste_programmes</formula1>
    </dataValidation>
    <dataValidation type="list" allowBlank="1" showInputMessage="1" showErrorMessage="1" sqref="D91">
      <formula1>liste_types</formula1>
    </dataValidation>
    <dataValidation type="list" allowBlank="1" showInputMessage="1" showErrorMessage="1" sqref="F91">
      <formula1>liste_categories</formula1>
    </dataValidation>
    <dataValidation type="list" allowBlank="1" showInputMessage="1" showErrorMessage="1" sqref="G91">
      <formula1>liste_responsables</formula1>
    </dataValidation>
    <dataValidation type="list" allowBlank="1" showInputMessage="1" showErrorMessage="1" sqref="H91">
      <formula1>liste_sites</formula1>
    </dataValidation>
    <dataValidation type="list" allowBlank="1" showInputMessage="1" showErrorMessage="1" sqref="I91">
      <formula1>liste_priorites</formula1>
    </dataValidation>
    <dataValidation type="date" operator="greaterThanOrEqual" allowBlank="1" showInputMessage="1" showErrorMessage="1" sqref="J91">
      <formula1>730120</formula1>
    </dataValidation>
    <dataValidation type="date" operator="greaterThanOrEqual" allowBlank="1" showInputMessage="1" showErrorMessage="1" sqref="K91">
      <formula1>730120</formula1>
    </dataValidation>
    <dataValidation type="date" operator="greaterThanOrEqual" allowBlank="1" showInputMessage="1" showErrorMessage="1" sqref="L91">
      <formula1>730120</formula1>
    </dataValidation>
    <dataValidation type="whole" allowBlank="1" showInputMessage="1" showErrorMessage="1" sqref="P91">
      <formula1>0</formula1>
      <formula2>100</formula2>
    </dataValidation>
    <dataValidation type="decimal" operator="greaterThanOrEqual" allowBlank="1" showInputMessage="1" showErrorMessage="1" sqref="Q91">
      <formula1>0</formula1>
    </dataValidation>
    <dataValidation type="decimal" operator="greaterThanOrEqual" allowBlank="1" showInputMessage="1" showErrorMessage="1" sqref="R91">
      <formula1>0</formula1>
    </dataValidation>
    <dataValidation type="whole" allowBlank="1" showInputMessage="1" showErrorMessage="1" sqref="U91">
      <formula1>1</formula1>
      <formula2>5</formula2>
    </dataValidation>
    <dataValidation type="whole" allowBlank="1" showInputMessage="1" showErrorMessage="1" sqref="V91">
      <formula1>1</formula1>
      <formula2>5</formula2>
    </dataValidation>
    <dataValidation type="whole" allowBlank="1" showInputMessage="1" showErrorMessage="1" sqref="X91">
      <formula1>1</formula1>
      <formula2>5</formula2>
    </dataValidation>
    <dataValidation type="decimal" operator="greaterThanOrEqual" allowBlank="1" showInputMessage="1" showErrorMessage="1" sqref="Y91">
      <formula1>0</formula1>
    </dataValidation>
    <dataValidation type="whole" operator="greaterThanOrEqual" allowBlank="1" showInputMessage="1" showErrorMessage="1" sqref="Z91">
      <formula1>0</formula1>
    </dataValidation>
    <dataValidation type="whole" allowBlank="1" showInputMessage="1" showErrorMessage="1" sqref="AA91">
      <formula1>1</formula1>
      <formula2>5</formula2>
    </dataValidation>
    <dataValidation type="decimal" allowBlank="1" showInputMessage="1" showErrorMessage="1" sqref="AB91">
      <formula1>0</formula1>
      <formula2>1</formula2>
    </dataValidation>
    <dataValidation type="list" allowBlank="1" showInputMessage="1" showErrorMessage="1" sqref="O91">
      <formula1>liste_statuts</formula1>
    </dataValidation>
    <dataValidation type="list" allowBlank="1" showInputMessage="1" showErrorMessage="1" sqref="B92">
      <formula1>liste_programmes</formula1>
    </dataValidation>
    <dataValidation type="list" allowBlank="1" showInputMessage="1" showErrorMessage="1" sqref="D92">
      <formula1>liste_types</formula1>
    </dataValidation>
    <dataValidation type="list" allowBlank="1" showInputMessage="1" showErrorMessage="1" sqref="F92">
      <formula1>liste_categories</formula1>
    </dataValidation>
    <dataValidation type="list" allowBlank="1" showInputMessage="1" showErrorMessage="1" sqref="G92">
      <formula1>liste_responsables</formula1>
    </dataValidation>
    <dataValidation type="list" allowBlank="1" showInputMessage="1" showErrorMessage="1" sqref="H92">
      <formula1>liste_sites</formula1>
    </dataValidation>
    <dataValidation type="list" allowBlank="1" showInputMessage="1" showErrorMessage="1" sqref="I92">
      <formula1>liste_priorites</formula1>
    </dataValidation>
    <dataValidation type="date" operator="greaterThanOrEqual" allowBlank="1" showInputMessage="1" showErrorMessage="1" sqref="J92">
      <formula1>730120</formula1>
    </dataValidation>
    <dataValidation type="date" operator="greaterThanOrEqual" allowBlank="1" showInputMessage="1" showErrorMessage="1" sqref="K92">
      <formula1>730120</formula1>
    </dataValidation>
    <dataValidation type="date" operator="greaterThanOrEqual" allowBlank="1" showInputMessage="1" showErrorMessage="1" sqref="L92">
      <formula1>730120</formula1>
    </dataValidation>
    <dataValidation type="whole" allowBlank="1" showInputMessage="1" showErrorMessage="1" sqref="P92">
      <formula1>0</formula1>
      <formula2>100</formula2>
    </dataValidation>
    <dataValidation type="decimal" operator="greaterThanOrEqual" allowBlank="1" showInputMessage="1" showErrorMessage="1" sqref="Q92">
      <formula1>0</formula1>
    </dataValidation>
    <dataValidation type="decimal" operator="greaterThanOrEqual" allowBlank="1" showInputMessage="1" showErrorMessage="1" sqref="R92">
      <formula1>0</formula1>
    </dataValidation>
    <dataValidation type="whole" allowBlank="1" showInputMessage="1" showErrorMessage="1" sqref="U92">
      <formula1>1</formula1>
      <formula2>5</formula2>
    </dataValidation>
    <dataValidation type="whole" allowBlank="1" showInputMessage="1" showErrorMessage="1" sqref="V92">
      <formula1>1</formula1>
      <formula2>5</formula2>
    </dataValidation>
    <dataValidation type="whole" allowBlank="1" showInputMessage="1" showErrorMessage="1" sqref="X92">
      <formula1>1</formula1>
      <formula2>5</formula2>
    </dataValidation>
    <dataValidation type="decimal" operator="greaterThanOrEqual" allowBlank="1" showInputMessage="1" showErrorMessage="1" sqref="Y92">
      <formula1>0</formula1>
    </dataValidation>
    <dataValidation type="whole" operator="greaterThanOrEqual" allowBlank="1" showInputMessage="1" showErrorMessage="1" sqref="Z92">
      <formula1>0</formula1>
    </dataValidation>
    <dataValidation type="whole" allowBlank="1" showInputMessage="1" showErrorMessage="1" sqref="AA92">
      <formula1>1</formula1>
      <formula2>5</formula2>
    </dataValidation>
    <dataValidation type="decimal" allowBlank="1" showInputMessage="1" showErrorMessage="1" sqref="AB92">
      <formula1>0</formula1>
      <formula2>1</formula2>
    </dataValidation>
    <dataValidation type="list" allowBlank="1" showInputMessage="1" showErrorMessage="1" sqref="O92">
      <formula1>liste_statuts</formula1>
    </dataValidation>
    <dataValidation type="list" allowBlank="1" showInputMessage="1" showErrorMessage="1" sqref="B93">
      <formula1>liste_programmes</formula1>
    </dataValidation>
    <dataValidation type="list" allowBlank="1" showInputMessage="1" showErrorMessage="1" sqref="D93">
      <formula1>liste_types</formula1>
    </dataValidation>
    <dataValidation type="list" allowBlank="1" showInputMessage="1" showErrorMessage="1" sqref="F93">
      <formula1>liste_categories</formula1>
    </dataValidation>
    <dataValidation type="list" allowBlank="1" showInputMessage="1" showErrorMessage="1" sqref="G93">
      <formula1>liste_responsables</formula1>
    </dataValidation>
    <dataValidation type="list" allowBlank="1" showInputMessage="1" showErrorMessage="1" sqref="H93">
      <formula1>liste_sites</formula1>
    </dataValidation>
    <dataValidation type="list" allowBlank="1" showInputMessage="1" showErrorMessage="1" sqref="I93">
      <formula1>liste_priorites</formula1>
    </dataValidation>
    <dataValidation type="date" operator="greaterThanOrEqual" allowBlank="1" showInputMessage="1" showErrorMessage="1" sqref="J93">
      <formula1>730120</formula1>
    </dataValidation>
    <dataValidation type="date" operator="greaterThanOrEqual" allowBlank="1" showInputMessage="1" showErrorMessage="1" sqref="K93">
      <formula1>730120</formula1>
    </dataValidation>
    <dataValidation type="date" operator="greaterThanOrEqual" allowBlank="1" showInputMessage="1" showErrorMessage="1" sqref="L93">
      <formula1>730120</formula1>
    </dataValidation>
    <dataValidation type="whole" allowBlank="1" showInputMessage="1" showErrorMessage="1" sqref="P93">
      <formula1>0</formula1>
      <formula2>100</formula2>
    </dataValidation>
    <dataValidation type="decimal" operator="greaterThanOrEqual" allowBlank="1" showInputMessage="1" showErrorMessage="1" sqref="Q93">
      <formula1>0</formula1>
    </dataValidation>
    <dataValidation type="decimal" operator="greaterThanOrEqual" allowBlank="1" showInputMessage="1" showErrorMessage="1" sqref="R93">
      <formula1>0</formula1>
    </dataValidation>
    <dataValidation type="whole" allowBlank="1" showInputMessage="1" showErrorMessage="1" sqref="U93">
      <formula1>1</formula1>
      <formula2>5</formula2>
    </dataValidation>
    <dataValidation type="whole" allowBlank="1" showInputMessage="1" showErrorMessage="1" sqref="V93">
      <formula1>1</formula1>
      <formula2>5</formula2>
    </dataValidation>
    <dataValidation type="whole" allowBlank="1" showInputMessage="1" showErrorMessage="1" sqref="X93">
      <formula1>1</formula1>
      <formula2>5</formula2>
    </dataValidation>
    <dataValidation type="decimal" operator="greaterThanOrEqual" allowBlank="1" showInputMessage="1" showErrorMessage="1" sqref="Y93">
      <formula1>0</formula1>
    </dataValidation>
    <dataValidation type="whole" operator="greaterThanOrEqual" allowBlank="1" showInputMessage="1" showErrorMessage="1" sqref="Z93">
      <formula1>0</formula1>
    </dataValidation>
    <dataValidation type="whole" allowBlank="1" showInputMessage="1" showErrorMessage="1" sqref="AA93">
      <formula1>1</formula1>
      <formula2>5</formula2>
    </dataValidation>
    <dataValidation type="decimal" allowBlank="1" showInputMessage="1" showErrorMessage="1" sqref="AB93">
      <formula1>0</formula1>
      <formula2>1</formula2>
    </dataValidation>
    <dataValidation type="list" allowBlank="1" showInputMessage="1" showErrorMessage="1" sqref="O93">
      <formula1>liste_statuts</formula1>
    </dataValidation>
    <dataValidation type="list" allowBlank="1" showInputMessage="1" showErrorMessage="1" sqref="B94">
      <formula1>liste_programmes</formula1>
    </dataValidation>
    <dataValidation type="list" allowBlank="1" showInputMessage="1" showErrorMessage="1" sqref="D94">
      <formula1>liste_types</formula1>
    </dataValidation>
    <dataValidation type="list" allowBlank="1" showInputMessage="1" showErrorMessage="1" sqref="F94">
      <formula1>liste_categories</formula1>
    </dataValidation>
    <dataValidation type="list" allowBlank="1" showInputMessage="1" showErrorMessage="1" sqref="G94">
      <formula1>liste_responsables</formula1>
    </dataValidation>
    <dataValidation type="list" allowBlank="1" showInputMessage="1" showErrorMessage="1" sqref="H94">
      <formula1>liste_sites</formula1>
    </dataValidation>
    <dataValidation type="list" allowBlank="1" showInputMessage="1" showErrorMessage="1" sqref="I94">
      <formula1>liste_priorites</formula1>
    </dataValidation>
    <dataValidation type="date" operator="greaterThanOrEqual" allowBlank="1" showInputMessage="1" showErrorMessage="1" sqref="J94">
      <formula1>730120</formula1>
    </dataValidation>
    <dataValidation type="date" operator="greaterThanOrEqual" allowBlank="1" showInputMessage="1" showErrorMessage="1" sqref="K94">
      <formula1>730120</formula1>
    </dataValidation>
    <dataValidation type="date" operator="greaterThanOrEqual" allowBlank="1" showInputMessage="1" showErrorMessage="1" sqref="L94">
      <formula1>730120</formula1>
    </dataValidation>
    <dataValidation type="whole" allowBlank="1" showInputMessage="1" showErrorMessage="1" sqref="P94">
      <formula1>0</formula1>
      <formula2>100</formula2>
    </dataValidation>
    <dataValidation type="decimal" operator="greaterThanOrEqual" allowBlank="1" showInputMessage="1" showErrorMessage="1" sqref="Q94">
      <formula1>0</formula1>
    </dataValidation>
    <dataValidation type="decimal" operator="greaterThanOrEqual" allowBlank="1" showInputMessage="1" showErrorMessage="1" sqref="R94">
      <formula1>0</formula1>
    </dataValidation>
    <dataValidation type="whole" allowBlank="1" showInputMessage="1" showErrorMessage="1" sqref="U94">
      <formula1>1</formula1>
      <formula2>5</formula2>
    </dataValidation>
    <dataValidation type="whole" allowBlank="1" showInputMessage="1" showErrorMessage="1" sqref="V94">
      <formula1>1</formula1>
      <formula2>5</formula2>
    </dataValidation>
    <dataValidation type="whole" allowBlank="1" showInputMessage="1" showErrorMessage="1" sqref="X94">
      <formula1>1</formula1>
      <formula2>5</formula2>
    </dataValidation>
    <dataValidation type="decimal" operator="greaterThanOrEqual" allowBlank="1" showInputMessage="1" showErrorMessage="1" sqref="Y94">
      <formula1>0</formula1>
    </dataValidation>
    <dataValidation type="whole" operator="greaterThanOrEqual" allowBlank="1" showInputMessage="1" showErrorMessage="1" sqref="Z94">
      <formula1>0</formula1>
    </dataValidation>
    <dataValidation type="whole" allowBlank="1" showInputMessage="1" showErrorMessage="1" sqref="AA94">
      <formula1>1</formula1>
      <formula2>5</formula2>
    </dataValidation>
    <dataValidation type="decimal" allowBlank="1" showInputMessage="1" showErrorMessage="1" sqref="AB94">
      <formula1>0</formula1>
      <formula2>1</formula2>
    </dataValidation>
    <dataValidation type="list" allowBlank="1" showInputMessage="1" showErrorMessage="1" sqref="O94">
      <formula1>liste_statuts</formula1>
    </dataValidation>
    <dataValidation type="list" allowBlank="1" showInputMessage="1" showErrorMessage="1" sqref="B95">
      <formula1>liste_programmes</formula1>
    </dataValidation>
    <dataValidation type="list" allowBlank="1" showInputMessage="1" showErrorMessage="1" sqref="D95">
      <formula1>liste_types</formula1>
    </dataValidation>
    <dataValidation type="list" allowBlank="1" showInputMessage="1" showErrorMessage="1" sqref="F95">
      <formula1>liste_categories</formula1>
    </dataValidation>
    <dataValidation type="list" allowBlank="1" showInputMessage="1" showErrorMessage="1" sqref="G95">
      <formula1>liste_responsables</formula1>
    </dataValidation>
    <dataValidation type="list" allowBlank="1" showInputMessage="1" showErrorMessage="1" sqref="H95">
      <formula1>liste_sites</formula1>
    </dataValidation>
    <dataValidation type="list" allowBlank="1" showInputMessage="1" showErrorMessage="1" sqref="I95">
      <formula1>liste_priorites</formula1>
    </dataValidation>
    <dataValidation type="date" operator="greaterThanOrEqual" allowBlank="1" showInputMessage="1" showErrorMessage="1" sqref="J95">
      <formula1>730120</formula1>
    </dataValidation>
    <dataValidation type="date" operator="greaterThanOrEqual" allowBlank="1" showInputMessage="1" showErrorMessage="1" sqref="K95">
      <formula1>730120</formula1>
    </dataValidation>
    <dataValidation type="date" operator="greaterThanOrEqual" allowBlank="1" showInputMessage="1" showErrorMessage="1" sqref="L95">
      <formula1>730120</formula1>
    </dataValidation>
    <dataValidation type="whole" allowBlank="1" showInputMessage="1" showErrorMessage="1" sqref="P95">
      <formula1>0</formula1>
      <formula2>100</formula2>
    </dataValidation>
    <dataValidation type="decimal" operator="greaterThanOrEqual" allowBlank="1" showInputMessage="1" showErrorMessage="1" sqref="Q95">
      <formula1>0</formula1>
    </dataValidation>
    <dataValidation type="decimal" operator="greaterThanOrEqual" allowBlank="1" showInputMessage="1" showErrorMessage="1" sqref="R95">
      <formula1>0</formula1>
    </dataValidation>
    <dataValidation type="whole" allowBlank="1" showInputMessage="1" showErrorMessage="1" sqref="U95">
      <formula1>1</formula1>
      <formula2>5</formula2>
    </dataValidation>
    <dataValidation type="whole" allowBlank="1" showInputMessage="1" showErrorMessage="1" sqref="V95">
      <formula1>1</formula1>
      <formula2>5</formula2>
    </dataValidation>
    <dataValidation type="whole" allowBlank="1" showInputMessage="1" showErrorMessage="1" sqref="X95">
      <formula1>1</formula1>
      <formula2>5</formula2>
    </dataValidation>
    <dataValidation type="decimal" operator="greaterThanOrEqual" allowBlank="1" showInputMessage="1" showErrorMessage="1" sqref="Y95">
      <formula1>0</formula1>
    </dataValidation>
    <dataValidation type="whole" operator="greaterThanOrEqual" allowBlank="1" showInputMessage="1" showErrorMessage="1" sqref="Z95">
      <formula1>0</formula1>
    </dataValidation>
    <dataValidation type="whole" allowBlank="1" showInputMessage="1" showErrorMessage="1" sqref="AA95">
      <formula1>1</formula1>
      <formula2>5</formula2>
    </dataValidation>
    <dataValidation type="decimal" allowBlank="1" showInputMessage="1" showErrorMessage="1" sqref="AB95">
      <formula1>0</formula1>
      <formula2>1</formula2>
    </dataValidation>
    <dataValidation type="list" allowBlank="1" showInputMessage="1" showErrorMessage="1" sqref="O95">
      <formula1>liste_statuts</formula1>
    </dataValidation>
    <dataValidation type="list" allowBlank="1" showInputMessage="1" showErrorMessage="1" sqref="B96">
      <formula1>liste_programmes</formula1>
    </dataValidation>
    <dataValidation type="list" allowBlank="1" showInputMessage="1" showErrorMessage="1" sqref="D96">
      <formula1>liste_types</formula1>
    </dataValidation>
    <dataValidation type="list" allowBlank="1" showInputMessage="1" showErrorMessage="1" sqref="F96">
      <formula1>liste_categories</formula1>
    </dataValidation>
    <dataValidation type="list" allowBlank="1" showInputMessage="1" showErrorMessage="1" sqref="G96">
      <formula1>liste_responsables</formula1>
    </dataValidation>
    <dataValidation type="list" allowBlank="1" showInputMessage="1" showErrorMessage="1" sqref="H96">
      <formula1>liste_sites</formula1>
    </dataValidation>
    <dataValidation type="list" allowBlank="1" showInputMessage="1" showErrorMessage="1" sqref="I96">
      <formula1>liste_priorites</formula1>
    </dataValidation>
    <dataValidation type="date" operator="greaterThanOrEqual" allowBlank="1" showInputMessage="1" showErrorMessage="1" sqref="J96">
      <formula1>730120</formula1>
    </dataValidation>
    <dataValidation type="date" operator="greaterThanOrEqual" allowBlank="1" showInputMessage="1" showErrorMessage="1" sqref="K96">
      <formula1>730120</formula1>
    </dataValidation>
    <dataValidation type="date" operator="greaterThanOrEqual" allowBlank="1" showInputMessage="1" showErrorMessage="1" sqref="L96">
      <formula1>730120</formula1>
    </dataValidation>
    <dataValidation type="whole" allowBlank="1" showInputMessage="1" showErrorMessage="1" sqref="P96">
      <formula1>0</formula1>
      <formula2>100</formula2>
    </dataValidation>
    <dataValidation type="decimal" operator="greaterThanOrEqual" allowBlank="1" showInputMessage="1" showErrorMessage="1" sqref="Q96">
      <formula1>0</formula1>
    </dataValidation>
    <dataValidation type="decimal" operator="greaterThanOrEqual" allowBlank="1" showInputMessage="1" showErrorMessage="1" sqref="R96">
      <formula1>0</formula1>
    </dataValidation>
    <dataValidation type="whole" allowBlank="1" showInputMessage="1" showErrorMessage="1" sqref="U96">
      <formula1>1</formula1>
      <formula2>5</formula2>
    </dataValidation>
    <dataValidation type="whole" allowBlank="1" showInputMessage="1" showErrorMessage="1" sqref="V96">
      <formula1>1</formula1>
      <formula2>5</formula2>
    </dataValidation>
    <dataValidation type="whole" allowBlank="1" showInputMessage="1" showErrorMessage="1" sqref="X96">
      <formula1>1</formula1>
      <formula2>5</formula2>
    </dataValidation>
    <dataValidation type="decimal" operator="greaterThanOrEqual" allowBlank="1" showInputMessage="1" showErrorMessage="1" sqref="Y96">
      <formula1>0</formula1>
    </dataValidation>
    <dataValidation type="whole" operator="greaterThanOrEqual" allowBlank="1" showInputMessage="1" showErrorMessage="1" sqref="Z96">
      <formula1>0</formula1>
    </dataValidation>
    <dataValidation type="whole" allowBlank="1" showInputMessage="1" showErrorMessage="1" sqref="AA96">
      <formula1>1</formula1>
      <formula2>5</formula2>
    </dataValidation>
    <dataValidation type="decimal" allowBlank="1" showInputMessage="1" showErrorMessage="1" sqref="AB96">
      <formula1>0</formula1>
      <formula2>1</formula2>
    </dataValidation>
    <dataValidation type="list" allowBlank="1" showInputMessage="1" showErrorMessage="1" sqref="O96">
      <formula1>liste_statuts</formula1>
    </dataValidation>
    <dataValidation type="list" allowBlank="1" showInputMessage="1" showErrorMessage="1" sqref="B97">
      <formula1>liste_programmes</formula1>
    </dataValidation>
    <dataValidation type="list" allowBlank="1" showInputMessage="1" showErrorMessage="1" sqref="D97">
      <formula1>liste_types</formula1>
    </dataValidation>
    <dataValidation type="list" allowBlank="1" showInputMessage="1" showErrorMessage="1" sqref="F97">
      <formula1>liste_categories</formula1>
    </dataValidation>
    <dataValidation type="list" allowBlank="1" showInputMessage="1" showErrorMessage="1" sqref="G97">
      <formula1>liste_responsables</formula1>
    </dataValidation>
    <dataValidation type="list" allowBlank="1" showInputMessage="1" showErrorMessage="1" sqref="H97">
      <formula1>liste_sites</formula1>
    </dataValidation>
    <dataValidation type="list" allowBlank="1" showInputMessage="1" showErrorMessage="1" sqref="I97">
      <formula1>liste_priorites</formula1>
    </dataValidation>
    <dataValidation type="date" operator="greaterThanOrEqual" allowBlank="1" showInputMessage="1" showErrorMessage="1" sqref="J97">
      <formula1>730120</formula1>
    </dataValidation>
    <dataValidation type="date" operator="greaterThanOrEqual" allowBlank="1" showInputMessage="1" showErrorMessage="1" sqref="K97">
      <formula1>730120</formula1>
    </dataValidation>
    <dataValidation type="date" operator="greaterThanOrEqual" allowBlank="1" showInputMessage="1" showErrorMessage="1" sqref="L97">
      <formula1>730120</formula1>
    </dataValidation>
    <dataValidation type="whole" allowBlank="1" showInputMessage="1" showErrorMessage="1" sqref="P97">
      <formula1>0</formula1>
      <formula2>100</formula2>
    </dataValidation>
    <dataValidation type="decimal" operator="greaterThanOrEqual" allowBlank="1" showInputMessage="1" showErrorMessage="1" sqref="Q97">
      <formula1>0</formula1>
    </dataValidation>
    <dataValidation type="decimal" operator="greaterThanOrEqual" allowBlank="1" showInputMessage="1" showErrorMessage="1" sqref="R97">
      <formula1>0</formula1>
    </dataValidation>
    <dataValidation type="whole" allowBlank="1" showInputMessage="1" showErrorMessage="1" sqref="U97">
      <formula1>1</formula1>
      <formula2>5</formula2>
    </dataValidation>
    <dataValidation type="whole" allowBlank="1" showInputMessage="1" showErrorMessage="1" sqref="V97">
      <formula1>1</formula1>
      <formula2>5</formula2>
    </dataValidation>
    <dataValidation type="whole" allowBlank="1" showInputMessage="1" showErrorMessage="1" sqref="X97">
      <formula1>1</formula1>
      <formula2>5</formula2>
    </dataValidation>
    <dataValidation type="decimal" operator="greaterThanOrEqual" allowBlank="1" showInputMessage="1" showErrorMessage="1" sqref="Y97">
      <formula1>0</formula1>
    </dataValidation>
    <dataValidation type="whole" operator="greaterThanOrEqual" allowBlank="1" showInputMessage="1" showErrorMessage="1" sqref="Z97">
      <formula1>0</formula1>
    </dataValidation>
    <dataValidation type="whole" allowBlank="1" showInputMessage="1" showErrorMessage="1" sqref="AA97">
      <formula1>1</formula1>
      <formula2>5</formula2>
    </dataValidation>
    <dataValidation type="decimal" allowBlank="1" showInputMessage="1" showErrorMessage="1" sqref="AB97">
      <formula1>0</formula1>
      <formula2>1</formula2>
    </dataValidation>
    <dataValidation type="list" allowBlank="1" showInputMessage="1" showErrorMessage="1" sqref="O97">
      <formula1>liste_statuts</formula1>
    </dataValidation>
    <dataValidation type="list" allowBlank="1" showInputMessage="1" showErrorMessage="1" sqref="B98">
      <formula1>liste_programmes</formula1>
    </dataValidation>
    <dataValidation type="list" allowBlank="1" showInputMessage="1" showErrorMessage="1" sqref="D98">
      <formula1>liste_types</formula1>
    </dataValidation>
    <dataValidation type="list" allowBlank="1" showInputMessage="1" showErrorMessage="1" sqref="F98">
      <formula1>liste_categories</formula1>
    </dataValidation>
    <dataValidation type="list" allowBlank="1" showInputMessage="1" showErrorMessage="1" sqref="G98">
      <formula1>liste_responsables</formula1>
    </dataValidation>
    <dataValidation type="list" allowBlank="1" showInputMessage="1" showErrorMessage="1" sqref="H98">
      <formula1>liste_sites</formula1>
    </dataValidation>
    <dataValidation type="list" allowBlank="1" showInputMessage="1" showErrorMessage="1" sqref="I98">
      <formula1>liste_priorites</formula1>
    </dataValidation>
    <dataValidation type="date" operator="greaterThanOrEqual" allowBlank="1" showInputMessage="1" showErrorMessage="1" sqref="J98">
      <formula1>730120</formula1>
    </dataValidation>
    <dataValidation type="date" operator="greaterThanOrEqual" allowBlank="1" showInputMessage="1" showErrorMessage="1" sqref="K98">
      <formula1>730120</formula1>
    </dataValidation>
    <dataValidation type="date" operator="greaterThanOrEqual" allowBlank="1" showInputMessage="1" showErrorMessage="1" sqref="L98">
      <formula1>730120</formula1>
    </dataValidation>
    <dataValidation type="whole" allowBlank="1" showInputMessage="1" showErrorMessage="1" sqref="P98">
      <formula1>0</formula1>
      <formula2>100</formula2>
    </dataValidation>
    <dataValidation type="decimal" operator="greaterThanOrEqual" allowBlank="1" showInputMessage="1" showErrorMessage="1" sqref="Q98">
      <formula1>0</formula1>
    </dataValidation>
    <dataValidation type="decimal" operator="greaterThanOrEqual" allowBlank="1" showInputMessage="1" showErrorMessage="1" sqref="R98">
      <formula1>0</formula1>
    </dataValidation>
    <dataValidation type="whole" allowBlank="1" showInputMessage="1" showErrorMessage="1" sqref="U98">
      <formula1>1</formula1>
      <formula2>5</formula2>
    </dataValidation>
    <dataValidation type="whole" allowBlank="1" showInputMessage="1" showErrorMessage="1" sqref="V98">
      <formula1>1</formula1>
      <formula2>5</formula2>
    </dataValidation>
    <dataValidation type="whole" allowBlank="1" showInputMessage="1" showErrorMessage="1" sqref="X98">
      <formula1>1</formula1>
      <formula2>5</formula2>
    </dataValidation>
    <dataValidation type="decimal" operator="greaterThanOrEqual" allowBlank="1" showInputMessage="1" showErrorMessage="1" sqref="Y98">
      <formula1>0</formula1>
    </dataValidation>
    <dataValidation type="whole" operator="greaterThanOrEqual" allowBlank="1" showInputMessage="1" showErrorMessage="1" sqref="Z98">
      <formula1>0</formula1>
    </dataValidation>
    <dataValidation type="whole" allowBlank="1" showInputMessage="1" showErrorMessage="1" sqref="AA98">
      <formula1>1</formula1>
      <formula2>5</formula2>
    </dataValidation>
    <dataValidation type="decimal" allowBlank="1" showInputMessage="1" showErrorMessage="1" sqref="AB98">
      <formula1>0</formula1>
      <formula2>1</formula2>
    </dataValidation>
    <dataValidation type="list" allowBlank="1" showInputMessage="1" showErrorMessage="1" sqref="O98">
      <formula1>liste_statuts</formula1>
    </dataValidation>
    <dataValidation type="list" allowBlank="1" showInputMessage="1" showErrorMessage="1" sqref="B99">
      <formula1>liste_programmes</formula1>
    </dataValidation>
    <dataValidation type="list" allowBlank="1" showInputMessage="1" showErrorMessage="1" sqref="D99">
      <formula1>liste_types</formula1>
    </dataValidation>
    <dataValidation type="list" allowBlank="1" showInputMessage="1" showErrorMessage="1" sqref="F99">
      <formula1>liste_categories</formula1>
    </dataValidation>
    <dataValidation type="list" allowBlank="1" showInputMessage="1" showErrorMessage="1" sqref="G99">
      <formula1>liste_responsables</formula1>
    </dataValidation>
    <dataValidation type="list" allowBlank="1" showInputMessage="1" showErrorMessage="1" sqref="H99">
      <formula1>liste_sites</formula1>
    </dataValidation>
    <dataValidation type="list" allowBlank="1" showInputMessage="1" showErrorMessage="1" sqref="I99">
      <formula1>liste_priorites</formula1>
    </dataValidation>
    <dataValidation type="date" operator="greaterThanOrEqual" allowBlank="1" showInputMessage="1" showErrorMessage="1" sqref="J99">
      <formula1>730120</formula1>
    </dataValidation>
    <dataValidation type="date" operator="greaterThanOrEqual" allowBlank="1" showInputMessage="1" showErrorMessage="1" sqref="K99">
      <formula1>730120</formula1>
    </dataValidation>
    <dataValidation type="date" operator="greaterThanOrEqual" allowBlank="1" showInputMessage="1" showErrorMessage="1" sqref="L99">
      <formula1>730120</formula1>
    </dataValidation>
    <dataValidation type="whole" allowBlank="1" showInputMessage="1" showErrorMessage="1" sqref="P99">
      <formula1>0</formula1>
      <formula2>100</formula2>
    </dataValidation>
    <dataValidation type="decimal" operator="greaterThanOrEqual" allowBlank="1" showInputMessage="1" showErrorMessage="1" sqref="Q99">
      <formula1>0</formula1>
    </dataValidation>
    <dataValidation type="decimal" operator="greaterThanOrEqual" allowBlank="1" showInputMessage="1" showErrorMessage="1" sqref="R99">
      <formula1>0</formula1>
    </dataValidation>
    <dataValidation type="whole" allowBlank="1" showInputMessage="1" showErrorMessage="1" sqref="U99">
      <formula1>1</formula1>
      <formula2>5</formula2>
    </dataValidation>
    <dataValidation type="whole" allowBlank="1" showInputMessage="1" showErrorMessage="1" sqref="V99">
      <formula1>1</formula1>
      <formula2>5</formula2>
    </dataValidation>
    <dataValidation type="whole" allowBlank="1" showInputMessage="1" showErrorMessage="1" sqref="X99">
      <formula1>1</formula1>
      <formula2>5</formula2>
    </dataValidation>
    <dataValidation type="decimal" operator="greaterThanOrEqual" allowBlank="1" showInputMessage="1" showErrorMessage="1" sqref="Y99">
      <formula1>0</formula1>
    </dataValidation>
    <dataValidation type="whole" operator="greaterThanOrEqual" allowBlank="1" showInputMessage="1" showErrorMessage="1" sqref="Z99">
      <formula1>0</formula1>
    </dataValidation>
    <dataValidation type="whole" allowBlank="1" showInputMessage="1" showErrorMessage="1" sqref="AA99">
      <formula1>1</formula1>
      <formula2>5</formula2>
    </dataValidation>
    <dataValidation type="decimal" allowBlank="1" showInputMessage="1" showErrorMessage="1" sqref="AB99">
      <formula1>0</formula1>
      <formula2>1</formula2>
    </dataValidation>
    <dataValidation type="list" allowBlank="1" showInputMessage="1" showErrorMessage="1" sqref="O99">
      <formula1>liste_statuts</formula1>
    </dataValidation>
    <dataValidation type="list" allowBlank="1" showInputMessage="1" showErrorMessage="1" sqref="B100">
      <formula1>liste_programmes</formula1>
    </dataValidation>
    <dataValidation type="list" allowBlank="1" showInputMessage="1" showErrorMessage="1" sqref="D100">
      <formula1>liste_types</formula1>
    </dataValidation>
    <dataValidation type="list" allowBlank="1" showInputMessage="1" showErrorMessage="1" sqref="F100">
      <formula1>liste_categories</formula1>
    </dataValidation>
    <dataValidation type="list" allowBlank="1" showInputMessage="1" showErrorMessage="1" sqref="G100">
      <formula1>liste_responsables</formula1>
    </dataValidation>
    <dataValidation type="list" allowBlank="1" showInputMessage="1" showErrorMessage="1" sqref="H100">
      <formula1>liste_sites</formula1>
    </dataValidation>
    <dataValidation type="list" allowBlank="1" showInputMessage="1" showErrorMessage="1" sqref="I100">
      <formula1>liste_priorites</formula1>
    </dataValidation>
    <dataValidation type="date" operator="greaterThanOrEqual" allowBlank="1" showInputMessage="1" showErrorMessage="1" sqref="J100">
      <formula1>730120</formula1>
    </dataValidation>
    <dataValidation type="date" operator="greaterThanOrEqual" allowBlank="1" showInputMessage="1" showErrorMessage="1" sqref="K100">
      <formula1>730120</formula1>
    </dataValidation>
    <dataValidation type="date" operator="greaterThanOrEqual" allowBlank="1" showInputMessage="1" showErrorMessage="1" sqref="L100">
      <formula1>730120</formula1>
    </dataValidation>
    <dataValidation type="whole" allowBlank="1" showInputMessage="1" showErrorMessage="1" sqref="P100">
      <formula1>0</formula1>
      <formula2>100</formula2>
    </dataValidation>
    <dataValidation type="decimal" operator="greaterThanOrEqual" allowBlank="1" showInputMessage="1" showErrorMessage="1" sqref="Q100">
      <formula1>0</formula1>
    </dataValidation>
    <dataValidation type="decimal" operator="greaterThanOrEqual" allowBlank="1" showInputMessage="1" showErrorMessage="1" sqref="R100">
      <formula1>0</formula1>
    </dataValidation>
    <dataValidation type="whole" allowBlank="1" showInputMessage="1" showErrorMessage="1" sqref="U100">
      <formula1>1</formula1>
      <formula2>5</formula2>
    </dataValidation>
    <dataValidation type="whole" allowBlank="1" showInputMessage="1" showErrorMessage="1" sqref="V100">
      <formula1>1</formula1>
      <formula2>5</formula2>
    </dataValidation>
    <dataValidation type="whole" allowBlank="1" showInputMessage="1" showErrorMessage="1" sqref="X100">
      <formula1>1</formula1>
      <formula2>5</formula2>
    </dataValidation>
    <dataValidation type="decimal" operator="greaterThanOrEqual" allowBlank="1" showInputMessage="1" showErrorMessage="1" sqref="Y100">
      <formula1>0</formula1>
    </dataValidation>
    <dataValidation type="whole" operator="greaterThanOrEqual" allowBlank="1" showInputMessage="1" showErrorMessage="1" sqref="Z100">
      <formula1>0</formula1>
    </dataValidation>
    <dataValidation type="whole" allowBlank="1" showInputMessage="1" showErrorMessage="1" sqref="AA100">
      <formula1>1</formula1>
      <formula2>5</formula2>
    </dataValidation>
    <dataValidation type="decimal" allowBlank="1" showInputMessage="1" showErrorMessage="1" sqref="AB100">
      <formula1>0</formula1>
      <formula2>1</formula2>
    </dataValidation>
    <dataValidation type="list" allowBlank="1" showInputMessage="1" showErrorMessage="1" sqref="O100">
      <formula1>liste_statuts</formula1>
    </dataValidation>
    <dataValidation type="list" allowBlank="1" showInputMessage="1" showErrorMessage="1" sqref="B101">
      <formula1>liste_programmes</formula1>
    </dataValidation>
    <dataValidation type="list" allowBlank="1" showInputMessage="1" showErrorMessage="1" sqref="D101">
      <formula1>liste_types</formula1>
    </dataValidation>
    <dataValidation type="list" allowBlank="1" showInputMessage="1" showErrorMessage="1" sqref="F101">
      <formula1>liste_categories</formula1>
    </dataValidation>
    <dataValidation type="list" allowBlank="1" showInputMessage="1" showErrorMessage="1" sqref="G101">
      <formula1>liste_responsables</formula1>
    </dataValidation>
    <dataValidation type="list" allowBlank="1" showInputMessage="1" showErrorMessage="1" sqref="H101">
      <formula1>liste_sites</formula1>
    </dataValidation>
    <dataValidation type="list" allowBlank="1" showInputMessage="1" showErrorMessage="1" sqref="I101">
      <formula1>liste_priorites</formula1>
    </dataValidation>
    <dataValidation type="date" operator="greaterThanOrEqual" allowBlank="1" showInputMessage="1" showErrorMessage="1" sqref="J101">
      <formula1>730120</formula1>
    </dataValidation>
    <dataValidation type="date" operator="greaterThanOrEqual" allowBlank="1" showInputMessage="1" showErrorMessage="1" sqref="K101">
      <formula1>730120</formula1>
    </dataValidation>
    <dataValidation type="date" operator="greaterThanOrEqual" allowBlank="1" showInputMessage="1" showErrorMessage="1" sqref="L101">
      <formula1>730120</formula1>
    </dataValidation>
    <dataValidation type="whole" allowBlank="1" showInputMessage="1" showErrorMessage="1" sqref="P101">
      <formula1>0</formula1>
      <formula2>100</formula2>
    </dataValidation>
    <dataValidation type="decimal" operator="greaterThanOrEqual" allowBlank="1" showInputMessage="1" showErrorMessage="1" sqref="Q101">
      <formula1>0</formula1>
    </dataValidation>
    <dataValidation type="decimal" operator="greaterThanOrEqual" allowBlank="1" showInputMessage="1" showErrorMessage="1" sqref="R101">
      <formula1>0</formula1>
    </dataValidation>
    <dataValidation type="whole" allowBlank="1" showInputMessage="1" showErrorMessage="1" sqref="U101">
      <formula1>1</formula1>
      <formula2>5</formula2>
    </dataValidation>
    <dataValidation type="whole" allowBlank="1" showInputMessage="1" showErrorMessage="1" sqref="V101">
      <formula1>1</formula1>
      <formula2>5</formula2>
    </dataValidation>
    <dataValidation type="whole" allowBlank="1" showInputMessage="1" showErrorMessage="1" sqref="X101">
      <formula1>1</formula1>
      <formula2>5</formula2>
    </dataValidation>
    <dataValidation type="decimal" operator="greaterThanOrEqual" allowBlank="1" showInputMessage="1" showErrorMessage="1" sqref="Y101">
      <formula1>0</formula1>
    </dataValidation>
    <dataValidation type="whole" operator="greaterThanOrEqual" allowBlank="1" showInputMessage="1" showErrorMessage="1" sqref="Z101">
      <formula1>0</formula1>
    </dataValidation>
    <dataValidation type="whole" allowBlank="1" showInputMessage="1" showErrorMessage="1" sqref="AA101">
      <formula1>1</formula1>
      <formula2>5</formula2>
    </dataValidation>
    <dataValidation type="decimal" allowBlank="1" showInputMessage="1" showErrorMessage="1" sqref="AB101">
      <formula1>0</formula1>
      <formula2>1</formula2>
    </dataValidation>
    <dataValidation type="list" allowBlank="1" showInputMessage="1" showErrorMessage="1" sqref="O101">
      <formula1>liste_statuts</formula1>
    </dataValidation>
    <dataValidation type="list" allowBlank="1" showInputMessage="1" showErrorMessage="1" sqref="B102">
      <formula1>liste_programmes</formula1>
    </dataValidation>
    <dataValidation type="list" allowBlank="1" showInputMessage="1" showErrorMessage="1" sqref="D102">
      <formula1>liste_types</formula1>
    </dataValidation>
    <dataValidation type="list" allowBlank="1" showInputMessage="1" showErrorMessage="1" sqref="F102">
      <formula1>liste_categories</formula1>
    </dataValidation>
    <dataValidation type="list" allowBlank="1" showInputMessage="1" showErrorMessage="1" sqref="G102">
      <formula1>liste_responsables</formula1>
    </dataValidation>
    <dataValidation type="list" allowBlank="1" showInputMessage="1" showErrorMessage="1" sqref="H102">
      <formula1>liste_sites</formula1>
    </dataValidation>
    <dataValidation type="list" allowBlank="1" showInputMessage="1" showErrorMessage="1" sqref="I102">
      <formula1>liste_priorites</formula1>
    </dataValidation>
    <dataValidation type="date" operator="greaterThanOrEqual" allowBlank="1" showInputMessage="1" showErrorMessage="1" sqref="J102">
      <formula1>730120</formula1>
    </dataValidation>
    <dataValidation type="date" operator="greaterThanOrEqual" allowBlank="1" showInputMessage="1" showErrorMessage="1" sqref="K102">
      <formula1>730120</formula1>
    </dataValidation>
    <dataValidation type="date" operator="greaterThanOrEqual" allowBlank="1" showInputMessage="1" showErrorMessage="1" sqref="L102">
      <formula1>730120</formula1>
    </dataValidation>
    <dataValidation type="whole" allowBlank="1" showInputMessage="1" showErrorMessage="1" sqref="P102">
      <formula1>0</formula1>
      <formula2>100</formula2>
    </dataValidation>
    <dataValidation type="decimal" operator="greaterThanOrEqual" allowBlank="1" showInputMessage="1" showErrorMessage="1" sqref="Q102">
      <formula1>0</formula1>
    </dataValidation>
    <dataValidation type="decimal" operator="greaterThanOrEqual" allowBlank="1" showInputMessage="1" showErrorMessage="1" sqref="R102">
      <formula1>0</formula1>
    </dataValidation>
    <dataValidation type="whole" allowBlank="1" showInputMessage="1" showErrorMessage="1" sqref="U102">
      <formula1>1</formula1>
      <formula2>5</formula2>
    </dataValidation>
    <dataValidation type="whole" allowBlank="1" showInputMessage="1" showErrorMessage="1" sqref="V102">
      <formula1>1</formula1>
      <formula2>5</formula2>
    </dataValidation>
    <dataValidation type="whole" allowBlank="1" showInputMessage="1" showErrorMessage="1" sqref="X102">
      <formula1>1</formula1>
      <formula2>5</formula2>
    </dataValidation>
    <dataValidation type="decimal" operator="greaterThanOrEqual" allowBlank="1" showInputMessage="1" showErrorMessage="1" sqref="Y102">
      <formula1>0</formula1>
    </dataValidation>
    <dataValidation type="whole" operator="greaterThanOrEqual" allowBlank="1" showInputMessage="1" showErrorMessage="1" sqref="Z102">
      <formula1>0</formula1>
    </dataValidation>
    <dataValidation type="whole" allowBlank="1" showInputMessage="1" showErrorMessage="1" sqref="AA102">
      <formula1>1</formula1>
      <formula2>5</formula2>
    </dataValidation>
    <dataValidation type="decimal" allowBlank="1" showInputMessage="1" showErrorMessage="1" sqref="AB102">
      <formula1>0</formula1>
      <formula2>1</formula2>
    </dataValidation>
    <dataValidation type="list" allowBlank="1" showInputMessage="1" showErrorMessage="1" sqref="O102">
      <formula1>liste_statuts</formula1>
    </dataValidation>
    <dataValidation type="list" allowBlank="1" showInputMessage="1" showErrorMessage="1" sqref="B103">
      <formula1>liste_programmes</formula1>
    </dataValidation>
    <dataValidation type="list" allowBlank="1" showInputMessage="1" showErrorMessage="1" sqref="D103">
      <formula1>liste_types</formula1>
    </dataValidation>
    <dataValidation type="list" allowBlank="1" showInputMessage="1" showErrorMessage="1" sqref="F103">
      <formula1>liste_categories</formula1>
    </dataValidation>
    <dataValidation type="list" allowBlank="1" showInputMessage="1" showErrorMessage="1" sqref="G103">
      <formula1>liste_responsables</formula1>
    </dataValidation>
    <dataValidation type="list" allowBlank="1" showInputMessage="1" showErrorMessage="1" sqref="H103">
      <formula1>liste_sites</formula1>
    </dataValidation>
    <dataValidation type="list" allowBlank="1" showInputMessage="1" showErrorMessage="1" sqref="I103">
      <formula1>liste_priorites</formula1>
    </dataValidation>
    <dataValidation type="date" operator="greaterThanOrEqual" allowBlank="1" showInputMessage="1" showErrorMessage="1" sqref="J103">
      <formula1>730120</formula1>
    </dataValidation>
    <dataValidation type="date" operator="greaterThanOrEqual" allowBlank="1" showInputMessage="1" showErrorMessage="1" sqref="K103">
      <formula1>730120</formula1>
    </dataValidation>
    <dataValidation type="date" operator="greaterThanOrEqual" allowBlank="1" showInputMessage="1" showErrorMessage="1" sqref="L103">
      <formula1>730120</formula1>
    </dataValidation>
    <dataValidation type="whole" allowBlank="1" showInputMessage="1" showErrorMessage="1" sqref="P103">
      <formula1>0</formula1>
      <formula2>100</formula2>
    </dataValidation>
    <dataValidation type="decimal" operator="greaterThanOrEqual" allowBlank="1" showInputMessage="1" showErrorMessage="1" sqref="Q103">
      <formula1>0</formula1>
    </dataValidation>
    <dataValidation type="decimal" operator="greaterThanOrEqual" allowBlank="1" showInputMessage="1" showErrorMessage="1" sqref="R103">
      <formula1>0</formula1>
    </dataValidation>
    <dataValidation type="whole" allowBlank="1" showInputMessage="1" showErrorMessage="1" sqref="U103">
      <formula1>1</formula1>
      <formula2>5</formula2>
    </dataValidation>
    <dataValidation type="whole" allowBlank="1" showInputMessage="1" showErrorMessage="1" sqref="V103">
      <formula1>1</formula1>
      <formula2>5</formula2>
    </dataValidation>
    <dataValidation type="whole" allowBlank="1" showInputMessage="1" showErrorMessage="1" sqref="X103">
      <formula1>1</formula1>
      <formula2>5</formula2>
    </dataValidation>
    <dataValidation type="decimal" operator="greaterThanOrEqual" allowBlank="1" showInputMessage="1" showErrorMessage="1" sqref="Y103">
      <formula1>0</formula1>
    </dataValidation>
    <dataValidation type="whole" operator="greaterThanOrEqual" allowBlank="1" showInputMessage="1" showErrorMessage="1" sqref="Z103">
      <formula1>0</formula1>
    </dataValidation>
    <dataValidation type="whole" allowBlank="1" showInputMessage="1" showErrorMessage="1" sqref="AA103">
      <formula1>1</formula1>
      <formula2>5</formula2>
    </dataValidation>
    <dataValidation type="decimal" allowBlank="1" showInputMessage="1" showErrorMessage="1" sqref="AB103">
      <formula1>0</formula1>
      <formula2>1</formula2>
    </dataValidation>
    <dataValidation type="list" allowBlank="1" showInputMessage="1" showErrorMessage="1" sqref="O103">
      <formula1>liste_statuts</formula1>
    </dataValidation>
    <dataValidation type="list" allowBlank="1" showInputMessage="1" showErrorMessage="1" sqref="B104">
      <formula1>liste_programmes</formula1>
    </dataValidation>
    <dataValidation type="list" allowBlank="1" showInputMessage="1" showErrorMessage="1" sqref="D104">
      <formula1>liste_types</formula1>
    </dataValidation>
    <dataValidation type="list" allowBlank="1" showInputMessage="1" showErrorMessage="1" sqref="F104">
      <formula1>liste_categories</formula1>
    </dataValidation>
    <dataValidation type="list" allowBlank="1" showInputMessage="1" showErrorMessage="1" sqref="G104">
      <formula1>liste_responsables</formula1>
    </dataValidation>
    <dataValidation type="list" allowBlank="1" showInputMessage="1" showErrorMessage="1" sqref="H104">
      <formula1>liste_sites</formula1>
    </dataValidation>
    <dataValidation type="list" allowBlank="1" showInputMessage="1" showErrorMessage="1" sqref="I104">
      <formula1>liste_priorites</formula1>
    </dataValidation>
    <dataValidation type="date" operator="greaterThanOrEqual" allowBlank="1" showInputMessage="1" showErrorMessage="1" sqref="J104">
      <formula1>730120</formula1>
    </dataValidation>
    <dataValidation type="date" operator="greaterThanOrEqual" allowBlank="1" showInputMessage="1" showErrorMessage="1" sqref="K104">
      <formula1>730120</formula1>
    </dataValidation>
    <dataValidation type="date" operator="greaterThanOrEqual" allowBlank="1" showInputMessage="1" showErrorMessage="1" sqref="L104">
      <formula1>730120</formula1>
    </dataValidation>
    <dataValidation type="whole" allowBlank="1" showInputMessage="1" showErrorMessage="1" sqref="P104">
      <formula1>0</formula1>
      <formula2>100</formula2>
    </dataValidation>
    <dataValidation type="decimal" operator="greaterThanOrEqual" allowBlank="1" showInputMessage="1" showErrorMessage="1" sqref="Q104">
      <formula1>0</formula1>
    </dataValidation>
    <dataValidation type="decimal" operator="greaterThanOrEqual" allowBlank="1" showInputMessage="1" showErrorMessage="1" sqref="R104">
      <formula1>0</formula1>
    </dataValidation>
    <dataValidation type="whole" allowBlank="1" showInputMessage="1" showErrorMessage="1" sqref="U104">
      <formula1>1</formula1>
      <formula2>5</formula2>
    </dataValidation>
    <dataValidation type="whole" allowBlank="1" showInputMessage="1" showErrorMessage="1" sqref="V104">
      <formula1>1</formula1>
      <formula2>5</formula2>
    </dataValidation>
    <dataValidation type="whole" allowBlank="1" showInputMessage="1" showErrorMessage="1" sqref="X104">
      <formula1>1</formula1>
      <formula2>5</formula2>
    </dataValidation>
    <dataValidation type="decimal" operator="greaterThanOrEqual" allowBlank="1" showInputMessage="1" showErrorMessage="1" sqref="Y104">
      <formula1>0</formula1>
    </dataValidation>
    <dataValidation type="whole" operator="greaterThanOrEqual" allowBlank="1" showInputMessage="1" showErrorMessage="1" sqref="Z104">
      <formula1>0</formula1>
    </dataValidation>
    <dataValidation type="whole" allowBlank="1" showInputMessage="1" showErrorMessage="1" sqref="AA104">
      <formula1>1</formula1>
      <formula2>5</formula2>
    </dataValidation>
    <dataValidation type="decimal" allowBlank="1" showInputMessage="1" showErrorMessage="1" sqref="AB104">
      <formula1>0</formula1>
      <formula2>1</formula2>
    </dataValidation>
    <dataValidation type="list" allowBlank="1" showInputMessage="1" showErrorMessage="1" sqref="O104">
      <formula1>liste_statuts</formula1>
    </dataValidation>
    <dataValidation type="list" allowBlank="1" showInputMessage="1" showErrorMessage="1" sqref="B105">
      <formula1>liste_programmes</formula1>
    </dataValidation>
    <dataValidation type="list" allowBlank="1" showInputMessage="1" showErrorMessage="1" sqref="D105">
      <formula1>liste_types</formula1>
    </dataValidation>
    <dataValidation type="list" allowBlank="1" showInputMessage="1" showErrorMessage="1" sqref="F105">
      <formula1>liste_categories</formula1>
    </dataValidation>
    <dataValidation type="list" allowBlank="1" showInputMessage="1" showErrorMessage="1" sqref="G105">
      <formula1>liste_responsables</formula1>
    </dataValidation>
    <dataValidation type="list" allowBlank="1" showInputMessage="1" showErrorMessage="1" sqref="H105">
      <formula1>liste_sites</formula1>
    </dataValidation>
    <dataValidation type="list" allowBlank="1" showInputMessage="1" showErrorMessage="1" sqref="I105">
      <formula1>liste_priorites</formula1>
    </dataValidation>
    <dataValidation type="date" operator="greaterThanOrEqual" allowBlank="1" showInputMessage="1" showErrorMessage="1" sqref="J105">
      <formula1>730120</formula1>
    </dataValidation>
    <dataValidation type="date" operator="greaterThanOrEqual" allowBlank="1" showInputMessage="1" showErrorMessage="1" sqref="K105">
      <formula1>730120</formula1>
    </dataValidation>
    <dataValidation type="date" operator="greaterThanOrEqual" allowBlank="1" showInputMessage="1" showErrorMessage="1" sqref="L105">
      <formula1>730120</formula1>
    </dataValidation>
    <dataValidation type="whole" allowBlank="1" showInputMessage="1" showErrorMessage="1" sqref="P105">
      <formula1>0</formula1>
      <formula2>100</formula2>
    </dataValidation>
    <dataValidation type="decimal" operator="greaterThanOrEqual" allowBlank="1" showInputMessage="1" showErrorMessage="1" sqref="Q105">
      <formula1>0</formula1>
    </dataValidation>
    <dataValidation type="decimal" operator="greaterThanOrEqual" allowBlank="1" showInputMessage="1" showErrorMessage="1" sqref="R105">
      <formula1>0</formula1>
    </dataValidation>
    <dataValidation type="whole" allowBlank="1" showInputMessage="1" showErrorMessage="1" sqref="U105">
      <formula1>1</formula1>
      <formula2>5</formula2>
    </dataValidation>
    <dataValidation type="whole" allowBlank="1" showInputMessage="1" showErrorMessage="1" sqref="V105">
      <formula1>1</formula1>
      <formula2>5</formula2>
    </dataValidation>
    <dataValidation type="whole" allowBlank="1" showInputMessage="1" showErrorMessage="1" sqref="X105">
      <formula1>1</formula1>
      <formula2>5</formula2>
    </dataValidation>
    <dataValidation type="decimal" operator="greaterThanOrEqual" allowBlank="1" showInputMessage="1" showErrorMessage="1" sqref="Y105">
      <formula1>0</formula1>
    </dataValidation>
    <dataValidation type="whole" operator="greaterThanOrEqual" allowBlank="1" showInputMessage="1" showErrorMessage="1" sqref="Z105">
      <formula1>0</formula1>
    </dataValidation>
    <dataValidation type="whole" allowBlank="1" showInputMessage="1" showErrorMessage="1" sqref="AA105">
      <formula1>1</formula1>
      <formula2>5</formula2>
    </dataValidation>
    <dataValidation type="decimal" allowBlank="1" showInputMessage="1" showErrorMessage="1" sqref="AB105">
      <formula1>0</formula1>
      <formula2>1</formula2>
    </dataValidation>
    <dataValidation type="list" allowBlank="1" showInputMessage="1" showErrorMessage="1" sqref="O105">
      <formula1>liste_statuts</formula1>
    </dataValidation>
    <dataValidation type="list" allowBlank="1" showInputMessage="1" showErrorMessage="1" sqref="B106">
      <formula1>liste_programmes</formula1>
    </dataValidation>
    <dataValidation type="list" allowBlank="1" showInputMessage="1" showErrorMessage="1" sqref="D106">
      <formula1>liste_types</formula1>
    </dataValidation>
    <dataValidation type="list" allowBlank="1" showInputMessage="1" showErrorMessage="1" sqref="F106">
      <formula1>liste_categories</formula1>
    </dataValidation>
    <dataValidation type="list" allowBlank="1" showInputMessage="1" showErrorMessage="1" sqref="G106">
      <formula1>liste_responsables</formula1>
    </dataValidation>
    <dataValidation type="list" allowBlank="1" showInputMessage="1" showErrorMessage="1" sqref="H106">
      <formula1>liste_sites</formula1>
    </dataValidation>
    <dataValidation type="list" allowBlank="1" showInputMessage="1" showErrorMessage="1" sqref="I106">
      <formula1>liste_priorites</formula1>
    </dataValidation>
    <dataValidation type="date" operator="greaterThanOrEqual" allowBlank="1" showInputMessage="1" showErrorMessage="1" sqref="J106">
      <formula1>730120</formula1>
    </dataValidation>
    <dataValidation type="date" operator="greaterThanOrEqual" allowBlank="1" showInputMessage="1" showErrorMessage="1" sqref="K106">
      <formula1>730120</formula1>
    </dataValidation>
    <dataValidation type="date" operator="greaterThanOrEqual" allowBlank="1" showInputMessage="1" showErrorMessage="1" sqref="L106">
      <formula1>730120</formula1>
    </dataValidation>
    <dataValidation type="whole" allowBlank="1" showInputMessage="1" showErrorMessage="1" sqref="P106">
      <formula1>0</formula1>
      <formula2>100</formula2>
    </dataValidation>
    <dataValidation type="decimal" operator="greaterThanOrEqual" allowBlank="1" showInputMessage="1" showErrorMessage="1" sqref="Q106">
      <formula1>0</formula1>
    </dataValidation>
    <dataValidation type="decimal" operator="greaterThanOrEqual" allowBlank="1" showInputMessage="1" showErrorMessage="1" sqref="R106">
      <formula1>0</formula1>
    </dataValidation>
    <dataValidation type="whole" allowBlank="1" showInputMessage="1" showErrorMessage="1" sqref="U106">
      <formula1>1</formula1>
      <formula2>5</formula2>
    </dataValidation>
    <dataValidation type="whole" allowBlank="1" showInputMessage="1" showErrorMessage="1" sqref="V106">
      <formula1>1</formula1>
      <formula2>5</formula2>
    </dataValidation>
    <dataValidation type="whole" allowBlank="1" showInputMessage="1" showErrorMessage="1" sqref="X106">
      <formula1>1</formula1>
      <formula2>5</formula2>
    </dataValidation>
    <dataValidation type="decimal" operator="greaterThanOrEqual" allowBlank="1" showInputMessage="1" showErrorMessage="1" sqref="Y106">
      <formula1>0</formula1>
    </dataValidation>
    <dataValidation type="whole" operator="greaterThanOrEqual" allowBlank="1" showInputMessage="1" showErrorMessage="1" sqref="Z106">
      <formula1>0</formula1>
    </dataValidation>
    <dataValidation type="whole" allowBlank="1" showInputMessage="1" showErrorMessage="1" sqref="AA106">
      <formula1>1</formula1>
      <formula2>5</formula2>
    </dataValidation>
    <dataValidation type="decimal" allowBlank="1" showInputMessage="1" showErrorMessage="1" sqref="AB106">
      <formula1>0</formula1>
      <formula2>1</formula2>
    </dataValidation>
    <dataValidation type="list" allowBlank="1" showInputMessage="1" showErrorMessage="1" sqref="O106">
      <formula1>liste_statuts</formula1>
    </dataValidation>
    <dataValidation type="list" allowBlank="1" showInputMessage="1" showErrorMessage="1" sqref="B107">
      <formula1>liste_programmes</formula1>
    </dataValidation>
    <dataValidation type="list" allowBlank="1" showInputMessage="1" showErrorMessage="1" sqref="D107">
      <formula1>liste_types</formula1>
    </dataValidation>
    <dataValidation type="list" allowBlank="1" showInputMessage="1" showErrorMessage="1" sqref="F107">
      <formula1>liste_categories</formula1>
    </dataValidation>
    <dataValidation type="list" allowBlank="1" showInputMessage="1" showErrorMessage="1" sqref="G107">
      <formula1>liste_responsables</formula1>
    </dataValidation>
    <dataValidation type="list" allowBlank="1" showInputMessage="1" showErrorMessage="1" sqref="H107">
      <formula1>liste_sites</formula1>
    </dataValidation>
    <dataValidation type="list" allowBlank="1" showInputMessage="1" showErrorMessage="1" sqref="I107">
      <formula1>liste_priorites</formula1>
    </dataValidation>
    <dataValidation type="date" operator="greaterThanOrEqual" allowBlank="1" showInputMessage="1" showErrorMessage="1" sqref="J107">
      <formula1>730120</formula1>
    </dataValidation>
    <dataValidation type="date" operator="greaterThanOrEqual" allowBlank="1" showInputMessage="1" showErrorMessage="1" sqref="K107">
      <formula1>730120</formula1>
    </dataValidation>
    <dataValidation type="date" operator="greaterThanOrEqual" allowBlank="1" showInputMessage="1" showErrorMessage="1" sqref="L107">
      <formula1>730120</formula1>
    </dataValidation>
    <dataValidation type="whole" allowBlank="1" showInputMessage="1" showErrorMessage="1" sqref="P107">
      <formula1>0</formula1>
      <formula2>100</formula2>
    </dataValidation>
    <dataValidation type="decimal" operator="greaterThanOrEqual" allowBlank="1" showInputMessage="1" showErrorMessage="1" sqref="Q107">
      <formula1>0</formula1>
    </dataValidation>
    <dataValidation type="decimal" operator="greaterThanOrEqual" allowBlank="1" showInputMessage="1" showErrorMessage="1" sqref="R107">
      <formula1>0</formula1>
    </dataValidation>
    <dataValidation type="whole" allowBlank="1" showInputMessage="1" showErrorMessage="1" sqref="U107">
      <formula1>1</formula1>
      <formula2>5</formula2>
    </dataValidation>
    <dataValidation type="whole" allowBlank="1" showInputMessage="1" showErrorMessage="1" sqref="V107">
      <formula1>1</formula1>
      <formula2>5</formula2>
    </dataValidation>
    <dataValidation type="whole" allowBlank="1" showInputMessage="1" showErrorMessage="1" sqref="X107">
      <formula1>1</formula1>
      <formula2>5</formula2>
    </dataValidation>
    <dataValidation type="decimal" operator="greaterThanOrEqual" allowBlank="1" showInputMessage="1" showErrorMessage="1" sqref="Y107">
      <formula1>0</formula1>
    </dataValidation>
    <dataValidation type="whole" operator="greaterThanOrEqual" allowBlank="1" showInputMessage="1" showErrorMessage="1" sqref="Z107">
      <formula1>0</formula1>
    </dataValidation>
    <dataValidation type="whole" allowBlank="1" showInputMessage="1" showErrorMessage="1" sqref="AA107">
      <formula1>1</formula1>
      <formula2>5</formula2>
    </dataValidation>
    <dataValidation type="decimal" allowBlank="1" showInputMessage="1" showErrorMessage="1" sqref="AB107">
      <formula1>0</formula1>
      <formula2>1</formula2>
    </dataValidation>
    <dataValidation type="list" allowBlank="1" showInputMessage="1" showErrorMessage="1" sqref="O107">
      <formula1>liste_statuts</formula1>
    </dataValidation>
    <dataValidation type="list" allowBlank="1" showInputMessage="1" showErrorMessage="1" sqref="B108">
      <formula1>liste_programmes</formula1>
    </dataValidation>
    <dataValidation type="list" allowBlank="1" showInputMessage="1" showErrorMessage="1" sqref="D108">
      <formula1>liste_types</formula1>
    </dataValidation>
    <dataValidation type="list" allowBlank="1" showInputMessage="1" showErrorMessage="1" sqref="F108">
      <formula1>liste_categories</formula1>
    </dataValidation>
    <dataValidation type="list" allowBlank="1" showInputMessage="1" showErrorMessage="1" sqref="G108">
      <formula1>liste_responsables</formula1>
    </dataValidation>
    <dataValidation type="list" allowBlank="1" showInputMessage="1" showErrorMessage="1" sqref="H108">
      <formula1>liste_sites</formula1>
    </dataValidation>
    <dataValidation type="list" allowBlank="1" showInputMessage="1" showErrorMessage="1" sqref="I108">
      <formula1>liste_priorites</formula1>
    </dataValidation>
    <dataValidation type="date" operator="greaterThanOrEqual" allowBlank="1" showInputMessage="1" showErrorMessage="1" sqref="J108">
      <formula1>730120</formula1>
    </dataValidation>
    <dataValidation type="date" operator="greaterThanOrEqual" allowBlank="1" showInputMessage="1" showErrorMessage="1" sqref="K108">
      <formula1>730120</formula1>
    </dataValidation>
    <dataValidation type="date" operator="greaterThanOrEqual" allowBlank="1" showInputMessage="1" showErrorMessage="1" sqref="L108">
      <formula1>730120</formula1>
    </dataValidation>
    <dataValidation type="whole" allowBlank="1" showInputMessage="1" showErrorMessage="1" sqref="P108">
      <formula1>0</formula1>
      <formula2>100</formula2>
    </dataValidation>
    <dataValidation type="decimal" operator="greaterThanOrEqual" allowBlank="1" showInputMessage="1" showErrorMessage="1" sqref="Q108">
      <formula1>0</formula1>
    </dataValidation>
    <dataValidation type="decimal" operator="greaterThanOrEqual" allowBlank="1" showInputMessage="1" showErrorMessage="1" sqref="R108">
      <formula1>0</formula1>
    </dataValidation>
    <dataValidation type="whole" allowBlank="1" showInputMessage="1" showErrorMessage="1" sqref="U108">
      <formula1>1</formula1>
      <formula2>5</formula2>
    </dataValidation>
    <dataValidation type="whole" allowBlank="1" showInputMessage="1" showErrorMessage="1" sqref="V108">
      <formula1>1</formula1>
      <formula2>5</formula2>
    </dataValidation>
    <dataValidation type="whole" allowBlank="1" showInputMessage="1" showErrorMessage="1" sqref="X108">
      <formula1>1</formula1>
      <formula2>5</formula2>
    </dataValidation>
    <dataValidation type="decimal" operator="greaterThanOrEqual" allowBlank="1" showInputMessage="1" showErrorMessage="1" sqref="Y108">
      <formula1>0</formula1>
    </dataValidation>
    <dataValidation type="whole" operator="greaterThanOrEqual" allowBlank="1" showInputMessage="1" showErrorMessage="1" sqref="Z108">
      <formula1>0</formula1>
    </dataValidation>
    <dataValidation type="whole" allowBlank="1" showInputMessage="1" showErrorMessage="1" sqref="AA108">
      <formula1>1</formula1>
      <formula2>5</formula2>
    </dataValidation>
    <dataValidation type="decimal" allowBlank="1" showInputMessage="1" showErrorMessage="1" sqref="AB108">
      <formula1>0</formula1>
      <formula2>1</formula2>
    </dataValidation>
    <dataValidation type="list" allowBlank="1" showInputMessage="1" showErrorMessage="1" sqref="O108">
      <formula1>liste_statuts</formula1>
    </dataValidation>
    <dataValidation type="list" allowBlank="1" showInputMessage="1" showErrorMessage="1" sqref="B109">
      <formula1>liste_programmes</formula1>
    </dataValidation>
    <dataValidation type="list" allowBlank="1" showInputMessage="1" showErrorMessage="1" sqref="D109">
      <formula1>liste_types</formula1>
    </dataValidation>
    <dataValidation type="list" allowBlank="1" showInputMessage="1" showErrorMessage="1" sqref="F109">
      <formula1>liste_categories</formula1>
    </dataValidation>
    <dataValidation type="list" allowBlank="1" showInputMessage="1" showErrorMessage="1" sqref="G109">
      <formula1>liste_responsables</formula1>
    </dataValidation>
    <dataValidation type="list" allowBlank="1" showInputMessage="1" showErrorMessage="1" sqref="H109">
      <formula1>liste_sites</formula1>
    </dataValidation>
    <dataValidation type="list" allowBlank="1" showInputMessage="1" showErrorMessage="1" sqref="I109">
      <formula1>liste_priorites</formula1>
    </dataValidation>
    <dataValidation type="date" operator="greaterThanOrEqual" allowBlank="1" showInputMessage="1" showErrorMessage="1" sqref="J109">
      <formula1>730120</formula1>
    </dataValidation>
    <dataValidation type="date" operator="greaterThanOrEqual" allowBlank="1" showInputMessage="1" showErrorMessage="1" sqref="K109">
      <formula1>730120</formula1>
    </dataValidation>
    <dataValidation type="date" operator="greaterThanOrEqual" allowBlank="1" showInputMessage="1" showErrorMessage="1" sqref="L109">
      <formula1>730120</formula1>
    </dataValidation>
    <dataValidation type="whole" allowBlank="1" showInputMessage="1" showErrorMessage="1" sqref="P109">
      <formula1>0</formula1>
      <formula2>100</formula2>
    </dataValidation>
    <dataValidation type="decimal" operator="greaterThanOrEqual" allowBlank="1" showInputMessage="1" showErrorMessage="1" sqref="Q109">
      <formula1>0</formula1>
    </dataValidation>
    <dataValidation type="decimal" operator="greaterThanOrEqual" allowBlank="1" showInputMessage="1" showErrorMessage="1" sqref="R109">
      <formula1>0</formula1>
    </dataValidation>
    <dataValidation type="whole" allowBlank="1" showInputMessage="1" showErrorMessage="1" sqref="U109">
      <formula1>1</formula1>
      <formula2>5</formula2>
    </dataValidation>
    <dataValidation type="whole" allowBlank="1" showInputMessage="1" showErrorMessage="1" sqref="V109">
      <formula1>1</formula1>
      <formula2>5</formula2>
    </dataValidation>
    <dataValidation type="whole" allowBlank="1" showInputMessage="1" showErrorMessage="1" sqref="X109">
      <formula1>1</formula1>
      <formula2>5</formula2>
    </dataValidation>
    <dataValidation type="decimal" operator="greaterThanOrEqual" allowBlank="1" showInputMessage="1" showErrorMessage="1" sqref="Y109">
      <formula1>0</formula1>
    </dataValidation>
    <dataValidation type="whole" operator="greaterThanOrEqual" allowBlank="1" showInputMessage="1" showErrorMessage="1" sqref="Z109">
      <formula1>0</formula1>
    </dataValidation>
    <dataValidation type="whole" allowBlank="1" showInputMessage="1" showErrorMessage="1" sqref="AA109">
      <formula1>1</formula1>
      <formula2>5</formula2>
    </dataValidation>
    <dataValidation type="decimal" allowBlank="1" showInputMessage="1" showErrorMessage="1" sqref="AB109">
      <formula1>0</formula1>
      <formula2>1</formula2>
    </dataValidation>
    <dataValidation type="list" allowBlank="1" showInputMessage="1" showErrorMessage="1" sqref="O109">
      <formula1>liste_statuts</formula1>
    </dataValidation>
    <dataValidation type="list" allowBlank="1" showInputMessage="1" showErrorMessage="1" sqref="B110">
      <formula1>liste_programmes</formula1>
    </dataValidation>
    <dataValidation type="list" allowBlank="1" showInputMessage="1" showErrorMessage="1" sqref="D110">
      <formula1>liste_types</formula1>
    </dataValidation>
    <dataValidation type="list" allowBlank="1" showInputMessage="1" showErrorMessage="1" sqref="F110">
      <formula1>liste_categories</formula1>
    </dataValidation>
    <dataValidation type="list" allowBlank="1" showInputMessage="1" showErrorMessage="1" sqref="G110">
      <formula1>liste_responsables</formula1>
    </dataValidation>
    <dataValidation type="list" allowBlank="1" showInputMessage="1" showErrorMessage="1" sqref="H110">
      <formula1>liste_sites</formula1>
    </dataValidation>
    <dataValidation type="list" allowBlank="1" showInputMessage="1" showErrorMessage="1" sqref="I110">
      <formula1>liste_priorites</formula1>
    </dataValidation>
    <dataValidation type="date" operator="greaterThanOrEqual" allowBlank="1" showInputMessage="1" showErrorMessage="1" sqref="J110">
      <formula1>730120</formula1>
    </dataValidation>
    <dataValidation type="date" operator="greaterThanOrEqual" allowBlank="1" showInputMessage="1" showErrorMessage="1" sqref="K110">
      <formula1>730120</formula1>
    </dataValidation>
    <dataValidation type="date" operator="greaterThanOrEqual" allowBlank="1" showInputMessage="1" showErrorMessage="1" sqref="L110">
      <formula1>730120</formula1>
    </dataValidation>
    <dataValidation type="whole" allowBlank="1" showInputMessage="1" showErrorMessage="1" sqref="P110">
      <formula1>0</formula1>
      <formula2>100</formula2>
    </dataValidation>
    <dataValidation type="decimal" operator="greaterThanOrEqual" allowBlank="1" showInputMessage="1" showErrorMessage="1" sqref="Q110">
      <formula1>0</formula1>
    </dataValidation>
    <dataValidation type="decimal" operator="greaterThanOrEqual" allowBlank="1" showInputMessage="1" showErrorMessage="1" sqref="R110">
      <formula1>0</formula1>
    </dataValidation>
    <dataValidation type="whole" allowBlank="1" showInputMessage="1" showErrorMessage="1" sqref="U110">
      <formula1>1</formula1>
      <formula2>5</formula2>
    </dataValidation>
    <dataValidation type="whole" allowBlank="1" showInputMessage="1" showErrorMessage="1" sqref="V110">
      <formula1>1</formula1>
      <formula2>5</formula2>
    </dataValidation>
    <dataValidation type="whole" allowBlank="1" showInputMessage="1" showErrorMessage="1" sqref="X110">
      <formula1>1</formula1>
      <formula2>5</formula2>
    </dataValidation>
    <dataValidation type="decimal" operator="greaterThanOrEqual" allowBlank="1" showInputMessage="1" showErrorMessage="1" sqref="Y110">
      <formula1>0</formula1>
    </dataValidation>
    <dataValidation type="whole" operator="greaterThanOrEqual" allowBlank="1" showInputMessage="1" showErrorMessage="1" sqref="Z110">
      <formula1>0</formula1>
    </dataValidation>
    <dataValidation type="whole" allowBlank="1" showInputMessage="1" showErrorMessage="1" sqref="AA110">
      <formula1>1</formula1>
      <formula2>5</formula2>
    </dataValidation>
    <dataValidation type="decimal" allowBlank="1" showInputMessage="1" showErrorMessage="1" sqref="AB110">
      <formula1>0</formula1>
      <formula2>1</formula2>
    </dataValidation>
    <dataValidation type="list" allowBlank="1" showInputMessage="1" showErrorMessage="1" sqref="O110">
      <formula1>liste_statuts</formula1>
    </dataValidation>
    <dataValidation type="list" allowBlank="1" showInputMessage="1" showErrorMessage="1" sqref="B111">
      <formula1>liste_programmes</formula1>
    </dataValidation>
    <dataValidation type="list" allowBlank="1" showInputMessage="1" showErrorMessage="1" sqref="D111">
      <formula1>liste_types</formula1>
    </dataValidation>
    <dataValidation type="list" allowBlank="1" showInputMessage="1" showErrorMessage="1" sqref="F111">
      <formula1>liste_categories</formula1>
    </dataValidation>
    <dataValidation type="list" allowBlank="1" showInputMessage="1" showErrorMessage="1" sqref="G111">
      <formula1>liste_responsables</formula1>
    </dataValidation>
    <dataValidation type="list" allowBlank="1" showInputMessage="1" showErrorMessage="1" sqref="H111">
      <formula1>liste_sites</formula1>
    </dataValidation>
    <dataValidation type="list" allowBlank="1" showInputMessage="1" showErrorMessage="1" sqref="I111">
      <formula1>liste_priorites</formula1>
    </dataValidation>
    <dataValidation type="date" operator="greaterThanOrEqual" allowBlank="1" showInputMessage="1" showErrorMessage="1" sqref="J111">
      <formula1>730120</formula1>
    </dataValidation>
    <dataValidation type="date" operator="greaterThanOrEqual" allowBlank="1" showInputMessage="1" showErrorMessage="1" sqref="K111">
      <formula1>730120</formula1>
    </dataValidation>
    <dataValidation type="date" operator="greaterThanOrEqual" allowBlank="1" showInputMessage="1" showErrorMessage="1" sqref="L111">
      <formula1>730120</formula1>
    </dataValidation>
    <dataValidation type="whole" allowBlank="1" showInputMessage="1" showErrorMessage="1" sqref="P111">
      <formula1>0</formula1>
      <formula2>100</formula2>
    </dataValidation>
    <dataValidation type="decimal" operator="greaterThanOrEqual" allowBlank="1" showInputMessage="1" showErrorMessage="1" sqref="Q111">
      <formula1>0</formula1>
    </dataValidation>
    <dataValidation type="decimal" operator="greaterThanOrEqual" allowBlank="1" showInputMessage="1" showErrorMessage="1" sqref="R111">
      <formula1>0</formula1>
    </dataValidation>
    <dataValidation type="whole" allowBlank="1" showInputMessage="1" showErrorMessage="1" sqref="U111">
      <formula1>1</formula1>
      <formula2>5</formula2>
    </dataValidation>
    <dataValidation type="whole" allowBlank="1" showInputMessage="1" showErrorMessage="1" sqref="V111">
      <formula1>1</formula1>
      <formula2>5</formula2>
    </dataValidation>
    <dataValidation type="whole" allowBlank="1" showInputMessage="1" showErrorMessage="1" sqref="X111">
      <formula1>1</formula1>
      <formula2>5</formula2>
    </dataValidation>
    <dataValidation type="decimal" operator="greaterThanOrEqual" allowBlank="1" showInputMessage="1" showErrorMessage="1" sqref="Y111">
      <formula1>0</formula1>
    </dataValidation>
    <dataValidation type="whole" operator="greaterThanOrEqual" allowBlank="1" showInputMessage="1" showErrorMessage="1" sqref="Z111">
      <formula1>0</formula1>
    </dataValidation>
    <dataValidation type="whole" allowBlank="1" showInputMessage="1" showErrorMessage="1" sqref="AA111">
      <formula1>1</formula1>
      <formula2>5</formula2>
    </dataValidation>
    <dataValidation type="decimal" allowBlank="1" showInputMessage="1" showErrorMessage="1" sqref="AB111">
      <formula1>0</formula1>
      <formula2>1</formula2>
    </dataValidation>
    <dataValidation type="list" allowBlank="1" showInputMessage="1" showErrorMessage="1" sqref="O111">
      <formula1>liste_statuts</formula1>
    </dataValidation>
    <dataValidation type="list" allowBlank="1" showInputMessage="1" showErrorMessage="1" sqref="B112">
      <formula1>liste_programmes</formula1>
    </dataValidation>
    <dataValidation type="list" allowBlank="1" showInputMessage="1" showErrorMessage="1" sqref="D112">
      <formula1>liste_types</formula1>
    </dataValidation>
    <dataValidation type="list" allowBlank="1" showInputMessage="1" showErrorMessage="1" sqref="F112">
      <formula1>liste_categories</formula1>
    </dataValidation>
    <dataValidation type="list" allowBlank="1" showInputMessage="1" showErrorMessage="1" sqref="G112">
      <formula1>liste_responsables</formula1>
    </dataValidation>
    <dataValidation type="list" allowBlank="1" showInputMessage="1" showErrorMessage="1" sqref="H112">
      <formula1>liste_sites</formula1>
    </dataValidation>
    <dataValidation type="list" allowBlank="1" showInputMessage="1" showErrorMessage="1" sqref="I112">
      <formula1>liste_priorites</formula1>
    </dataValidation>
    <dataValidation type="date" operator="greaterThanOrEqual" allowBlank="1" showInputMessage="1" showErrorMessage="1" sqref="J112">
      <formula1>730120</formula1>
    </dataValidation>
    <dataValidation type="date" operator="greaterThanOrEqual" allowBlank="1" showInputMessage="1" showErrorMessage="1" sqref="K112">
      <formula1>730120</formula1>
    </dataValidation>
    <dataValidation type="date" operator="greaterThanOrEqual" allowBlank="1" showInputMessage="1" showErrorMessage="1" sqref="L112">
      <formula1>730120</formula1>
    </dataValidation>
    <dataValidation type="whole" allowBlank="1" showInputMessage="1" showErrorMessage="1" sqref="P112">
      <formula1>0</formula1>
      <formula2>100</formula2>
    </dataValidation>
    <dataValidation type="decimal" operator="greaterThanOrEqual" allowBlank="1" showInputMessage="1" showErrorMessage="1" sqref="Q112">
      <formula1>0</formula1>
    </dataValidation>
    <dataValidation type="decimal" operator="greaterThanOrEqual" allowBlank="1" showInputMessage="1" showErrorMessage="1" sqref="R112">
      <formula1>0</formula1>
    </dataValidation>
    <dataValidation type="whole" allowBlank="1" showInputMessage="1" showErrorMessage="1" sqref="U112">
      <formula1>1</formula1>
      <formula2>5</formula2>
    </dataValidation>
    <dataValidation type="whole" allowBlank="1" showInputMessage="1" showErrorMessage="1" sqref="V112">
      <formula1>1</formula1>
      <formula2>5</formula2>
    </dataValidation>
    <dataValidation type="whole" allowBlank="1" showInputMessage="1" showErrorMessage="1" sqref="X112">
      <formula1>1</formula1>
      <formula2>5</formula2>
    </dataValidation>
    <dataValidation type="decimal" operator="greaterThanOrEqual" allowBlank="1" showInputMessage="1" showErrorMessage="1" sqref="Y112">
      <formula1>0</formula1>
    </dataValidation>
    <dataValidation type="whole" operator="greaterThanOrEqual" allowBlank="1" showInputMessage="1" showErrorMessage="1" sqref="Z112">
      <formula1>0</formula1>
    </dataValidation>
    <dataValidation type="whole" allowBlank="1" showInputMessage="1" showErrorMessage="1" sqref="AA112">
      <formula1>1</formula1>
      <formula2>5</formula2>
    </dataValidation>
    <dataValidation type="decimal" allowBlank="1" showInputMessage="1" showErrorMessage="1" sqref="AB112">
      <formula1>0</formula1>
      <formula2>1</formula2>
    </dataValidation>
    <dataValidation type="list" allowBlank="1" showInputMessage="1" showErrorMessage="1" sqref="O112">
      <formula1>liste_statuts</formula1>
    </dataValidation>
    <dataValidation type="list" allowBlank="1" showInputMessage="1" showErrorMessage="1" sqref="B113">
      <formula1>liste_programmes</formula1>
    </dataValidation>
    <dataValidation type="list" allowBlank="1" showInputMessage="1" showErrorMessage="1" sqref="D113">
      <formula1>liste_types</formula1>
    </dataValidation>
    <dataValidation type="list" allowBlank="1" showInputMessage="1" showErrorMessage="1" sqref="F113">
      <formula1>liste_categories</formula1>
    </dataValidation>
    <dataValidation type="list" allowBlank="1" showInputMessage="1" showErrorMessage="1" sqref="G113">
      <formula1>liste_responsables</formula1>
    </dataValidation>
    <dataValidation type="list" allowBlank="1" showInputMessage="1" showErrorMessage="1" sqref="H113">
      <formula1>liste_sites</formula1>
    </dataValidation>
    <dataValidation type="list" allowBlank="1" showInputMessage="1" showErrorMessage="1" sqref="I113">
      <formula1>liste_priorites</formula1>
    </dataValidation>
    <dataValidation type="date" operator="greaterThanOrEqual" allowBlank="1" showInputMessage="1" showErrorMessage="1" sqref="J113">
      <formula1>730120</formula1>
    </dataValidation>
    <dataValidation type="date" operator="greaterThanOrEqual" allowBlank="1" showInputMessage="1" showErrorMessage="1" sqref="K113">
      <formula1>730120</formula1>
    </dataValidation>
    <dataValidation type="date" operator="greaterThanOrEqual" allowBlank="1" showInputMessage="1" showErrorMessage="1" sqref="L113">
      <formula1>730120</formula1>
    </dataValidation>
    <dataValidation type="whole" allowBlank="1" showInputMessage="1" showErrorMessage="1" sqref="P113">
      <formula1>0</formula1>
      <formula2>100</formula2>
    </dataValidation>
    <dataValidation type="decimal" operator="greaterThanOrEqual" allowBlank="1" showInputMessage="1" showErrorMessage="1" sqref="Q113">
      <formula1>0</formula1>
    </dataValidation>
    <dataValidation type="decimal" operator="greaterThanOrEqual" allowBlank="1" showInputMessage="1" showErrorMessage="1" sqref="R113">
      <formula1>0</formula1>
    </dataValidation>
    <dataValidation type="whole" allowBlank="1" showInputMessage="1" showErrorMessage="1" sqref="U113">
      <formula1>1</formula1>
      <formula2>5</formula2>
    </dataValidation>
    <dataValidation type="whole" allowBlank="1" showInputMessage="1" showErrorMessage="1" sqref="V113">
      <formula1>1</formula1>
      <formula2>5</formula2>
    </dataValidation>
    <dataValidation type="whole" allowBlank="1" showInputMessage="1" showErrorMessage="1" sqref="X113">
      <formula1>1</formula1>
      <formula2>5</formula2>
    </dataValidation>
    <dataValidation type="decimal" operator="greaterThanOrEqual" allowBlank="1" showInputMessage="1" showErrorMessage="1" sqref="Y113">
      <formula1>0</formula1>
    </dataValidation>
    <dataValidation type="whole" operator="greaterThanOrEqual" allowBlank="1" showInputMessage="1" showErrorMessage="1" sqref="Z113">
      <formula1>0</formula1>
    </dataValidation>
    <dataValidation type="whole" allowBlank="1" showInputMessage="1" showErrorMessage="1" sqref="AA113">
      <formula1>1</formula1>
      <formula2>5</formula2>
    </dataValidation>
    <dataValidation type="decimal" allowBlank="1" showInputMessage="1" showErrorMessage="1" sqref="AB113">
      <formula1>0</formula1>
      <formula2>1</formula2>
    </dataValidation>
    <dataValidation type="list" allowBlank="1" showInputMessage="1" showErrorMessage="1" sqref="O113">
      <formula1>liste_statuts</formula1>
    </dataValidation>
    <dataValidation type="list" allowBlank="1" showInputMessage="1" showErrorMessage="1" sqref="B114">
      <formula1>liste_programmes</formula1>
    </dataValidation>
    <dataValidation type="list" allowBlank="1" showInputMessage="1" showErrorMessage="1" sqref="D114">
      <formula1>liste_types</formula1>
    </dataValidation>
    <dataValidation type="list" allowBlank="1" showInputMessage="1" showErrorMessage="1" sqref="F114">
      <formula1>liste_categories</formula1>
    </dataValidation>
    <dataValidation type="list" allowBlank="1" showInputMessage="1" showErrorMessage="1" sqref="G114">
      <formula1>liste_responsables</formula1>
    </dataValidation>
    <dataValidation type="list" allowBlank="1" showInputMessage="1" showErrorMessage="1" sqref="H114">
      <formula1>liste_sites</formula1>
    </dataValidation>
    <dataValidation type="list" allowBlank="1" showInputMessage="1" showErrorMessage="1" sqref="I114">
      <formula1>liste_priorites</formula1>
    </dataValidation>
    <dataValidation type="date" operator="greaterThanOrEqual" allowBlank="1" showInputMessage="1" showErrorMessage="1" sqref="J114">
      <formula1>730120</formula1>
    </dataValidation>
    <dataValidation type="date" operator="greaterThanOrEqual" allowBlank="1" showInputMessage="1" showErrorMessage="1" sqref="K114">
      <formula1>730120</formula1>
    </dataValidation>
    <dataValidation type="date" operator="greaterThanOrEqual" allowBlank="1" showInputMessage="1" showErrorMessage="1" sqref="L114">
      <formula1>730120</formula1>
    </dataValidation>
    <dataValidation type="whole" allowBlank="1" showInputMessage="1" showErrorMessage="1" sqref="P114">
      <formula1>0</formula1>
      <formula2>100</formula2>
    </dataValidation>
    <dataValidation type="decimal" operator="greaterThanOrEqual" allowBlank="1" showInputMessage="1" showErrorMessage="1" sqref="Q114">
      <formula1>0</formula1>
    </dataValidation>
    <dataValidation type="decimal" operator="greaterThanOrEqual" allowBlank="1" showInputMessage="1" showErrorMessage="1" sqref="R114">
      <formula1>0</formula1>
    </dataValidation>
    <dataValidation type="whole" allowBlank="1" showInputMessage="1" showErrorMessage="1" sqref="U114">
      <formula1>1</formula1>
      <formula2>5</formula2>
    </dataValidation>
    <dataValidation type="whole" allowBlank="1" showInputMessage="1" showErrorMessage="1" sqref="V114">
      <formula1>1</formula1>
      <formula2>5</formula2>
    </dataValidation>
    <dataValidation type="whole" allowBlank="1" showInputMessage="1" showErrorMessage="1" sqref="X114">
      <formula1>1</formula1>
      <formula2>5</formula2>
    </dataValidation>
    <dataValidation type="decimal" operator="greaterThanOrEqual" allowBlank="1" showInputMessage="1" showErrorMessage="1" sqref="Y114">
      <formula1>0</formula1>
    </dataValidation>
    <dataValidation type="whole" operator="greaterThanOrEqual" allowBlank="1" showInputMessage="1" showErrorMessage="1" sqref="Z114">
      <formula1>0</formula1>
    </dataValidation>
    <dataValidation type="whole" allowBlank="1" showInputMessage="1" showErrorMessage="1" sqref="AA114">
      <formula1>1</formula1>
      <formula2>5</formula2>
    </dataValidation>
    <dataValidation type="decimal" allowBlank="1" showInputMessage="1" showErrorMessage="1" sqref="AB114">
      <formula1>0</formula1>
      <formula2>1</formula2>
    </dataValidation>
    <dataValidation type="list" allowBlank="1" showInputMessage="1" showErrorMessage="1" sqref="O114">
      <formula1>liste_statuts</formula1>
    </dataValidation>
    <dataValidation type="list" allowBlank="1" showInputMessage="1" showErrorMessage="1" sqref="B115">
      <formula1>liste_programmes</formula1>
    </dataValidation>
    <dataValidation type="list" allowBlank="1" showInputMessage="1" showErrorMessage="1" sqref="D115">
      <formula1>liste_types</formula1>
    </dataValidation>
    <dataValidation type="list" allowBlank="1" showInputMessage="1" showErrorMessage="1" sqref="F115">
      <formula1>liste_categories</formula1>
    </dataValidation>
    <dataValidation type="list" allowBlank="1" showInputMessage="1" showErrorMessage="1" sqref="G115">
      <formula1>liste_responsables</formula1>
    </dataValidation>
    <dataValidation type="list" allowBlank="1" showInputMessage="1" showErrorMessage="1" sqref="H115">
      <formula1>liste_sites</formula1>
    </dataValidation>
    <dataValidation type="list" allowBlank="1" showInputMessage="1" showErrorMessage="1" sqref="I115">
      <formula1>liste_priorites</formula1>
    </dataValidation>
    <dataValidation type="date" operator="greaterThanOrEqual" allowBlank="1" showInputMessage="1" showErrorMessage="1" sqref="J115">
      <formula1>730120</formula1>
    </dataValidation>
    <dataValidation type="date" operator="greaterThanOrEqual" allowBlank="1" showInputMessage="1" showErrorMessage="1" sqref="K115">
      <formula1>730120</formula1>
    </dataValidation>
    <dataValidation type="date" operator="greaterThanOrEqual" allowBlank="1" showInputMessage="1" showErrorMessage="1" sqref="L115">
      <formula1>730120</formula1>
    </dataValidation>
    <dataValidation type="whole" allowBlank="1" showInputMessage="1" showErrorMessage="1" sqref="P115">
      <formula1>0</formula1>
      <formula2>100</formula2>
    </dataValidation>
    <dataValidation type="decimal" operator="greaterThanOrEqual" allowBlank="1" showInputMessage="1" showErrorMessage="1" sqref="Q115">
      <formula1>0</formula1>
    </dataValidation>
    <dataValidation type="decimal" operator="greaterThanOrEqual" allowBlank="1" showInputMessage="1" showErrorMessage="1" sqref="R115">
      <formula1>0</formula1>
    </dataValidation>
    <dataValidation type="whole" allowBlank="1" showInputMessage="1" showErrorMessage="1" sqref="U115">
      <formula1>1</formula1>
      <formula2>5</formula2>
    </dataValidation>
    <dataValidation type="whole" allowBlank="1" showInputMessage="1" showErrorMessage="1" sqref="V115">
      <formula1>1</formula1>
      <formula2>5</formula2>
    </dataValidation>
    <dataValidation type="whole" allowBlank="1" showInputMessage="1" showErrorMessage="1" sqref="X115">
      <formula1>1</formula1>
      <formula2>5</formula2>
    </dataValidation>
    <dataValidation type="decimal" operator="greaterThanOrEqual" allowBlank="1" showInputMessage="1" showErrorMessage="1" sqref="Y115">
      <formula1>0</formula1>
    </dataValidation>
    <dataValidation type="whole" operator="greaterThanOrEqual" allowBlank="1" showInputMessage="1" showErrorMessage="1" sqref="Z115">
      <formula1>0</formula1>
    </dataValidation>
    <dataValidation type="whole" allowBlank="1" showInputMessage="1" showErrorMessage="1" sqref="AA115">
      <formula1>1</formula1>
      <formula2>5</formula2>
    </dataValidation>
    <dataValidation type="decimal" allowBlank="1" showInputMessage="1" showErrorMessage="1" sqref="AB115">
      <formula1>0</formula1>
      <formula2>1</formula2>
    </dataValidation>
    <dataValidation type="list" allowBlank="1" showInputMessage="1" showErrorMessage="1" sqref="O115">
      <formula1>liste_statuts</formula1>
    </dataValidation>
    <dataValidation type="list" allowBlank="1" showInputMessage="1" showErrorMessage="1" sqref="B116">
      <formula1>liste_programmes</formula1>
    </dataValidation>
    <dataValidation type="list" allowBlank="1" showInputMessage="1" showErrorMessage="1" sqref="D116">
      <formula1>liste_types</formula1>
    </dataValidation>
    <dataValidation type="list" allowBlank="1" showInputMessage="1" showErrorMessage="1" sqref="F116">
      <formula1>liste_categories</formula1>
    </dataValidation>
    <dataValidation type="list" allowBlank="1" showInputMessage="1" showErrorMessage="1" sqref="G116">
      <formula1>liste_responsables</formula1>
    </dataValidation>
    <dataValidation type="list" allowBlank="1" showInputMessage="1" showErrorMessage="1" sqref="H116">
      <formula1>liste_sites</formula1>
    </dataValidation>
    <dataValidation type="list" allowBlank="1" showInputMessage="1" showErrorMessage="1" sqref="I116">
      <formula1>liste_priorites</formula1>
    </dataValidation>
    <dataValidation type="date" operator="greaterThanOrEqual" allowBlank="1" showInputMessage="1" showErrorMessage="1" sqref="J116">
      <formula1>730120</formula1>
    </dataValidation>
    <dataValidation type="date" operator="greaterThanOrEqual" allowBlank="1" showInputMessage="1" showErrorMessage="1" sqref="K116">
      <formula1>730120</formula1>
    </dataValidation>
    <dataValidation type="date" operator="greaterThanOrEqual" allowBlank="1" showInputMessage="1" showErrorMessage="1" sqref="L116">
      <formula1>730120</formula1>
    </dataValidation>
    <dataValidation type="whole" allowBlank="1" showInputMessage="1" showErrorMessage="1" sqref="P116">
      <formula1>0</formula1>
      <formula2>100</formula2>
    </dataValidation>
    <dataValidation type="decimal" operator="greaterThanOrEqual" allowBlank="1" showInputMessage="1" showErrorMessage="1" sqref="Q116">
      <formula1>0</formula1>
    </dataValidation>
    <dataValidation type="decimal" operator="greaterThanOrEqual" allowBlank="1" showInputMessage="1" showErrorMessage="1" sqref="R116">
      <formula1>0</formula1>
    </dataValidation>
    <dataValidation type="whole" allowBlank="1" showInputMessage="1" showErrorMessage="1" sqref="U116">
      <formula1>1</formula1>
      <formula2>5</formula2>
    </dataValidation>
    <dataValidation type="whole" allowBlank="1" showInputMessage="1" showErrorMessage="1" sqref="V116">
      <formula1>1</formula1>
      <formula2>5</formula2>
    </dataValidation>
    <dataValidation type="whole" allowBlank="1" showInputMessage="1" showErrorMessage="1" sqref="X116">
      <formula1>1</formula1>
      <formula2>5</formula2>
    </dataValidation>
    <dataValidation type="decimal" operator="greaterThanOrEqual" allowBlank="1" showInputMessage="1" showErrorMessage="1" sqref="Y116">
      <formula1>0</formula1>
    </dataValidation>
    <dataValidation type="whole" operator="greaterThanOrEqual" allowBlank="1" showInputMessage="1" showErrorMessage="1" sqref="Z116">
      <formula1>0</formula1>
    </dataValidation>
    <dataValidation type="whole" allowBlank="1" showInputMessage="1" showErrorMessage="1" sqref="AA116">
      <formula1>1</formula1>
      <formula2>5</formula2>
    </dataValidation>
    <dataValidation type="decimal" allowBlank="1" showInputMessage="1" showErrorMessage="1" sqref="AB116">
      <formula1>0</formula1>
      <formula2>1</formula2>
    </dataValidation>
    <dataValidation type="list" allowBlank="1" showInputMessage="1" showErrorMessage="1" sqref="O116">
      <formula1>liste_statuts</formula1>
    </dataValidation>
    <dataValidation type="list" allowBlank="1" showInputMessage="1" showErrorMessage="1" sqref="B117">
      <formula1>liste_programmes</formula1>
    </dataValidation>
    <dataValidation type="list" allowBlank="1" showInputMessage="1" showErrorMessage="1" sqref="D117">
      <formula1>liste_types</formula1>
    </dataValidation>
    <dataValidation type="list" allowBlank="1" showInputMessage="1" showErrorMessage="1" sqref="F117">
      <formula1>liste_categories</formula1>
    </dataValidation>
    <dataValidation type="list" allowBlank="1" showInputMessage="1" showErrorMessage="1" sqref="G117">
      <formula1>liste_responsables</formula1>
    </dataValidation>
    <dataValidation type="list" allowBlank="1" showInputMessage="1" showErrorMessage="1" sqref="H117">
      <formula1>liste_sites</formula1>
    </dataValidation>
    <dataValidation type="list" allowBlank="1" showInputMessage="1" showErrorMessage="1" sqref="I117">
      <formula1>liste_priorites</formula1>
    </dataValidation>
    <dataValidation type="date" operator="greaterThanOrEqual" allowBlank="1" showInputMessage="1" showErrorMessage="1" sqref="J117">
      <formula1>730120</formula1>
    </dataValidation>
    <dataValidation type="date" operator="greaterThanOrEqual" allowBlank="1" showInputMessage="1" showErrorMessage="1" sqref="K117">
      <formula1>730120</formula1>
    </dataValidation>
    <dataValidation type="date" operator="greaterThanOrEqual" allowBlank="1" showInputMessage="1" showErrorMessage="1" sqref="L117">
      <formula1>730120</formula1>
    </dataValidation>
    <dataValidation type="whole" allowBlank="1" showInputMessage="1" showErrorMessage="1" sqref="P117">
      <formula1>0</formula1>
      <formula2>100</formula2>
    </dataValidation>
    <dataValidation type="decimal" operator="greaterThanOrEqual" allowBlank="1" showInputMessage="1" showErrorMessage="1" sqref="Q117">
      <formula1>0</formula1>
    </dataValidation>
    <dataValidation type="decimal" operator="greaterThanOrEqual" allowBlank="1" showInputMessage="1" showErrorMessage="1" sqref="R117">
      <formula1>0</formula1>
    </dataValidation>
    <dataValidation type="whole" allowBlank="1" showInputMessage="1" showErrorMessage="1" sqref="U117">
      <formula1>1</formula1>
      <formula2>5</formula2>
    </dataValidation>
    <dataValidation type="whole" allowBlank="1" showInputMessage="1" showErrorMessage="1" sqref="V117">
      <formula1>1</formula1>
      <formula2>5</formula2>
    </dataValidation>
    <dataValidation type="whole" allowBlank="1" showInputMessage="1" showErrorMessage="1" sqref="X117">
      <formula1>1</formula1>
      <formula2>5</formula2>
    </dataValidation>
    <dataValidation type="decimal" operator="greaterThanOrEqual" allowBlank="1" showInputMessage="1" showErrorMessage="1" sqref="Y117">
      <formula1>0</formula1>
    </dataValidation>
    <dataValidation type="whole" operator="greaterThanOrEqual" allowBlank="1" showInputMessage="1" showErrorMessage="1" sqref="Z117">
      <formula1>0</formula1>
    </dataValidation>
    <dataValidation type="whole" allowBlank="1" showInputMessage="1" showErrorMessage="1" sqref="AA117">
      <formula1>1</formula1>
      <formula2>5</formula2>
    </dataValidation>
    <dataValidation type="decimal" allowBlank="1" showInputMessage="1" showErrorMessage="1" sqref="AB117">
      <formula1>0</formula1>
      <formula2>1</formula2>
    </dataValidation>
    <dataValidation type="list" allowBlank="1" showInputMessage="1" showErrorMessage="1" sqref="O117">
      <formula1>liste_statuts</formula1>
    </dataValidation>
    <dataValidation type="list" allowBlank="1" showInputMessage="1" showErrorMessage="1" sqref="B118">
      <formula1>liste_programmes</formula1>
    </dataValidation>
    <dataValidation type="list" allowBlank="1" showInputMessage="1" showErrorMessage="1" sqref="D118">
      <formula1>liste_types</formula1>
    </dataValidation>
    <dataValidation type="list" allowBlank="1" showInputMessage="1" showErrorMessage="1" sqref="F118">
      <formula1>liste_categories</formula1>
    </dataValidation>
    <dataValidation type="list" allowBlank="1" showInputMessage="1" showErrorMessage="1" sqref="G118">
      <formula1>liste_responsables</formula1>
    </dataValidation>
    <dataValidation type="list" allowBlank="1" showInputMessage="1" showErrorMessage="1" sqref="H118">
      <formula1>liste_sites</formula1>
    </dataValidation>
    <dataValidation type="list" allowBlank="1" showInputMessage="1" showErrorMessage="1" sqref="I118">
      <formula1>liste_priorites</formula1>
    </dataValidation>
    <dataValidation type="date" operator="greaterThanOrEqual" allowBlank="1" showInputMessage="1" showErrorMessage="1" sqref="J118">
      <formula1>730120</formula1>
    </dataValidation>
    <dataValidation type="date" operator="greaterThanOrEqual" allowBlank="1" showInputMessage="1" showErrorMessage="1" sqref="K118">
      <formula1>730120</formula1>
    </dataValidation>
    <dataValidation type="date" operator="greaterThanOrEqual" allowBlank="1" showInputMessage="1" showErrorMessage="1" sqref="L118">
      <formula1>730120</formula1>
    </dataValidation>
    <dataValidation type="whole" allowBlank="1" showInputMessage="1" showErrorMessage="1" sqref="P118">
      <formula1>0</formula1>
      <formula2>100</formula2>
    </dataValidation>
    <dataValidation type="decimal" operator="greaterThanOrEqual" allowBlank="1" showInputMessage="1" showErrorMessage="1" sqref="Q118">
      <formula1>0</formula1>
    </dataValidation>
    <dataValidation type="decimal" operator="greaterThanOrEqual" allowBlank="1" showInputMessage="1" showErrorMessage="1" sqref="R118">
      <formula1>0</formula1>
    </dataValidation>
    <dataValidation type="whole" allowBlank="1" showInputMessage="1" showErrorMessage="1" sqref="U118">
      <formula1>1</formula1>
      <formula2>5</formula2>
    </dataValidation>
    <dataValidation type="whole" allowBlank="1" showInputMessage="1" showErrorMessage="1" sqref="V118">
      <formula1>1</formula1>
      <formula2>5</formula2>
    </dataValidation>
    <dataValidation type="whole" allowBlank="1" showInputMessage="1" showErrorMessage="1" sqref="X118">
      <formula1>1</formula1>
      <formula2>5</formula2>
    </dataValidation>
    <dataValidation type="decimal" operator="greaterThanOrEqual" allowBlank="1" showInputMessage="1" showErrorMessage="1" sqref="Y118">
      <formula1>0</formula1>
    </dataValidation>
    <dataValidation type="whole" operator="greaterThanOrEqual" allowBlank="1" showInputMessage="1" showErrorMessage="1" sqref="Z118">
      <formula1>0</formula1>
    </dataValidation>
    <dataValidation type="whole" allowBlank="1" showInputMessage="1" showErrorMessage="1" sqref="AA118">
      <formula1>1</formula1>
      <formula2>5</formula2>
    </dataValidation>
    <dataValidation type="decimal" allowBlank="1" showInputMessage="1" showErrorMessage="1" sqref="AB118">
      <formula1>0</formula1>
      <formula2>1</formula2>
    </dataValidation>
    <dataValidation type="list" allowBlank="1" showInputMessage="1" showErrorMessage="1" sqref="O118">
      <formula1>liste_statuts</formula1>
    </dataValidation>
    <dataValidation type="list" allowBlank="1" showInputMessage="1" showErrorMessage="1" sqref="B119">
      <formula1>liste_programmes</formula1>
    </dataValidation>
    <dataValidation type="list" allowBlank="1" showInputMessage="1" showErrorMessage="1" sqref="D119">
      <formula1>liste_types</formula1>
    </dataValidation>
    <dataValidation type="list" allowBlank="1" showInputMessage="1" showErrorMessage="1" sqref="F119">
      <formula1>liste_categories</formula1>
    </dataValidation>
    <dataValidation type="list" allowBlank="1" showInputMessage="1" showErrorMessage="1" sqref="G119">
      <formula1>liste_responsables</formula1>
    </dataValidation>
    <dataValidation type="list" allowBlank="1" showInputMessage="1" showErrorMessage="1" sqref="H119">
      <formula1>liste_sites</formula1>
    </dataValidation>
    <dataValidation type="list" allowBlank="1" showInputMessage="1" showErrorMessage="1" sqref="I119">
      <formula1>liste_priorites</formula1>
    </dataValidation>
    <dataValidation type="date" operator="greaterThanOrEqual" allowBlank="1" showInputMessage="1" showErrorMessage="1" sqref="J119">
      <formula1>730120</formula1>
    </dataValidation>
    <dataValidation type="date" operator="greaterThanOrEqual" allowBlank="1" showInputMessage="1" showErrorMessage="1" sqref="K119">
      <formula1>730120</formula1>
    </dataValidation>
    <dataValidation type="date" operator="greaterThanOrEqual" allowBlank="1" showInputMessage="1" showErrorMessage="1" sqref="L119">
      <formula1>730120</formula1>
    </dataValidation>
    <dataValidation type="whole" allowBlank="1" showInputMessage="1" showErrorMessage="1" sqref="P119">
      <formula1>0</formula1>
      <formula2>100</formula2>
    </dataValidation>
    <dataValidation type="decimal" operator="greaterThanOrEqual" allowBlank="1" showInputMessage="1" showErrorMessage="1" sqref="Q119">
      <formula1>0</formula1>
    </dataValidation>
    <dataValidation type="decimal" operator="greaterThanOrEqual" allowBlank="1" showInputMessage="1" showErrorMessage="1" sqref="R119">
      <formula1>0</formula1>
    </dataValidation>
    <dataValidation type="whole" allowBlank="1" showInputMessage="1" showErrorMessage="1" sqref="U119">
      <formula1>1</formula1>
      <formula2>5</formula2>
    </dataValidation>
    <dataValidation type="whole" allowBlank="1" showInputMessage="1" showErrorMessage="1" sqref="V119">
      <formula1>1</formula1>
      <formula2>5</formula2>
    </dataValidation>
    <dataValidation type="whole" allowBlank="1" showInputMessage="1" showErrorMessage="1" sqref="X119">
      <formula1>1</formula1>
      <formula2>5</formula2>
    </dataValidation>
    <dataValidation type="decimal" operator="greaterThanOrEqual" allowBlank="1" showInputMessage="1" showErrorMessage="1" sqref="Y119">
      <formula1>0</formula1>
    </dataValidation>
    <dataValidation type="whole" operator="greaterThanOrEqual" allowBlank="1" showInputMessage="1" showErrorMessage="1" sqref="Z119">
      <formula1>0</formula1>
    </dataValidation>
    <dataValidation type="whole" allowBlank="1" showInputMessage="1" showErrorMessage="1" sqref="AA119">
      <formula1>1</formula1>
      <formula2>5</formula2>
    </dataValidation>
    <dataValidation type="decimal" allowBlank="1" showInputMessage="1" showErrorMessage="1" sqref="AB119">
      <formula1>0</formula1>
      <formula2>1</formula2>
    </dataValidation>
    <dataValidation type="list" allowBlank="1" showInputMessage="1" showErrorMessage="1" sqref="O119">
      <formula1>liste_statuts</formula1>
    </dataValidation>
    <dataValidation type="list" allowBlank="1" showInputMessage="1" showErrorMessage="1" sqref="B120">
      <formula1>liste_programmes</formula1>
    </dataValidation>
    <dataValidation type="list" allowBlank="1" showInputMessage="1" showErrorMessage="1" sqref="D120">
      <formula1>liste_types</formula1>
    </dataValidation>
    <dataValidation type="list" allowBlank="1" showInputMessage="1" showErrorMessage="1" sqref="F120">
      <formula1>liste_categories</formula1>
    </dataValidation>
    <dataValidation type="list" allowBlank="1" showInputMessage="1" showErrorMessage="1" sqref="G120">
      <formula1>liste_responsables</formula1>
    </dataValidation>
    <dataValidation type="list" allowBlank="1" showInputMessage="1" showErrorMessage="1" sqref="H120">
      <formula1>liste_sites</formula1>
    </dataValidation>
    <dataValidation type="list" allowBlank="1" showInputMessage="1" showErrorMessage="1" sqref="I120">
      <formula1>liste_priorites</formula1>
    </dataValidation>
    <dataValidation type="date" operator="greaterThanOrEqual" allowBlank="1" showInputMessage="1" showErrorMessage="1" sqref="J120">
      <formula1>730120</formula1>
    </dataValidation>
    <dataValidation type="date" operator="greaterThanOrEqual" allowBlank="1" showInputMessage="1" showErrorMessage="1" sqref="K120">
      <formula1>730120</formula1>
    </dataValidation>
    <dataValidation type="date" operator="greaterThanOrEqual" allowBlank="1" showInputMessage="1" showErrorMessage="1" sqref="L120">
      <formula1>730120</formula1>
    </dataValidation>
    <dataValidation type="whole" allowBlank="1" showInputMessage="1" showErrorMessage="1" sqref="P120">
      <formula1>0</formula1>
      <formula2>100</formula2>
    </dataValidation>
    <dataValidation type="decimal" operator="greaterThanOrEqual" allowBlank="1" showInputMessage="1" showErrorMessage="1" sqref="Q120">
      <formula1>0</formula1>
    </dataValidation>
    <dataValidation type="decimal" operator="greaterThanOrEqual" allowBlank="1" showInputMessage="1" showErrorMessage="1" sqref="R120">
      <formula1>0</formula1>
    </dataValidation>
    <dataValidation type="whole" allowBlank="1" showInputMessage="1" showErrorMessage="1" sqref="U120">
      <formula1>1</formula1>
      <formula2>5</formula2>
    </dataValidation>
    <dataValidation type="whole" allowBlank="1" showInputMessage="1" showErrorMessage="1" sqref="V120">
      <formula1>1</formula1>
      <formula2>5</formula2>
    </dataValidation>
    <dataValidation type="whole" allowBlank="1" showInputMessage="1" showErrorMessage="1" sqref="X120">
      <formula1>1</formula1>
      <formula2>5</formula2>
    </dataValidation>
    <dataValidation type="decimal" operator="greaterThanOrEqual" allowBlank="1" showInputMessage="1" showErrorMessage="1" sqref="Y120">
      <formula1>0</formula1>
    </dataValidation>
    <dataValidation type="whole" operator="greaterThanOrEqual" allowBlank="1" showInputMessage="1" showErrorMessage="1" sqref="Z120">
      <formula1>0</formula1>
    </dataValidation>
    <dataValidation type="whole" allowBlank="1" showInputMessage="1" showErrorMessage="1" sqref="AA120">
      <formula1>1</formula1>
      <formula2>5</formula2>
    </dataValidation>
    <dataValidation type="decimal" allowBlank="1" showInputMessage="1" showErrorMessage="1" sqref="AB120">
      <formula1>0</formula1>
      <formula2>1</formula2>
    </dataValidation>
    <dataValidation type="list" allowBlank="1" showInputMessage="1" showErrorMessage="1" sqref="O120">
      <formula1>liste_statuts</formula1>
    </dataValidation>
    <dataValidation type="list" allowBlank="1" showInputMessage="1" showErrorMessage="1" sqref="B121">
      <formula1>liste_programmes</formula1>
    </dataValidation>
    <dataValidation type="list" allowBlank="1" showInputMessage="1" showErrorMessage="1" sqref="D121">
      <formula1>liste_types</formula1>
    </dataValidation>
    <dataValidation type="list" allowBlank="1" showInputMessage="1" showErrorMessage="1" sqref="F121">
      <formula1>liste_categories</formula1>
    </dataValidation>
    <dataValidation type="list" allowBlank="1" showInputMessage="1" showErrorMessage="1" sqref="G121">
      <formula1>liste_responsables</formula1>
    </dataValidation>
    <dataValidation type="list" allowBlank="1" showInputMessage="1" showErrorMessage="1" sqref="H121">
      <formula1>liste_sites</formula1>
    </dataValidation>
    <dataValidation type="list" allowBlank="1" showInputMessage="1" showErrorMessage="1" sqref="I121">
      <formula1>liste_priorites</formula1>
    </dataValidation>
    <dataValidation type="date" operator="greaterThanOrEqual" allowBlank="1" showInputMessage="1" showErrorMessage="1" sqref="J121">
      <formula1>730120</formula1>
    </dataValidation>
    <dataValidation type="date" operator="greaterThanOrEqual" allowBlank="1" showInputMessage="1" showErrorMessage="1" sqref="K121">
      <formula1>730120</formula1>
    </dataValidation>
    <dataValidation type="date" operator="greaterThanOrEqual" allowBlank="1" showInputMessage="1" showErrorMessage="1" sqref="L121">
      <formula1>730120</formula1>
    </dataValidation>
    <dataValidation type="whole" allowBlank="1" showInputMessage="1" showErrorMessage="1" sqref="P121">
      <formula1>0</formula1>
      <formula2>100</formula2>
    </dataValidation>
    <dataValidation type="decimal" operator="greaterThanOrEqual" allowBlank="1" showInputMessage="1" showErrorMessage="1" sqref="Q121">
      <formula1>0</formula1>
    </dataValidation>
    <dataValidation type="decimal" operator="greaterThanOrEqual" allowBlank="1" showInputMessage="1" showErrorMessage="1" sqref="R121">
      <formula1>0</formula1>
    </dataValidation>
    <dataValidation type="whole" allowBlank="1" showInputMessage="1" showErrorMessage="1" sqref="U121">
      <formula1>1</formula1>
      <formula2>5</formula2>
    </dataValidation>
    <dataValidation type="whole" allowBlank="1" showInputMessage="1" showErrorMessage="1" sqref="V121">
      <formula1>1</formula1>
      <formula2>5</formula2>
    </dataValidation>
    <dataValidation type="whole" allowBlank="1" showInputMessage="1" showErrorMessage="1" sqref="X121">
      <formula1>1</formula1>
      <formula2>5</formula2>
    </dataValidation>
    <dataValidation type="decimal" operator="greaterThanOrEqual" allowBlank="1" showInputMessage="1" showErrorMessage="1" sqref="Y121">
      <formula1>0</formula1>
    </dataValidation>
    <dataValidation type="whole" operator="greaterThanOrEqual" allowBlank="1" showInputMessage="1" showErrorMessage="1" sqref="Z121">
      <formula1>0</formula1>
    </dataValidation>
    <dataValidation type="whole" allowBlank="1" showInputMessage="1" showErrorMessage="1" sqref="AA121">
      <formula1>1</formula1>
      <formula2>5</formula2>
    </dataValidation>
    <dataValidation type="decimal" allowBlank="1" showInputMessage="1" showErrorMessage="1" sqref="AB121">
      <formula1>0</formula1>
      <formula2>1</formula2>
    </dataValidation>
    <dataValidation type="list" allowBlank="1" showInputMessage="1" showErrorMessage="1" sqref="O121">
      <formula1>liste_statuts</formula1>
    </dataValidation>
    <dataValidation type="list" allowBlank="1" showInputMessage="1" showErrorMessage="1" sqref="B122">
      <formula1>liste_programmes</formula1>
    </dataValidation>
    <dataValidation type="list" allowBlank="1" showInputMessage="1" showErrorMessage="1" sqref="D122">
      <formula1>liste_types</formula1>
    </dataValidation>
    <dataValidation type="list" allowBlank="1" showInputMessage="1" showErrorMessage="1" sqref="F122">
      <formula1>liste_categories</formula1>
    </dataValidation>
    <dataValidation type="list" allowBlank="1" showInputMessage="1" showErrorMessage="1" sqref="G122">
      <formula1>liste_responsables</formula1>
    </dataValidation>
    <dataValidation type="list" allowBlank="1" showInputMessage="1" showErrorMessage="1" sqref="H122">
      <formula1>liste_sites</formula1>
    </dataValidation>
    <dataValidation type="list" allowBlank="1" showInputMessage="1" showErrorMessage="1" sqref="I122">
      <formula1>liste_priorites</formula1>
    </dataValidation>
    <dataValidation type="date" operator="greaterThanOrEqual" allowBlank="1" showInputMessage="1" showErrorMessage="1" sqref="J122">
      <formula1>730120</formula1>
    </dataValidation>
    <dataValidation type="date" operator="greaterThanOrEqual" allowBlank="1" showInputMessage="1" showErrorMessage="1" sqref="K122">
      <formula1>730120</formula1>
    </dataValidation>
    <dataValidation type="date" operator="greaterThanOrEqual" allowBlank="1" showInputMessage="1" showErrorMessage="1" sqref="L122">
      <formula1>730120</formula1>
    </dataValidation>
    <dataValidation type="whole" allowBlank="1" showInputMessage="1" showErrorMessage="1" sqref="P122">
      <formula1>0</formula1>
      <formula2>100</formula2>
    </dataValidation>
    <dataValidation type="decimal" operator="greaterThanOrEqual" allowBlank="1" showInputMessage="1" showErrorMessage="1" sqref="Q122">
      <formula1>0</formula1>
    </dataValidation>
    <dataValidation type="decimal" operator="greaterThanOrEqual" allowBlank="1" showInputMessage="1" showErrorMessage="1" sqref="R122">
      <formula1>0</formula1>
    </dataValidation>
    <dataValidation type="whole" allowBlank="1" showInputMessage="1" showErrorMessage="1" sqref="U122">
      <formula1>1</formula1>
      <formula2>5</formula2>
    </dataValidation>
    <dataValidation type="whole" allowBlank="1" showInputMessage="1" showErrorMessage="1" sqref="V122">
      <formula1>1</formula1>
      <formula2>5</formula2>
    </dataValidation>
    <dataValidation type="whole" allowBlank="1" showInputMessage="1" showErrorMessage="1" sqref="X122">
      <formula1>1</formula1>
      <formula2>5</formula2>
    </dataValidation>
    <dataValidation type="decimal" operator="greaterThanOrEqual" allowBlank="1" showInputMessage="1" showErrorMessage="1" sqref="Y122">
      <formula1>0</formula1>
    </dataValidation>
    <dataValidation type="whole" operator="greaterThanOrEqual" allowBlank="1" showInputMessage="1" showErrorMessage="1" sqref="Z122">
      <formula1>0</formula1>
    </dataValidation>
    <dataValidation type="whole" allowBlank="1" showInputMessage="1" showErrorMessage="1" sqref="AA122">
      <formula1>1</formula1>
      <formula2>5</formula2>
    </dataValidation>
    <dataValidation type="decimal" allowBlank="1" showInputMessage="1" showErrorMessage="1" sqref="AB122">
      <formula1>0</formula1>
      <formula2>1</formula2>
    </dataValidation>
    <dataValidation type="list" allowBlank="1" showInputMessage="1" showErrorMessage="1" sqref="O122">
      <formula1>liste_statuts</formula1>
    </dataValidation>
    <dataValidation type="list" allowBlank="1" showInputMessage="1" showErrorMessage="1" sqref="B123">
      <formula1>liste_programmes</formula1>
    </dataValidation>
    <dataValidation type="list" allowBlank="1" showInputMessage="1" showErrorMessage="1" sqref="D123">
      <formula1>liste_types</formula1>
    </dataValidation>
    <dataValidation type="list" allowBlank="1" showInputMessage="1" showErrorMessage="1" sqref="F123">
      <formula1>liste_categories</formula1>
    </dataValidation>
    <dataValidation type="list" allowBlank="1" showInputMessage="1" showErrorMessage="1" sqref="G123">
      <formula1>liste_responsables</formula1>
    </dataValidation>
    <dataValidation type="list" allowBlank="1" showInputMessage="1" showErrorMessage="1" sqref="H123">
      <formula1>liste_sites</formula1>
    </dataValidation>
    <dataValidation type="list" allowBlank="1" showInputMessage="1" showErrorMessage="1" sqref="I123">
      <formula1>liste_priorites</formula1>
    </dataValidation>
    <dataValidation type="date" operator="greaterThanOrEqual" allowBlank="1" showInputMessage="1" showErrorMessage="1" sqref="J123">
      <formula1>730120</formula1>
    </dataValidation>
    <dataValidation type="date" operator="greaterThanOrEqual" allowBlank="1" showInputMessage="1" showErrorMessage="1" sqref="K123">
      <formula1>730120</formula1>
    </dataValidation>
    <dataValidation type="date" operator="greaterThanOrEqual" allowBlank="1" showInputMessage="1" showErrorMessage="1" sqref="L123">
      <formula1>730120</formula1>
    </dataValidation>
    <dataValidation type="whole" allowBlank="1" showInputMessage="1" showErrorMessage="1" sqref="P123">
      <formula1>0</formula1>
      <formula2>100</formula2>
    </dataValidation>
    <dataValidation type="decimal" operator="greaterThanOrEqual" allowBlank="1" showInputMessage="1" showErrorMessage="1" sqref="Q123">
      <formula1>0</formula1>
    </dataValidation>
    <dataValidation type="decimal" operator="greaterThanOrEqual" allowBlank="1" showInputMessage="1" showErrorMessage="1" sqref="R123">
      <formula1>0</formula1>
    </dataValidation>
    <dataValidation type="whole" allowBlank="1" showInputMessage="1" showErrorMessage="1" sqref="U123">
      <formula1>1</formula1>
      <formula2>5</formula2>
    </dataValidation>
    <dataValidation type="whole" allowBlank="1" showInputMessage="1" showErrorMessage="1" sqref="V123">
      <formula1>1</formula1>
      <formula2>5</formula2>
    </dataValidation>
    <dataValidation type="whole" allowBlank="1" showInputMessage="1" showErrorMessage="1" sqref="X123">
      <formula1>1</formula1>
      <formula2>5</formula2>
    </dataValidation>
    <dataValidation type="decimal" operator="greaterThanOrEqual" allowBlank="1" showInputMessage="1" showErrorMessage="1" sqref="Y123">
      <formula1>0</formula1>
    </dataValidation>
    <dataValidation type="whole" operator="greaterThanOrEqual" allowBlank="1" showInputMessage="1" showErrorMessage="1" sqref="Z123">
      <formula1>0</formula1>
    </dataValidation>
    <dataValidation type="whole" allowBlank="1" showInputMessage="1" showErrorMessage="1" sqref="AA123">
      <formula1>1</formula1>
      <formula2>5</formula2>
    </dataValidation>
    <dataValidation type="decimal" allowBlank="1" showInputMessage="1" showErrorMessage="1" sqref="AB123">
      <formula1>0</formula1>
      <formula2>1</formula2>
    </dataValidation>
    <dataValidation type="list" allowBlank="1" showInputMessage="1" showErrorMessage="1" sqref="O123">
      <formula1>liste_statuts</formula1>
    </dataValidation>
    <dataValidation type="list" allowBlank="1" showInputMessage="1" showErrorMessage="1" sqref="B124">
      <formula1>liste_programmes</formula1>
    </dataValidation>
    <dataValidation type="list" allowBlank="1" showInputMessage="1" showErrorMessage="1" sqref="D124">
      <formula1>liste_types</formula1>
    </dataValidation>
    <dataValidation type="list" allowBlank="1" showInputMessage="1" showErrorMessage="1" sqref="F124">
      <formula1>liste_categories</formula1>
    </dataValidation>
    <dataValidation type="list" allowBlank="1" showInputMessage="1" showErrorMessage="1" sqref="G124">
      <formula1>liste_responsables</formula1>
    </dataValidation>
    <dataValidation type="list" allowBlank="1" showInputMessage="1" showErrorMessage="1" sqref="H124">
      <formula1>liste_sites</formula1>
    </dataValidation>
    <dataValidation type="list" allowBlank="1" showInputMessage="1" showErrorMessage="1" sqref="I124">
      <formula1>liste_priorites</formula1>
    </dataValidation>
    <dataValidation type="date" operator="greaterThanOrEqual" allowBlank="1" showInputMessage="1" showErrorMessage="1" sqref="J124">
      <formula1>730120</formula1>
    </dataValidation>
    <dataValidation type="date" operator="greaterThanOrEqual" allowBlank="1" showInputMessage="1" showErrorMessage="1" sqref="K124">
      <formula1>730120</formula1>
    </dataValidation>
    <dataValidation type="date" operator="greaterThanOrEqual" allowBlank="1" showInputMessage="1" showErrorMessage="1" sqref="L124">
      <formula1>730120</formula1>
    </dataValidation>
    <dataValidation type="whole" allowBlank="1" showInputMessage="1" showErrorMessage="1" sqref="P124">
      <formula1>0</formula1>
      <formula2>100</formula2>
    </dataValidation>
    <dataValidation type="decimal" operator="greaterThanOrEqual" allowBlank="1" showInputMessage="1" showErrorMessage="1" sqref="Q124">
      <formula1>0</formula1>
    </dataValidation>
    <dataValidation type="decimal" operator="greaterThanOrEqual" allowBlank="1" showInputMessage="1" showErrorMessage="1" sqref="R124">
      <formula1>0</formula1>
    </dataValidation>
    <dataValidation type="whole" allowBlank="1" showInputMessage="1" showErrorMessage="1" sqref="U124">
      <formula1>1</formula1>
      <formula2>5</formula2>
    </dataValidation>
    <dataValidation type="whole" allowBlank="1" showInputMessage="1" showErrorMessage="1" sqref="V124">
      <formula1>1</formula1>
      <formula2>5</formula2>
    </dataValidation>
    <dataValidation type="whole" allowBlank="1" showInputMessage="1" showErrorMessage="1" sqref="X124">
      <formula1>1</formula1>
      <formula2>5</formula2>
    </dataValidation>
    <dataValidation type="decimal" operator="greaterThanOrEqual" allowBlank="1" showInputMessage="1" showErrorMessage="1" sqref="Y124">
      <formula1>0</formula1>
    </dataValidation>
    <dataValidation type="whole" operator="greaterThanOrEqual" allowBlank="1" showInputMessage="1" showErrorMessage="1" sqref="Z124">
      <formula1>0</formula1>
    </dataValidation>
    <dataValidation type="whole" allowBlank="1" showInputMessage="1" showErrorMessage="1" sqref="AA124">
      <formula1>1</formula1>
      <formula2>5</formula2>
    </dataValidation>
    <dataValidation type="decimal" allowBlank="1" showInputMessage="1" showErrorMessage="1" sqref="AB124">
      <formula1>0</formula1>
      <formula2>1</formula2>
    </dataValidation>
    <dataValidation type="list" allowBlank="1" showInputMessage="1" showErrorMessage="1" sqref="O124">
      <formula1>liste_statuts</formula1>
    </dataValidation>
    <dataValidation type="list" allowBlank="1" showInputMessage="1" showErrorMessage="1" sqref="B125">
      <formula1>liste_programmes</formula1>
    </dataValidation>
    <dataValidation type="list" allowBlank="1" showInputMessage="1" showErrorMessage="1" sqref="D125">
      <formula1>liste_types</formula1>
    </dataValidation>
    <dataValidation type="list" allowBlank="1" showInputMessage="1" showErrorMessage="1" sqref="F125">
      <formula1>liste_categories</formula1>
    </dataValidation>
    <dataValidation type="list" allowBlank="1" showInputMessage="1" showErrorMessage="1" sqref="G125">
      <formula1>liste_responsables</formula1>
    </dataValidation>
    <dataValidation type="list" allowBlank="1" showInputMessage="1" showErrorMessage="1" sqref="H125">
      <formula1>liste_sites</formula1>
    </dataValidation>
    <dataValidation type="list" allowBlank="1" showInputMessage="1" showErrorMessage="1" sqref="I125">
      <formula1>liste_priorites</formula1>
    </dataValidation>
    <dataValidation type="date" operator="greaterThanOrEqual" allowBlank="1" showInputMessage="1" showErrorMessage="1" sqref="J125">
      <formula1>730120</formula1>
    </dataValidation>
    <dataValidation type="date" operator="greaterThanOrEqual" allowBlank="1" showInputMessage="1" showErrorMessage="1" sqref="K125">
      <formula1>730120</formula1>
    </dataValidation>
    <dataValidation type="date" operator="greaterThanOrEqual" allowBlank="1" showInputMessage="1" showErrorMessage="1" sqref="L125">
      <formula1>730120</formula1>
    </dataValidation>
    <dataValidation type="whole" allowBlank="1" showInputMessage="1" showErrorMessage="1" sqref="P125">
      <formula1>0</formula1>
      <formula2>100</formula2>
    </dataValidation>
    <dataValidation type="decimal" operator="greaterThanOrEqual" allowBlank="1" showInputMessage="1" showErrorMessage="1" sqref="Q125">
      <formula1>0</formula1>
    </dataValidation>
    <dataValidation type="decimal" operator="greaterThanOrEqual" allowBlank="1" showInputMessage="1" showErrorMessage="1" sqref="R125">
      <formula1>0</formula1>
    </dataValidation>
    <dataValidation type="whole" allowBlank="1" showInputMessage="1" showErrorMessage="1" sqref="U125">
      <formula1>1</formula1>
      <formula2>5</formula2>
    </dataValidation>
    <dataValidation type="whole" allowBlank="1" showInputMessage="1" showErrorMessage="1" sqref="V125">
      <formula1>1</formula1>
      <formula2>5</formula2>
    </dataValidation>
    <dataValidation type="whole" allowBlank="1" showInputMessage="1" showErrorMessage="1" sqref="X125">
      <formula1>1</formula1>
      <formula2>5</formula2>
    </dataValidation>
    <dataValidation type="decimal" operator="greaterThanOrEqual" allowBlank="1" showInputMessage="1" showErrorMessage="1" sqref="Y125">
      <formula1>0</formula1>
    </dataValidation>
    <dataValidation type="whole" operator="greaterThanOrEqual" allowBlank="1" showInputMessage="1" showErrorMessage="1" sqref="Z125">
      <formula1>0</formula1>
    </dataValidation>
    <dataValidation type="whole" allowBlank="1" showInputMessage="1" showErrorMessage="1" sqref="AA125">
      <formula1>1</formula1>
      <formula2>5</formula2>
    </dataValidation>
    <dataValidation type="decimal" allowBlank="1" showInputMessage="1" showErrorMessage="1" sqref="AB125">
      <formula1>0</formula1>
      <formula2>1</formula2>
    </dataValidation>
    <dataValidation type="list" allowBlank="1" showInputMessage="1" showErrorMessage="1" sqref="O125">
      <formula1>liste_statuts</formula1>
    </dataValidation>
    <dataValidation type="list" allowBlank="1" showInputMessage="1" showErrorMessage="1" sqref="B126">
      <formula1>liste_programmes</formula1>
    </dataValidation>
    <dataValidation type="list" allowBlank="1" showInputMessage="1" showErrorMessage="1" sqref="D126">
      <formula1>liste_types</formula1>
    </dataValidation>
    <dataValidation type="list" allowBlank="1" showInputMessage="1" showErrorMessage="1" sqref="F126">
      <formula1>liste_categories</formula1>
    </dataValidation>
    <dataValidation type="list" allowBlank="1" showInputMessage="1" showErrorMessage="1" sqref="G126">
      <formula1>liste_responsables</formula1>
    </dataValidation>
    <dataValidation type="list" allowBlank="1" showInputMessage="1" showErrorMessage="1" sqref="H126">
      <formula1>liste_sites</formula1>
    </dataValidation>
    <dataValidation type="list" allowBlank="1" showInputMessage="1" showErrorMessage="1" sqref="I126">
      <formula1>liste_priorites</formula1>
    </dataValidation>
    <dataValidation type="date" operator="greaterThanOrEqual" allowBlank="1" showInputMessage="1" showErrorMessage="1" sqref="J126">
      <formula1>730120</formula1>
    </dataValidation>
    <dataValidation type="date" operator="greaterThanOrEqual" allowBlank="1" showInputMessage="1" showErrorMessage="1" sqref="K126">
      <formula1>730120</formula1>
    </dataValidation>
    <dataValidation type="date" operator="greaterThanOrEqual" allowBlank="1" showInputMessage="1" showErrorMessage="1" sqref="L126">
      <formula1>730120</formula1>
    </dataValidation>
    <dataValidation type="whole" allowBlank="1" showInputMessage="1" showErrorMessage="1" sqref="P126">
      <formula1>0</formula1>
      <formula2>100</formula2>
    </dataValidation>
    <dataValidation type="decimal" operator="greaterThanOrEqual" allowBlank="1" showInputMessage="1" showErrorMessage="1" sqref="Q126">
      <formula1>0</formula1>
    </dataValidation>
    <dataValidation type="decimal" operator="greaterThanOrEqual" allowBlank="1" showInputMessage="1" showErrorMessage="1" sqref="R126">
      <formula1>0</formula1>
    </dataValidation>
    <dataValidation type="whole" allowBlank="1" showInputMessage="1" showErrorMessage="1" sqref="U126">
      <formula1>1</formula1>
      <formula2>5</formula2>
    </dataValidation>
    <dataValidation type="whole" allowBlank="1" showInputMessage="1" showErrorMessage="1" sqref="V126">
      <formula1>1</formula1>
      <formula2>5</formula2>
    </dataValidation>
    <dataValidation type="whole" allowBlank="1" showInputMessage="1" showErrorMessage="1" sqref="X126">
      <formula1>1</formula1>
      <formula2>5</formula2>
    </dataValidation>
    <dataValidation type="decimal" operator="greaterThanOrEqual" allowBlank="1" showInputMessage="1" showErrorMessage="1" sqref="Y126">
      <formula1>0</formula1>
    </dataValidation>
    <dataValidation type="whole" operator="greaterThanOrEqual" allowBlank="1" showInputMessage="1" showErrorMessage="1" sqref="Z126">
      <formula1>0</formula1>
    </dataValidation>
    <dataValidation type="whole" allowBlank="1" showInputMessage="1" showErrorMessage="1" sqref="AA126">
      <formula1>1</formula1>
      <formula2>5</formula2>
    </dataValidation>
    <dataValidation type="decimal" allowBlank="1" showInputMessage="1" showErrorMessage="1" sqref="AB126">
      <formula1>0</formula1>
      <formula2>1</formula2>
    </dataValidation>
    <dataValidation type="list" allowBlank="1" showInputMessage="1" showErrorMessage="1" sqref="O126">
      <formula1>liste_statuts</formula1>
    </dataValidation>
    <dataValidation type="list" allowBlank="1" showInputMessage="1" showErrorMessage="1" sqref="B127">
      <formula1>liste_programmes</formula1>
    </dataValidation>
    <dataValidation type="list" allowBlank="1" showInputMessage="1" showErrorMessage="1" sqref="D127">
      <formula1>liste_types</formula1>
    </dataValidation>
    <dataValidation type="list" allowBlank="1" showInputMessage="1" showErrorMessage="1" sqref="F127">
      <formula1>liste_categories</formula1>
    </dataValidation>
    <dataValidation type="list" allowBlank="1" showInputMessage="1" showErrorMessage="1" sqref="G127">
      <formula1>liste_responsables</formula1>
    </dataValidation>
    <dataValidation type="list" allowBlank="1" showInputMessage="1" showErrorMessage="1" sqref="H127">
      <formula1>liste_sites</formula1>
    </dataValidation>
    <dataValidation type="list" allowBlank="1" showInputMessage="1" showErrorMessage="1" sqref="I127">
      <formula1>liste_priorites</formula1>
    </dataValidation>
    <dataValidation type="date" operator="greaterThanOrEqual" allowBlank="1" showInputMessage="1" showErrorMessage="1" sqref="J127">
      <formula1>730120</formula1>
    </dataValidation>
    <dataValidation type="date" operator="greaterThanOrEqual" allowBlank="1" showInputMessage="1" showErrorMessage="1" sqref="K127">
      <formula1>730120</formula1>
    </dataValidation>
    <dataValidation type="date" operator="greaterThanOrEqual" allowBlank="1" showInputMessage="1" showErrorMessage="1" sqref="L127">
      <formula1>730120</formula1>
    </dataValidation>
    <dataValidation type="whole" allowBlank="1" showInputMessage="1" showErrorMessage="1" sqref="P127">
      <formula1>0</formula1>
      <formula2>100</formula2>
    </dataValidation>
    <dataValidation type="decimal" operator="greaterThanOrEqual" allowBlank="1" showInputMessage="1" showErrorMessage="1" sqref="Q127">
      <formula1>0</formula1>
    </dataValidation>
    <dataValidation type="decimal" operator="greaterThanOrEqual" allowBlank="1" showInputMessage="1" showErrorMessage="1" sqref="R127">
      <formula1>0</formula1>
    </dataValidation>
    <dataValidation type="whole" allowBlank="1" showInputMessage="1" showErrorMessage="1" sqref="U127">
      <formula1>1</formula1>
      <formula2>5</formula2>
    </dataValidation>
    <dataValidation type="whole" allowBlank="1" showInputMessage="1" showErrorMessage="1" sqref="V127">
      <formula1>1</formula1>
      <formula2>5</formula2>
    </dataValidation>
    <dataValidation type="whole" allowBlank="1" showInputMessage="1" showErrorMessage="1" sqref="X127">
      <formula1>1</formula1>
      <formula2>5</formula2>
    </dataValidation>
    <dataValidation type="decimal" operator="greaterThanOrEqual" allowBlank="1" showInputMessage="1" showErrorMessage="1" sqref="Y127">
      <formula1>0</formula1>
    </dataValidation>
    <dataValidation type="whole" operator="greaterThanOrEqual" allowBlank="1" showInputMessage="1" showErrorMessage="1" sqref="Z127">
      <formula1>0</formula1>
    </dataValidation>
    <dataValidation type="whole" allowBlank="1" showInputMessage="1" showErrorMessage="1" sqref="AA127">
      <formula1>1</formula1>
      <formula2>5</formula2>
    </dataValidation>
    <dataValidation type="decimal" allowBlank="1" showInputMessage="1" showErrorMessage="1" sqref="AB127">
      <formula1>0</formula1>
      <formula2>1</formula2>
    </dataValidation>
    <dataValidation type="list" allowBlank="1" showInputMessage="1" showErrorMessage="1" sqref="O127">
      <formula1>liste_statuts</formula1>
    </dataValidation>
    <dataValidation type="list" allowBlank="1" showInputMessage="1" showErrorMessage="1" sqref="B128">
      <formula1>liste_programmes</formula1>
    </dataValidation>
    <dataValidation type="list" allowBlank="1" showInputMessage="1" showErrorMessage="1" sqref="D128">
      <formula1>liste_types</formula1>
    </dataValidation>
    <dataValidation type="list" allowBlank="1" showInputMessage="1" showErrorMessage="1" sqref="F128">
      <formula1>liste_categories</formula1>
    </dataValidation>
    <dataValidation type="list" allowBlank="1" showInputMessage="1" showErrorMessage="1" sqref="G128">
      <formula1>liste_responsables</formula1>
    </dataValidation>
    <dataValidation type="list" allowBlank="1" showInputMessage="1" showErrorMessage="1" sqref="H128">
      <formula1>liste_sites</formula1>
    </dataValidation>
    <dataValidation type="list" allowBlank="1" showInputMessage="1" showErrorMessage="1" sqref="I128">
      <formula1>liste_priorites</formula1>
    </dataValidation>
    <dataValidation type="date" operator="greaterThanOrEqual" allowBlank="1" showInputMessage="1" showErrorMessage="1" sqref="J128">
      <formula1>730120</formula1>
    </dataValidation>
    <dataValidation type="date" operator="greaterThanOrEqual" allowBlank="1" showInputMessage="1" showErrorMessage="1" sqref="K128">
      <formula1>730120</formula1>
    </dataValidation>
    <dataValidation type="date" operator="greaterThanOrEqual" allowBlank="1" showInputMessage="1" showErrorMessage="1" sqref="L128">
      <formula1>730120</formula1>
    </dataValidation>
    <dataValidation type="whole" allowBlank="1" showInputMessage="1" showErrorMessage="1" sqref="P128">
      <formula1>0</formula1>
      <formula2>100</formula2>
    </dataValidation>
    <dataValidation type="decimal" operator="greaterThanOrEqual" allowBlank="1" showInputMessage="1" showErrorMessage="1" sqref="Q128">
      <formula1>0</formula1>
    </dataValidation>
    <dataValidation type="decimal" operator="greaterThanOrEqual" allowBlank="1" showInputMessage="1" showErrorMessage="1" sqref="R128">
      <formula1>0</formula1>
    </dataValidation>
    <dataValidation type="whole" allowBlank="1" showInputMessage="1" showErrorMessage="1" sqref="U128">
      <formula1>1</formula1>
      <formula2>5</formula2>
    </dataValidation>
    <dataValidation type="whole" allowBlank="1" showInputMessage="1" showErrorMessage="1" sqref="V128">
      <formula1>1</formula1>
      <formula2>5</formula2>
    </dataValidation>
    <dataValidation type="whole" allowBlank="1" showInputMessage="1" showErrorMessage="1" sqref="X128">
      <formula1>1</formula1>
      <formula2>5</formula2>
    </dataValidation>
    <dataValidation type="decimal" operator="greaterThanOrEqual" allowBlank="1" showInputMessage="1" showErrorMessage="1" sqref="Y128">
      <formula1>0</formula1>
    </dataValidation>
    <dataValidation type="whole" operator="greaterThanOrEqual" allowBlank="1" showInputMessage="1" showErrorMessage="1" sqref="Z128">
      <formula1>0</formula1>
    </dataValidation>
    <dataValidation type="whole" allowBlank="1" showInputMessage="1" showErrorMessage="1" sqref="AA128">
      <formula1>1</formula1>
      <formula2>5</formula2>
    </dataValidation>
    <dataValidation type="decimal" allowBlank="1" showInputMessage="1" showErrorMessage="1" sqref="AB128">
      <formula1>0</formula1>
      <formula2>1</formula2>
    </dataValidation>
    <dataValidation type="list" allowBlank="1" showInputMessage="1" showErrorMessage="1" sqref="O128">
      <formula1>liste_statuts</formula1>
    </dataValidation>
    <dataValidation type="list" allowBlank="1" showInputMessage="1" showErrorMessage="1" sqref="B129">
      <formula1>liste_programmes</formula1>
    </dataValidation>
    <dataValidation type="list" allowBlank="1" showInputMessage="1" showErrorMessage="1" sqref="D129">
      <formula1>liste_types</formula1>
    </dataValidation>
    <dataValidation type="list" allowBlank="1" showInputMessage="1" showErrorMessage="1" sqref="F129">
      <formula1>liste_categories</formula1>
    </dataValidation>
    <dataValidation type="list" allowBlank="1" showInputMessage="1" showErrorMessage="1" sqref="G129">
      <formula1>liste_responsables</formula1>
    </dataValidation>
    <dataValidation type="list" allowBlank="1" showInputMessage="1" showErrorMessage="1" sqref="H129">
      <formula1>liste_sites</formula1>
    </dataValidation>
    <dataValidation type="list" allowBlank="1" showInputMessage="1" showErrorMessage="1" sqref="I129">
      <formula1>liste_priorites</formula1>
    </dataValidation>
    <dataValidation type="date" operator="greaterThanOrEqual" allowBlank="1" showInputMessage="1" showErrorMessage="1" sqref="J129">
      <formula1>730120</formula1>
    </dataValidation>
    <dataValidation type="date" operator="greaterThanOrEqual" allowBlank="1" showInputMessage="1" showErrorMessage="1" sqref="K129">
      <formula1>730120</formula1>
    </dataValidation>
    <dataValidation type="date" operator="greaterThanOrEqual" allowBlank="1" showInputMessage="1" showErrorMessage="1" sqref="L129">
      <formula1>730120</formula1>
    </dataValidation>
    <dataValidation type="whole" allowBlank="1" showInputMessage="1" showErrorMessage="1" sqref="P129">
      <formula1>0</formula1>
      <formula2>100</formula2>
    </dataValidation>
    <dataValidation type="decimal" operator="greaterThanOrEqual" allowBlank="1" showInputMessage="1" showErrorMessage="1" sqref="Q129">
      <formula1>0</formula1>
    </dataValidation>
    <dataValidation type="decimal" operator="greaterThanOrEqual" allowBlank="1" showInputMessage="1" showErrorMessage="1" sqref="R129">
      <formula1>0</formula1>
    </dataValidation>
    <dataValidation type="whole" allowBlank="1" showInputMessage="1" showErrorMessage="1" sqref="U129">
      <formula1>1</formula1>
      <formula2>5</formula2>
    </dataValidation>
    <dataValidation type="whole" allowBlank="1" showInputMessage="1" showErrorMessage="1" sqref="V129">
      <formula1>1</formula1>
      <formula2>5</formula2>
    </dataValidation>
    <dataValidation type="whole" allowBlank="1" showInputMessage="1" showErrorMessage="1" sqref="X129">
      <formula1>1</formula1>
      <formula2>5</formula2>
    </dataValidation>
    <dataValidation type="decimal" operator="greaterThanOrEqual" allowBlank="1" showInputMessage="1" showErrorMessage="1" sqref="Y129">
      <formula1>0</formula1>
    </dataValidation>
    <dataValidation type="whole" operator="greaterThanOrEqual" allowBlank="1" showInputMessage="1" showErrorMessage="1" sqref="Z129">
      <formula1>0</formula1>
    </dataValidation>
    <dataValidation type="whole" allowBlank="1" showInputMessage="1" showErrorMessage="1" sqref="AA129">
      <formula1>1</formula1>
      <formula2>5</formula2>
    </dataValidation>
    <dataValidation type="decimal" allowBlank="1" showInputMessage="1" showErrorMessage="1" sqref="AB129">
      <formula1>0</formula1>
      <formula2>1</formula2>
    </dataValidation>
    <dataValidation type="list" allowBlank="1" showInputMessage="1" showErrorMessage="1" sqref="O129">
      <formula1>liste_statuts</formula1>
    </dataValidation>
    <dataValidation type="list" allowBlank="1" showInputMessage="1" showErrorMessage="1" sqref="B130">
      <formula1>liste_programmes</formula1>
    </dataValidation>
    <dataValidation type="list" allowBlank="1" showInputMessage="1" showErrorMessage="1" sqref="D130">
      <formula1>liste_types</formula1>
    </dataValidation>
    <dataValidation type="list" allowBlank="1" showInputMessage="1" showErrorMessage="1" sqref="F130">
      <formula1>liste_categories</formula1>
    </dataValidation>
    <dataValidation type="list" allowBlank="1" showInputMessage="1" showErrorMessage="1" sqref="G130">
      <formula1>liste_responsables</formula1>
    </dataValidation>
    <dataValidation type="list" allowBlank="1" showInputMessage="1" showErrorMessage="1" sqref="H130">
      <formula1>liste_sites</formula1>
    </dataValidation>
    <dataValidation type="list" allowBlank="1" showInputMessage="1" showErrorMessage="1" sqref="I130">
      <formula1>liste_priorites</formula1>
    </dataValidation>
    <dataValidation type="date" operator="greaterThanOrEqual" allowBlank="1" showInputMessage="1" showErrorMessage="1" sqref="J130">
      <formula1>730120</formula1>
    </dataValidation>
    <dataValidation type="date" operator="greaterThanOrEqual" allowBlank="1" showInputMessage="1" showErrorMessage="1" sqref="K130">
      <formula1>730120</formula1>
    </dataValidation>
    <dataValidation type="date" operator="greaterThanOrEqual" allowBlank="1" showInputMessage="1" showErrorMessage="1" sqref="L130">
      <formula1>730120</formula1>
    </dataValidation>
    <dataValidation type="whole" allowBlank="1" showInputMessage="1" showErrorMessage="1" sqref="P130">
      <formula1>0</formula1>
      <formula2>100</formula2>
    </dataValidation>
    <dataValidation type="decimal" operator="greaterThanOrEqual" allowBlank="1" showInputMessage="1" showErrorMessage="1" sqref="Q130">
      <formula1>0</formula1>
    </dataValidation>
    <dataValidation type="decimal" operator="greaterThanOrEqual" allowBlank="1" showInputMessage="1" showErrorMessage="1" sqref="R130">
      <formula1>0</formula1>
    </dataValidation>
    <dataValidation type="whole" allowBlank="1" showInputMessage="1" showErrorMessage="1" sqref="U130">
      <formula1>1</formula1>
      <formula2>5</formula2>
    </dataValidation>
    <dataValidation type="whole" allowBlank="1" showInputMessage="1" showErrorMessage="1" sqref="V130">
      <formula1>1</formula1>
      <formula2>5</formula2>
    </dataValidation>
    <dataValidation type="whole" allowBlank="1" showInputMessage="1" showErrorMessage="1" sqref="X130">
      <formula1>1</formula1>
      <formula2>5</formula2>
    </dataValidation>
    <dataValidation type="decimal" operator="greaterThanOrEqual" allowBlank="1" showInputMessage="1" showErrorMessage="1" sqref="Y130">
      <formula1>0</formula1>
    </dataValidation>
    <dataValidation type="whole" operator="greaterThanOrEqual" allowBlank="1" showInputMessage="1" showErrorMessage="1" sqref="Z130">
      <formula1>0</formula1>
    </dataValidation>
    <dataValidation type="whole" allowBlank="1" showInputMessage="1" showErrorMessage="1" sqref="AA130">
      <formula1>1</formula1>
      <formula2>5</formula2>
    </dataValidation>
    <dataValidation type="decimal" allowBlank="1" showInputMessage="1" showErrorMessage="1" sqref="AB130">
      <formula1>0</formula1>
      <formula2>1</formula2>
    </dataValidation>
    <dataValidation type="list" allowBlank="1" showInputMessage="1" showErrorMessage="1" sqref="O130">
      <formula1>liste_statuts</formula1>
    </dataValidation>
    <dataValidation type="list" allowBlank="1" showInputMessage="1" showErrorMessage="1" sqref="B131">
      <formula1>liste_programmes</formula1>
    </dataValidation>
    <dataValidation type="list" allowBlank="1" showInputMessage="1" showErrorMessage="1" sqref="D131">
      <formula1>liste_types</formula1>
    </dataValidation>
    <dataValidation type="list" allowBlank="1" showInputMessage="1" showErrorMessage="1" sqref="F131">
      <formula1>liste_categories</formula1>
    </dataValidation>
    <dataValidation type="list" allowBlank="1" showInputMessage="1" showErrorMessage="1" sqref="G131">
      <formula1>liste_responsables</formula1>
    </dataValidation>
    <dataValidation type="list" allowBlank="1" showInputMessage="1" showErrorMessage="1" sqref="H131">
      <formula1>liste_sites</formula1>
    </dataValidation>
    <dataValidation type="list" allowBlank="1" showInputMessage="1" showErrorMessage="1" sqref="I131">
      <formula1>liste_priorites</formula1>
    </dataValidation>
    <dataValidation type="date" operator="greaterThanOrEqual" allowBlank="1" showInputMessage="1" showErrorMessage="1" sqref="J131">
      <formula1>730120</formula1>
    </dataValidation>
    <dataValidation type="date" operator="greaterThanOrEqual" allowBlank="1" showInputMessage="1" showErrorMessage="1" sqref="K131">
      <formula1>730120</formula1>
    </dataValidation>
    <dataValidation type="date" operator="greaterThanOrEqual" allowBlank="1" showInputMessage="1" showErrorMessage="1" sqref="L131">
      <formula1>730120</formula1>
    </dataValidation>
    <dataValidation type="whole" allowBlank="1" showInputMessage="1" showErrorMessage="1" sqref="P131">
      <formula1>0</formula1>
      <formula2>100</formula2>
    </dataValidation>
    <dataValidation type="decimal" operator="greaterThanOrEqual" allowBlank="1" showInputMessage="1" showErrorMessage="1" sqref="Q131">
      <formula1>0</formula1>
    </dataValidation>
    <dataValidation type="decimal" operator="greaterThanOrEqual" allowBlank="1" showInputMessage="1" showErrorMessage="1" sqref="R131">
      <formula1>0</formula1>
    </dataValidation>
    <dataValidation type="whole" allowBlank="1" showInputMessage="1" showErrorMessage="1" sqref="U131">
      <formula1>1</formula1>
      <formula2>5</formula2>
    </dataValidation>
    <dataValidation type="whole" allowBlank="1" showInputMessage="1" showErrorMessage="1" sqref="V131">
      <formula1>1</formula1>
      <formula2>5</formula2>
    </dataValidation>
    <dataValidation type="whole" allowBlank="1" showInputMessage="1" showErrorMessage="1" sqref="X131">
      <formula1>1</formula1>
      <formula2>5</formula2>
    </dataValidation>
    <dataValidation type="decimal" operator="greaterThanOrEqual" allowBlank="1" showInputMessage="1" showErrorMessage="1" sqref="Y131">
      <formula1>0</formula1>
    </dataValidation>
    <dataValidation type="whole" operator="greaterThanOrEqual" allowBlank="1" showInputMessage="1" showErrorMessage="1" sqref="Z131">
      <formula1>0</formula1>
    </dataValidation>
    <dataValidation type="whole" allowBlank="1" showInputMessage="1" showErrorMessage="1" sqref="AA131">
      <formula1>1</formula1>
      <formula2>5</formula2>
    </dataValidation>
    <dataValidation type="decimal" allowBlank="1" showInputMessage="1" showErrorMessage="1" sqref="AB131">
      <formula1>0</formula1>
      <formula2>1</formula2>
    </dataValidation>
    <dataValidation type="list" allowBlank="1" showInputMessage="1" showErrorMessage="1" sqref="O131">
      <formula1>liste_statuts</formula1>
    </dataValidation>
    <dataValidation type="list" allowBlank="1" showInputMessage="1" showErrorMessage="1" sqref="B132">
      <formula1>liste_programmes</formula1>
    </dataValidation>
    <dataValidation type="list" allowBlank="1" showInputMessage="1" showErrorMessage="1" sqref="D132">
      <formula1>liste_types</formula1>
    </dataValidation>
    <dataValidation type="list" allowBlank="1" showInputMessage="1" showErrorMessage="1" sqref="F132">
      <formula1>liste_categories</formula1>
    </dataValidation>
    <dataValidation type="list" allowBlank="1" showInputMessage="1" showErrorMessage="1" sqref="G132">
      <formula1>liste_responsables</formula1>
    </dataValidation>
    <dataValidation type="list" allowBlank="1" showInputMessage="1" showErrorMessage="1" sqref="H132">
      <formula1>liste_sites</formula1>
    </dataValidation>
    <dataValidation type="list" allowBlank="1" showInputMessage="1" showErrorMessage="1" sqref="I132">
      <formula1>liste_priorites</formula1>
    </dataValidation>
    <dataValidation type="date" operator="greaterThanOrEqual" allowBlank="1" showInputMessage="1" showErrorMessage="1" sqref="J132">
      <formula1>730120</formula1>
    </dataValidation>
    <dataValidation type="date" operator="greaterThanOrEqual" allowBlank="1" showInputMessage="1" showErrorMessage="1" sqref="K132">
      <formula1>730120</formula1>
    </dataValidation>
    <dataValidation type="date" operator="greaterThanOrEqual" allowBlank="1" showInputMessage="1" showErrorMessage="1" sqref="L132">
      <formula1>730120</formula1>
    </dataValidation>
    <dataValidation type="whole" allowBlank="1" showInputMessage="1" showErrorMessage="1" sqref="P132">
      <formula1>0</formula1>
      <formula2>100</formula2>
    </dataValidation>
    <dataValidation type="decimal" operator="greaterThanOrEqual" allowBlank="1" showInputMessage="1" showErrorMessage="1" sqref="Q132">
      <formula1>0</formula1>
    </dataValidation>
    <dataValidation type="decimal" operator="greaterThanOrEqual" allowBlank="1" showInputMessage="1" showErrorMessage="1" sqref="R132">
      <formula1>0</formula1>
    </dataValidation>
    <dataValidation type="whole" allowBlank="1" showInputMessage="1" showErrorMessage="1" sqref="U132">
      <formula1>1</formula1>
      <formula2>5</formula2>
    </dataValidation>
    <dataValidation type="whole" allowBlank="1" showInputMessage="1" showErrorMessage="1" sqref="V132">
      <formula1>1</formula1>
      <formula2>5</formula2>
    </dataValidation>
    <dataValidation type="whole" allowBlank="1" showInputMessage="1" showErrorMessage="1" sqref="X132">
      <formula1>1</formula1>
      <formula2>5</formula2>
    </dataValidation>
    <dataValidation type="decimal" operator="greaterThanOrEqual" allowBlank="1" showInputMessage="1" showErrorMessage="1" sqref="Y132">
      <formula1>0</formula1>
    </dataValidation>
    <dataValidation type="whole" operator="greaterThanOrEqual" allowBlank="1" showInputMessage="1" showErrorMessage="1" sqref="Z132">
      <formula1>0</formula1>
    </dataValidation>
    <dataValidation type="whole" allowBlank="1" showInputMessage="1" showErrorMessage="1" sqref="AA132">
      <formula1>1</formula1>
      <formula2>5</formula2>
    </dataValidation>
    <dataValidation type="decimal" allowBlank="1" showInputMessage="1" showErrorMessage="1" sqref="AB132">
      <formula1>0</formula1>
      <formula2>1</formula2>
    </dataValidation>
    <dataValidation type="list" allowBlank="1" showInputMessage="1" showErrorMessage="1" sqref="O132">
      <formula1>liste_statuts</formula1>
    </dataValidation>
    <dataValidation type="list" allowBlank="1" showInputMessage="1" showErrorMessage="1" sqref="B133">
      <formula1>liste_programmes</formula1>
    </dataValidation>
    <dataValidation type="list" allowBlank="1" showInputMessage="1" showErrorMessage="1" sqref="D133">
      <formula1>liste_types</formula1>
    </dataValidation>
    <dataValidation type="list" allowBlank="1" showInputMessage="1" showErrorMessage="1" sqref="F133">
      <formula1>liste_categories</formula1>
    </dataValidation>
    <dataValidation type="list" allowBlank="1" showInputMessage="1" showErrorMessage="1" sqref="G133">
      <formula1>liste_responsables</formula1>
    </dataValidation>
    <dataValidation type="list" allowBlank="1" showInputMessage="1" showErrorMessage="1" sqref="H133">
      <formula1>liste_sites</formula1>
    </dataValidation>
    <dataValidation type="list" allowBlank="1" showInputMessage="1" showErrorMessage="1" sqref="I133">
      <formula1>liste_priorites</formula1>
    </dataValidation>
    <dataValidation type="date" operator="greaterThanOrEqual" allowBlank="1" showInputMessage="1" showErrorMessage="1" sqref="J133">
      <formula1>730120</formula1>
    </dataValidation>
    <dataValidation type="date" operator="greaterThanOrEqual" allowBlank="1" showInputMessage="1" showErrorMessage="1" sqref="K133">
      <formula1>730120</formula1>
    </dataValidation>
    <dataValidation type="date" operator="greaterThanOrEqual" allowBlank="1" showInputMessage="1" showErrorMessage="1" sqref="L133">
      <formula1>730120</formula1>
    </dataValidation>
    <dataValidation type="whole" allowBlank="1" showInputMessage="1" showErrorMessage="1" sqref="P133">
      <formula1>0</formula1>
      <formula2>100</formula2>
    </dataValidation>
    <dataValidation type="decimal" operator="greaterThanOrEqual" allowBlank="1" showInputMessage="1" showErrorMessage="1" sqref="Q133">
      <formula1>0</formula1>
    </dataValidation>
    <dataValidation type="decimal" operator="greaterThanOrEqual" allowBlank="1" showInputMessage="1" showErrorMessage="1" sqref="R133">
      <formula1>0</formula1>
    </dataValidation>
    <dataValidation type="whole" allowBlank="1" showInputMessage="1" showErrorMessage="1" sqref="U133">
      <formula1>1</formula1>
      <formula2>5</formula2>
    </dataValidation>
    <dataValidation type="whole" allowBlank="1" showInputMessage="1" showErrorMessage="1" sqref="V133">
      <formula1>1</formula1>
      <formula2>5</formula2>
    </dataValidation>
    <dataValidation type="whole" allowBlank="1" showInputMessage="1" showErrorMessage="1" sqref="X133">
      <formula1>1</formula1>
      <formula2>5</formula2>
    </dataValidation>
    <dataValidation type="decimal" operator="greaterThanOrEqual" allowBlank="1" showInputMessage="1" showErrorMessage="1" sqref="Y133">
      <formula1>0</formula1>
    </dataValidation>
    <dataValidation type="whole" operator="greaterThanOrEqual" allowBlank="1" showInputMessage="1" showErrorMessage="1" sqref="Z133">
      <formula1>0</formula1>
    </dataValidation>
    <dataValidation type="whole" allowBlank="1" showInputMessage="1" showErrorMessage="1" sqref="AA133">
      <formula1>1</formula1>
      <formula2>5</formula2>
    </dataValidation>
    <dataValidation type="decimal" allowBlank="1" showInputMessage="1" showErrorMessage="1" sqref="AB133">
      <formula1>0</formula1>
      <formula2>1</formula2>
    </dataValidation>
    <dataValidation type="list" allowBlank="1" showInputMessage="1" showErrorMessage="1" sqref="O133">
      <formula1>liste_statuts</formula1>
    </dataValidation>
    <dataValidation type="list" allowBlank="1" showInputMessage="1" showErrorMessage="1" sqref="B134">
      <formula1>liste_programmes</formula1>
    </dataValidation>
    <dataValidation type="list" allowBlank="1" showInputMessage="1" showErrorMessage="1" sqref="D134">
      <formula1>liste_types</formula1>
    </dataValidation>
    <dataValidation type="list" allowBlank="1" showInputMessage="1" showErrorMessage="1" sqref="F134">
      <formula1>liste_categories</formula1>
    </dataValidation>
    <dataValidation type="list" allowBlank="1" showInputMessage="1" showErrorMessage="1" sqref="G134">
      <formula1>liste_responsables</formula1>
    </dataValidation>
    <dataValidation type="list" allowBlank="1" showInputMessage="1" showErrorMessage="1" sqref="H134">
      <formula1>liste_sites</formula1>
    </dataValidation>
    <dataValidation type="list" allowBlank="1" showInputMessage="1" showErrorMessage="1" sqref="I134">
      <formula1>liste_priorites</formula1>
    </dataValidation>
    <dataValidation type="date" operator="greaterThanOrEqual" allowBlank="1" showInputMessage="1" showErrorMessage="1" sqref="J134">
      <formula1>730120</formula1>
    </dataValidation>
    <dataValidation type="date" operator="greaterThanOrEqual" allowBlank="1" showInputMessage="1" showErrorMessage="1" sqref="K134">
      <formula1>730120</formula1>
    </dataValidation>
    <dataValidation type="date" operator="greaterThanOrEqual" allowBlank="1" showInputMessage="1" showErrorMessage="1" sqref="L134">
      <formula1>730120</formula1>
    </dataValidation>
    <dataValidation type="whole" allowBlank="1" showInputMessage="1" showErrorMessage="1" sqref="P134">
      <formula1>0</formula1>
      <formula2>100</formula2>
    </dataValidation>
    <dataValidation type="decimal" operator="greaterThanOrEqual" allowBlank="1" showInputMessage="1" showErrorMessage="1" sqref="Q134">
      <formula1>0</formula1>
    </dataValidation>
    <dataValidation type="decimal" operator="greaterThanOrEqual" allowBlank="1" showInputMessage="1" showErrorMessage="1" sqref="R134">
      <formula1>0</formula1>
    </dataValidation>
    <dataValidation type="whole" allowBlank="1" showInputMessage="1" showErrorMessage="1" sqref="U134">
      <formula1>1</formula1>
      <formula2>5</formula2>
    </dataValidation>
    <dataValidation type="whole" allowBlank="1" showInputMessage="1" showErrorMessage="1" sqref="V134">
      <formula1>1</formula1>
      <formula2>5</formula2>
    </dataValidation>
    <dataValidation type="whole" allowBlank="1" showInputMessage="1" showErrorMessage="1" sqref="X134">
      <formula1>1</formula1>
      <formula2>5</formula2>
    </dataValidation>
    <dataValidation type="decimal" operator="greaterThanOrEqual" allowBlank="1" showInputMessage="1" showErrorMessage="1" sqref="Y134">
      <formula1>0</formula1>
    </dataValidation>
    <dataValidation type="whole" operator="greaterThanOrEqual" allowBlank="1" showInputMessage="1" showErrorMessage="1" sqref="Z134">
      <formula1>0</formula1>
    </dataValidation>
    <dataValidation type="whole" allowBlank="1" showInputMessage="1" showErrorMessage="1" sqref="AA134">
      <formula1>1</formula1>
      <formula2>5</formula2>
    </dataValidation>
    <dataValidation type="decimal" allowBlank="1" showInputMessage="1" showErrorMessage="1" sqref="AB134">
      <formula1>0</formula1>
      <formula2>1</formula2>
    </dataValidation>
    <dataValidation type="list" allowBlank="1" showInputMessage="1" showErrorMessage="1" sqref="O134">
      <formula1>liste_statuts</formula1>
    </dataValidation>
    <dataValidation type="list" allowBlank="1" showInputMessage="1" showErrorMessage="1" sqref="B135">
      <formula1>liste_programmes</formula1>
    </dataValidation>
    <dataValidation type="list" allowBlank="1" showInputMessage="1" showErrorMessage="1" sqref="D135">
      <formula1>liste_types</formula1>
    </dataValidation>
    <dataValidation type="list" allowBlank="1" showInputMessage="1" showErrorMessage="1" sqref="F135">
      <formula1>liste_categories</formula1>
    </dataValidation>
    <dataValidation type="list" allowBlank="1" showInputMessage="1" showErrorMessage="1" sqref="G135">
      <formula1>liste_responsables</formula1>
    </dataValidation>
    <dataValidation type="list" allowBlank="1" showInputMessage="1" showErrorMessage="1" sqref="H135">
      <formula1>liste_sites</formula1>
    </dataValidation>
    <dataValidation type="list" allowBlank="1" showInputMessage="1" showErrorMessage="1" sqref="I135">
      <formula1>liste_priorites</formula1>
    </dataValidation>
    <dataValidation type="date" operator="greaterThanOrEqual" allowBlank="1" showInputMessage="1" showErrorMessage="1" sqref="J135">
      <formula1>730120</formula1>
    </dataValidation>
    <dataValidation type="date" operator="greaterThanOrEqual" allowBlank="1" showInputMessage="1" showErrorMessage="1" sqref="K135">
      <formula1>730120</formula1>
    </dataValidation>
    <dataValidation type="date" operator="greaterThanOrEqual" allowBlank="1" showInputMessage="1" showErrorMessage="1" sqref="L135">
      <formula1>730120</formula1>
    </dataValidation>
    <dataValidation type="whole" allowBlank="1" showInputMessage="1" showErrorMessage="1" sqref="P135">
      <formula1>0</formula1>
      <formula2>100</formula2>
    </dataValidation>
    <dataValidation type="decimal" operator="greaterThanOrEqual" allowBlank="1" showInputMessage="1" showErrorMessage="1" sqref="Q135">
      <formula1>0</formula1>
    </dataValidation>
    <dataValidation type="decimal" operator="greaterThanOrEqual" allowBlank="1" showInputMessage="1" showErrorMessage="1" sqref="R135">
      <formula1>0</formula1>
    </dataValidation>
    <dataValidation type="whole" allowBlank="1" showInputMessage="1" showErrorMessage="1" sqref="U135">
      <formula1>1</formula1>
      <formula2>5</formula2>
    </dataValidation>
    <dataValidation type="whole" allowBlank="1" showInputMessage="1" showErrorMessage="1" sqref="V135">
      <formula1>1</formula1>
      <formula2>5</formula2>
    </dataValidation>
    <dataValidation type="whole" allowBlank="1" showInputMessage="1" showErrorMessage="1" sqref="X135">
      <formula1>1</formula1>
      <formula2>5</formula2>
    </dataValidation>
    <dataValidation type="decimal" operator="greaterThanOrEqual" allowBlank="1" showInputMessage="1" showErrorMessage="1" sqref="Y135">
      <formula1>0</formula1>
    </dataValidation>
    <dataValidation type="whole" operator="greaterThanOrEqual" allowBlank="1" showInputMessage="1" showErrorMessage="1" sqref="Z135">
      <formula1>0</formula1>
    </dataValidation>
    <dataValidation type="whole" allowBlank="1" showInputMessage="1" showErrorMessage="1" sqref="AA135">
      <formula1>1</formula1>
      <formula2>5</formula2>
    </dataValidation>
    <dataValidation type="decimal" allowBlank="1" showInputMessage="1" showErrorMessage="1" sqref="AB135">
      <formula1>0</formula1>
      <formula2>1</formula2>
    </dataValidation>
    <dataValidation type="list" allowBlank="1" showInputMessage="1" showErrorMessage="1" sqref="O135">
      <formula1>liste_statuts</formula1>
    </dataValidation>
    <dataValidation type="list" allowBlank="1" showInputMessage="1" showErrorMessage="1" sqref="B136">
      <formula1>liste_programmes</formula1>
    </dataValidation>
    <dataValidation type="list" allowBlank="1" showInputMessage="1" showErrorMessage="1" sqref="D136">
      <formula1>liste_types</formula1>
    </dataValidation>
    <dataValidation type="list" allowBlank="1" showInputMessage="1" showErrorMessage="1" sqref="F136">
      <formula1>liste_categories</formula1>
    </dataValidation>
    <dataValidation type="list" allowBlank="1" showInputMessage="1" showErrorMessage="1" sqref="G136">
      <formula1>liste_responsables</formula1>
    </dataValidation>
    <dataValidation type="list" allowBlank="1" showInputMessage="1" showErrorMessage="1" sqref="H136">
      <formula1>liste_sites</formula1>
    </dataValidation>
    <dataValidation type="list" allowBlank="1" showInputMessage="1" showErrorMessage="1" sqref="I136">
      <formula1>liste_priorites</formula1>
    </dataValidation>
    <dataValidation type="date" operator="greaterThanOrEqual" allowBlank="1" showInputMessage="1" showErrorMessage="1" sqref="J136">
      <formula1>730120</formula1>
    </dataValidation>
    <dataValidation type="date" operator="greaterThanOrEqual" allowBlank="1" showInputMessage="1" showErrorMessage="1" sqref="K136">
      <formula1>730120</formula1>
    </dataValidation>
    <dataValidation type="date" operator="greaterThanOrEqual" allowBlank="1" showInputMessage="1" showErrorMessage="1" sqref="L136">
      <formula1>730120</formula1>
    </dataValidation>
    <dataValidation type="whole" allowBlank="1" showInputMessage="1" showErrorMessage="1" sqref="P136">
      <formula1>0</formula1>
      <formula2>100</formula2>
    </dataValidation>
    <dataValidation type="decimal" operator="greaterThanOrEqual" allowBlank="1" showInputMessage="1" showErrorMessage="1" sqref="Q136">
      <formula1>0</formula1>
    </dataValidation>
    <dataValidation type="decimal" operator="greaterThanOrEqual" allowBlank="1" showInputMessage="1" showErrorMessage="1" sqref="R136">
      <formula1>0</formula1>
    </dataValidation>
    <dataValidation type="whole" allowBlank="1" showInputMessage="1" showErrorMessage="1" sqref="U136">
      <formula1>1</formula1>
      <formula2>5</formula2>
    </dataValidation>
    <dataValidation type="whole" allowBlank="1" showInputMessage="1" showErrorMessage="1" sqref="V136">
      <formula1>1</formula1>
      <formula2>5</formula2>
    </dataValidation>
    <dataValidation type="whole" allowBlank="1" showInputMessage="1" showErrorMessage="1" sqref="X136">
      <formula1>1</formula1>
      <formula2>5</formula2>
    </dataValidation>
    <dataValidation type="decimal" operator="greaterThanOrEqual" allowBlank="1" showInputMessage="1" showErrorMessage="1" sqref="Y136">
      <formula1>0</formula1>
    </dataValidation>
    <dataValidation type="whole" operator="greaterThanOrEqual" allowBlank="1" showInputMessage="1" showErrorMessage="1" sqref="Z136">
      <formula1>0</formula1>
    </dataValidation>
    <dataValidation type="whole" allowBlank="1" showInputMessage="1" showErrorMessage="1" sqref="AA136">
      <formula1>1</formula1>
      <formula2>5</formula2>
    </dataValidation>
    <dataValidation type="decimal" allowBlank="1" showInputMessage="1" showErrorMessage="1" sqref="AB136">
      <formula1>0</formula1>
      <formula2>1</formula2>
    </dataValidation>
    <dataValidation type="list" allowBlank="1" showInputMessage="1" showErrorMessage="1" sqref="O136">
      <formula1>liste_statuts</formula1>
    </dataValidation>
    <dataValidation type="list" allowBlank="1" showInputMessage="1" showErrorMessage="1" sqref="B137">
      <formula1>liste_programmes</formula1>
    </dataValidation>
    <dataValidation type="list" allowBlank="1" showInputMessage="1" showErrorMessage="1" sqref="D137">
      <formula1>liste_types</formula1>
    </dataValidation>
    <dataValidation type="list" allowBlank="1" showInputMessage="1" showErrorMessage="1" sqref="F137">
      <formula1>liste_categories</formula1>
    </dataValidation>
    <dataValidation type="list" allowBlank="1" showInputMessage="1" showErrorMessage="1" sqref="G137">
      <formula1>liste_responsables</formula1>
    </dataValidation>
    <dataValidation type="list" allowBlank="1" showInputMessage="1" showErrorMessage="1" sqref="H137">
      <formula1>liste_sites</formula1>
    </dataValidation>
    <dataValidation type="list" allowBlank="1" showInputMessage="1" showErrorMessage="1" sqref="I137">
      <formula1>liste_priorites</formula1>
    </dataValidation>
    <dataValidation type="date" operator="greaterThanOrEqual" allowBlank="1" showInputMessage="1" showErrorMessage="1" sqref="J137">
      <formula1>730120</formula1>
    </dataValidation>
    <dataValidation type="date" operator="greaterThanOrEqual" allowBlank="1" showInputMessage="1" showErrorMessage="1" sqref="K137">
      <formula1>730120</formula1>
    </dataValidation>
    <dataValidation type="date" operator="greaterThanOrEqual" allowBlank="1" showInputMessage="1" showErrorMessage="1" sqref="L137">
      <formula1>730120</formula1>
    </dataValidation>
    <dataValidation type="whole" allowBlank="1" showInputMessage="1" showErrorMessage="1" sqref="P137">
      <formula1>0</formula1>
      <formula2>100</formula2>
    </dataValidation>
    <dataValidation type="decimal" operator="greaterThanOrEqual" allowBlank="1" showInputMessage="1" showErrorMessage="1" sqref="Q137">
      <formula1>0</formula1>
    </dataValidation>
    <dataValidation type="decimal" operator="greaterThanOrEqual" allowBlank="1" showInputMessage="1" showErrorMessage="1" sqref="R137">
      <formula1>0</formula1>
    </dataValidation>
    <dataValidation type="whole" allowBlank="1" showInputMessage="1" showErrorMessage="1" sqref="U137">
      <formula1>1</formula1>
      <formula2>5</formula2>
    </dataValidation>
    <dataValidation type="whole" allowBlank="1" showInputMessage="1" showErrorMessage="1" sqref="V137">
      <formula1>1</formula1>
      <formula2>5</formula2>
    </dataValidation>
    <dataValidation type="whole" allowBlank="1" showInputMessage="1" showErrorMessage="1" sqref="X137">
      <formula1>1</formula1>
      <formula2>5</formula2>
    </dataValidation>
    <dataValidation type="decimal" operator="greaterThanOrEqual" allowBlank="1" showInputMessage="1" showErrorMessage="1" sqref="Y137">
      <formula1>0</formula1>
    </dataValidation>
    <dataValidation type="whole" operator="greaterThanOrEqual" allowBlank="1" showInputMessage="1" showErrorMessage="1" sqref="Z137">
      <formula1>0</formula1>
    </dataValidation>
    <dataValidation type="whole" allowBlank="1" showInputMessage="1" showErrorMessage="1" sqref="AA137">
      <formula1>1</formula1>
      <formula2>5</formula2>
    </dataValidation>
    <dataValidation type="decimal" allowBlank="1" showInputMessage="1" showErrorMessage="1" sqref="AB137">
      <formula1>0</formula1>
      <formula2>1</formula2>
    </dataValidation>
    <dataValidation type="list" allowBlank="1" showInputMessage="1" showErrorMessage="1" sqref="O137">
      <formula1>liste_statuts</formula1>
    </dataValidation>
    <dataValidation type="list" allowBlank="1" showInputMessage="1" showErrorMessage="1" sqref="B138">
      <formula1>liste_programmes</formula1>
    </dataValidation>
    <dataValidation type="list" allowBlank="1" showInputMessage="1" showErrorMessage="1" sqref="D138">
      <formula1>liste_types</formula1>
    </dataValidation>
    <dataValidation type="list" allowBlank="1" showInputMessage="1" showErrorMessage="1" sqref="F138">
      <formula1>liste_categories</formula1>
    </dataValidation>
    <dataValidation type="list" allowBlank="1" showInputMessage="1" showErrorMessage="1" sqref="G138">
      <formula1>liste_responsables</formula1>
    </dataValidation>
    <dataValidation type="list" allowBlank="1" showInputMessage="1" showErrorMessage="1" sqref="H138">
      <formula1>liste_sites</formula1>
    </dataValidation>
    <dataValidation type="list" allowBlank="1" showInputMessage="1" showErrorMessage="1" sqref="I138">
      <formula1>liste_priorites</formula1>
    </dataValidation>
    <dataValidation type="date" operator="greaterThanOrEqual" allowBlank="1" showInputMessage="1" showErrorMessage="1" sqref="J138">
      <formula1>730120</formula1>
    </dataValidation>
    <dataValidation type="date" operator="greaterThanOrEqual" allowBlank="1" showInputMessage="1" showErrorMessage="1" sqref="K138">
      <formula1>730120</formula1>
    </dataValidation>
    <dataValidation type="date" operator="greaterThanOrEqual" allowBlank="1" showInputMessage="1" showErrorMessage="1" sqref="L138">
      <formula1>730120</formula1>
    </dataValidation>
    <dataValidation type="whole" allowBlank="1" showInputMessage="1" showErrorMessage="1" sqref="P138">
      <formula1>0</formula1>
      <formula2>100</formula2>
    </dataValidation>
    <dataValidation type="decimal" operator="greaterThanOrEqual" allowBlank="1" showInputMessage="1" showErrorMessage="1" sqref="Q138">
      <formula1>0</formula1>
    </dataValidation>
    <dataValidation type="decimal" operator="greaterThanOrEqual" allowBlank="1" showInputMessage="1" showErrorMessage="1" sqref="R138">
      <formula1>0</formula1>
    </dataValidation>
    <dataValidation type="whole" allowBlank="1" showInputMessage="1" showErrorMessage="1" sqref="U138">
      <formula1>1</formula1>
      <formula2>5</formula2>
    </dataValidation>
    <dataValidation type="whole" allowBlank="1" showInputMessage="1" showErrorMessage="1" sqref="V138">
      <formula1>1</formula1>
      <formula2>5</formula2>
    </dataValidation>
    <dataValidation type="whole" allowBlank="1" showInputMessage="1" showErrorMessage="1" sqref="X138">
      <formula1>1</formula1>
      <formula2>5</formula2>
    </dataValidation>
    <dataValidation type="decimal" operator="greaterThanOrEqual" allowBlank="1" showInputMessage="1" showErrorMessage="1" sqref="Y138">
      <formula1>0</formula1>
    </dataValidation>
    <dataValidation type="whole" operator="greaterThanOrEqual" allowBlank="1" showInputMessage="1" showErrorMessage="1" sqref="Z138">
      <formula1>0</formula1>
    </dataValidation>
    <dataValidation type="whole" allowBlank="1" showInputMessage="1" showErrorMessage="1" sqref="AA138">
      <formula1>1</formula1>
      <formula2>5</formula2>
    </dataValidation>
    <dataValidation type="decimal" allowBlank="1" showInputMessage="1" showErrorMessage="1" sqref="AB138">
      <formula1>0</formula1>
      <formula2>1</formula2>
    </dataValidation>
    <dataValidation type="list" allowBlank="1" showInputMessage="1" showErrorMessage="1" sqref="O138">
      <formula1>liste_statuts</formula1>
    </dataValidation>
    <dataValidation type="list" allowBlank="1" showInputMessage="1" showErrorMessage="1" sqref="B139">
      <formula1>liste_programmes</formula1>
    </dataValidation>
    <dataValidation type="list" allowBlank="1" showInputMessage="1" showErrorMessage="1" sqref="D139">
      <formula1>liste_types</formula1>
    </dataValidation>
    <dataValidation type="list" allowBlank="1" showInputMessage="1" showErrorMessage="1" sqref="F139">
      <formula1>liste_categories</formula1>
    </dataValidation>
    <dataValidation type="list" allowBlank="1" showInputMessage="1" showErrorMessage="1" sqref="G139">
      <formula1>liste_responsables</formula1>
    </dataValidation>
    <dataValidation type="list" allowBlank="1" showInputMessage="1" showErrorMessage="1" sqref="H139">
      <formula1>liste_sites</formula1>
    </dataValidation>
    <dataValidation type="list" allowBlank="1" showInputMessage="1" showErrorMessage="1" sqref="I139">
      <formula1>liste_priorites</formula1>
    </dataValidation>
    <dataValidation type="date" operator="greaterThanOrEqual" allowBlank="1" showInputMessage="1" showErrorMessage="1" sqref="J139">
      <formula1>730120</formula1>
    </dataValidation>
    <dataValidation type="date" operator="greaterThanOrEqual" allowBlank="1" showInputMessage="1" showErrorMessage="1" sqref="K139">
      <formula1>730120</formula1>
    </dataValidation>
    <dataValidation type="date" operator="greaterThanOrEqual" allowBlank="1" showInputMessage="1" showErrorMessage="1" sqref="L139">
      <formula1>730120</formula1>
    </dataValidation>
    <dataValidation type="whole" allowBlank="1" showInputMessage="1" showErrorMessage="1" sqref="P139">
      <formula1>0</formula1>
      <formula2>100</formula2>
    </dataValidation>
    <dataValidation type="decimal" operator="greaterThanOrEqual" allowBlank="1" showInputMessage="1" showErrorMessage="1" sqref="Q139">
      <formula1>0</formula1>
    </dataValidation>
    <dataValidation type="decimal" operator="greaterThanOrEqual" allowBlank="1" showInputMessage="1" showErrorMessage="1" sqref="R139">
      <formula1>0</formula1>
    </dataValidation>
    <dataValidation type="whole" allowBlank="1" showInputMessage="1" showErrorMessage="1" sqref="U139">
      <formula1>1</formula1>
      <formula2>5</formula2>
    </dataValidation>
    <dataValidation type="whole" allowBlank="1" showInputMessage="1" showErrorMessage="1" sqref="V139">
      <formula1>1</formula1>
      <formula2>5</formula2>
    </dataValidation>
    <dataValidation type="whole" allowBlank="1" showInputMessage="1" showErrorMessage="1" sqref="X139">
      <formula1>1</formula1>
      <formula2>5</formula2>
    </dataValidation>
    <dataValidation type="decimal" operator="greaterThanOrEqual" allowBlank="1" showInputMessage="1" showErrorMessage="1" sqref="Y139">
      <formula1>0</formula1>
    </dataValidation>
    <dataValidation type="whole" operator="greaterThanOrEqual" allowBlank="1" showInputMessage="1" showErrorMessage="1" sqref="Z139">
      <formula1>0</formula1>
    </dataValidation>
    <dataValidation type="whole" allowBlank="1" showInputMessage="1" showErrorMessage="1" sqref="AA139">
      <formula1>1</formula1>
      <formula2>5</formula2>
    </dataValidation>
    <dataValidation type="decimal" allowBlank="1" showInputMessage="1" showErrorMessage="1" sqref="AB139">
      <formula1>0</formula1>
      <formula2>1</formula2>
    </dataValidation>
    <dataValidation type="list" allowBlank="1" showInputMessage="1" showErrorMessage="1" sqref="O139">
      <formula1>liste_statuts</formula1>
    </dataValidation>
    <dataValidation type="list" allowBlank="1" showInputMessage="1" showErrorMessage="1" sqref="B140">
      <formula1>liste_programmes</formula1>
    </dataValidation>
    <dataValidation type="list" allowBlank="1" showInputMessage="1" showErrorMessage="1" sqref="D140">
      <formula1>liste_types</formula1>
    </dataValidation>
    <dataValidation type="list" allowBlank="1" showInputMessage="1" showErrorMessage="1" sqref="F140">
      <formula1>liste_categories</formula1>
    </dataValidation>
    <dataValidation type="list" allowBlank="1" showInputMessage="1" showErrorMessage="1" sqref="G140">
      <formula1>liste_responsables</formula1>
    </dataValidation>
    <dataValidation type="list" allowBlank="1" showInputMessage="1" showErrorMessage="1" sqref="H140">
      <formula1>liste_sites</formula1>
    </dataValidation>
    <dataValidation type="list" allowBlank="1" showInputMessage="1" showErrorMessage="1" sqref="I140">
      <formula1>liste_priorites</formula1>
    </dataValidation>
    <dataValidation type="date" operator="greaterThanOrEqual" allowBlank="1" showInputMessage="1" showErrorMessage="1" sqref="J140">
      <formula1>730120</formula1>
    </dataValidation>
    <dataValidation type="date" operator="greaterThanOrEqual" allowBlank="1" showInputMessage="1" showErrorMessage="1" sqref="K140">
      <formula1>730120</formula1>
    </dataValidation>
    <dataValidation type="date" operator="greaterThanOrEqual" allowBlank="1" showInputMessage="1" showErrorMessage="1" sqref="L140">
      <formula1>730120</formula1>
    </dataValidation>
    <dataValidation type="whole" allowBlank="1" showInputMessage="1" showErrorMessage="1" sqref="P140">
      <formula1>0</formula1>
      <formula2>100</formula2>
    </dataValidation>
    <dataValidation type="decimal" operator="greaterThanOrEqual" allowBlank="1" showInputMessage="1" showErrorMessage="1" sqref="Q140">
      <formula1>0</formula1>
    </dataValidation>
    <dataValidation type="decimal" operator="greaterThanOrEqual" allowBlank="1" showInputMessage="1" showErrorMessage="1" sqref="R140">
      <formula1>0</formula1>
    </dataValidation>
    <dataValidation type="whole" allowBlank="1" showInputMessage="1" showErrorMessage="1" sqref="U140">
      <formula1>1</formula1>
      <formula2>5</formula2>
    </dataValidation>
    <dataValidation type="whole" allowBlank="1" showInputMessage="1" showErrorMessage="1" sqref="V140">
      <formula1>1</formula1>
      <formula2>5</formula2>
    </dataValidation>
    <dataValidation type="whole" allowBlank="1" showInputMessage="1" showErrorMessage="1" sqref="X140">
      <formula1>1</formula1>
      <formula2>5</formula2>
    </dataValidation>
    <dataValidation type="decimal" operator="greaterThanOrEqual" allowBlank="1" showInputMessage="1" showErrorMessage="1" sqref="Y140">
      <formula1>0</formula1>
    </dataValidation>
    <dataValidation type="whole" operator="greaterThanOrEqual" allowBlank="1" showInputMessage="1" showErrorMessage="1" sqref="Z140">
      <formula1>0</formula1>
    </dataValidation>
    <dataValidation type="whole" allowBlank="1" showInputMessage="1" showErrorMessage="1" sqref="AA140">
      <formula1>1</formula1>
      <formula2>5</formula2>
    </dataValidation>
    <dataValidation type="decimal" allowBlank="1" showInputMessage="1" showErrorMessage="1" sqref="AB140">
      <formula1>0</formula1>
      <formula2>1</formula2>
    </dataValidation>
    <dataValidation type="list" allowBlank="1" showInputMessage="1" showErrorMessage="1" sqref="O140">
      <formula1>liste_statuts</formula1>
    </dataValidation>
    <dataValidation type="list" allowBlank="1" showInputMessage="1" showErrorMessage="1" sqref="B141">
      <formula1>liste_programmes</formula1>
    </dataValidation>
    <dataValidation type="list" allowBlank="1" showInputMessage="1" showErrorMessage="1" sqref="D141">
      <formula1>liste_types</formula1>
    </dataValidation>
    <dataValidation type="list" allowBlank="1" showInputMessage="1" showErrorMessage="1" sqref="F141">
      <formula1>liste_categories</formula1>
    </dataValidation>
    <dataValidation type="list" allowBlank="1" showInputMessage="1" showErrorMessage="1" sqref="G141">
      <formula1>liste_responsables</formula1>
    </dataValidation>
    <dataValidation type="list" allowBlank="1" showInputMessage="1" showErrorMessage="1" sqref="H141">
      <formula1>liste_sites</formula1>
    </dataValidation>
    <dataValidation type="list" allowBlank="1" showInputMessage="1" showErrorMessage="1" sqref="I141">
      <formula1>liste_priorites</formula1>
    </dataValidation>
    <dataValidation type="date" operator="greaterThanOrEqual" allowBlank="1" showInputMessage="1" showErrorMessage="1" sqref="J141">
      <formula1>730120</formula1>
    </dataValidation>
    <dataValidation type="date" operator="greaterThanOrEqual" allowBlank="1" showInputMessage="1" showErrorMessage="1" sqref="K141">
      <formula1>730120</formula1>
    </dataValidation>
    <dataValidation type="date" operator="greaterThanOrEqual" allowBlank="1" showInputMessage="1" showErrorMessage="1" sqref="L141">
      <formula1>730120</formula1>
    </dataValidation>
    <dataValidation type="whole" allowBlank="1" showInputMessage="1" showErrorMessage="1" sqref="P141">
      <formula1>0</formula1>
      <formula2>100</formula2>
    </dataValidation>
    <dataValidation type="decimal" operator="greaterThanOrEqual" allowBlank="1" showInputMessage="1" showErrorMessage="1" sqref="Q141">
      <formula1>0</formula1>
    </dataValidation>
    <dataValidation type="decimal" operator="greaterThanOrEqual" allowBlank="1" showInputMessage="1" showErrorMessage="1" sqref="R141">
      <formula1>0</formula1>
    </dataValidation>
    <dataValidation type="whole" allowBlank="1" showInputMessage="1" showErrorMessage="1" sqref="U141">
      <formula1>1</formula1>
      <formula2>5</formula2>
    </dataValidation>
    <dataValidation type="whole" allowBlank="1" showInputMessage="1" showErrorMessage="1" sqref="V141">
      <formula1>1</formula1>
      <formula2>5</formula2>
    </dataValidation>
    <dataValidation type="whole" allowBlank="1" showInputMessage="1" showErrorMessage="1" sqref="X141">
      <formula1>1</formula1>
      <formula2>5</formula2>
    </dataValidation>
    <dataValidation type="decimal" operator="greaterThanOrEqual" allowBlank="1" showInputMessage="1" showErrorMessage="1" sqref="Y141">
      <formula1>0</formula1>
    </dataValidation>
    <dataValidation type="whole" operator="greaterThanOrEqual" allowBlank="1" showInputMessage="1" showErrorMessage="1" sqref="Z141">
      <formula1>0</formula1>
    </dataValidation>
    <dataValidation type="whole" allowBlank="1" showInputMessage="1" showErrorMessage="1" sqref="AA141">
      <formula1>1</formula1>
      <formula2>5</formula2>
    </dataValidation>
    <dataValidation type="decimal" allowBlank="1" showInputMessage="1" showErrorMessage="1" sqref="AB141">
      <formula1>0</formula1>
      <formula2>1</formula2>
    </dataValidation>
    <dataValidation type="list" allowBlank="1" showInputMessage="1" showErrorMessage="1" sqref="O141">
      <formula1>liste_statuts</formula1>
    </dataValidation>
    <dataValidation type="list" allowBlank="1" showInputMessage="1" showErrorMessage="1" sqref="B142">
      <formula1>liste_programmes</formula1>
    </dataValidation>
    <dataValidation type="list" allowBlank="1" showInputMessage="1" showErrorMessage="1" sqref="D142">
      <formula1>liste_types</formula1>
    </dataValidation>
    <dataValidation type="list" allowBlank="1" showInputMessage="1" showErrorMessage="1" sqref="F142">
      <formula1>liste_categories</formula1>
    </dataValidation>
    <dataValidation type="list" allowBlank="1" showInputMessage="1" showErrorMessage="1" sqref="G142">
      <formula1>liste_responsables</formula1>
    </dataValidation>
    <dataValidation type="list" allowBlank="1" showInputMessage="1" showErrorMessage="1" sqref="H142">
      <formula1>liste_sites</formula1>
    </dataValidation>
    <dataValidation type="list" allowBlank="1" showInputMessage="1" showErrorMessage="1" sqref="I142">
      <formula1>liste_priorites</formula1>
    </dataValidation>
    <dataValidation type="date" operator="greaterThanOrEqual" allowBlank="1" showInputMessage="1" showErrorMessage="1" sqref="J142">
      <formula1>730120</formula1>
    </dataValidation>
    <dataValidation type="date" operator="greaterThanOrEqual" allowBlank="1" showInputMessage="1" showErrorMessage="1" sqref="K142">
      <formula1>730120</formula1>
    </dataValidation>
    <dataValidation type="date" operator="greaterThanOrEqual" allowBlank="1" showInputMessage="1" showErrorMessage="1" sqref="L142">
      <formula1>730120</formula1>
    </dataValidation>
    <dataValidation type="whole" allowBlank="1" showInputMessage="1" showErrorMessage="1" sqref="P142">
      <formula1>0</formula1>
      <formula2>100</formula2>
    </dataValidation>
    <dataValidation type="decimal" operator="greaterThanOrEqual" allowBlank="1" showInputMessage="1" showErrorMessage="1" sqref="Q142">
      <formula1>0</formula1>
    </dataValidation>
    <dataValidation type="decimal" operator="greaterThanOrEqual" allowBlank="1" showInputMessage="1" showErrorMessage="1" sqref="R142">
      <formula1>0</formula1>
    </dataValidation>
    <dataValidation type="whole" allowBlank="1" showInputMessage="1" showErrorMessage="1" sqref="U142">
      <formula1>1</formula1>
      <formula2>5</formula2>
    </dataValidation>
    <dataValidation type="whole" allowBlank="1" showInputMessage="1" showErrorMessage="1" sqref="V142">
      <formula1>1</formula1>
      <formula2>5</formula2>
    </dataValidation>
    <dataValidation type="whole" allowBlank="1" showInputMessage="1" showErrorMessage="1" sqref="X142">
      <formula1>1</formula1>
      <formula2>5</formula2>
    </dataValidation>
    <dataValidation type="decimal" operator="greaterThanOrEqual" allowBlank="1" showInputMessage="1" showErrorMessage="1" sqref="Y142">
      <formula1>0</formula1>
    </dataValidation>
    <dataValidation type="whole" operator="greaterThanOrEqual" allowBlank="1" showInputMessage="1" showErrorMessage="1" sqref="Z142">
      <formula1>0</formula1>
    </dataValidation>
    <dataValidation type="whole" allowBlank="1" showInputMessage="1" showErrorMessage="1" sqref="AA142">
      <formula1>1</formula1>
      <formula2>5</formula2>
    </dataValidation>
    <dataValidation type="decimal" allowBlank="1" showInputMessage="1" showErrorMessage="1" sqref="AB142">
      <formula1>0</formula1>
      <formula2>1</formula2>
    </dataValidation>
    <dataValidation type="list" allowBlank="1" showInputMessage="1" showErrorMessage="1" sqref="O142">
      <formula1>liste_statuts</formula1>
    </dataValidation>
    <dataValidation type="list" allowBlank="1" showInputMessage="1" showErrorMessage="1" sqref="B143">
      <formula1>liste_programmes</formula1>
    </dataValidation>
    <dataValidation type="list" allowBlank="1" showInputMessage="1" showErrorMessage="1" sqref="D143">
      <formula1>liste_types</formula1>
    </dataValidation>
    <dataValidation type="list" allowBlank="1" showInputMessage="1" showErrorMessage="1" sqref="F143">
      <formula1>liste_categories</formula1>
    </dataValidation>
    <dataValidation type="list" allowBlank="1" showInputMessage="1" showErrorMessage="1" sqref="G143">
      <formula1>liste_responsables</formula1>
    </dataValidation>
    <dataValidation type="list" allowBlank="1" showInputMessage="1" showErrorMessage="1" sqref="H143">
      <formula1>liste_sites</formula1>
    </dataValidation>
    <dataValidation type="list" allowBlank="1" showInputMessage="1" showErrorMessage="1" sqref="I143">
      <formula1>liste_priorites</formula1>
    </dataValidation>
    <dataValidation type="date" operator="greaterThanOrEqual" allowBlank="1" showInputMessage="1" showErrorMessage="1" sqref="J143">
      <formula1>730120</formula1>
    </dataValidation>
    <dataValidation type="date" operator="greaterThanOrEqual" allowBlank="1" showInputMessage="1" showErrorMessage="1" sqref="K143">
      <formula1>730120</formula1>
    </dataValidation>
    <dataValidation type="date" operator="greaterThanOrEqual" allowBlank="1" showInputMessage="1" showErrorMessage="1" sqref="L143">
      <formula1>730120</formula1>
    </dataValidation>
    <dataValidation type="whole" allowBlank="1" showInputMessage="1" showErrorMessage="1" sqref="P143">
      <formula1>0</formula1>
      <formula2>100</formula2>
    </dataValidation>
    <dataValidation type="decimal" operator="greaterThanOrEqual" allowBlank="1" showInputMessage="1" showErrorMessage="1" sqref="Q143">
      <formula1>0</formula1>
    </dataValidation>
    <dataValidation type="decimal" operator="greaterThanOrEqual" allowBlank="1" showInputMessage="1" showErrorMessage="1" sqref="R143">
      <formula1>0</formula1>
    </dataValidation>
    <dataValidation type="whole" allowBlank="1" showInputMessage="1" showErrorMessage="1" sqref="U143">
      <formula1>1</formula1>
      <formula2>5</formula2>
    </dataValidation>
    <dataValidation type="whole" allowBlank="1" showInputMessage="1" showErrorMessage="1" sqref="V143">
      <formula1>1</formula1>
      <formula2>5</formula2>
    </dataValidation>
    <dataValidation type="whole" allowBlank="1" showInputMessage="1" showErrorMessage="1" sqref="X143">
      <formula1>1</formula1>
      <formula2>5</formula2>
    </dataValidation>
    <dataValidation type="decimal" operator="greaterThanOrEqual" allowBlank="1" showInputMessage="1" showErrorMessage="1" sqref="Y143">
      <formula1>0</formula1>
    </dataValidation>
    <dataValidation type="whole" operator="greaterThanOrEqual" allowBlank="1" showInputMessage="1" showErrorMessage="1" sqref="Z143">
      <formula1>0</formula1>
    </dataValidation>
    <dataValidation type="whole" allowBlank="1" showInputMessage="1" showErrorMessage="1" sqref="AA143">
      <formula1>1</formula1>
      <formula2>5</formula2>
    </dataValidation>
    <dataValidation type="decimal" allowBlank="1" showInputMessage="1" showErrorMessage="1" sqref="AB143">
      <formula1>0</formula1>
      <formula2>1</formula2>
    </dataValidation>
    <dataValidation type="list" allowBlank="1" showInputMessage="1" showErrorMessage="1" sqref="O143">
      <formula1>liste_statuts</formula1>
    </dataValidation>
    <dataValidation type="list" allowBlank="1" showInputMessage="1" showErrorMessage="1" sqref="B144">
      <formula1>liste_programmes</formula1>
    </dataValidation>
    <dataValidation type="list" allowBlank="1" showInputMessage="1" showErrorMessage="1" sqref="D144">
      <formula1>liste_types</formula1>
    </dataValidation>
    <dataValidation type="list" allowBlank="1" showInputMessage="1" showErrorMessage="1" sqref="F144">
      <formula1>liste_categories</formula1>
    </dataValidation>
    <dataValidation type="list" allowBlank="1" showInputMessage="1" showErrorMessage="1" sqref="G144">
      <formula1>liste_responsables</formula1>
    </dataValidation>
    <dataValidation type="list" allowBlank="1" showInputMessage="1" showErrorMessage="1" sqref="H144">
      <formula1>liste_sites</formula1>
    </dataValidation>
    <dataValidation type="list" allowBlank="1" showInputMessage="1" showErrorMessage="1" sqref="I144">
      <formula1>liste_priorites</formula1>
    </dataValidation>
    <dataValidation type="date" operator="greaterThanOrEqual" allowBlank="1" showInputMessage="1" showErrorMessage="1" sqref="J144">
      <formula1>730120</formula1>
    </dataValidation>
    <dataValidation type="date" operator="greaterThanOrEqual" allowBlank="1" showInputMessage="1" showErrorMessage="1" sqref="K144">
      <formula1>730120</formula1>
    </dataValidation>
    <dataValidation type="date" operator="greaterThanOrEqual" allowBlank="1" showInputMessage="1" showErrorMessage="1" sqref="L144">
      <formula1>730120</formula1>
    </dataValidation>
    <dataValidation type="whole" allowBlank="1" showInputMessage="1" showErrorMessage="1" sqref="P144">
      <formula1>0</formula1>
      <formula2>100</formula2>
    </dataValidation>
    <dataValidation type="decimal" operator="greaterThanOrEqual" allowBlank="1" showInputMessage="1" showErrorMessage="1" sqref="Q144">
      <formula1>0</formula1>
    </dataValidation>
    <dataValidation type="decimal" operator="greaterThanOrEqual" allowBlank="1" showInputMessage="1" showErrorMessage="1" sqref="R144">
      <formula1>0</formula1>
    </dataValidation>
    <dataValidation type="whole" allowBlank="1" showInputMessage="1" showErrorMessage="1" sqref="U144">
      <formula1>1</formula1>
      <formula2>5</formula2>
    </dataValidation>
    <dataValidation type="whole" allowBlank="1" showInputMessage="1" showErrorMessage="1" sqref="V144">
      <formula1>1</formula1>
      <formula2>5</formula2>
    </dataValidation>
    <dataValidation type="whole" allowBlank="1" showInputMessage="1" showErrorMessage="1" sqref="X144">
      <formula1>1</formula1>
      <formula2>5</formula2>
    </dataValidation>
    <dataValidation type="decimal" operator="greaterThanOrEqual" allowBlank="1" showInputMessage="1" showErrorMessage="1" sqref="Y144">
      <formula1>0</formula1>
    </dataValidation>
    <dataValidation type="whole" operator="greaterThanOrEqual" allowBlank="1" showInputMessage="1" showErrorMessage="1" sqref="Z144">
      <formula1>0</formula1>
    </dataValidation>
    <dataValidation type="whole" allowBlank="1" showInputMessage="1" showErrorMessage="1" sqref="AA144">
      <formula1>1</formula1>
      <formula2>5</formula2>
    </dataValidation>
    <dataValidation type="decimal" allowBlank="1" showInputMessage="1" showErrorMessage="1" sqref="AB144">
      <formula1>0</formula1>
      <formula2>1</formula2>
    </dataValidation>
    <dataValidation type="list" allowBlank="1" showInputMessage="1" showErrorMessage="1" sqref="O144">
      <formula1>liste_statuts</formula1>
    </dataValidation>
    <dataValidation type="list" allowBlank="1" showInputMessage="1" showErrorMessage="1" sqref="B145">
      <formula1>liste_programmes</formula1>
    </dataValidation>
    <dataValidation type="list" allowBlank="1" showInputMessage="1" showErrorMessage="1" sqref="D145">
      <formula1>liste_types</formula1>
    </dataValidation>
    <dataValidation type="list" allowBlank="1" showInputMessage="1" showErrorMessage="1" sqref="F145">
      <formula1>liste_categories</formula1>
    </dataValidation>
    <dataValidation type="list" allowBlank="1" showInputMessage="1" showErrorMessage="1" sqref="G145">
      <formula1>liste_responsables</formula1>
    </dataValidation>
    <dataValidation type="list" allowBlank="1" showInputMessage="1" showErrorMessage="1" sqref="H145">
      <formula1>liste_sites</formula1>
    </dataValidation>
    <dataValidation type="list" allowBlank="1" showInputMessage="1" showErrorMessage="1" sqref="I145">
      <formula1>liste_priorites</formula1>
    </dataValidation>
    <dataValidation type="date" operator="greaterThanOrEqual" allowBlank="1" showInputMessage="1" showErrorMessage="1" sqref="J145">
      <formula1>730120</formula1>
    </dataValidation>
    <dataValidation type="date" operator="greaterThanOrEqual" allowBlank="1" showInputMessage="1" showErrorMessage="1" sqref="K145">
      <formula1>730120</formula1>
    </dataValidation>
    <dataValidation type="date" operator="greaterThanOrEqual" allowBlank="1" showInputMessage="1" showErrorMessage="1" sqref="L145">
      <formula1>730120</formula1>
    </dataValidation>
    <dataValidation type="whole" allowBlank="1" showInputMessage="1" showErrorMessage="1" sqref="P145">
      <formula1>0</formula1>
      <formula2>100</formula2>
    </dataValidation>
    <dataValidation type="decimal" operator="greaterThanOrEqual" allowBlank="1" showInputMessage="1" showErrorMessage="1" sqref="Q145">
      <formula1>0</formula1>
    </dataValidation>
    <dataValidation type="decimal" operator="greaterThanOrEqual" allowBlank="1" showInputMessage="1" showErrorMessage="1" sqref="R145">
      <formula1>0</formula1>
    </dataValidation>
    <dataValidation type="whole" allowBlank="1" showInputMessage="1" showErrorMessage="1" sqref="U145">
      <formula1>1</formula1>
      <formula2>5</formula2>
    </dataValidation>
    <dataValidation type="whole" allowBlank="1" showInputMessage="1" showErrorMessage="1" sqref="V145">
      <formula1>1</formula1>
      <formula2>5</formula2>
    </dataValidation>
    <dataValidation type="whole" allowBlank="1" showInputMessage="1" showErrorMessage="1" sqref="X145">
      <formula1>1</formula1>
      <formula2>5</formula2>
    </dataValidation>
    <dataValidation type="decimal" operator="greaterThanOrEqual" allowBlank="1" showInputMessage="1" showErrorMessage="1" sqref="Y145">
      <formula1>0</formula1>
    </dataValidation>
    <dataValidation type="whole" operator="greaterThanOrEqual" allowBlank="1" showInputMessage="1" showErrorMessage="1" sqref="Z145">
      <formula1>0</formula1>
    </dataValidation>
    <dataValidation type="whole" allowBlank="1" showInputMessage="1" showErrorMessage="1" sqref="AA145">
      <formula1>1</formula1>
      <formula2>5</formula2>
    </dataValidation>
    <dataValidation type="decimal" allowBlank="1" showInputMessage="1" showErrorMessage="1" sqref="AB145">
      <formula1>0</formula1>
      <formula2>1</formula2>
    </dataValidation>
    <dataValidation type="list" allowBlank="1" showInputMessage="1" showErrorMessage="1" sqref="O145">
      <formula1>liste_statuts</formula1>
    </dataValidation>
    <dataValidation type="list" allowBlank="1" showInputMessage="1" showErrorMessage="1" sqref="B146">
      <formula1>liste_programmes</formula1>
    </dataValidation>
    <dataValidation type="list" allowBlank="1" showInputMessage="1" showErrorMessage="1" sqref="D146">
      <formula1>liste_types</formula1>
    </dataValidation>
    <dataValidation type="list" allowBlank="1" showInputMessage="1" showErrorMessage="1" sqref="F146">
      <formula1>liste_categories</formula1>
    </dataValidation>
    <dataValidation type="list" allowBlank="1" showInputMessage="1" showErrorMessage="1" sqref="G146">
      <formula1>liste_responsables</formula1>
    </dataValidation>
    <dataValidation type="list" allowBlank="1" showInputMessage="1" showErrorMessage="1" sqref="H146">
      <formula1>liste_sites</formula1>
    </dataValidation>
    <dataValidation type="list" allowBlank="1" showInputMessage="1" showErrorMessage="1" sqref="I146">
      <formula1>liste_priorites</formula1>
    </dataValidation>
    <dataValidation type="date" operator="greaterThanOrEqual" allowBlank="1" showInputMessage="1" showErrorMessage="1" sqref="J146">
      <formula1>730120</formula1>
    </dataValidation>
    <dataValidation type="date" operator="greaterThanOrEqual" allowBlank="1" showInputMessage="1" showErrorMessage="1" sqref="K146">
      <formula1>730120</formula1>
    </dataValidation>
    <dataValidation type="date" operator="greaterThanOrEqual" allowBlank="1" showInputMessage="1" showErrorMessage="1" sqref="L146">
      <formula1>730120</formula1>
    </dataValidation>
    <dataValidation type="whole" allowBlank="1" showInputMessage="1" showErrorMessage="1" sqref="P146">
      <formula1>0</formula1>
      <formula2>100</formula2>
    </dataValidation>
    <dataValidation type="decimal" operator="greaterThanOrEqual" allowBlank="1" showInputMessage="1" showErrorMessage="1" sqref="Q146">
      <formula1>0</formula1>
    </dataValidation>
    <dataValidation type="decimal" operator="greaterThanOrEqual" allowBlank="1" showInputMessage="1" showErrorMessage="1" sqref="R146">
      <formula1>0</formula1>
    </dataValidation>
    <dataValidation type="whole" allowBlank="1" showInputMessage="1" showErrorMessage="1" sqref="U146">
      <formula1>1</formula1>
      <formula2>5</formula2>
    </dataValidation>
    <dataValidation type="whole" allowBlank="1" showInputMessage="1" showErrorMessage="1" sqref="V146">
      <formula1>1</formula1>
      <formula2>5</formula2>
    </dataValidation>
    <dataValidation type="whole" allowBlank="1" showInputMessage="1" showErrorMessage="1" sqref="X146">
      <formula1>1</formula1>
      <formula2>5</formula2>
    </dataValidation>
    <dataValidation type="decimal" operator="greaterThanOrEqual" allowBlank="1" showInputMessage="1" showErrorMessage="1" sqref="Y146">
      <formula1>0</formula1>
    </dataValidation>
    <dataValidation type="whole" operator="greaterThanOrEqual" allowBlank="1" showInputMessage="1" showErrorMessage="1" sqref="Z146">
      <formula1>0</formula1>
    </dataValidation>
    <dataValidation type="whole" allowBlank="1" showInputMessage="1" showErrorMessage="1" sqref="AA146">
      <formula1>1</formula1>
      <formula2>5</formula2>
    </dataValidation>
    <dataValidation type="decimal" allowBlank="1" showInputMessage="1" showErrorMessage="1" sqref="AB146">
      <formula1>0</formula1>
      <formula2>1</formula2>
    </dataValidation>
    <dataValidation type="list" allowBlank="1" showInputMessage="1" showErrorMessage="1" sqref="O146">
      <formula1>liste_statuts</formula1>
    </dataValidation>
    <dataValidation type="list" allowBlank="1" showInputMessage="1" showErrorMessage="1" sqref="B147">
      <formula1>liste_programmes</formula1>
    </dataValidation>
    <dataValidation type="list" allowBlank="1" showInputMessage="1" showErrorMessage="1" sqref="D147">
      <formula1>liste_types</formula1>
    </dataValidation>
    <dataValidation type="list" allowBlank="1" showInputMessage="1" showErrorMessage="1" sqref="F147">
      <formula1>liste_categories</formula1>
    </dataValidation>
    <dataValidation type="list" allowBlank="1" showInputMessage="1" showErrorMessage="1" sqref="G147">
      <formula1>liste_responsables</formula1>
    </dataValidation>
    <dataValidation type="list" allowBlank="1" showInputMessage="1" showErrorMessage="1" sqref="H147">
      <formula1>liste_sites</formula1>
    </dataValidation>
    <dataValidation type="list" allowBlank="1" showInputMessage="1" showErrorMessage="1" sqref="I147">
      <formula1>liste_priorites</formula1>
    </dataValidation>
    <dataValidation type="date" operator="greaterThanOrEqual" allowBlank="1" showInputMessage="1" showErrorMessage="1" sqref="J147">
      <formula1>730120</formula1>
    </dataValidation>
    <dataValidation type="date" operator="greaterThanOrEqual" allowBlank="1" showInputMessage="1" showErrorMessage="1" sqref="K147">
      <formula1>730120</formula1>
    </dataValidation>
    <dataValidation type="date" operator="greaterThanOrEqual" allowBlank="1" showInputMessage="1" showErrorMessage="1" sqref="L147">
      <formula1>730120</formula1>
    </dataValidation>
    <dataValidation type="whole" allowBlank="1" showInputMessage="1" showErrorMessage="1" sqref="P147">
      <formula1>0</formula1>
      <formula2>100</formula2>
    </dataValidation>
    <dataValidation type="decimal" operator="greaterThanOrEqual" allowBlank="1" showInputMessage="1" showErrorMessage="1" sqref="Q147">
      <formula1>0</formula1>
    </dataValidation>
    <dataValidation type="decimal" operator="greaterThanOrEqual" allowBlank="1" showInputMessage="1" showErrorMessage="1" sqref="R147">
      <formula1>0</formula1>
    </dataValidation>
    <dataValidation type="whole" allowBlank="1" showInputMessage="1" showErrorMessage="1" sqref="U147">
      <formula1>1</formula1>
      <formula2>5</formula2>
    </dataValidation>
    <dataValidation type="whole" allowBlank="1" showInputMessage="1" showErrorMessage="1" sqref="V147">
      <formula1>1</formula1>
      <formula2>5</formula2>
    </dataValidation>
    <dataValidation type="whole" allowBlank="1" showInputMessage="1" showErrorMessage="1" sqref="X147">
      <formula1>1</formula1>
      <formula2>5</formula2>
    </dataValidation>
    <dataValidation type="decimal" operator="greaterThanOrEqual" allowBlank="1" showInputMessage="1" showErrorMessage="1" sqref="Y147">
      <formula1>0</formula1>
    </dataValidation>
    <dataValidation type="whole" operator="greaterThanOrEqual" allowBlank="1" showInputMessage="1" showErrorMessage="1" sqref="Z147">
      <formula1>0</formula1>
    </dataValidation>
    <dataValidation type="whole" allowBlank="1" showInputMessage="1" showErrorMessage="1" sqref="AA147">
      <formula1>1</formula1>
      <formula2>5</formula2>
    </dataValidation>
    <dataValidation type="decimal" allowBlank="1" showInputMessage="1" showErrorMessage="1" sqref="AB147">
      <formula1>0</formula1>
      <formula2>1</formula2>
    </dataValidation>
    <dataValidation type="list" allowBlank="1" showInputMessage="1" showErrorMessage="1" sqref="O147">
      <formula1>liste_statuts</formula1>
    </dataValidation>
    <dataValidation type="list" allowBlank="1" showInputMessage="1" showErrorMessage="1" sqref="B148">
      <formula1>liste_programmes</formula1>
    </dataValidation>
    <dataValidation type="list" allowBlank="1" showInputMessage="1" showErrorMessage="1" sqref="D148">
      <formula1>liste_types</formula1>
    </dataValidation>
    <dataValidation type="list" allowBlank="1" showInputMessage="1" showErrorMessage="1" sqref="F148">
      <formula1>liste_categories</formula1>
    </dataValidation>
    <dataValidation type="list" allowBlank="1" showInputMessage="1" showErrorMessage="1" sqref="G148">
      <formula1>liste_responsables</formula1>
    </dataValidation>
    <dataValidation type="list" allowBlank="1" showInputMessage="1" showErrorMessage="1" sqref="H148">
      <formula1>liste_sites</formula1>
    </dataValidation>
    <dataValidation type="list" allowBlank="1" showInputMessage="1" showErrorMessage="1" sqref="I148">
      <formula1>liste_priorites</formula1>
    </dataValidation>
    <dataValidation type="date" operator="greaterThanOrEqual" allowBlank="1" showInputMessage="1" showErrorMessage="1" sqref="J148">
      <formula1>730120</formula1>
    </dataValidation>
    <dataValidation type="date" operator="greaterThanOrEqual" allowBlank="1" showInputMessage="1" showErrorMessage="1" sqref="K148">
      <formula1>730120</formula1>
    </dataValidation>
    <dataValidation type="date" operator="greaterThanOrEqual" allowBlank="1" showInputMessage="1" showErrorMessage="1" sqref="L148">
      <formula1>730120</formula1>
    </dataValidation>
    <dataValidation type="whole" allowBlank="1" showInputMessage="1" showErrorMessage="1" sqref="P148">
      <formula1>0</formula1>
      <formula2>100</formula2>
    </dataValidation>
    <dataValidation type="decimal" operator="greaterThanOrEqual" allowBlank="1" showInputMessage="1" showErrorMessage="1" sqref="Q148">
      <formula1>0</formula1>
    </dataValidation>
    <dataValidation type="decimal" operator="greaterThanOrEqual" allowBlank="1" showInputMessage="1" showErrorMessage="1" sqref="R148">
      <formula1>0</formula1>
    </dataValidation>
    <dataValidation type="whole" allowBlank="1" showInputMessage="1" showErrorMessage="1" sqref="U148">
      <formula1>1</formula1>
      <formula2>5</formula2>
    </dataValidation>
    <dataValidation type="whole" allowBlank="1" showInputMessage="1" showErrorMessage="1" sqref="V148">
      <formula1>1</formula1>
      <formula2>5</formula2>
    </dataValidation>
    <dataValidation type="whole" allowBlank="1" showInputMessage="1" showErrorMessage="1" sqref="X148">
      <formula1>1</formula1>
      <formula2>5</formula2>
    </dataValidation>
    <dataValidation type="decimal" operator="greaterThanOrEqual" allowBlank="1" showInputMessage="1" showErrorMessage="1" sqref="Y148">
      <formula1>0</formula1>
    </dataValidation>
    <dataValidation type="whole" operator="greaterThanOrEqual" allowBlank="1" showInputMessage="1" showErrorMessage="1" sqref="Z148">
      <formula1>0</formula1>
    </dataValidation>
    <dataValidation type="whole" allowBlank="1" showInputMessage="1" showErrorMessage="1" sqref="AA148">
      <formula1>1</formula1>
      <formula2>5</formula2>
    </dataValidation>
    <dataValidation type="decimal" allowBlank="1" showInputMessage="1" showErrorMessage="1" sqref="AB148">
      <formula1>0</formula1>
      <formula2>1</formula2>
    </dataValidation>
    <dataValidation type="list" allowBlank="1" showInputMessage="1" showErrorMessage="1" sqref="O148">
      <formula1>liste_statuts</formula1>
    </dataValidation>
    <dataValidation type="list" allowBlank="1" showInputMessage="1" showErrorMessage="1" sqref="B149">
      <formula1>liste_programmes</formula1>
    </dataValidation>
    <dataValidation type="list" allowBlank="1" showInputMessage="1" showErrorMessage="1" sqref="D149">
      <formula1>liste_types</formula1>
    </dataValidation>
    <dataValidation type="list" allowBlank="1" showInputMessage="1" showErrorMessage="1" sqref="F149">
      <formula1>liste_categories</formula1>
    </dataValidation>
    <dataValidation type="list" allowBlank="1" showInputMessage="1" showErrorMessage="1" sqref="G149">
      <formula1>liste_responsables</formula1>
    </dataValidation>
    <dataValidation type="list" allowBlank="1" showInputMessage="1" showErrorMessage="1" sqref="H149">
      <formula1>liste_sites</formula1>
    </dataValidation>
    <dataValidation type="list" allowBlank="1" showInputMessage="1" showErrorMessage="1" sqref="I149">
      <formula1>liste_priorites</formula1>
    </dataValidation>
    <dataValidation type="date" operator="greaterThanOrEqual" allowBlank="1" showInputMessage="1" showErrorMessage="1" sqref="J149">
      <formula1>730120</formula1>
    </dataValidation>
    <dataValidation type="date" operator="greaterThanOrEqual" allowBlank="1" showInputMessage="1" showErrorMessage="1" sqref="K149">
      <formula1>730120</formula1>
    </dataValidation>
    <dataValidation type="date" operator="greaterThanOrEqual" allowBlank="1" showInputMessage="1" showErrorMessage="1" sqref="L149">
      <formula1>730120</formula1>
    </dataValidation>
    <dataValidation type="whole" allowBlank="1" showInputMessage="1" showErrorMessage="1" sqref="P149">
      <formula1>0</formula1>
      <formula2>100</formula2>
    </dataValidation>
    <dataValidation type="decimal" operator="greaterThanOrEqual" allowBlank="1" showInputMessage="1" showErrorMessage="1" sqref="Q149">
      <formula1>0</formula1>
    </dataValidation>
    <dataValidation type="decimal" operator="greaterThanOrEqual" allowBlank="1" showInputMessage="1" showErrorMessage="1" sqref="R149">
      <formula1>0</formula1>
    </dataValidation>
    <dataValidation type="whole" allowBlank="1" showInputMessage="1" showErrorMessage="1" sqref="U149">
      <formula1>1</formula1>
      <formula2>5</formula2>
    </dataValidation>
    <dataValidation type="whole" allowBlank="1" showInputMessage="1" showErrorMessage="1" sqref="V149">
      <formula1>1</formula1>
      <formula2>5</formula2>
    </dataValidation>
    <dataValidation type="whole" allowBlank="1" showInputMessage="1" showErrorMessage="1" sqref="X149">
      <formula1>1</formula1>
      <formula2>5</formula2>
    </dataValidation>
    <dataValidation type="decimal" operator="greaterThanOrEqual" allowBlank="1" showInputMessage="1" showErrorMessage="1" sqref="Y149">
      <formula1>0</formula1>
    </dataValidation>
    <dataValidation type="whole" operator="greaterThanOrEqual" allowBlank="1" showInputMessage="1" showErrorMessage="1" sqref="Z149">
      <formula1>0</formula1>
    </dataValidation>
    <dataValidation type="whole" allowBlank="1" showInputMessage="1" showErrorMessage="1" sqref="AA149">
      <formula1>1</formula1>
      <formula2>5</formula2>
    </dataValidation>
    <dataValidation type="decimal" allowBlank="1" showInputMessage="1" showErrorMessage="1" sqref="AB149">
      <formula1>0</formula1>
      <formula2>1</formula2>
    </dataValidation>
    <dataValidation type="list" allowBlank="1" showInputMessage="1" showErrorMessage="1" sqref="O149">
      <formula1>liste_statuts</formula1>
    </dataValidation>
    <dataValidation type="list" allowBlank="1" showInputMessage="1" showErrorMessage="1" sqref="B150">
      <formula1>liste_programmes</formula1>
    </dataValidation>
    <dataValidation type="list" allowBlank="1" showInputMessage="1" showErrorMessage="1" sqref="D150">
      <formula1>liste_types</formula1>
    </dataValidation>
    <dataValidation type="list" allowBlank="1" showInputMessage="1" showErrorMessage="1" sqref="F150">
      <formula1>liste_categories</formula1>
    </dataValidation>
    <dataValidation type="list" allowBlank="1" showInputMessage="1" showErrorMessage="1" sqref="G150">
      <formula1>liste_responsables</formula1>
    </dataValidation>
    <dataValidation type="list" allowBlank="1" showInputMessage="1" showErrorMessage="1" sqref="H150">
      <formula1>liste_sites</formula1>
    </dataValidation>
    <dataValidation type="list" allowBlank="1" showInputMessage="1" showErrorMessage="1" sqref="I150">
      <formula1>liste_priorites</formula1>
    </dataValidation>
    <dataValidation type="date" operator="greaterThanOrEqual" allowBlank="1" showInputMessage="1" showErrorMessage="1" sqref="J150">
      <formula1>730120</formula1>
    </dataValidation>
    <dataValidation type="date" operator="greaterThanOrEqual" allowBlank="1" showInputMessage="1" showErrorMessage="1" sqref="K150">
      <formula1>730120</formula1>
    </dataValidation>
    <dataValidation type="date" operator="greaterThanOrEqual" allowBlank="1" showInputMessage="1" showErrorMessage="1" sqref="L150">
      <formula1>730120</formula1>
    </dataValidation>
    <dataValidation type="whole" allowBlank="1" showInputMessage="1" showErrorMessage="1" sqref="P150">
      <formula1>0</formula1>
      <formula2>100</formula2>
    </dataValidation>
    <dataValidation type="decimal" operator="greaterThanOrEqual" allowBlank="1" showInputMessage="1" showErrorMessage="1" sqref="Q150">
      <formula1>0</formula1>
    </dataValidation>
    <dataValidation type="decimal" operator="greaterThanOrEqual" allowBlank="1" showInputMessage="1" showErrorMessage="1" sqref="R150">
      <formula1>0</formula1>
    </dataValidation>
    <dataValidation type="whole" allowBlank="1" showInputMessage="1" showErrorMessage="1" sqref="U150">
      <formula1>1</formula1>
      <formula2>5</formula2>
    </dataValidation>
    <dataValidation type="whole" allowBlank="1" showInputMessage="1" showErrorMessage="1" sqref="V150">
      <formula1>1</formula1>
      <formula2>5</formula2>
    </dataValidation>
    <dataValidation type="whole" allowBlank="1" showInputMessage="1" showErrorMessage="1" sqref="X150">
      <formula1>1</formula1>
      <formula2>5</formula2>
    </dataValidation>
    <dataValidation type="decimal" operator="greaterThanOrEqual" allowBlank="1" showInputMessage="1" showErrorMessage="1" sqref="Y150">
      <formula1>0</formula1>
    </dataValidation>
    <dataValidation type="whole" operator="greaterThanOrEqual" allowBlank="1" showInputMessage="1" showErrorMessage="1" sqref="Z150">
      <formula1>0</formula1>
    </dataValidation>
    <dataValidation type="whole" allowBlank="1" showInputMessage="1" showErrorMessage="1" sqref="AA150">
      <formula1>1</formula1>
      <formula2>5</formula2>
    </dataValidation>
    <dataValidation type="decimal" allowBlank="1" showInputMessage="1" showErrorMessage="1" sqref="AB150">
      <formula1>0</formula1>
      <formula2>1</formula2>
    </dataValidation>
    <dataValidation type="list" allowBlank="1" showInputMessage="1" showErrorMessage="1" sqref="O150">
      <formula1>liste_statuts</formula1>
    </dataValidation>
    <dataValidation type="list" allowBlank="1" showInputMessage="1" showErrorMessage="1" sqref="B151">
      <formula1>liste_programmes</formula1>
    </dataValidation>
    <dataValidation type="list" allowBlank="1" showInputMessage="1" showErrorMessage="1" sqref="D151">
      <formula1>liste_types</formula1>
    </dataValidation>
    <dataValidation type="list" allowBlank="1" showInputMessage="1" showErrorMessage="1" sqref="F151">
      <formula1>liste_categories</formula1>
    </dataValidation>
    <dataValidation type="list" allowBlank="1" showInputMessage="1" showErrorMessage="1" sqref="G151">
      <formula1>liste_responsables</formula1>
    </dataValidation>
    <dataValidation type="list" allowBlank="1" showInputMessage="1" showErrorMessage="1" sqref="H151">
      <formula1>liste_sites</formula1>
    </dataValidation>
    <dataValidation type="list" allowBlank="1" showInputMessage="1" showErrorMessage="1" sqref="I151">
      <formula1>liste_priorites</formula1>
    </dataValidation>
    <dataValidation type="date" operator="greaterThanOrEqual" allowBlank="1" showInputMessage="1" showErrorMessage="1" sqref="J151">
      <formula1>730120</formula1>
    </dataValidation>
    <dataValidation type="date" operator="greaterThanOrEqual" allowBlank="1" showInputMessage="1" showErrorMessage="1" sqref="K151">
      <formula1>730120</formula1>
    </dataValidation>
    <dataValidation type="date" operator="greaterThanOrEqual" allowBlank="1" showInputMessage="1" showErrorMessage="1" sqref="L151">
      <formula1>730120</formula1>
    </dataValidation>
    <dataValidation type="whole" allowBlank="1" showInputMessage="1" showErrorMessage="1" sqref="P151">
      <formula1>0</formula1>
      <formula2>100</formula2>
    </dataValidation>
    <dataValidation type="decimal" operator="greaterThanOrEqual" allowBlank="1" showInputMessage="1" showErrorMessage="1" sqref="Q151">
      <formula1>0</formula1>
    </dataValidation>
    <dataValidation type="decimal" operator="greaterThanOrEqual" allowBlank="1" showInputMessage="1" showErrorMessage="1" sqref="R151">
      <formula1>0</formula1>
    </dataValidation>
    <dataValidation type="whole" allowBlank="1" showInputMessage="1" showErrorMessage="1" sqref="U151">
      <formula1>1</formula1>
      <formula2>5</formula2>
    </dataValidation>
    <dataValidation type="whole" allowBlank="1" showInputMessage="1" showErrorMessage="1" sqref="V151">
      <formula1>1</formula1>
      <formula2>5</formula2>
    </dataValidation>
    <dataValidation type="whole" allowBlank="1" showInputMessage="1" showErrorMessage="1" sqref="X151">
      <formula1>1</formula1>
      <formula2>5</formula2>
    </dataValidation>
    <dataValidation type="decimal" operator="greaterThanOrEqual" allowBlank="1" showInputMessage="1" showErrorMessage="1" sqref="Y151">
      <formula1>0</formula1>
    </dataValidation>
    <dataValidation type="whole" operator="greaterThanOrEqual" allowBlank="1" showInputMessage="1" showErrorMessage="1" sqref="Z151">
      <formula1>0</formula1>
    </dataValidation>
    <dataValidation type="whole" allowBlank="1" showInputMessage="1" showErrorMessage="1" sqref="AA151">
      <formula1>1</formula1>
      <formula2>5</formula2>
    </dataValidation>
    <dataValidation type="decimal" allowBlank="1" showInputMessage="1" showErrorMessage="1" sqref="AB151">
      <formula1>0</formula1>
      <formula2>1</formula2>
    </dataValidation>
    <dataValidation type="list" allowBlank="1" showInputMessage="1" showErrorMessage="1" sqref="O151">
      <formula1>liste_statuts</formula1>
    </dataValidation>
    <dataValidation type="list" allowBlank="1" showInputMessage="1" showErrorMessage="1" sqref="B152">
      <formula1>liste_programmes</formula1>
    </dataValidation>
    <dataValidation type="list" allowBlank="1" showInputMessage="1" showErrorMessage="1" sqref="D152">
      <formula1>liste_types</formula1>
    </dataValidation>
    <dataValidation type="list" allowBlank="1" showInputMessage="1" showErrorMessage="1" sqref="F152">
      <formula1>liste_categories</formula1>
    </dataValidation>
    <dataValidation type="list" allowBlank="1" showInputMessage="1" showErrorMessage="1" sqref="G152">
      <formula1>liste_responsables</formula1>
    </dataValidation>
    <dataValidation type="list" allowBlank="1" showInputMessage="1" showErrorMessage="1" sqref="H152">
      <formula1>liste_sites</formula1>
    </dataValidation>
    <dataValidation type="list" allowBlank="1" showInputMessage="1" showErrorMessage="1" sqref="I152">
      <formula1>liste_priorites</formula1>
    </dataValidation>
    <dataValidation type="date" operator="greaterThanOrEqual" allowBlank="1" showInputMessage="1" showErrorMessage="1" sqref="J152">
      <formula1>730120</formula1>
    </dataValidation>
    <dataValidation type="date" operator="greaterThanOrEqual" allowBlank="1" showInputMessage="1" showErrorMessage="1" sqref="K152">
      <formula1>730120</formula1>
    </dataValidation>
    <dataValidation type="date" operator="greaterThanOrEqual" allowBlank="1" showInputMessage="1" showErrorMessage="1" sqref="L152">
      <formula1>730120</formula1>
    </dataValidation>
    <dataValidation type="whole" allowBlank="1" showInputMessage="1" showErrorMessage="1" sqref="P152">
      <formula1>0</formula1>
      <formula2>100</formula2>
    </dataValidation>
    <dataValidation type="decimal" operator="greaterThanOrEqual" allowBlank="1" showInputMessage="1" showErrorMessage="1" sqref="Q152">
      <formula1>0</formula1>
    </dataValidation>
    <dataValidation type="decimal" operator="greaterThanOrEqual" allowBlank="1" showInputMessage="1" showErrorMessage="1" sqref="R152">
      <formula1>0</formula1>
    </dataValidation>
    <dataValidation type="whole" allowBlank="1" showInputMessage="1" showErrorMessage="1" sqref="U152">
      <formula1>1</formula1>
      <formula2>5</formula2>
    </dataValidation>
    <dataValidation type="whole" allowBlank="1" showInputMessage="1" showErrorMessage="1" sqref="V152">
      <formula1>1</formula1>
      <formula2>5</formula2>
    </dataValidation>
    <dataValidation type="whole" allowBlank="1" showInputMessage="1" showErrorMessage="1" sqref="X152">
      <formula1>1</formula1>
      <formula2>5</formula2>
    </dataValidation>
    <dataValidation type="decimal" operator="greaterThanOrEqual" allowBlank="1" showInputMessage="1" showErrorMessage="1" sqref="Y152">
      <formula1>0</formula1>
    </dataValidation>
    <dataValidation type="whole" operator="greaterThanOrEqual" allowBlank="1" showInputMessage="1" showErrorMessage="1" sqref="Z152">
      <formula1>0</formula1>
    </dataValidation>
    <dataValidation type="whole" allowBlank="1" showInputMessage="1" showErrorMessage="1" sqref="AA152">
      <formula1>1</formula1>
      <formula2>5</formula2>
    </dataValidation>
    <dataValidation type="decimal" allowBlank="1" showInputMessage="1" showErrorMessage="1" sqref="AB152">
      <formula1>0</formula1>
      <formula2>1</formula2>
    </dataValidation>
    <dataValidation type="list" allowBlank="1" showInputMessage="1" showErrorMessage="1" sqref="O152">
      <formula1>liste_statuts</formula1>
    </dataValidation>
    <dataValidation type="list" allowBlank="1" showInputMessage="1" showErrorMessage="1" sqref="B153">
      <formula1>liste_programmes</formula1>
    </dataValidation>
    <dataValidation type="list" allowBlank="1" showInputMessage="1" showErrorMessage="1" sqref="D153">
      <formula1>liste_types</formula1>
    </dataValidation>
    <dataValidation type="list" allowBlank="1" showInputMessage="1" showErrorMessage="1" sqref="F153">
      <formula1>liste_categories</formula1>
    </dataValidation>
    <dataValidation type="list" allowBlank="1" showInputMessage="1" showErrorMessage="1" sqref="G153">
      <formula1>liste_responsables</formula1>
    </dataValidation>
    <dataValidation type="list" allowBlank="1" showInputMessage="1" showErrorMessage="1" sqref="H153">
      <formula1>liste_sites</formula1>
    </dataValidation>
    <dataValidation type="list" allowBlank="1" showInputMessage="1" showErrorMessage="1" sqref="I153">
      <formula1>liste_priorites</formula1>
    </dataValidation>
    <dataValidation type="date" operator="greaterThanOrEqual" allowBlank="1" showInputMessage="1" showErrorMessage="1" sqref="J153">
      <formula1>730120</formula1>
    </dataValidation>
    <dataValidation type="date" operator="greaterThanOrEqual" allowBlank="1" showInputMessage="1" showErrorMessage="1" sqref="K153">
      <formula1>730120</formula1>
    </dataValidation>
    <dataValidation type="date" operator="greaterThanOrEqual" allowBlank="1" showInputMessage="1" showErrorMessage="1" sqref="L153">
      <formula1>730120</formula1>
    </dataValidation>
    <dataValidation type="whole" allowBlank="1" showInputMessage="1" showErrorMessage="1" sqref="P153">
      <formula1>0</formula1>
      <formula2>100</formula2>
    </dataValidation>
    <dataValidation type="decimal" operator="greaterThanOrEqual" allowBlank="1" showInputMessage="1" showErrorMessage="1" sqref="Q153">
      <formula1>0</formula1>
    </dataValidation>
    <dataValidation type="decimal" operator="greaterThanOrEqual" allowBlank="1" showInputMessage="1" showErrorMessage="1" sqref="R153">
      <formula1>0</formula1>
    </dataValidation>
    <dataValidation type="whole" allowBlank="1" showInputMessage="1" showErrorMessage="1" sqref="U153">
      <formula1>1</formula1>
      <formula2>5</formula2>
    </dataValidation>
    <dataValidation type="whole" allowBlank="1" showInputMessage="1" showErrorMessage="1" sqref="V153">
      <formula1>1</formula1>
      <formula2>5</formula2>
    </dataValidation>
    <dataValidation type="whole" allowBlank="1" showInputMessage="1" showErrorMessage="1" sqref="X153">
      <formula1>1</formula1>
      <formula2>5</formula2>
    </dataValidation>
    <dataValidation type="decimal" operator="greaterThanOrEqual" allowBlank="1" showInputMessage="1" showErrorMessage="1" sqref="Y153">
      <formula1>0</formula1>
    </dataValidation>
    <dataValidation type="whole" operator="greaterThanOrEqual" allowBlank="1" showInputMessage="1" showErrorMessage="1" sqref="Z153">
      <formula1>0</formula1>
    </dataValidation>
    <dataValidation type="whole" allowBlank="1" showInputMessage="1" showErrorMessage="1" sqref="AA153">
      <formula1>1</formula1>
      <formula2>5</formula2>
    </dataValidation>
    <dataValidation type="decimal" allowBlank="1" showInputMessage="1" showErrorMessage="1" sqref="AB153">
      <formula1>0</formula1>
      <formula2>1</formula2>
    </dataValidation>
    <dataValidation type="list" allowBlank="1" showInputMessage="1" showErrorMessage="1" sqref="O153">
      <formula1>liste_statuts</formula1>
    </dataValidation>
    <dataValidation type="list" allowBlank="1" showInputMessage="1" showErrorMessage="1" sqref="B154">
      <formula1>liste_programmes</formula1>
    </dataValidation>
    <dataValidation type="list" allowBlank="1" showInputMessage="1" showErrorMessage="1" sqref="D154">
      <formula1>liste_types</formula1>
    </dataValidation>
    <dataValidation type="list" allowBlank="1" showInputMessage="1" showErrorMessage="1" sqref="F154">
      <formula1>liste_categories</formula1>
    </dataValidation>
    <dataValidation type="list" allowBlank="1" showInputMessage="1" showErrorMessage="1" sqref="G154">
      <formula1>liste_responsables</formula1>
    </dataValidation>
    <dataValidation type="list" allowBlank="1" showInputMessage="1" showErrorMessage="1" sqref="H154">
      <formula1>liste_sites</formula1>
    </dataValidation>
    <dataValidation type="list" allowBlank="1" showInputMessage="1" showErrorMessage="1" sqref="I154">
      <formula1>liste_priorites</formula1>
    </dataValidation>
    <dataValidation type="date" operator="greaterThanOrEqual" allowBlank="1" showInputMessage="1" showErrorMessage="1" sqref="J154">
      <formula1>730120</formula1>
    </dataValidation>
    <dataValidation type="date" operator="greaterThanOrEqual" allowBlank="1" showInputMessage="1" showErrorMessage="1" sqref="K154">
      <formula1>730120</formula1>
    </dataValidation>
    <dataValidation type="date" operator="greaterThanOrEqual" allowBlank="1" showInputMessage="1" showErrorMessage="1" sqref="L154">
      <formula1>730120</formula1>
    </dataValidation>
    <dataValidation type="whole" allowBlank="1" showInputMessage="1" showErrorMessage="1" sqref="P154">
      <formula1>0</formula1>
      <formula2>100</formula2>
    </dataValidation>
    <dataValidation type="decimal" operator="greaterThanOrEqual" allowBlank="1" showInputMessage="1" showErrorMessage="1" sqref="Q154">
      <formula1>0</formula1>
    </dataValidation>
    <dataValidation type="decimal" operator="greaterThanOrEqual" allowBlank="1" showInputMessage="1" showErrorMessage="1" sqref="R154">
      <formula1>0</formula1>
    </dataValidation>
    <dataValidation type="whole" allowBlank="1" showInputMessage="1" showErrorMessage="1" sqref="U154">
      <formula1>1</formula1>
      <formula2>5</formula2>
    </dataValidation>
    <dataValidation type="whole" allowBlank="1" showInputMessage="1" showErrorMessage="1" sqref="V154">
      <formula1>1</formula1>
      <formula2>5</formula2>
    </dataValidation>
    <dataValidation type="whole" allowBlank="1" showInputMessage="1" showErrorMessage="1" sqref="X154">
      <formula1>1</formula1>
      <formula2>5</formula2>
    </dataValidation>
    <dataValidation type="decimal" operator="greaterThanOrEqual" allowBlank="1" showInputMessage="1" showErrorMessage="1" sqref="Y154">
      <formula1>0</formula1>
    </dataValidation>
    <dataValidation type="whole" operator="greaterThanOrEqual" allowBlank="1" showInputMessage="1" showErrorMessage="1" sqref="Z154">
      <formula1>0</formula1>
    </dataValidation>
    <dataValidation type="whole" allowBlank="1" showInputMessage="1" showErrorMessage="1" sqref="AA154">
      <formula1>1</formula1>
      <formula2>5</formula2>
    </dataValidation>
    <dataValidation type="decimal" allowBlank="1" showInputMessage="1" showErrorMessage="1" sqref="AB154">
      <formula1>0</formula1>
      <formula2>1</formula2>
    </dataValidation>
    <dataValidation type="list" allowBlank="1" showInputMessage="1" showErrorMessage="1" sqref="O154">
      <formula1>liste_statuts</formula1>
    </dataValidation>
    <dataValidation type="list" allowBlank="1" showInputMessage="1" showErrorMessage="1" sqref="B155">
      <formula1>liste_programmes</formula1>
    </dataValidation>
    <dataValidation type="list" allowBlank="1" showInputMessage="1" showErrorMessage="1" sqref="D155">
      <formula1>liste_types</formula1>
    </dataValidation>
    <dataValidation type="list" allowBlank="1" showInputMessage="1" showErrorMessage="1" sqref="F155">
      <formula1>liste_categories</formula1>
    </dataValidation>
    <dataValidation type="list" allowBlank="1" showInputMessage="1" showErrorMessage="1" sqref="G155">
      <formula1>liste_responsables</formula1>
    </dataValidation>
    <dataValidation type="list" allowBlank="1" showInputMessage="1" showErrorMessage="1" sqref="H155">
      <formula1>liste_sites</formula1>
    </dataValidation>
    <dataValidation type="list" allowBlank="1" showInputMessage="1" showErrorMessage="1" sqref="I155">
      <formula1>liste_priorites</formula1>
    </dataValidation>
    <dataValidation type="date" operator="greaterThanOrEqual" allowBlank="1" showInputMessage="1" showErrorMessage="1" sqref="J155">
      <formula1>730120</formula1>
    </dataValidation>
    <dataValidation type="date" operator="greaterThanOrEqual" allowBlank="1" showInputMessage="1" showErrorMessage="1" sqref="K155">
      <formula1>730120</formula1>
    </dataValidation>
    <dataValidation type="date" operator="greaterThanOrEqual" allowBlank="1" showInputMessage="1" showErrorMessage="1" sqref="L155">
      <formula1>730120</formula1>
    </dataValidation>
    <dataValidation type="whole" allowBlank="1" showInputMessage="1" showErrorMessage="1" sqref="P155">
      <formula1>0</formula1>
      <formula2>100</formula2>
    </dataValidation>
    <dataValidation type="decimal" operator="greaterThanOrEqual" allowBlank="1" showInputMessage="1" showErrorMessage="1" sqref="Q155">
      <formula1>0</formula1>
    </dataValidation>
    <dataValidation type="decimal" operator="greaterThanOrEqual" allowBlank="1" showInputMessage="1" showErrorMessage="1" sqref="R155">
      <formula1>0</formula1>
    </dataValidation>
    <dataValidation type="whole" allowBlank="1" showInputMessage="1" showErrorMessage="1" sqref="U155">
      <formula1>1</formula1>
      <formula2>5</formula2>
    </dataValidation>
    <dataValidation type="whole" allowBlank="1" showInputMessage="1" showErrorMessage="1" sqref="V155">
      <formula1>1</formula1>
      <formula2>5</formula2>
    </dataValidation>
    <dataValidation type="whole" allowBlank="1" showInputMessage="1" showErrorMessage="1" sqref="X155">
      <formula1>1</formula1>
      <formula2>5</formula2>
    </dataValidation>
    <dataValidation type="decimal" operator="greaterThanOrEqual" allowBlank="1" showInputMessage="1" showErrorMessage="1" sqref="Y155">
      <formula1>0</formula1>
    </dataValidation>
    <dataValidation type="whole" operator="greaterThanOrEqual" allowBlank="1" showInputMessage="1" showErrorMessage="1" sqref="Z155">
      <formula1>0</formula1>
    </dataValidation>
    <dataValidation type="whole" allowBlank="1" showInputMessage="1" showErrorMessage="1" sqref="AA155">
      <formula1>1</formula1>
      <formula2>5</formula2>
    </dataValidation>
    <dataValidation type="decimal" allowBlank="1" showInputMessage="1" showErrorMessage="1" sqref="AB155">
      <formula1>0</formula1>
      <formula2>1</formula2>
    </dataValidation>
    <dataValidation type="list" allowBlank="1" showInputMessage="1" showErrorMessage="1" sqref="O155">
      <formula1>liste_statuts</formula1>
    </dataValidation>
    <dataValidation type="list" allowBlank="1" showInputMessage="1" showErrorMessage="1" sqref="B156">
      <formula1>liste_programmes</formula1>
    </dataValidation>
    <dataValidation type="list" allowBlank="1" showInputMessage="1" showErrorMessage="1" sqref="D156">
      <formula1>liste_types</formula1>
    </dataValidation>
    <dataValidation type="list" allowBlank="1" showInputMessage="1" showErrorMessage="1" sqref="F156">
      <formula1>liste_categories</formula1>
    </dataValidation>
    <dataValidation type="list" allowBlank="1" showInputMessage="1" showErrorMessage="1" sqref="G156">
      <formula1>liste_responsables</formula1>
    </dataValidation>
    <dataValidation type="list" allowBlank="1" showInputMessage="1" showErrorMessage="1" sqref="H156">
      <formula1>liste_sites</formula1>
    </dataValidation>
    <dataValidation type="list" allowBlank="1" showInputMessage="1" showErrorMessage="1" sqref="I156">
      <formula1>liste_priorites</formula1>
    </dataValidation>
    <dataValidation type="date" operator="greaterThanOrEqual" allowBlank="1" showInputMessage="1" showErrorMessage="1" sqref="J156">
      <formula1>730120</formula1>
    </dataValidation>
    <dataValidation type="date" operator="greaterThanOrEqual" allowBlank="1" showInputMessage="1" showErrorMessage="1" sqref="K156">
      <formula1>730120</formula1>
    </dataValidation>
    <dataValidation type="date" operator="greaterThanOrEqual" allowBlank="1" showInputMessage="1" showErrorMessage="1" sqref="L156">
      <formula1>730120</formula1>
    </dataValidation>
    <dataValidation type="whole" allowBlank="1" showInputMessage="1" showErrorMessage="1" sqref="P156">
      <formula1>0</formula1>
      <formula2>100</formula2>
    </dataValidation>
    <dataValidation type="decimal" operator="greaterThanOrEqual" allowBlank="1" showInputMessage="1" showErrorMessage="1" sqref="Q156">
      <formula1>0</formula1>
    </dataValidation>
    <dataValidation type="decimal" operator="greaterThanOrEqual" allowBlank="1" showInputMessage="1" showErrorMessage="1" sqref="R156">
      <formula1>0</formula1>
    </dataValidation>
    <dataValidation type="whole" allowBlank="1" showInputMessage="1" showErrorMessage="1" sqref="U156">
      <formula1>1</formula1>
      <formula2>5</formula2>
    </dataValidation>
    <dataValidation type="whole" allowBlank="1" showInputMessage="1" showErrorMessage="1" sqref="V156">
      <formula1>1</formula1>
      <formula2>5</formula2>
    </dataValidation>
    <dataValidation type="whole" allowBlank="1" showInputMessage="1" showErrorMessage="1" sqref="X156">
      <formula1>1</formula1>
      <formula2>5</formula2>
    </dataValidation>
    <dataValidation type="decimal" operator="greaterThanOrEqual" allowBlank="1" showInputMessage="1" showErrorMessage="1" sqref="Y156">
      <formula1>0</formula1>
    </dataValidation>
    <dataValidation type="whole" operator="greaterThanOrEqual" allowBlank="1" showInputMessage="1" showErrorMessage="1" sqref="Z156">
      <formula1>0</formula1>
    </dataValidation>
    <dataValidation type="whole" allowBlank="1" showInputMessage="1" showErrorMessage="1" sqref="AA156">
      <formula1>1</formula1>
      <formula2>5</formula2>
    </dataValidation>
    <dataValidation type="decimal" allowBlank="1" showInputMessage="1" showErrorMessage="1" sqref="AB156">
      <formula1>0</formula1>
      <formula2>1</formula2>
    </dataValidation>
    <dataValidation type="list" allowBlank="1" showInputMessage="1" showErrorMessage="1" sqref="O156">
      <formula1>liste_statuts</formula1>
    </dataValidation>
    <dataValidation type="list" allowBlank="1" showInputMessage="1" showErrorMessage="1" sqref="B157">
      <formula1>liste_programmes</formula1>
    </dataValidation>
    <dataValidation type="list" allowBlank="1" showInputMessage="1" showErrorMessage="1" sqref="D157">
      <formula1>liste_types</formula1>
    </dataValidation>
    <dataValidation type="list" allowBlank="1" showInputMessage="1" showErrorMessage="1" sqref="F157">
      <formula1>liste_categories</formula1>
    </dataValidation>
    <dataValidation type="list" allowBlank="1" showInputMessage="1" showErrorMessage="1" sqref="G157">
      <formula1>liste_responsables</formula1>
    </dataValidation>
    <dataValidation type="list" allowBlank="1" showInputMessage="1" showErrorMessage="1" sqref="H157">
      <formula1>liste_sites</formula1>
    </dataValidation>
    <dataValidation type="list" allowBlank="1" showInputMessage="1" showErrorMessage="1" sqref="I157">
      <formula1>liste_priorites</formula1>
    </dataValidation>
    <dataValidation type="date" operator="greaterThanOrEqual" allowBlank="1" showInputMessage="1" showErrorMessage="1" sqref="J157">
      <formula1>730120</formula1>
    </dataValidation>
    <dataValidation type="date" operator="greaterThanOrEqual" allowBlank="1" showInputMessage="1" showErrorMessage="1" sqref="K157">
      <formula1>730120</formula1>
    </dataValidation>
    <dataValidation type="date" operator="greaterThanOrEqual" allowBlank="1" showInputMessage="1" showErrorMessage="1" sqref="L157">
      <formula1>730120</formula1>
    </dataValidation>
    <dataValidation type="whole" allowBlank="1" showInputMessage="1" showErrorMessage="1" sqref="P157">
      <formula1>0</formula1>
      <formula2>100</formula2>
    </dataValidation>
    <dataValidation type="decimal" operator="greaterThanOrEqual" allowBlank="1" showInputMessage="1" showErrorMessage="1" sqref="Q157">
      <formula1>0</formula1>
    </dataValidation>
    <dataValidation type="decimal" operator="greaterThanOrEqual" allowBlank="1" showInputMessage="1" showErrorMessage="1" sqref="R157">
      <formula1>0</formula1>
    </dataValidation>
    <dataValidation type="whole" allowBlank="1" showInputMessage="1" showErrorMessage="1" sqref="U157">
      <formula1>1</formula1>
      <formula2>5</formula2>
    </dataValidation>
    <dataValidation type="whole" allowBlank="1" showInputMessage="1" showErrorMessage="1" sqref="V157">
      <formula1>1</formula1>
      <formula2>5</formula2>
    </dataValidation>
    <dataValidation type="whole" allowBlank="1" showInputMessage="1" showErrorMessage="1" sqref="X157">
      <formula1>1</formula1>
      <formula2>5</formula2>
    </dataValidation>
    <dataValidation type="decimal" operator="greaterThanOrEqual" allowBlank="1" showInputMessage="1" showErrorMessage="1" sqref="Y157">
      <formula1>0</formula1>
    </dataValidation>
    <dataValidation type="whole" operator="greaterThanOrEqual" allowBlank="1" showInputMessage="1" showErrorMessage="1" sqref="Z157">
      <formula1>0</formula1>
    </dataValidation>
    <dataValidation type="whole" allowBlank="1" showInputMessage="1" showErrorMessage="1" sqref="AA157">
      <formula1>1</formula1>
      <formula2>5</formula2>
    </dataValidation>
    <dataValidation type="decimal" allowBlank="1" showInputMessage="1" showErrorMessage="1" sqref="AB157">
      <formula1>0</formula1>
      <formula2>1</formula2>
    </dataValidation>
    <dataValidation type="list" allowBlank="1" showInputMessage="1" showErrorMessage="1" sqref="O157">
      <formula1>liste_statuts</formula1>
    </dataValidation>
    <dataValidation type="list" allowBlank="1" showInputMessage="1" showErrorMessage="1" sqref="B158">
      <formula1>liste_programmes</formula1>
    </dataValidation>
    <dataValidation type="list" allowBlank="1" showInputMessage="1" showErrorMessage="1" sqref="D158">
      <formula1>liste_types</formula1>
    </dataValidation>
    <dataValidation type="list" allowBlank="1" showInputMessage="1" showErrorMessage="1" sqref="F158">
      <formula1>liste_categories</formula1>
    </dataValidation>
    <dataValidation type="list" allowBlank="1" showInputMessage="1" showErrorMessage="1" sqref="G158">
      <formula1>liste_responsables</formula1>
    </dataValidation>
    <dataValidation type="list" allowBlank="1" showInputMessage="1" showErrorMessage="1" sqref="H158">
      <formula1>liste_sites</formula1>
    </dataValidation>
    <dataValidation type="list" allowBlank="1" showInputMessage="1" showErrorMessage="1" sqref="I158">
      <formula1>liste_priorites</formula1>
    </dataValidation>
    <dataValidation type="date" operator="greaterThanOrEqual" allowBlank="1" showInputMessage="1" showErrorMessage="1" sqref="J158">
      <formula1>730120</formula1>
    </dataValidation>
    <dataValidation type="date" operator="greaterThanOrEqual" allowBlank="1" showInputMessage="1" showErrorMessage="1" sqref="K158">
      <formula1>730120</formula1>
    </dataValidation>
    <dataValidation type="date" operator="greaterThanOrEqual" allowBlank="1" showInputMessage="1" showErrorMessage="1" sqref="L158">
      <formula1>730120</formula1>
    </dataValidation>
    <dataValidation type="whole" allowBlank="1" showInputMessage="1" showErrorMessage="1" sqref="P158">
      <formula1>0</formula1>
      <formula2>100</formula2>
    </dataValidation>
    <dataValidation type="decimal" operator="greaterThanOrEqual" allowBlank="1" showInputMessage="1" showErrorMessage="1" sqref="Q158">
      <formula1>0</formula1>
    </dataValidation>
    <dataValidation type="decimal" operator="greaterThanOrEqual" allowBlank="1" showInputMessage="1" showErrorMessage="1" sqref="R158">
      <formula1>0</formula1>
    </dataValidation>
    <dataValidation type="whole" allowBlank="1" showInputMessage="1" showErrorMessage="1" sqref="U158">
      <formula1>1</formula1>
      <formula2>5</formula2>
    </dataValidation>
    <dataValidation type="whole" allowBlank="1" showInputMessage="1" showErrorMessage="1" sqref="V158">
      <formula1>1</formula1>
      <formula2>5</formula2>
    </dataValidation>
    <dataValidation type="whole" allowBlank="1" showInputMessage="1" showErrorMessage="1" sqref="X158">
      <formula1>1</formula1>
      <formula2>5</formula2>
    </dataValidation>
    <dataValidation type="decimal" operator="greaterThanOrEqual" allowBlank="1" showInputMessage="1" showErrorMessage="1" sqref="Y158">
      <formula1>0</formula1>
    </dataValidation>
    <dataValidation type="whole" operator="greaterThanOrEqual" allowBlank="1" showInputMessage="1" showErrorMessage="1" sqref="Z158">
      <formula1>0</formula1>
    </dataValidation>
    <dataValidation type="whole" allowBlank="1" showInputMessage="1" showErrorMessage="1" sqref="AA158">
      <formula1>1</formula1>
      <formula2>5</formula2>
    </dataValidation>
    <dataValidation type="decimal" allowBlank="1" showInputMessage="1" showErrorMessage="1" sqref="AB158">
      <formula1>0</formula1>
      <formula2>1</formula2>
    </dataValidation>
    <dataValidation type="list" allowBlank="1" showInputMessage="1" showErrorMessage="1" sqref="O158">
      <formula1>liste_statuts</formula1>
    </dataValidation>
    <dataValidation type="list" allowBlank="1" showInputMessage="1" showErrorMessage="1" sqref="B159">
      <formula1>liste_programmes</formula1>
    </dataValidation>
    <dataValidation type="list" allowBlank="1" showInputMessage="1" showErrorMessage="1" sqref="D159">
      <formula1>liste_types</formula1>
    </dataValidation>
    <dataValidation type="list" allowBlank="1" showInputMessage="1" showErrorMessage="1" sqref="F159">
      <formula1>liste_categories</formula1>
    </dataValidation>
    <dataValidation type="list" allowBlank="1" showInputMessage="1" showErrorMessage="1" sqref="G159">
      <formula1>liste_responsables</formula1>
    </dataValidation>
    <dataValidation type="list" allowBlank="1" showInputMessage="1" showErrorMessage="1" sqref="H159">
      <formula1>liste_sites</formula1>
    </dataValidation>
    <dataValidation type="list" allowBlank="1" showInputMessage="1" showErrorMessage="1" sqref="I159">
      <formula1>liste_priorites</formula1>
    </dataValidation>
    <dataValidation type="date" operator="greaterThanOrEqual" allowBlank="1" showInputMessage="1" showErrorMessage="1" sqref="J159">
      <formula1>730120</formula1>
    </dataValidation>
    <dataValidation type="date" operator="greaterThanOrEqual" allowBlank="1" showInputMessage="1" showErrorMessage="1" sqref="K159">
      <formula1>730120</formula1>
    </dataValidation>
    <dataValidation type="date" operator="greaterThanOrEqual" allowBlank="1" showInputMessage="1" showErrorMessage="1" sqref="L159">
      <formula1>730120</formula1>
    </dataValidation>
    <dataValidation type="whole" allowBlank="1" showInputMessage="1" showErrorMessage="1" sqref="P159">
      <formula1>0</formula1>
      <formula2>100</formula2>
    </dataValidation>
    <dataValidation type="decimal" operator="greaterThanOrEqual" allowBlank="1" showInputMessage="1" showErrorMessage="1" sqref="Q159">
      <formula1>0</formula1>
    </dataValidation>
    <dataValidation type="decimal" operator="greaterThanOrEqual" allowBlank="1" showInputMessage="1" showErrorMessage="1" sqref="R159">
      <formula1>0</formula1>
    </dataValidation>
    <dataValidation type="whole" allowBlank="1" showInputMessage="1" showErrorMessage="1" sqref="U159">
      <formula1>1</formula1>
      <formula2>5</formula2>
    </dataValidation>
    <dataValidation type="whole" allowBlank="1" showInputMessage="1" showErrorMessage="1" sqref="V159">
      <formula1>1</formula1>
      <formula2>5</formula2>
    </dataValidation>
    <dataValidation type="whole" allowBlank="1" showInputMessage="1" showErrorMessage="1" sqref="X159">
      <formula1>1</formula1>
      <formula2>5</formula2>
    </dataValidation>
    <dataValidation type="decimal" operator="greaterThanOrEqual" allowBlank="1" showInputMessage="1" showErrorMessage="1" sqref="Y159">
      <formula1>0</formula1>
    </dataValidation>
    <dataValidation type="whole" operator="greaterThanOrEqual" allowBlank="1" showInputMessage="1" showErrorMessage="1" sqref="Z159">
      <formula1>0</formula1>
    </dataValidation>
    <dataValidation type="whole" allowBlank="1" showInputMessage="1" showErrorMessage="1" sqref="AA159">
      <formula1>1</formula1>
      <formula2>5</formula2>
    </dataValidation>
    <dataValidation type="decimal" allowBlank="1" showInputMessage="1" showErrorMessage="1" sqref="AB159">
      <formula1>0</formula1>
      <formula2>1</formula2>
    </dataValidation>
    <dataValidation type="list" allowBlank="1" showInputMessage="1" showErrorMessage="1" sqref="O159">
      <formula1>liste_statuts</formula1>
    </dataValidation>
    <dataValidation type="list" allowBlank="1" showInputMessage="1" showErrorMessage="1" sqref="B160">
      <formula1>liste_programmes</formula1>
    </dataValidation>
    <dataValidation type="list" allowBlank="1" showInputMessage="1" showErrorMessage="1" sqref="D160">
      <formula1>liste_types</formula1>
    </dataValidation>
    <dataValidation type="list" allowBlank="1" showInputMessage="1" showErrorMessage="1" sqref="F160">
      <formula1>liste_categories</formula1>
    </dataValidation>
    <dataValidation type="list" allowBlank="1" showInputMessage="1" showErrorMessage="1" sqref="G160">
      <formula1>liste_responsables</formula1>
    </dataValidation>
    <dataValidation type="list" allowBlank="1" showInputMessage="1" showErrorMessage="1" sqref="H160">
      <formula1>liste_sites</formula1>
    </dataValidation>
    <dataValidation type="list" allowBlank="1" showInputMessage="1" showErrorMessage="1" sqref="I160">
      <formula1>liste_priorites</formula1>
    </dataValidation>
    <dataValidation type="date" operator="greaterThanOrEqual" allowBlank="1" showInputMessage="1" showErrorMessage="1" sqref="J160">
      <formula1>730120</formula1>
    </dataValidation>
    <dataValidation type="date" operator="greaterThanOrEqual" allowBlank="1" showInputMessage="1" showErrorMessage="1" sqref="K160">
      <formula1>730120</formula1>
    </dataValidation>
    <dataValidation type="date" operator="greaterThanOrEqual" allowBlank="1" showInputMessage="1" showErrorMessage="1" sqref="L160">
      <formula1>730120</formula1>
    </dataValidation>
    <dataValidation type="whole" allowBlank="1" showInputMessage="1" showErrorMessage="1" sqref="P160">
      <formula1>0</formula1>
      <formula2>100</formula2>
    </dataValidation>
    <dataValidation type="decimal" operator="greaterThanOrEqual" allowBlank="1" showInputMessage="1" showErrorMessage="1" sqref="Q160">
      <formula1>0</formula1>
    </dataValidation>
    <dataValidation type="decimal" operator="greaterThanOrEqual" allowBlank="1" showInputMessage="1" showErrorMessage="1" sqref="R160">
      <formula1>0</formula1>
    </dataValidation>
    <dataValidation type="whole" allowBlank="1" showInputMessage="1" showErrorMessage="1" sqref="U160">
      <formula1>1</formula1>
      <formula2>5</formula2>
    </dataValidation>
    <dataValidation type="whole" allowBlank="1" showInputMessage="1" showErrorMessage="1" sqref="V160">
      <formula1>1</formula1>
      <formula2>5</formula2>
    </dataValidation>
    <dataValidation type="whole" allowBlank="1" showInputMessage="1" showErrorMessage="1" sqref="X160">
      <formula1>1</formula1>
      <formula2>5</formula2>
    </dataValidation>
    <dataValidation type="decimal" operator="greaterThanOrEqual" allowBlank="1" showInputMessage="1" showErrorMessage="1" sqref="Y160">
      <formula1>0</formula1>
    </dataValidation>
    <dataValidation type="whole" operator="greaterThanOrEqual" allowBlank="1" showInputMessage="1" showErrorMessage="1" sqref="Z160">
      <formula1>0</formula1>
    </dataValidation>
    <dataValidation type="whole" allowBlank="1" showInputMessage="1" showErrorMessage="1" sqref="AA160">
      <formula1>1</formula1>
      <formula2>5</formula2>
    </dataValidation>
    <dataValidation type="decimal" allowBlank="1" showInputMessage="1" showErrorMessage="1" sqref="AB160">
      <formula1>0</formula1>
      <formula2>1</formula2>
    </dataValidation>
    <dataValidation type="list" allowBlank="1" showInputMessage="1" showErrorMessage="1" sqref="O160">
      <formula1>liste_statuts</formula1>
    </dataValidation>
    <dataValidation type="list" allowBlank="1" showInputMessage="1" showErrorMessage="1" sqref="B161">
      <formula1>liste_programmes</formula1>
    </dataValidation>
    <dataValidation type="list" allowBlank="1" showInputMessage="1" showErrorMessage="1" sqref="D161">
      <formula1>liste_types</formula1>
    </dataValidation>
    <dataValidation type="list" allowBlank="1" showInputMessage="1" showErrorMessage="1" sqref="F161">
      <formula1>liste_categories</formula1>
    </dataValidation>
    <dataValidation type="list" allowBlank="1" showInputMessage="1" showErrorMessage="1" sqref="G161">
      <formula1>liste_responsables</formula1>
    </dataValidation>
    <dataValidation type="list" allowBlank="1" showInputMessage="1" showErrorMessage="1" sqref="H161">
      <formula1>liste_sites</formula1>
    </dataValidation>
    <dataValidation type="list" allowBlank="1" showInputMessage="1" showErrorMessage="1" sqref="I161">
      <formula1>liste_priorites</formula1>
    </dataValidation>
    <dataValidation type="date" operator="greaterThanOrEqual" allowBlank="1" showInputMessage="1" showErrorMessage="1" sqref="J161">
      <formula1>730120</formula1>
    </dataValidation>
    <dataValidation type="date" operator="greaterThanOrEqual" allowBlank="1" showInputMessage="1" showErrorMessage="1" sqref="K161">
      <formula1>730120</formula1>
    </dataValidation>
    <dataValidation type="date" operator="greaterThanOrEqual" allowBlank="1" showInputMessage="1" showErrorMessage="1" sqref="L161">
      <formula1>730120</formula1>
    </dataValidation>
    <dataValidation type="whole" allowBlank="1" showInputMessage="1" showErrorMessage="1" sqref="P161">
      <formula1>0</formula1>
      <formula2>100</formula2>
    </dataValidation>
    <dataValidation type="decimal" operator="greaterThanOrEqual" allowBlank="1" showInputMessage="1" showErrorMessage="1" sqref="Q161">
      <formula1>0</formula1>
    </dataValidation>
    <dataValidation type="decimal" operator="greaterThanOrEqual" allowBlank="1" showInputMessage="1" showErrorMessage="1" sqref="R161">
      <formula1>0</formula1>
    </dataValidation>
    <dataValidation type="whole" allowBlank="1" showInputMessage="1" showErrorMessage="1" sqref="U161">
      <formula1>1</formula1>
      <formula2>5</formula2>
    </dataValidation>
    <dataValidation type="whole" allowBlank="1" showInputMessage="1" showErrorMessage="1" sqref="V161">
      <formula1>1</formula1>
      <formula2>5</formula2>
    </dataValidation>
    <dataValidation type="whole" allowBlank="1" showInputMessage="1" showErrorMessage="1" sqref="X161">
      <formula1>1</formula1>
      <formula2>5</formula2>
    </dataValidation>
    <dataValidation type="decimal" operator="greaterThanOrEqual" allowBlank="1" showInputMessage="1" showErrorMessage="1" sqref="Y161">
      <formula1>0</formula1>
    </dataValidation>
    <dataValidation type="whole" operator="greaterThanOrEqual" allowBlank="1" showInputMessage="1" showErrorMessage="1" sqref="Z161">
      <formula1>0</formula1>
    </dataValidation>
    <dataValidation type="whole" allowBlank="1" showInputMessage="1" showErrorMessage="1" sqref="AA161">
      <formula1>1</formula1>
      <formula2>5</formula2>
    </dataValidation>
    <dataValidation type="decimal" allowBlank="1" showInputMessage="1" showErrorMessage="1" sqref="AB161">
      <formula1>0</formula1>
      <formula2>1</formula2>
    </dataValidation>
    <dataValidation type="list" allowBlank="1" showInputMessage="1" showErrorMessage="1" sqref="O161">
      <formula1>liste_statuts</formula1>
    </dataValidation>
    <dataValidation type="list" allowBlank="1" showInputMessage="1" showErrorMessage="1" sqref="B162">
      <formula1>liste_programmes</formula1>
    </dataValidation>
    <dataValidation type="list" allowBlank="1" showInputMessage="1" showErrorMessage="1" sqref="D162">
      <formula1>liste_types</formula1>
    </dataValidation>
    <dataValidation type="list" allowBlank="1" showInputMessage="1" showErrorMessage="1" sqref="F162">
      <formula1>liste_categories</formula1>
    </dataValidation>
    <dataValidation type="list" allowBlank="1" showInputMessage="1" showErrorMessage="1" sqref="G162">
      <formula1>liste_responsables</formula1>
    </dataValidation>
    <dataValidation type="list" allowBlank="1" showInputMessage="1" showErrorMessage="1" sqref="H162">
      <formula1>liste_sites</formula1>
    </dataValidation>
    <dataValidation type="list" allowBlank="1" showInputMessage="1" showErrorMessage="1" sqref="I162">
      <formula1>liste_priorites</formula1>
    </dataValidation>
    <dataValidation type="date" operator="greaterThanOrEqual" allowBlank="1" showInputMessage="1" showErrorMessage="1" sqref="J162">
      <formula1>730120</formula1>
    </dataValidation>
    <dataValidation type="date" operator="greaterThanOrEqual" allowBlank="1" showInputMessage="1" showErrorMessage="1" sqref="K162">
      <formula1>730120</formula1>
    </dataValidation>
    <dataValidation type="date" operator="greaterThanOrEqual" allowBlank="1" showInputMessage="1" showErrorMessage="1" sqref="L162">
      <formula1>730120</formula1>
    </dataValidation>
    <dataValidation type="whole" allowBlank="1" showInputMessage="1" showErrorMessage="1" sqref="P162">
      <formula1>0</formula1>
      <formula2>100</formula2>
    </dataValidation>
    <dataValidation type="decimal" operator="greaterThanOrEqual" allowBlank="1" showInputMessage="1" showErrorMessage="1" sqref="Q162">
      <formula1>0</formula1>
    </dataValidation>
    <dataValidation type="decimal" operator="greaterThanOrEqual" allowBlank="1" showInputMessage="1" showErrorMessage="1" sqref="R162">
      <formula1>0</formula1>
    </dataValidation>
    <dataValidation type="whole" allowBlank="1" showInputMessage="1" showErrorMessage="1" sqref="U162">
      <formula1>1</formula1>
      <formula2>5</formula2>
    </dataValidation>
    <dataValidation type="whole" allowBlank="1" showInputMessage="1" showErrorMessage="1" sqref="V162">
      <formula1>1</formula1>
      <formula2>5</formula2>
    </dataValidation>
    <dataValidation type="whole" allowBlank="1" showInputMessage="1" showErrorMessage="1" sqref="X162">
      <formula1>1</formula1>
      <formula2>5</formula2>
    </dataValidation>
    <dataValidation type="decimal" operator="greaterThanOrEqual" allowBlank="1" showInputMessage="1" showErrorMessage="1" sqref="Y162">
      <formula1>0</formula1>
    </dataValidation>
    <dataValidation type="whole" operator="greaterThanOrEqual" allowBlank="1" showInputMessage="1" showErrorMessage="1" sqref="Z162">
      <formula1>0</formula1>
    </dataValidation>
    <dataValidation type="whole" allowBlank="1" showInputMessage="1" showErrorMessage="1" sqref="AA162">
      <formula1>1</formula1>
      <formula2>5</formula2>
    </dataValidation>
    <dataValidation type="decimal" allowBlank="1" showInputMessage="1" showErrorMessage="1" sqref="AB162">
      <formula1>0</formula1>
      <formula2>1</formula2>
    </dataValidation>
    <dataValidation type="list" allowBlank="1" showInputMessage="1" showErrorMessage="1" sqref="O162">
      <formula1>liste_statuts</formula1>
    </dataValidation>
    <dataValidation type="list" allowBlank="1" showInputMessage="1" showErrorMessage="1" sqref="B163">
      <formula1>liste_programmes</formula1>
    </dataValidation>
    <dataValidation type="list" allowBlank="1" showInputMessage="1" showErrorMessage="1" sqref="D163">
      <formula1>liste_types</formula1>
    </dataValidation>
    <dataValidation type="list" allowBlank="1" showInputMessage="1" showErrorMessage="1" sqref="F163">
      <formula1>liste_categories</formula1>
    </dataValidation>
    <dataValidation type="list" allowBlank="1" showInputMessage="1" showErrorMessage="1" sqref="G163">
      <formula1>liste_responsables</formula1>
    </dataValidation>
    <dataValidation type="list" allowBlank="1" showInputMessage="1" showErrorMessage="1" sqref="H163">
      <formula1>liste_sites</formula1>
    </dataValidation>
    <dataValidation type="list" allowBlank="1" showInputMessage="1" showErrorMessage="1" sqref="I163">
      <formula1>liste_priorites</formula1>
    </dataValidation>
    <dataValidation type="date" operator="greaterThanOrEqual" allowBlank="1" showInputMessage="1" showErrorMessage="1" sqref="J163">
      <formula1>730120</formula1>
    </dataValidation>
    <dataValidation type="date" operator="greaterThanOrEqual" allowBlank="1" showInputMessage="1" showErrorMessage="1" sqref="K163">
      <formula1>730120</formula1>
    </dataValidation>
    <dataValidation type="date" operator="greaterThanOrEqual" allowBlank="1" showInputMessage="1" showErrorMessage="1" sqref="L163">
      <formula1>730120</formula1>
    </dataValidation>
    <dataValidation type="whole" allowBlank="1" showInputMessage="1" showErrorMessage="1" sqref="P163">
      <formula1>0</formula1>
      <formula2>100</formula2>
    </dataValidation>
    <dataValidation type="decimal" operator="greaterThanOrEqual" allowBlank="1" showInputMessage="1" showErrorMessage="1" sqref="Q163">
      <formula1>0</formula1>
    </dataValidation>
    <dataValidation type="decimal" operator="greaterThanOrEqual" allowBlank="1" showInputMessage="1" showErrorMessage="1" sqref="R163">
      <formula1>0</formula1>
    </dataValidation>
    <dataValidation type="whole" allowBlank="1" showInputMessage="1" showErrorMessage="1" sqref="U163">
      <formula1>1</formula1>
      <formula2>5</formula2>
    </dataValidation>
    <dataValidation type="whole" allowBlank="1" showInputMessage="1" showErrorMessage="1" sqref="V163">
      <formula1>1</formula1>
      <formula2>5</formula2>
    </dataValidation>
    <dataValidation type="whole" allowBlank="1" showInputMessage="1" showErrorMessage="1" sqref="X163">
      <formula1>1</formula1>
      <formula2>5</formula2>
    </dataValidation>
    <dataValidation type="decimal" operator="greaterThanOrEqual" allowBlank="1" showInputMessage="1" showErrorMessage="1" sqref="Y163">
      <formula1>0</formula1>
    </dataValidation>
    <dataValidation type="whole" operator="greaterThanOrEqual" allowBlank="1" showInputMessage="1" showErrorMessage="1" sqref="Z163">
      <formula1>0</formula1>
    </dataValidation>
    <dataValidation type="whole" allowBlank="1" showInputMessage="1" showErrorMessage="1" sqref="AA163">
      <formula1>1</formula1>
      <formula2>5</formula2>
    </dataValidation>
    <dataValidation type="decimal" allowBlank="1" showInputMessage="1" showErrorMessage="1" sqref="AB163">
      <formula1>0</formula1>
      <formula2>1</formula2>
    </dataValidation>
    <dataValidation type="list" allowBlank="1" showInputMessage="1" showErrorMessage="1" sqref="O163">
      <formula1>liste_statuts</formula1>
    </dataValidation>
    <dataValidation type="list" allowBlank="1" showInputMessage="1" showErrorMessage="1" sqref="B164">
      <formula1>liste_programmes</formula1>
    </dataValidation>
    <dataValidation type="list" allowBlank="1" showInputMessage="1" showErrorMessage="1" sqref="D164">
      <formula1>liste_types</formula1>
    </dataValidation>
    <dataValidation type="list" allowBlank="1" showInputMessage="1" showErrorMessage="1" sqref="F164">
      <formula1>liste_categories</formula1>
    </dataValidation>
    <dataValidation type="list" allowBlank="1" showInputMessage="1" showErrorMessage="1" sqref="G164">
      <formula1>liste_responsables</formula1>
    </dataValidation>
    <dataValidation type="list" allowBlank="1" showInputMessage="1" showErrorMessage="1" sqref="H164">
      <formula1>liste_sites</formula1>
    </dataValidation>
    <dataValidation type="list" allowBlank="1" showInputMessage="1" showErrorMessage="1" sqref="I164">
      <formula1>liste_priorites</formula1>
    </dataValidation>
    <dataValidation type="date" operator="greaterThanOrEqual" allowBlank="1" showInputMessage="1" showErrorMessage="1" sqref="J164">
      <formula1>730120</formula1>
    </dataValidation>
    <dataValidation type="date" operator="greaterThanOrEqual" allowBlank="1" showInputMessage="1" showErrorMessage="1" sqref="K164">
      <formula1>730120</formula1>
    </dataValidation>
    <dataValidation type="date" operator="greaterThanOrEqual" allowBlank="1" showInputMessage="1" showErrorMessage="1" sqref="L164">
      <formula1>730120</formula1>
    </dataValidation>
    <dataValidation type="whole" allowBlank="1" showInputMessage="1" showErrorMessage="1" sqref="P164">
      <formula1>0</formula1>
      <formula2>100</formula2>
    </dataValidation>
    <dataValidation type="decimal" operator="greaterThanOrEqual" allowBlank="1" showInputMessage="1" showErrorMessage="1" sqref="Q164">
      <formula1>0</formula1>
    </dataValidation>
    <dataValidation type="decimal" operator="greaterThanOrEqual" allowBlank="1" showInputMessage="1" showErrorMessage="1" sqref="R164">
      <formula1>0</formula1>
    </dataValidation>
    <dataValidation type="whole" allowBlank="1" showInputMessage="1" showErrorMessage="1" sqref="U164">
      <formula1>1</formula1>
      <formula2>5</formula2>
    </dataValidation>
    <dataValidation type="whole" allowBlank="1" showInputMessage="1" showErrorMessage="1" sqref="V164">
      <formula1>1</formula1>
      <formula2>5</formula2>
    </dataValidation>
    <dataValidation type="whole" allowBlank="1" showInputMessage="1" showErrorMessage="1" sqref="X164">
      <formula1>1</formula1>
      <formula2>5</formula2>
    </dataValidation>
    <dataValidation type="decimal" operator="greaterThanOrEqual" allowBlank="1" showInputMessage="1" showErrorMessage="1" sqref="Y164">
      <formula1>0</formula1>
    </dataValidation>
    <dataValidation type="whole" operator="greaterThanOrEqual" allowBlank="1" showInputMessage="1" showErrorMessage="1" sqref="Z164">
      <formula1>0</formula1>
    </dataValidation>
    <dataValidation type="whole" allowBlank="1" showInputMessage="1" showErrorMessage="1" sqref="AA164">
      <formula1>1</formula1>
      <formula2>5</formula2>
    </dataValidation>
    <dataValidation type="decimal" allowBlank="1" showInputMessage="1" showErrorMessage="1" sqref="AB164">
      <formula1>0</formula1>
      <formula2>1</formula2>
    </dataValidation>
    <dataValidation type="list" allowBlank="1" showInputMessage="1" showErrorMessage="1" sqref="O164">
      <formula1>liste_statuts</formula1>
    </dataValidation>
    <dataValidation type="list" allowBlank="1" showInputMessage="1" showErrorMessage="1" sqref="B165">
      <formula1>liste_programmes</formula1>
    </dataValidation>
    <dataValidation type="list" allowBlank="1" showInputMessage="1" showErrorMessage="1" sqref="D165">
      <formula1>liste_types</formula1>
    </dataValidation>
    <dataValidation type="list" allowBlank="1" showInputMessage="1" showErrorMessage="1" sqref="F165">
      <formula1>liste_categories</formula1>
    </dataValidation>
    <dataValidation type="list" allowBlank="1" showInputMessage="1" showErrorMessage="1" sqref="G165">
      <formula1>liste_responsables</formula1>
    </dataValidation>
    <dataValidation type="list" allowBlank="1" showInputMessage="1" showErrorMessage="1" sqref="H165">
      <formula1>liste_sites</formula1>
    </dataValidation>
    <dataValidation type="list" allowBlank="1" showInputMessage="1" showErrorMessage="1" sqref="I165">
      <formula1>liste_priorites</formula1>
    </dataValidation>
    <dataValidation type="date" operator="greaterThanOrEqual" allowBlank="1" showInputMessage="1" showErrorMessage="1" sqref="J165">
      <formula1>730120</formula1>
    </dataValidation>
    <dataValidation type="date" operator="greaterThanOrEqual" allowBlank="1" showInputMessage="1" showErrorMessage="1" sqref="K165">
      <formula1>730120</formula1>
    </dataValidation>
    <dataValidation type="date" operator="greaterThanOrEqual" allowBlank="1" showInputMessage="1" showErrorMessage="1" sqref="L165">
      <formula1>730120</formula1>
    </dataValidation>
    <dataValidation type="whole" allowBlank="1" showInputMessage="1" showErrorMessage="1" sqref="P165">
      <formula1>0</formula1>
      <formula2>100</formula2>
    </dataValidation>
    <dataValidation type="decimal" operator="greaterThanOrEqual" allowBlank="1" showInputMessage="1" showErrorMessage="1" sqref="Q165">
      <formula1>0</formula1>
    </dataValidation>
    <dataValidation type="decimal" operator="greaterThanOrEqual" allowBlank="1" showInputMessage="1" showErrorMessage="1" sqref="R165">
      <formula1>0</formula1>
    </dataValidation>
    <dataValidation type="whole" allowBlank="1" showInputMessage="1" showErrorMessage="1" sqref="U165">
      <formula1>1</formula1>
      <formula2>5</formula2>
    </dataValidation>
    <dataValidation type="whole" allowBlank="1" showInputMessage="1" showErrorMessage="1" sqref="V165">
      <formula1>1</formula1>
      <formula2>5</formula2>
    </dataValidation>
    <dataValidation type="whole" allowBlank="1" showInputMessage="1" showErrorMessage="1" sqref="X165">
      <formula1>1</formula1>
      <formula2>5</formula2>
    </dataValidation>
    <dataValidation type="decimal" operator="greaterThanOrEqual" allowBlank="1" showInputMessage="1" showErrorMessage="1" sqref="Y165">
      <formula1>0</formula1>
    </dataValidation>
    <dataValidation type="whole" operator="greaterThanOrEqual" allowBlank="1" showInputMessage="1" showErrorMessage="1" sqref="Z165">
      <formula1>0</formula1>
    </dataValidation>
    <dataValidation type="whole" allowBlank="1" showInputMessage="1" showErrorMessage="1" sqref="AA165">
      <formula1>1</formula1>
      <formula2>5</formula2>
    </dataValidation>
    <dataValidation type="decimal" allowBlank="1" showInputMessage="1" showErrorMessage="1" sqref="AB165">
      <formula1>0</formula1>
      <formula2>1</formula2>
    </dataValidation>
    <dataValidation type="list" allowBlank="1" showInputMessage="1" showErrorMessage="1" sqref="O165">
      <formula1>liste_statuts</formula1>
    </dataValidation>
    <dataValidation type="list" allowBlank="1" showInputMessage="1" showErrorMessage="1" sqref="B166">
      <formula1>liste_programmes</formula1>
    </dataValidation>
    <dataValidation type="list" allowBlank="1" showInputMessage="1" showErrorMessage="1" sqref="D166">
      <formula1>liste_types</formula1>
    </dataValidation>
    <dataValidation type="list" allowBlank="1" showInputMessage="1" showErrorMessage="1" sqref="F166">
      <formula1>liste_categories</formula1>
    </dataValidation>
    <dataValidation type="list" allowBlank="1" showInputMessage="1" showErrorMessage="1" sqref="G166">
      <formula1>liste_responsables</formula1>
    </dataValidation>
    <dataValidation type="list" allowBlank="1" showInputMessage="1" showErrorMessage="1" sqref="H166">
      <formula1>liste_sites</formula1>
    </dataValidation>
    <dataValidation type="list" allowBlank="1" showInputMessage="1" showErrorMessage="1" sqref="I166">
      <formula1>liste_priorites</formula1>
    </dataValidation>
    <dataValidation type="date" operator="greaterThanOrEqual" allowBlank="1" showInputMessage="1" showErrorMessage="1" sqref="J166">
      <formula1>730120</formula1>
    </dataValidation>
    <dataValidation type="date" operator="greaterThanOrEqual" allowBlank="1" showInputMessage="1" showErrorMessage="1" sqref="K166">
      <formula1>730120</formula1>
    </dataValidation>
    <dataValidation type="date" operator="greaterThanOrEqual" allowBlank="1" showInputMessage="1" showErrorMessage="1" sqref="L166">
      <formula1>730120</formula1>
    </dataValidation>
    <dataValidation type="whole" allowBlank="1" showInputMessage="1" showErrorMessage="1" sqref="P166">
      <formula1>0</formula1>
      <formula2>100</formula2>
    </dataValidation>
    <dataValidation type="decimal" operator="greaterThanOrEqual" allowBlank="1" showInputMessage="1" showErrorMessage="1" sqref="Q166">
      <formula1>0</formula1>
    </dataValidation>
    <dataValidation type="decimal" operator="greaterThanOrEqual" allowBlank="1" showInputMessage="1" showErrorMessage="1" sqref="R166">
      <formula1>0</formula1>
    </dataValidation>
    <dataValidation type="whole" allowBlank="1" showInputMessage="1" showErrorMessage="1" sqref="U166">
      <formula1>1</formula1>
      <formula2>5</formula2>
    </dataValidation>
    <dataValidation type="whole" allowBlank="1" showInputMessage="1" showErrorMessage="1" sqref="V166">
      <formula1>1</formula1>
      <formula2>5</formula2>
    </dataValidation>
    <dataValidation type="whole" allowBlank="1" showInputMessage="1" showErrorMessage="1" sqref="X166">
      <formula1>1</formula1>
      <formula2>5</formula2>
    </dataValidation>
    <dataValidation type="decimal" operator="greaterThanOrEqual" allowBlank="1" showInputMessage="1" showErrorMessage="1" sqref="Y166">
      <formula1>0</formula1>
    </dataValidation>
    <dataValidation type="whole" operator="greaterThanOrEqual" allowBlank="1" showInputMessage="1" showErrorMessage="1" sqref="Z166">
      <formula1>0</formula1>
    </dataValidation>
    <dataValidation type="whole" allowBlank="1" showInputMessage="1" showErrorMessage="1" sqref="AA166">
      <formula1>1</formula1>
      <formula2>5</formula2>
    </dataValidation>
    <dataValidation type="decimal" allowBlank="1" showInputMessage="1" showErrorMessage="1" sqref="AB166">
      <formula1>0</formula1>
      <formula2>1</formula2>
    </dataValidation>
    <dataValidation type="list" allowBlank="1" showInputMessage="1" showErrorMessage="1" sqref="O166">
      <formula1>liste_statuts</formula1>
    </dataValidation>
    <dataValidation type="list" allowBlank="1" showInputMessage="1" showErrorMessage="1" sqref="B167">
      <formula1>liste_programmes</formula1>
    </dataValidation>
    <dataValidation type="list" allowBlank="1" showInputMessage="1" showErrorMessage="1" sqref="D167">
      <formula1>liste_types</formula1>
    </dataValidation>
    <dataValidation type="list" allowBlank="1" showInputMessage="1" showErrorMessage="1" sqref="F167">
      <formula1>liste_categories</formula1>
    </dataValidation>
    <dataValidation type="list" allowBlank="1" showInputMessage="1" showErrorMessage="1" sqref="G167">
      <formula1>liste_responsables</formula1>
    </dataValidation>
    <dataValidation type="list" allowBlank="1" showInputMessage="1" showErrorMessage="1" sqref="H167">
      <formula1>liste_sites</formula1>
    </dataValidation>
    <dataValidation type="list" allowBlank="1" showInputMessage="1" showErrorMessage="1" sqref="I167">
      <formula1>liste_priorites</formula1>
    </dataValidation>
    <dataValidation type="date" operator="greaterThanOrEqual" allowBlank="1" showInputMessage="1" showErrorMessage="1" sqref="J167">
      <formula1>730120</formula1>
    </dataValidation>
    <dataValidation type="date" operator="greaterThanOrEqual" allowBlank="1" showInputMessage="1" showErrorMessage="1" sqref="K167">
      <formula1>730120</formula1>
    </dataValidation>
    <dataValidation type="date" operator="greaterThanOrEqual" allowBlank="1" showInputMessage="1" showErrorMessage="1" sqref="L167">
      <formula1>730120</formula1>
    </dataValidation>
    <dataValidation type="whole" allowBlank="1" showInputMessage="1" showErrorMessage="1" sqref="P167">
      <formula1>0</formula1>
      <formula2>100</formula2>
    </dataValidation>
    <dataValidation type="decimal" operator="greaterThanOrEqual" allowBlank="1" showInputMessage="1" showErrorMessage="1" sqref="Q167">
      <formula1>0</formula1>
    </dataValidation>
    <dataValidation type="decimal" operator="greaterThanOrEqual" allowBlank="1" showInputMessage="1" showErrorMessage="1" sqref="R167">
      <formula1>0</formula1>
    </dataValidation>
    <dataValidation type="whole" allowBlank="1" showInputMessage="1" showErrorMessage="1" sqref="U167">
      <formula1>1</formula1>
      <formula2>5</formula2>
    </dataValidation>
    <dataValidation type="whole" allowBlank="1" showInputMessage="1" showErrorMessage="1" sqref="V167">
      <formula1>1</formula1>
      <formula2>5</formula2>
    </dataValidation>
    <dataValidation type="whole" allowBlank="1" showInputMessage="1" showErrorMessage="1" sqref="X167">
      <formula1>1</formula1>
      <formula2>5</formula2>
    </dataValidation>
    <dataValidation type="decimal" operator="greaterThanOrEqual" allowBlank="1" showInputMessage="1" showErrorMessage="1" sqref="Y167">
      <formula1>0</formula1>
    </dataValidation>
    <dataValidation type="whole" operator="greaterThanOrEqual" allowBlank="1" showInputMessage="1" showErrorMessage="1" sqref="Z167">
      <formula1>0</formula1>
    </dataValidation>
    <dataValidation type="whole" allowBlank="1" showInputMessage="1" showErrorMessage="1" sqref="AA167">
      <formula1>1</formula1>
      <formula2>5</formula2>
    </dataValidation>
    <dataValidation type="decimal" allowBlank="1" showInputMessage="1" showErrorMessage="1" sqref="AB167">
      <formula1>0</formula1>
      <formula2>1</formula2>
    </dataValidation>
    <dataValidation type="list" allowBlank="1" showInputMessage="1" showErrorMessage="1" sqref="O167">
      <formula1>liste_statuts</formula1>
    </dataValidation>
    <dataValidation type="list" allowBlank="1" showInputMessage="1" showErrorMessage="1" sqref="B168">
      <formula1>liste_programmes</formula1>
    </dataValidation>
    <dataValidation type="list" allowBlank="1" showInputMessage="1" showErrorMessage="1" sqref="D168">
      <formula1>liste_types</formula1>
    </dataValidation>
    <dataValidation type="list" allowBlank="1" showInputMessage="1" showErrorMessage="1" sqref="F168">
      <formula1>liste_categories</formula1>
    </dataValidation>
    <dataValidation type="list" allowBlank="1" showInputMessage="1" showErrorMessage="1" sqref="G168">
      <formula1>liste_responsables</formula1>
    </dataValidation>
    <dataValidation type="list" allowBlank="1" showInputMessage="1" showErrorMessage="1" sqref="H168">
      <formula1>liste_sites</formula1>
    </dataValidation>
    <dataValidation type="list" allowBlank="1" showInputMessage="1" showErrorMessage="1" sqref="I168">
      <formula1>liste_priorites</formula1>
    </dataValidation>
    <dataValidation type="date" operator="greaterThanOrEqual" allowBlank="1" showInputMessage="1" showErrorMessage="1" sqref="J168">
      <formula1>730120</formula1>
    </dataValidation>
    <dataValidation type="date" operator="greaterThanOrEqual" allowBlank="1" showInputMessage="1" showErrorMessage="1" sqref="K168">
      <formula1>730120</formula1>
    </dataValidation>
    <dataValidation type="date" operator="greaterThanOrEqual" allowBlank="1" showInputMessage="1" showErrorMessage="1" sqref="L168">
      <formula1>730120</formula1>
    </dataValidation>
    <dataValidation type="whole" allowBlank="1" showInputMessage="1" showErrorMessage="1" sqref="P168">
      <formula1>0</formula1>
      <formula2>100</formula2>
    </dataValidation>
    <dataValidation type="decimal" operator="greaterThanOrEqual" allowBlank="1" showInputMessage="1" showErrorMessage="1" sqref="Q168">
      <formula1>0</formula1>
    </dataValidation>
    <dataValidation type="decimal" operator="greaterThanOrEqual" allowBlank="1" showInputMessage="1" showErrorMessage="1" sqref="R168">
      <formula1>0</formula1>
    </dataValidation>
    <dataValidation type="whole" allowBlank="1" showInputMessage="1" showErrorMessage="1" sqref="U168">
      <formula1>1</formula1>
      <formula2>5</formula2>
    </dataValidation>
    <dataValidation type="whole" allowBlank="1" showInputMessage="1" showErrorMessage="1" sqref="V168">
      <formula1>1</formula1>
      <formula2>5</formula2>
    </dataValidation>
    <dataValidation type="whole" allowBlank="1" showInputMessage="1" showErrorMessage="1" sqref="X168">
      <formula1>1</formula1>
      <formula2>5</formula2>
    </dataValidation>
    <dataValidation type="decimal" operator="greaterThanOrEqual" allowBlank="1" showInputMessage="1" showErrorMessage="1" sqref="Y168">
      <formula1>0</formula1>
    </dataValidation>
    <dataValidation type="whole" operator="greaterThanOrEqual" allowBlank="1" showInputMessage="1" showErrorMessage="1" sqref="Z168">
      <formula1>0</formula1>
    </dataValidation>
    <dataValidation type="whole" allowBlank="1" showInputMessage="1" showErrorMessage="1" sqref="AA168">
      <formula1>1</formula1>
      <formula2>5</formula2>
    </dataValidation>
    <dataValidation type="decimal" allowBlank="1" showInputMessage="1" showErrorMessage="1" sqref="AB168">
      <formula1>0</formula1>
      <formula2>1</formula2>
    </dataValidation>
    <dataValidation type="list" allowBlank="1" showInputMessage="1" showErrorMessage="1" sqref="O168">
      <formula1>liste_statuts</formula1>
    </dataValidation>
    <dataValidation type="list" allowBlank="1" showInputMessage="1" showErrorMessage="1" sqref="B169">
      <formula1>liste_programmes</formula1>
    </dataValidation>
    <dataValidation type="list" allowBlank="1" showInputMessage="1" showErrorMessage="1" sqref="D169">
      <formula1>liste_types</formula1>
    </dataValidation>
    <dataValidation type="list" allowBlank="1" showInputMessage="1" showErrorMessage="1" sqref="F169">
      <formula1>liste_categories</formula1>
    </dataValidation>
    <dataValidation type="list" allowBlank="1" showInputMessage="1" showErrorMessage="1" sqref="G169">
      <formula1>liste_responsables</formula1>
    </dataValidation>
    <dataValidation type="list" allowBlank="1" showInputMessage="1" showErrorMessage="1" sqref="H169">
      <formula1>liste_sites</formula1>
    </dataValidation>
    <dataValidation type="list" allowBlank="1" showInputMessage="1" showErrorMessage="1" sqref="I169">
      <formula1>liste_priorites</formula1>
    </dataValidation>
    <dataValidation type="date" operator="greaterThanOrEqual" allowBlank="1" showInputMessage="1" showErrorMessage="1" sqref="J169">
      <formula1>730120</formula1>
    </dataValidation>
    <dataValidation type="date" operator="greaterThanOrEqual" allowBlank="1" showInputMessage="1" showErrorMessage="1" sqref="K169">
      <formula1>730120</formula1>
    </dataValidation>
    <dataValidation type="date" operator="greaterThanOrEqual" allowBlank="1" showInputMessage="1" showErrorMessage="1" sqref="L169">
      <formula1>730120</formula1>
    </dataValidation>
    <dataValidation type="whole" allowBlank="1" showInputMessage="1" showErrorMessage="1" sqref="P169">
      <formula1>0</formula1>
      <formula2>100</formula2>
    </dataValidation>
    <dataValidation type="decimal" operator="greaterThanOrEqual" allowBlank="1" showInputMessage="1" showErrorMessage="1" sqref="Q169">
      <formula1>0</formula1>
    </dataValidation>
    <dataValidation type="decimal" operator="greaterThanOrEqual" allowBlank="1" showInputMessage="1" showErrorMessage="1" sqref="R169">
      <formula1>0</formula1>
    </dataValidation>
    <dataValidation type="whole" allowBlank="1" showInputMessage="1" showErrorMessage="1" sqref="U169">
      <formula1>1</formula1>
      <formula2>5</formula2>
    </dataValidation>
    <dataValidation type="whole" allowBlank="1" showInputMessage="1" showErrorMessage="1" sqref="V169">
      <formula1>1</formula1>
      <formula2>5</formula2>
    </dataValidation>
    <dataValidation type="whole" allowBlank="1" showInputMessage="1" showErrorMessage="1" sqref="X169">
      <formula1>1</formula1>
      <formula2>5</formula2>
    </dataValidation>
    <dataValidation type="decimal" operator="greaterThanOrEqual" allowBlank="1" showInputMessage="1" showErrorMessage="1" sqref="Y169">
      <formula1>0</formula1>
    </dataValidation>
    <dataValidation type="whole" operator="greaterThanOrEqual" allowBlank="1" showInputMessage="1" showErrorMessage="1" sqref="Z169">
      <formula1>0</formula1>
    </dataValidation>
    <dataValidation type="whole" allowBlank="1" showInputMessage="1" showErrorMessage="1" sqref="AA169">
      <formula1>1</formula1>
      <formula2>5</formula2>
    </dataValidation>
    <dataValidation type="decimal" allowBlank="1" showInputMessage="1" showErrorMessage="1" sqref="AB169">
      <formula1>0</formula1>
      <formula2>1</formula2>
    </dataValidation>
    <dataValidation type="list" allowBlank="1" showInputMessage="1" showErrorMessage="1" sqref="O169">
      <formula1>liste_statuts</formula1>
    </dataValidation>
    <dataValidation type="list" allowBlank="1" showInputMessage="1" showErrorMessage="1" sqref="B170">
      <formula1>liste_programmes</formula1>
    </dataValidation>
    <dataValidation type="list" allowBlank="1" showInputMessage="1" showErrorMessage="1" sqref="D170">
      <formula1>liste_types</formula1>
    </dataValidation>
    <dataValidation type="list" allowBlank="1" showInputMessage="1" showErrorMessage="1" sqref="F170">
      <formula1>liste_categories</formula1>
    </dataValidation>
    <dataValidation type="list" allowBlank="1" showInputMessage="1" showErrorMessage="1" sqref="G170">
      <formula1>liste_responsables</formula1>
    </dataValidation>
    <dataValidation type="list" allowBlank="1" showInputMessage="1" showErrorMessage="1" sqref="H170">
      <formula1>liste_sites</formula1>
    </dataValidation>
    <dataValidation type="list" allowBlank="1" showInputMessage="1" showErrorMessage="1" sqref="I170">
      <formula1>liste_priorites</formula1>
    </dataValidation>
    <dataValidation type="date" operator="greaterThanOrEqual" allowBlank="1" showInputMessage="1" showErrorMessage="1" sqref="J170">
      <formula1>730120</formula1>
    </dataValidation>
    <dataValidation type="date" operator="greaterThanOrEqual" allowBlank="1" showInputMessage="1" showErrorMessage="1" sqref="K170">
      <formula1>730120</formula1>
    </dataValidation>
    <dataValidation type="date" operator="greaterThanOrEqual" allowBlank="1" showInputMessage="1" showErrorMessage="1" sqref="L170">
      <formula1>730120</formula1>
    </dataValidation>
    <dataValidation type="whole" allowBlank="1" showInputMessage="1" showErrorMessage="1" sqref="P170">
      <formula1>0</formula1>
      <formula2>100</formula2>
    </dataValidation>
    <dataValidation type="decimal" operator="greaterThanOrEqual" allowBlank="1" showInputMessage="1" showErrorMessage="1" sqref="Q170">
      <formula1>0</formula1>
    </dataValidation>
    <dataValidation type="decimal" operator="greaterThanOrEqual" allowBlank="1" showInputMessage="1" showErrorMessage="1" sqref="R170">
      <formula1>0</formula1>
    </dataValidation>
    <dataValidation type="whole" allowBlank="1" showInputMessage="1" showErrorMessage="1" sqref="U170">
      <formula1>1</formula1>
      <formula2>5</formula2>
    </dataValidation>
    <dataValidation type="whole" allowBlank="1" showInputMessage="1" showErrorMessage="1" sqref="V170">
      <formula1>1</formula1>
      <formula2>5</formula2>
    </dataValidation>
    <dataValidation type="whole" allowBlank="1" showInputMessage="1" showErrorMessage="1" sqref="X170">
      <formula1>1</formula1>
      <formula2>5</formula2>
    </dataValidation>
    <dataValidation type="decimal" operator="greaterThanOrEqual" allowBlank="1" showInputMessage="1" showErrorMessage="1" sqref="Y170">
      <formula1>0</formula1>
    </dataValidation>
    <dataValidation type="whole" operator="greaterThanOrEqual" allowBlank="1" showInputMessage="1" showErrorMessage="1" sqref="Z170">
      <formula1>0</formula1>
    </dataValidation>
    <dataValidation type="whole" allowBlank="1" showInputMessage="1" showErrorMessage="1" sqref="AA170">
      <formula1>1</formula1>
      <formula2>5</formula2>
    </dataValidation>
    <dataValidation type="decimal" allowBlank="1" showInputMessage="1" showErrorMessage="1" sqref="AB170">
      <formula1>0</formula1>
      <formula2>1</formula2>
    </dataValidation>
    <dataValidation type="list" allowBlank="1" showInputMessage="1" showErrorMessage="1" sqref="O170">
      <formula1>liste_statuts</formula1>
    </dataValidation>
    <dataValidation type="list" allowBlank="1" showInputMessage="1" showErrorMessage="1" sqref="B171">
      <formula1>liste_programmes</formula1>
    </dataValidation>
    <dataValidation type="list" allowBlank="1" showInputMessage="1" showErrorMessage="1" sqref="D171">
      <formula1>liste_types</formula1>
    </dataValidation>
    <dataValidation type="list" allowBlank="1" showInputMessage="1" showErrorMessage="1" sqref="F171">
      <formula1>liste_categories</formula1>
    </dataValidation>
    <dataValidation type="list" allowBlank="1" showInputMessage="1" showErrorMessage="1" sqref="G171">
      <formula1>liste_responsables</formula1>
    </dataValidation>
    <dataValidation type="list" allowBlank="1" showInputMessage="1" showErrorMessage="1" sqref="H171">
      <formula1>liste_sites</formula1>
    </dataValidation>
    <dataValidation type="list" allowBlank="1" showInputMessage="1" showErrorMessage="1" sqref="I171">
      <formula1>liste_priorites</formula1>
    </dataValidation>
    <dataValidation type="date" operator="greaterThanOrEqual" allowBlank="1" showInputMessage="1" showErrorMessage="1" sqref="J171">
      <formula1>730120</formula1>
    </dataValidation>
    <dataValidation type="date" operator="greaterThanOrEqual" allowBlank="1" showInputMessage="1" showErrorMessage="1" sqref="K171">
      <formula1>730120</formula1>
    </dataValidation>
    <dataValidation type="date" operator="greaterThanOrEqual" allowBlank="1" showInputMessage="1" showErrorMessage="1" sqref="L171">
      <formula1>730120</formula1>
    </dataValidation>
    <dataValidation type="whole" allowBlank="1" showInputMessage="1" showErrorMessage="1" sqref="P171">
      <formula1>0</formula1>
      <formula2>100</formula2>
    </dataValidation>
    <dataValidation type="decimal" operator="greaterThanOrEqual" allowBlank="1" showInputMessage="1" showErrorMessage="1" sqref="Q171">
      <formula1>0</formula1>
    </dataValidation>
    <dataValidation type="decimal" operator="greaterThanOrEqual" allowBlank="1" showInputMessage="1" showErrorMessage="1" sqref="R171">
      <formula1>0</formula1>
    </dataValidation>
    <dataValidation type="whole" allowBlank="1" showInputMessage="1" showErrorMessage="1" sqref="U171">
      <formula1>1</formula1>
      <formula2>5</formula2>
    </dataValidation>
    <dataValidation type="whole" allowBlank="1" showInputMessage="1" showErrorMessage="1" sqref="V171">
      <formula1>1</formula1>
      <formula2>5</formula2>
    </dataValidation>
    <dataValidation type="whole" allowBlank="1" showInputMessage="1" showErrorMessage="1" sqref="X171">
      <formula1>1</formula1>
      <formula2>5</formula2>
    </dataValidation>
    <dataValidation type="decimal" operator="greaterThanOrEqual" allowBlank="1" showInputMessage="1" showErrorMessage="1" sqref="Y171">
      <formula1>0</formula1>
    </dataValidation>
    <dataValidation type="whole" operator="greaterThanOrEqual" allowBlank="1" showInputMessage="1" showErrorMessage="1" sqref="Z171">
      <formula1>0</formula1>
    </dataValidation>
    <dataValidation type="whole" allowBlank="1" showInputMessage="1" showErrorMessage="1" sqref="AA171">
      <formula1>1</formula1>
      <formula2>5</formula2>
    </dataValidation>
    <dataValidation type="decimal" allowBlank="1" showInputMessage="1" showErrorMessage="1" sqref="AB171">
      <formula1>0</formula1>
      <formula2>1</formula2>
    </dataValidation>
    <dataValidation type="list" allowBlank="1" showInputMessage="1" showErrorMessage="1" sqref="O171">
      <formula1>liste_statuts</formula1>
    </dataValidation>
    <dataValidation type="list" allowBlank="1" showInputMessage="1" showErrorMessage="1" sqref="B172">
      <formula1>liste_programmes</formula1>
    </dataValidation>
    <dataValidation type="list" allowBlank="1" showInputMessage="1" showErrorMessage="1" sqref="D172">
      <formula1>liste_types</formula1>
    </dataValidation>
    <dataValidation type="list" allowBlank="1" showInputMessage="1" showErrorMessage="1" sqref="F172">
      <formula1>liste_categories</formula1>
    </dataValidation>
    <dataValidation type="list" allowBlank="1" showInputMessage="1" showErrorMessage="1" sqref="G172">
      <formula1>liste_responsables</formula1>
    </dataValidation>
    <dataValidation type="list" allowBlank="1" showInputMessage="1" showErrorMessage="1" sqref="H172">
      <formula1>liste_sites</formula1>
    </dataValidation>
    <dataValidation type="list" allowBlank="1" showInputMessage="1" showErrorMessage="1" sqref="I172">
      <formula1>liste_priorites</formula1>
    </dataValidation>
    <dataValidation type="date" operator="greaterThanOrEqual" allowBlank="1" showInputMessage="1" showErrorMessage="1" sqref="J172">
      <formula1>730120</formula1>
    </dataValidation>
    <dataValidation type="date" operator="greaterThanOrEqual" allowBlank="1" showInputMessage="1" showErrorMessage="1" sqref="K172">
      <formula1>730120</formula1>
    </dataValidation>
    <dataValidation type="date" operator="greaterThanOrEqual" allowBlank="1" showInputMessage="1" showErrorMessage="1" sqref="L172">
      <formula1>730120</formula1>
    </dataValidation>
    <dataValidation type="whole" allowBlank="1" showInputMessage="1" showErrorMessage="1" sqref="P172">
      <formula1>0</formula1>
      <formula2>100</formula2>
    </dataValidation>
    <dataValidation type="decimal" operator="greaterThanOrEqual" allowBlank="1" showInputMessage="1" showErrorMessage="1" sqref="Q172">
      <formula1>0</formula1>
    </dataValidation>
    <dataValidation type="decimal" operator="greaterThanOrEqual" allowBlank="1" showInputMessage="1" showErrorMessage="1" sqref="R172">
      <formula1>0</formula1>
    </dataValidation>
    <dataValidation type="whole" allowBlank="1" showInputMessage="1" showErrorMessage="1" sqref="U172">
      <formula1>1</formula1>
      <formula2>5</formula2>
    </dataValidation>
    <dataValidation type="whole" allowBlank="1" showInputMessage="1" showErrorMessage="1" sqref="V172">
      <formula1>1</formula1>
      <formula2>5</formula2>
    </dataValidation>
    <dataValidation type="whole" allowBlank="1" showInputMessage="1" showErrorMessage="1" sqref="X172">
      <formula1>1</formula1>
      <formula2>5</formula2>
    </dataValidation>
    <dataValidation type="decimal" operator="greaterThanOrEqual" allowBlank="1" showInputMessage="1" showErrorMessage="1" sqref="Y172">
      <formula1>0</formula1>
    </dataValidation>
    <dataValidation type="whole" operator="greaterThanOrEqual" allowBlank="1" showInputMessage="1" showErrorMessage="1" sqref="Z172">
      <formula1>0</formula1>
    </dataValidation>
    <dataValidation type="whole" allowBlank="1" showInputMessage="1" showErrorMessage="1" sqref="AA172">
      <formula1>1</formula1>
      <formula2>5</formula2>
    </dataValidation>
    <dataValidation type="decimal" allowBlank="1" showInputMessage="1" showErrorMessage="1" sqref="AB172">
      <formula1>0</formula1>
      <formula2>1</formula2>
    </dataValidation>
    <dataValidation type="list" allowBlank="1" showInputMessage="1" showErrorMessage="1" sqref="O172">
      <formula1>liste_statuts</formula1>
    </dataValidation>
    <dataValidation type="list" allowBlank="1" showInputMessage="1" showErrorMessage="1" sqref="B173">
      <formula1>liste_programmes</formula1>
    </dataValidation>
    <dataValidation type="list" allowBlank="1" showInputMessage="1" showErrorMessage="1" sqref="D173">
      <formula1>liste_types</formula1>
    </dataValidation>
    <dataValidation type="list" allowBlank="1" showInputMessage="1" showErrorMessage="1" sqref="F173">
      <formula1>liste_categories</formula1>
    </dataValidation>
    <dataValidation type="list" allowBlank="1" showInputMessage="1" showErrorMessage="1" sqref="G173">
      <formula1>liste_responsables</formula1>
    </dataValidation>
    <dataValidation type="list" allowBlank="1" showInputMessage="1" showErrorMessage="1" sqref="H173">
      <formula1>liste_sites</formula1>
    </dataValidation>
    <dataValidation type="list" allowBlank="1" showInputMessage="1" showErrorMessage="1" sqref="I173">
      <formula1>liste_priorites</formula1>
    </dataValidation>
    <dataValidation type="date" operator="greaterThanOrEqual" allowBlank="1" showInputMessage="1" showErrorMessage="1" sqref="J173">
      <formula1>730120</formula1>
    </dataValidation>
    <dataValidation type="date" operator="greaterThanOrEqual" allowBlank="1" showInputMessage="1" showErrorMessage="1" sqref="K173">
      <formula1>730120</formula1>
    </dataValidation>
    <dataValidation type="date" operator="greaterThanOrEqual" allowBlank="1" showInputMessage="1" showErrorMessage="1" sqref="L173">
      <formula1>730120</formula1>
    </dataValidation>
    <dataValidation type="whole" allowBlank="1" showInputMessage="1" showErrorMessage="1" sqref="P173">
      <formula1>0</formula1>
      <formula2>100</formula2>
    </dataValidation>
    <dataValidation type="decimal" operator="greaterThanOrEqual" allowBlank="1" showInputMessage="1" showErrorMessage="1" sqref="Q173">
      <formula1>0</formula1>
    </dataValidation>
    <dataValidation type="decimal" operator="greaterThanOrEqual" allowBlank="1" showInputMessage="1" showErrorMessage="1" sqref="R173">
      <formula1>0</formula1>
    </dataValidation>
    <dataValidation type="whole" allowBlank="1" showInputMessage="1" showErrorMessage="1" sqref="U173">
      <formula1>1</formula1>
      <formula2>5</formula2>
    </dataValidation>
    <dataValidation type="whole" allowBlank="1" showInputMessage="1" showErrorMessage="1" sqref="V173">
      <formula1>1</formula1>
      <formula2>5</formula2>
    </dataValidation>
    <dataValidation type="whole" allowBlank="1" showInputMessage="1" showErrorMessage="1" sqref="X173">
      <formula1>1</formula1>
      <formula2>5</formula2>
    </dataValidation>
    <dataValidation type="decimal" operator="greaterThanOrEqual" allowBlank="1" showInputMessage="1" showErrorMessage="1" sqref="Y173">
      <formula1>0</formula1>
    </dataValidation>
    <dataValidation type="whole" operator="greaterThanOrEqual" allowBlank="1" showInputMessage="1" showErrorMessage="1" sqref="Z173">
      <formula1>0</formula1>
    </dataValidation>
    <dataValidation type="whole" allowBlank="1" showInputMessage="1" showErrorMessage="1" sqref="AA173">
      <formula1>1</formula1>
      <formula2>5</formula2>
    </dataValidation>
    <dataValidation type="decimal" allowBlank="1" showInputMessage="1" showErrorMessage="1" sqref="AB173">
      <formula1>0</formula1>
      <formula2>1</formula2>
    </dataValidation>
    <dataValidation type="list" allowBlank="1" showInputMessage="1" showErrorMessage="1" sqref="O173">
      <formula1>liste_statuts</formula1>
    </dataValidation>
    <dataValidation type="list" allowBlank="1" showInputMessage="1" showErrorMessage="1" sqref="B174">
      <formula1>liste_programmes</formula1>
    </dataValidation>
    <dataValidation type="list" allowBlank="1" showInputMessage="1" showErrorMessage="1" sqref="D174">
      <formula1>liste_types</formula1>
    </dataValidation>
    <dataValidation type="list" allowBlank="1" showInputMessage="1" showErrorMessage="1" sqref="F174">
      <formula1>liste_categories</formula1>
    </dataValidation>
    <dataValidation type="list" allowBlank="1" showInputMessage="1" showErrorMessage="1" sqref="G174">
      <formula1>liste_responsables</formula1>
    </dataValidation>
    <dataValidation type="list" allowBlank="1" showInputMessage="1" showErrorMessage="1" sqref="H174">
      <formula1>liste_sites</formula1>
    </dataValidation>
    <dataValidation type="list" allowBlank="1" showInputMessage="1" showErrorMessage="1" sqref="I174">
      <formula1>liste_priorites</formula1>
    </dataValidation>
    <dataValidation type="date" operator="greaterThanOrEqual" allowBlank="1" showInputMessage="1" showErrorMessage="1" sqref="J174">
      <formula1>730120</formula1>
    </dataValidation>
    <dataValidation type="date" operator="greaterThanOrEqual" allowBlank="1" showInputMessage="1" showErrorMessage="1" sqref="K174">
      <formula1>730120</formula1>
    </dataValidation>
    <dataValidation type="date" operator="greaterThanOrEqual" allowBlank="1" showInputMessage="1" showErrorMessage="1" sqref="L174">
      <formula1>730120</formula1>
    </dataValidation>
    <dataValidation type="whole" allowBlank="1" showInputMessage="1" showErrorMessage="1" sqref="P174">
      <formula1>0</formula1>
      <formula2>100</formula2>
    </dataValidation>
    <dataValidation type="decimal" operator="greaterThanOrEqual" allowBlank="1" showInputMessage="1" showErrorMessage="1" sqref="Q174">
      <formula1>0</formula1>
    </dataValidation>
    <dataValidation type="decimal" operator="greaterThanOrEqual" allowBlank="1" showInputMessage="1" showErrorMessage="1" sqref="R174">
      <formula1>0</formula1>
    </dataValidation>
    <dataValidation type="whole" allowBlank="1" showInputMessage="1" showErrorMessage="1" sqref="U174">
      <formula1>1</formula1>
      <formula2>5</formula2>
    </dataValidation>
    <dataValidation type="whole" allowBlank="1" showInputMessage="1" showErrorMessage="1" sqref="V174">
      <formula1>1</formula1>
      <formula2>5</formula2>
    </dataValidation>
    <dataValidation type="whole" allowBlank="1" showInputMessage="1" showErrorMessage="1" sqref="X174">
      <formula1>1</formula1>
      <formula2>5</formula2>
    </dataValidation>
    <dataValidation type="decimal" operator="greaterThanOrEqual" allowBlank="1" showInputMessage="1" showErrorMessage="1" sqref="Y174">
      <formula1>0</formula1>
    </dataValidation>
    <dataValidation type="whole" operator="greaterThanOrEqual" allowBlank="1" showInputMessage="1" showErrorMessage="1" sqref="Z174">
      <formula1>0</formula1>
    </dataValidation>
    <dataValidation type="whole" allowBlank="1" showInputMessage="1" showErrorMessage="1" sqref="AA174">
      <formula1>1</formula1>
      <formula2>5</formula2>
    </dataValidation>
    <dataValidation type="decimal" allowBlank="1" showInputMessage="1" showErrorMessage="1" sqref="AB174">
      <formula1>0</formula1>
      <formula2>1</formula2>
    </dataValidation>
    <dataValidation type="list" allowBlank="1" showInputMessage="1" showErrorMessage="1" sqref="O174">
      <formula1>liste_statuts</formula1>
    </dataValidation>
    <dataValidation type="list" allowBlank="1" showInputMessage="1" showErrorMessage="1" sqref="B175">
      <formula1>liste_programmes</formula1>
    </dataValidation>
    <dataValidation type="list" allowBlank="1" showInputMessage="1" showErrorMessage="1" sqref="D175">
      <formula1>liste_types</formula1>
    </dataValidation>
    <dataValidation type="list" allowBlank="1" showInputMessage="1" showErrorMessage="1" sqref="F175">
      <formula1>liste_categories</formula1>
    </dataValidation>
    <dataValidation type="list" allowBlank="1" showInputMessage="1" showErrorMessage="1" sqref="G175">
      <formula1>liste_responsables</formula1>
    </dataValidation>
    <dataValidation type="list" allowBlank="1" showInputMessage="1" showErrorMessage="1" sqref="H175">
      <formula1>liste_sites</formula1>
    </dataValidation>
    <dataValidation type="list" allowBlank="1" showInputMessage="1" showErrorMessage="1" sqref="I175">
      <formula1>liste_priorites</formula1>
    </dataValidation>
    <dataValidation type="date" operator="greaterThanOrEqual" allowBlank="1" showInputMessage="1" showErrorMessage="1" sqref="J175">
      <formula1>730120</formula1>
    </dataValidation>
    <dataValidation type="date" operator="greaterThanOrEqual" allowBlank="1" showInputMessage="1" showErrorMessage="1" sqref="K175">
      <formula1>730120</formula1>
    </dataValidation>
    <dataValidation type="date" operator="greaterThanOrEqual" allowBlank="1" showInputMessage="1" showErrorMessage="1" sqref="L175">
      <formula1>730120</formula1>
    </dataValidation>
    <dataValidation type="whole" allowBlank="1" showInputMessage="1" showErrorMessage="1" sqref="P175">
      <formula1>0</formula1>
      <formula2>100</formula2>
    </dataValidation>
    <dataValidation type="decimal" operator="greaterThanOrEqual" allowBlank="1" showInputMessage="1" showErrorMessage="1" sqref="Q175">
      <formula1>0</formula1>
    </dataValidation>
    <dataValidation type="decimal" operator="greaterThanOrEqual" allowBlank="1" showInputMessage="1" showErrorMessage="1" sqref="R175">
      <formula1>0</formula1>
    </dataValidation>
    <dataValidation type="whole" allowBlank="1" showInputMessage="1" showErrorMessage="1" sqref="U175">
      <formula1>1</formula1>
      <formula2>5</formula2>
    </dataValidation>
    <dataValidation type="whole" allowBlank="1" showInputMessage="1" showErrorMessage="1" sqref="V175">
      <formula1>1</formula1>
      <formula2>5</formula2>
    </dataValidation>
    <dataValidation type="whole" allowBlank="1" showInputMessage="1" showErrorMessage="1" sqref="X175">
      <formula1>1</formula1>
      <formula2>5</formula2>
    </dataValidation>
    <dataValidation type="decimal" operator="greaterThanOrEqual" allowBlank="1" showInputMessage="1" showErrorMessage="1" sqref="Y175">
      <formula1>0</formula1>
    </dataValidation>
    <dataValidation type="whole" operator="greaterThanOrEqual" allowBlank="1" showInputMessage="1" showErrorMessage="1" sqref="Z175">
      <formula1>0</formula1>
    </dataValidation>
    <dataValidation type="whole" allowBlank="1" showInputMessage="1" showErrorMessage="1" sqref="AA175">
      <formula1>1</formula1>
      <formula2>5</formula2>
    </dataValidation>
    <dataValidation type="decimal" allowBlank="1" showInputMessage="1" showErrorMessage="1" sqref="AB175">
      <formula1>0</formula1>
      <formula2>1</formula2>
    </dataValidation>
    <dataValidation type="list" allowBlank="1" showInputMessage="1" showErrorMessage="1" sqref="O175">
      <formula1>liste_statuts</formula1>
    </dataValidation>
    <dataValidation type="list" allowBlank="1" showInputMessage="1" showErrorMessage="1" sqref="B176">
      <formula1>liste_programmes</formula1>
    </dataValidation>
    <dataValidation type="list" allowBlank="1" showInputMessage="1" showErrorMessage="1" sqref="D176">
      <formula1>liste_types</formula1>
    </dataValidation>
    <dataValidation type="list" allowBlank="1" showInputMessage="1" showErrorMessage="1" sqref="F176">
      <formula1>liste_categories</formula1>
    </dataValidation>
    <dataValidation type="list" allowBlank="1" showInputMessage="1" showErrorMessage="1" sqref="G176">
      <formula1>liste_responsables</formula1>
    </dataValidation>
    <dataValidation type="list" allowBlank="1" showInputMessage="1" showErrorMessage="1" sqref="H176">
      <formula1>liste_sites</formula1>
    </dataValidation>
    <dataValidation type="list" allowBlank="1" showInputMessage="1" showErrorMessage="1" sqref="I176">
      <formula1>liste_priorites</formula1>
    </dataValidation>
    <dataValidation type="date" operator="greaterThanOrEqual" allowBlank="1" showInputMessage="1" showErrorMessage="1" sqref="J176">
      <formula1>730120</formula1>
    </dataValidation>
    <dataValidation type="date" operator="greaterThanOrEqual" allowBlank="1" showInputMessage="1" showErrorMessage="1" sqref="K176">
      <formula1>730120</formula1>
    </dataValidation>
    <dataValidation type="date" operator="greaterThanOrEqual" allowBlank="1" showInputMessage="1" showErrorMessage="1" sqref="L176">
      <formula1>730120</formula1>
    </dataValidation>
    <dataValidation type="whole" allowBlank="1" showInputMessage="1" showErrorMessage="1" sqref="P176">
      <formula1>0</formula1>
      <formula2>100</formula2>
    </dataValidation>
    <dataValidation type="decimal" operator="greaterThanOrEqual" allowBlank="1" showInputMessage="1" showErrorMessage="1" sqref="Q176">
      <formula1>0</formula1>
    </dataValidation>
    <dataValidation type="decimal" operator="greaterThanOrEqual" allowBlank="1" showInputMessage="1" showErrorMessage="1" sqref="R176">
      <formula1>0</formula1>
    </dataValidation>
    <dataValidation type="whole" allowBlank="1" showInputMessage="1" showErrorMessage="1" sqref="U176">
      <formula1>1</formula1>
      <formula2>5</formula2>
    </dataValidation>
    <dataValidation type="whole" allowBlank="1" showInputMessage="1" showErrorMessage="1" sqref="V176">
      <formula1>1</formula1>
      <formula2>5</formula2>
    </dataValidation>
    <dataValidation type="whole" allowBlank="1" showInputMessage="1" showErrorMessage="1" sqref="X176">
      <formula1>1</formula1>
      <formula2>5</formula2>
    </dataValidation>
    <dataValidation type="decimal" operator="greaterThanOrEqual" allowBlank="1" showInputMessage="1" showErrorMessage="1" sqref="Y176">
      <formula1>0</formula1>
    </dataValidation>
    <dataValidation type="whole" operator="greaterThanOrEqual" allowBlank="1" showInputMessage="1" showErrorMessage="1" sqref="Z176">
      <formula1>0</formula1>
    </dataValidation>
    <dataValidation type="whole" allowBlank="1" showInputMessage="1" showErrorMessage="1" sqref="AA176">
      <formula1>1</formula1>
      <formula2>5</formula2>
    </dataValidation>
    <dataValidation type="decimal" allowBlank="1" showInputMessage="1" showErrorMessage="1" sqref="AB176">
      <formula1>0</formula1>
      <formula2>1</formula2>
    </dataValidation>
    <dataValidation type="list" allowBlank="1" showInputMessage="1" showErrorMessage="1" sqref="O176">
      <formula1>liste_statuts</formula1>
    </dataValidation>
    <dataValidation type="list" allowBlank="1" showInputMessage="1" showErrorMessage="1" sqref="B177">
      <formula1>liste_programmes</formula1>
    </dataValidation>
    <dataValidation type="list" allowBlank="1" showInputMessage="1" showErrorMessage="1" sqref="D177">
      <formula1>liste_types</formula1>
    </dataValidation>
    <dataValidation type="list" allowBlank="1" showInputMessage="1" showErrorMessage="1" sqref="F177">
      <formula1>liste_categories</formula1>
    </dataValidation>
    <dataValidation type="list" allowBlank="1" showInputMessage="1" showErrorMessage="1" sqref="G177">
      <formula1>liste_responsables</formula1>
    </dataValidation>
    <dataValidation type="list" allowBlank="1" showInputMessage="1" showErrorMessage="1" sqref="H177">
      <formula1>liste_sites</formula1>
    </dataValidation>
    <dataValidation type="list" allowBlank="1" showInputMessage="1" showErrorMessage="1" sqref="I177">
      <formula1>liste_priorites</formula1>
    </dataValidation>
    <dataValidation type="date" operator="greaterThanOrEqual" allowBlank="1" showInputMessage="1" showErrorMessage="1" sqref="J177">
      <formula1>730120</formula1>
    </dataValidation>
    <dataValidation type="date" operator="greaterThanOrEqual" allowBlank="1" showInputMessage="1" showErrorMessage="1" sqref="K177">
      <formula1>730120</formula1>
    </dataValidation>
    <dataValidation type="date" operator="greaterThanOrEqual" allowBlank="1" showInputMessage="1" showErrorMessage="1" sqref="L177">
      <formula1>730120</formula1>
    </dataValidation>
    <dataValidation type="whole" allowBlank="1" showInputMessage="1" showErrorMessage="1" sqref="P177">
      <formula1>0</formula1>
      <formula2>100</formula2>
    </dataValidation>
    <dataValidation type="decimal" operator="greaterThanOrEqual" allowBlank="1" showInputMessage="1" showErrorMessage="1" sqref="Q177">
      <formula1>0</formula1>
    </dataValidation>
    <dataValidation type="decimal" operator="greaterThanOrEqual" allowBlank="1" showInputMessage="1" showErrorMessage="1" sqref="R177">
      <formula1>0</formula1>
    </dataValidation>
    <dataValidation type="whole" allowBlank="1" showInputMessage="1" showErrorMessage="1" sqref="U177">
      <formula1>1</formula1>
      <formula2>5</formula2>
    </dataValidation>
    <dataValidation type="whole" allowBlank="1" showInputMessage="1" showErrorMessage="1" sqref="V177">
      <formula1>1</formula1>
      <formula2>5</formula2>
    </dataValidation>
    <dataValidation type="whole" allowBlank="1" showInputMessage="1" showErrorMessage="1" sqref="X177">
      <formula1>1</formula1>
      <formula2>5</formula2>
    </dataValidation>
    <dataValidation type="decimal" operator="greaterThanOrEqual" allowBlank="1" showInputMessage="1" showErrorMessage="1" sqref="Y177">
      <formula1>0</formula1>
    </dataValidation>
    <dataValidation type="whole" operator="greaterThanOrEqual" allowBlank="1" showInputMessage="1" showErrorMessage="1" sqref="Z177">
      <formula1>0</formula1>
    </dataValidation>
    <dataValidation type="whole" allowBlank="1" showInputMessage="1" showErrorMessage="1" sqref="AA177">
      <formula1>1</formula1>
      <formula2>5</formula2>
    </dataValidation>
    <dataValidation type="decimal" allowBlank="1" showInputMessage="1" showErrorMessage="1" sqref="AB177">
      <formula1>0</formula1>
      <formula2>1</formula2>
    </dataValidation>
    <dataValidation type="list" allowBlank="1" showInputMessage="1" showErrorMessage="1" sqref="O177">
      <formula1>liste_statuts</formula1>
    </dataValidation>
    <dataValidation type="list" allowBlank="1" showInputMessage="1" showErrorMessage="1" sqref="B178">
      <formula1>liste_programmes</formula1>
    </dataValidation>
    <dataValidation type="list" allowBlank="1" showInputMessage="1" showErrorMessage="1" sqref="D178">
      <formula1>liste_types</formula1>
    </dataValidation>
    <dataValidation type="list" allowBlank="1" showInputMessage="1" showErrorMessage="1" sqref="F178">
      <formula1>liste_categories</formula1>
    </dataValidation>
    <dataValidation type="list" allowBlank="1" showInputMessage="1" showErrorMessage="1" sqref="G178">
      <formula1>liste_responsables</formula1>
    </dataValidation>
    <dataValidation type="list" allowBlank="1" showInputMessage="1" showErrorMessage="1" sqref="H178">
      <formula1>liste_sites</formula1>
    </dataValidation>
    <dataValidation type="list" allowBlank="1" showInputMessage="1" showErrorMessage="1" sqref="I178">
      <formula1>liste_priorites</formula1>
    </dataValidation>
    <dataValidation type="date" operator="greaterThanOrEqual" allowBlank="1" showInputMessage="1" showErrorMessage="1" sqref="J178">
      <formula1>730120</formula1>
    </dataValidation>
    <dataValidation type="date" operator="greaterThanOrEqual" allowBlank="1" showInputMessage="1" showErrorMessage="1" sqref="K178">
      <formula1>730120</formula1>
    </dataValidation>
    <dataValidation type="date" operator="greaterThanOrEqual" allowBlank="1" showInputMessage="1" showErrorMessage="1" sqref="L178">
      <formula1>730120</formula1>
    </dataValidation>
    <dataValidation type="whole" allowBlank="1" showInputMessage="1" showErrorMessage="1" sqref="P178">
      <formula1>0</formula1>
      <formula2>100</formula2>
    </dataValidation>
    <dataValidation type="decimal" operator="greaterThanOrEqual" allowBlank="1" showInputMessage="1" showErrorMessage="1" sqref="Q178">
      <formula1>0</formula1>
    </dataValidation>
    <dataValidation type="decimal" operator="greaterThanOrEqual" allowBlank="1" showInputMessage="1" showErrorMessage="1" sqref="R178">
      <formula1>0</formula1>
    </dataValidation>
    <dataValidation type="whole" allowBlank="1" showInputMessage="1" showErrorMessage="1" sqref="U178">
      <formula1>1</formula1>
      <formula2>5</formula2>
    </dataValidation>
    <dataValidation type="whole" allowBlank="1" showInputMessage="1" showErrorMessage="1" sqref="V178">
      <formula1>1</formula1>
      <formula2>5</formula2>
    </dataValidation>
    <dataValidation type="whole" allowBlank="1" showInputMessage="1" showErrorMessage="1" sqref="X178">
      <formula1>1</formula1>
      <formula2>5</formula2>
    </dataValidation>
    <dataValidation type="decimal" operator="greaterThanOrEqual" allowBlank="1" showInputMessage="1" showErrorMessage="1" sqref="Y178">
      <formula1>0</formula1>
    </dataValidation>
    <dataValidation type="whole" operator="greaterThanOrEqual" allowBlank="1" showInputMessage="1" showErrorMessage="1" sqref="Z178">
      <formula1>0</formula1>
    </dataValidation>
    <dataValidation type="whole" allowBlank="1" showInputMessage="1" showErrorMessage="1" sqref="AA178">
      <formula1>1</formula1>
      <formula2>5</formula2>
    </dataValidation>
    <dataValidation type="decimal" allowBlank="1" showInputMessage="1" showErrorMessage="1" sqref="AB178">
      <formula1>0</formula1>
      <formula2>1</formula2>
    </dataValidation>
    <dataValidation type="list" allowBlank="1" showInputMessage="1" showErrorMessage="1" sqref="O178">
      <formula1>liste_statuts</formula1>
    </dataValidation>
    <dataValidation type="list" allowBlank="1" showInputMessage="1" showErrorMessage="1" sqref="B179">
      <formula1>liste_programmes</formula1>
    </dataValidation>
    <dataValidation type="list" allowBlank="1" showInputMessage="1" showErrorMessage="1" sqref="D179">
      <formula1>liste_types</formula1>
    </dataValidation>
    <dataValidation type="list" allowBlank="1" showInputMessage="1" showErrorMessage="1" sqref="F179">
      <formula1>liste_categories</formula1>
    </dataValidation>
    <dataValidation type="list" allowBlank="1" showInputMessage="1" showErrorMessage="1" sqref="G179">
      <formula1>liste_responsables</formula1>
    </dataValidation>
    <dataValidation type="list" allowBlank="1" showInputMessage="1" showErrorMessage="1" sqref="H179">
      <formula1>liste_sites</formula1>
    </dataValidation>
    <dataValidation type="list" allowBlank="1" showInputMessage="1" showErrorMessage="1" sqref="I179">
      <formula1>liste_priorites</formula1>
    </dataValidation>
    <dataValidation type="date" operator="greaterThanOrEqual" allowBlank="1" showInputMessage="1" showErrorMessage="1" sqref="J179">
      <formula1>730120</formula1>
    </dataValidation>
    <dataValidation type="date" operator="greaterThanOrEqual" allowBlank="1" showInputMessage="1" showErrorMessage="1" sqref="K179">
      <formula1>730120</formula1>
    </dataValidation>
    <dataValidation type="date" operator="greaterThanOrEqual" allowBlank="1" showInputMessage="1" showErrorMessage="1" sqref="L179">
      <formula1>730120</formula1>
    </dataValidation>
    <dataValidation type="whole" allowBlank="1" showInputMessage="1" showErrorMessage="1" sqref="P179">
      <formula1>0</formula1>
      <formula2>100</formula2>
    </dataValidation>
    <dataValidation type="decimal" operator="greaterThanOrEqual" allowBlank="1" showInputMessage="1" showErrorMessage="1" sqref="Q179">
      <formula1>0</formula1>
    </dataValidation>
    <dataValidation type="decimal" operator="greaterThanOrEqual" allowBlank="1" showInputMessage="1" showErrorMessage="1" sqref="R179">
      <formula1>0</formula1>
    </dataValidation>
    <dataValidation type="whole" allowBlank="1" showInputMessage="1" showErrorMessage="1" sqref="U179">
      <formula1>1</formula1>
      <formula2>5</formula2>
    </dataValidation>
    <dataValidation type="whole" allowBlank="1" showInputMessage="1" showErrorMessage="1" sqref="V179">
      <formula1>1</formula1>
      <formula2>5</formula2>
    </dataValidation>
    <dataValidation type="whole" allowBlank="1" showInputMessage="1" showErrorMessage="1" sqref="X179">
      <formula1>1</formula1>
      <formula2>5</formula2>
    </dataValidation>
    <dataValidation type="decimal" operator="greaterThanOrEqual" allowBlank="1" showInputMessage="1" showErrorMessage="1" sqref="Y179">
      <formula1>0</formula1>
    </dataValidation>
    <dataValidation type="whole" operator="greaterThanOrEqual" allowBlank="1" showInputMessage="1" showErrorMessage="1" sqref="Z179">
      <formula1>0</formula1>
    </dataValidation>
    <dataValidation type="whole" allowBlank="1" showInputMessage="1" showErrorMessage="1" sqref="AA179">
      <formula1>1</formula1>
      <formula2>5</formula2>
    </dataValidation>
    <dataValidation type="decimal" allowBlank="1" showInputMessage="1" showErrorMessage="1" sqref="AB179">
      <formula1>0</formula1>
      <formula2>1</formula2>
    </dataValidation>
    <dataValidation type="list" allowBlank="1" showInputMessage="1" showErrorMessage="1" sqref="O179">
      <formula1>liste_statuts</formula1>
    </dataValidation>
    <dataValidation type="list" allowBlank="1" showInputMessage="1" showErrorMessage="1" sqref="B180">
      <formula1>liste_programmes</formula1>
    </dataValidation>
    <dataValidation type="list" allowBlank="1" showInputMessage="1" showErrorMessage="1" sqref="D180">
      <formula1>liste_types</formula1>
    </dataValidation>
    <dataValidation type="list" allowBlank="1" showInputMessage="1" showErrorMessage="1" sqref="F180">
      <formula1>liste_categories</formula1>
    </dataValidation>
    <dataValidation type="list" allowBlank="1" showInputMessage="1" showErrorMessage="1" sqref="G180">
      <formula1>liste_responsables</formula1>
    </dataValidation>
    <dataValidation type="list" allowBlank="1" showInputMessage="1" showErrorMessage="1" sqref="H180">
      <formula1>liste_sites</formula1>
    </dataValidation>
    <dataValidation type="list" allowBlank="1" showInputMessage="1" showErrorMessage="1" sqref="I180">
      <formula1>liste_priorites</formula1>
    </dataValidation>
    <dataValidation type="date" operator="greaterThanOrEqual" allowBlank="1" showInputMessage="1" showErrorMessage="1" sqref="J180">
      <formula1>730120</formula1>
    </dataValidation>
    <dataValidation type="date" operator="greaterThanOrEqual" allowBlank="1" showInputMessage="1" showErrorMessage="1" sqref="K180">
      <formula1>730120</formula1>
    </dataValidation>
    <dataValidation type="date" operator="greaterThanOrEqual" allowBlank="1" showInputMessage="1" showErrorMessage="1" sqref="L180">
      <formula1>730120</formula1>
    </dataValidation>
    <dataValidation type="whole" allowBlank="1" showInputMessage="1" showErrorMessage="1" sqref="P180">
      <formula1>0</formula1>
      <formula2>100</formula2>
    </dataValidation>
    <dataValidation type="decimal" operator="greaterThanOrEqual" allowBlank="1" showInputMessage="1" showErrorMessage="1" sqref="Q180">
      <formula1>0</formula1>
    </dataValidation>
    <dataValidation type="decimal" operator="greaterThanOrEqual" allowBlank="1" showInputMessage="1" showErrorMessage="1" sqref="R180">
      <formula1>0</formula1>
    </dataValidation>
    <dataValidation type="whole" allowBlank="1" showInputMessage="1" showErrorMessage="1" sqref="U180">
      <formula1>1</formula1>
      <formula2>5</formula2>
    </dataValidation>
    <dataValidation type="whole" allowBlank="1" showInputMessage="1" showErrorMessage="1" sqref="V180">
      <formula1>1</formula1>
      <formula2>5</formula2>
    </dataValidation>
    <dataValidation type="whole" allowBlank="1" showInputMessage="1" showErrorMessage="1" sqref="X180">
      <formula1>1</formula1>
      <formula2>5</formula2>
    </dataValidation>
    <dataValidation type="decimal" operator="greaterThanOrEqual" allowBlank="1" showInputMessage="1" showErrorMessage="1" sqref="Y180">
      <formula1>0</formula1>
    </dataValidation>
    <dataValidation type="whole" operator="greaterThanOrEqual" allowBlank="1" showInputMessage="1" showErrorMessage="1" sqref="Z180">
      <formula1>0</formula1>
    </dataValidation>
    <dataValidation type="whole" allowBlank="1" showInputMessage="1" showErrorMessage="1" sqref="AA180">
      <formula1>1</formula1>
      <formula2>5</formula2>
    </dataValidation>
    <dataValidation type="decimal" allowBlank="1" showInputMessage="1" showErrorMessage="1" sqref="AB180">
      <formula1>0</formula1>
      <formula2>1</formula2>
    </dataValidation>
    <dataValidation type="list" allowBlank="1" showInputMessage="1" showErrorMessage="1" sqref="O180">
      <formula1>liste_statuts</formula1>
    </dataValidation>
    <dataValidation type="list" allowBlank="1" showInputMessage="1" showErrorMessage="1" sqref="B181">
      <formula1>liste_programmes</formula1>
    </dataValidation>
    <dataValidation type="list" allowBlank="1" showInputMessage="1" showErrorMessage="1" sqref="D181">
      <formula1>liste_types</formula1>
    </dataValidation>
    <dataValidation type="list" allowBlank="1" showInputMessage="1" showErrorMessage="1" sqref="F181">
      <formula1>liste_categories</formula1>
    </dataValidation>
    <dataValidation type="list" allowBlank="1" showInputMessage="1" showErrorMessage="1" sqref="G181">
      <formula1>liste_responsables</formula1>
    </dataValidation>
    <dataValidation type="list" allowBlank="1" showInputMessage="1" showErrorMessage="1" sqref="H181">
      <formula1>liste_sites</formula1>
    </dataValidation>
    <dataValidation type="list" allowBlank="1" showInputMessage="1" showErrorMessage="1" sqref="I181">
      <formula1>liste_priorites</formula1>
    </dataValidation>
    <dataValidation type="date" operator="greaterThanOrEqual" allowBlank="1" showInputMessage="1" showErrorMessage="1" sqref="J181">
      <formula1>730120</formula1>
    </dataValidation>
    <dataValidation type="date" operator="greaterThanOrEqual" allowBlank="1" showInputMessage="1" showErrorMessage="1" sqref="K181">
      <formula1>730120</formula1>
    </dataValidation>
    <dataValidation type="date" operator="greaterThanOrEqual" allowBlank="1" showInputMessage="1" showErrorMessage="1" sqref="L181">
      <formula1>730120</formula1>
    </dataValidation>
    <dataValidation type="whole" allowBlank="1" showInputMessage="1" showErrorMessage="1" sqref="P181">
      <formula1>0</formula1>
      <formula2>100</formula2>
    </dataValidation>
    <dataValidation type="decimal" operator="greaterThanOrEqual" allowBlank="1" showInputMessage="1" showErrorMessage="1" sqref="Q181">
      <formula1>0</formula1>
    </dataValidation>
    <dataValidation type="decimal" operator="greaterThanOrEqual" allowBlank="1" showInputMessage="1" showErrorMessage="1" sqref="R181">
      <formula1>0</formula1>
    </dataValidation>
    <dataValidation type="whole" allowBlank="1" showInputMessage="1" showErrorMessage="1" sqref="U181">
      <formula1>1</formula1>
      <formula2>5</formula2>
    </dataValidation>
    <dataValidation type="whole" allowBlank="1" showInputMessage="1" showErrorMessage="1" sqref="V181">
      <formula1>1</formula1>
      <formula2>5</formula2>
    </dataValidation>
    <dataValidation type="whole" allowBlank="1" showInputMessage="1" showErrorMessage="1" sqref="X181">
      <formula1>1</formula1>
      <formula2>5</formula2>
    </dataValidation>
    <dataValidation type="decimal" operator="greaterThanOrEqual" allowBlank="1" showInputMessage="1" showErrorMessage="1" sqref="Y181">
      <formula1>0</formula1>
    </dataValidation>
    <dataValidation type="whole" operator="greaterThanOrEqual" allowBlank="1" showInputMessage="1" showErrorMessage="1" sqref="Z181">
      <formula1>0</formula1>
    </dataValidation>
    <dataValidation type="whole" allowBlank="1" showInputMessage="1" showErrorMessage="1" sqref="AA181">
      <formula1>1</formula1>
      <formula2>5</formula2>
    </dataValidation>
    <dataValidation type="decimal" allowBlank="1" showInputMessage="1" showErrorMessage="1" sqref="AB181">
      <formula1>0</formula1>
      <formula2>1</formula2>
    </dataValidation>
    <dataValidation type="list" allowBlank="1" showInputMessage="1" showErrorMessage="1" sqref="O181">
      <formula1>liste_statuts</formula1>
    </dataValidation>
    <dataValidation type="list" allowBlank="1" showInputMessage="1" showErrorMessage="1" sqref="B182">
      <formula1>liste_programmes</formula1>
    </dataValidation>
    <dataValidation type="list" allowBlank="1" showInputMessage="1" showErrorMessage="1" sqref="D182">
      <formula1>liste_types</formula1>
    </dataValidation>
    <dataValidation type="list" allowBlank="1" showInputMessage="1" showErrorMessage="1" sqref="F182">
      <formula1>liste_categories</formula1>
    </dataValidation>
    <dataValidation type="list" allowBlank="1" showInputMessage="1" showErrorMessage="1" sqref="G182">
      <formula1>liste_responsables</formula1>
    </dataValidation>
    <dataValidation type="list" allowBlank="1" showInputMessage="1" showErrorMessage="1" sqref="H182">
      <formula1>liste_sites</formula1>
    </dataValidation>
    <dataValidation type="list" allowBlank="1" showInputMessage="1" showErrorMessage="1" sqref="I182">
      <formula1>liste_priorites</formula1>
    </dataValidation>
    <dataValidation type="date" operator="greaterThanOrEqual" allowBlank="1" showInputMessage="1" showErrorMessage="1" sqref="J182">
      <formula1>730120</formula1>
    </dataValidation>
    <dataValidation type="date" operator="greaterThanOrEqual" allowBlank="1" showInputMessage="1" showErrorMessage="1" sqref="K182">
      <formula1>730120</formula1>
    </dataValidation>
    <dataValidation type="date" operator="greaterThanOrEqual" allowBlank="1" showInputMessage="1" showErrorMessage="1" sqref="L182">
      <formula1>730120</formula1>
    </dataValidation>
    <dataValidation type="whole" allowBlank="1" showInputMessage="1" showErrorMessage="1" sqref="P182">
      <formula1>0</formula1>
      <formula2>100</formula2>
    </dataValidation>
    <dataValidation type="decimal" operator="greaterThanOrEqual" allowBlank="1" showInputMessage="1" showErrorMessage="1" sqref="Q182">
      <formula1>0</formula1>
    </dataValidation>
    <dataValidation type="decimal" operator="greaterThanOrEqual" allowBlank="1" showInputMessage="1" showErrorMessage="1" sqref="R182">
      <formula1>0</formula1>
    </dataValidation>
    <dataValidation type="whole" allowBlank="1" showInputMessage="1" showErrorMessage="1" sqref="U182">
      <formula1>1</formula1>
      <formula2>5</formula2>
    </dataValidation>
    <dataValidation type="whole" allowBlank="1" showInputMessage="1" showErrorMessage="1" sqref="V182">
      <formula1>1</formula1>
      <formula2>5</formula2>
    </dataValidation>
    <dataValidation type="whole" allowBlank="1" showInputMessage="1" showErrorMessage="1" sqref="X182">
      <formula1>1</formula1>
      <formula2>5</formula2>
    </dataValidation>
    <dataValidation type="decimal" operator="greaterThanOrEqual" allowBlank="1" showInputMessage="1" showErrorMessage="1" sqref="Y182">
      <formula1>0</formula1>
    </dataValidation>
    <dataValidation type="whole" operator="greaterThanOrEqual" allowBlank="1" showInputMessage="1" showErrorMessage="1" sqref="Z182">
      <formula1>0</formula1>
    </dataValidation>
    <dataValidation type="whole" allowBlank="1" showInputMessage="1" showErrorMessage="1" sqref="AA182">
      <formula1>1</formula1>
      <formula2>5</formula2>
    </dataValidation>
    <dataValidation type="decimal" allowBlank="1" showInputMessage="1" showErrorMessage="1" sqref="AB182">
      <formula1>0</formula1>
      <formula2>1</formula2>
    </dataValidation>
    <dataValidation type="list" allowBlank="1" showInputMessage="1" showErrorMessage="1" sqref="O182">
      <formula1>liste_statuts</formula1>
    </dataValidation>
    <dataValidation type="list" allowBlank="1" showInputMessage="1" showErrorMessage="1" sqref="B183">
      <formula1>liste_programmes</formula1>
    </dataValidation>
    <dataValidation type="list" allowBlank="1" showInputMessage="1" showErrorMessage="1" sqref="D183">
      <formula1>liste_types</formula1>
    </dataValidation>
    <dataValidation type="list" allowBlank="1" showInputMessage="1" showErrorMessage="1" sqref="F183">
      <formula1>liste_categories</formula1>
    </dataValidation>
    <dataValidation type="list" allowBlank="1" showInputMessage="1" showErrorMessage="1" sqref="G183">
      <formula1>liste_responsables</formula1>
    </dataValidation>
    <dataValidation type="list" allowBlank="1" showInputMessage="1" showErrorMessage="1" sqref="H183">
      <formula1>liste_sites</formula1>
    </dataValidation>
    <dataValidation type="list" allowBlank="1" showInputMessage="1" showErrorMessage="1" sqref="I183">
      <formula1>liste_priorites</formula1>
    </dataValidation>
    <dataValidation type="date" operator="greaterThanOrEqual" allowBlank="1" showInputMessage="1" showErrorMessage="1" sqref="J183">
      <formula1>730120</formula1>
    </dataValidation>
    <dataValidation type="date" operator="greaterThanOrEqual" allowBlank="1" showInputMessage="1" showErrorMessage="1" sqref="K183">
      <formula1>730120</formula1>
    </dataValidation>
    <dataValidation type="date" operator="greaterThanOrEqual" allowBlank="1" showInputMessage="1" showErrorMessage="1" sqref="L183">
      <formula1>730120</formula1>
    </dataValidation>
    <dataValidation type="whole" allowBlank="1" showInputMessage="1" showErrorMessage="1" sqref="P183">
      <formula1>0</formula1>
      <formula2>100</formula2>
    </dataValidation>
    <dataValidation type="decimal" operator="greaterThanOrEqual" allowBlank="1" showInputMessage="1" showErrorMessage="1" sqref="Q183">
      <formula1>0</formula1>
    </dataValidation>
    <dataValidation type="decimal" operator="greaterThanOrEqual" allowBlank="1" showInputMessage="1" showErrorMessage="1" sqref="R183">
      <formula1>0</formula1>
    </dataValidation>
    <dataValidation type="whole" allowBlank="1" showInputMessage="1" showErrorMessage="1" sqref="U183">
      <formula1>1</formula1>
      <formula2>5</formula2>
    </dataValidation>
    <dataValidation type="whole" allowBlank="1" showInputMessage="1" showErrorMessage="1" sqref="V183">
      <formula1>1</formula1>
      <formula2>5</formula2>
    </dataValidation>
    <dataValidation type="whole" allowBlank="1" showInputMessage="1" showErrorMessage="1" sqref="X183">
      <formula1>1</formula1>
      <formula2>5</formula2>
    </dataValidation>
    <dataValidation type="decimal" operator="greaterThanOrEqual" allowBlank="1" showInputMessage="1" showErrorMessage="1" sqref="Y183">
      <formula1>0</formula1>
    </dataValidation>
    <dataValidation type="whole" operator="greaterThanOrEqual" allowBlank="1" showInputMessage="1" showErrorMessage="1" sqref="Z183">
      <formula1>0</formula1>
    </dataValidation>
    <dataValidation type="whole" allowBlank="1" showInputMessage="1" showErrorMessage="1" sqref="AA183">
      <formula1>1</formula1>
      <formula2>5</formula2>
    </dataValidation>
    <dataValidation type="decimal" allowBlank="1" showInputMessage="1" showErrorMessage="1" sqref="AB183">
      <formula1>0</formula1>
      <formula2>1</formula2>
    </dataValidation>
    <dataValidation type="list" allowBlank="1" showInputMessage="1" showErrorMessage="1" sqref="O183">
      <formula1>liste_statuts</formula1>
    </dataValidation>
    <dataValidation type="list" allowBlank="1" showInputMessage="1" showErrorMessage="1" sqref="B184">
      <formula1>liste_programmes</formula1>
    </dataValidation>
    <dataValidation type="list" allowBlank="1" showInputMessage="1" showErrorMessage="1" sqref="D184">
      <formula1>liste_types</formula1>
    </dataValidation>
    <dataValidation type="list" allowBlank="1" showInputMessage="1" showErrorMessage="1" sqref="F184">
      <formula1>liste_categories</formula1>
    </dataValidation>
    <dataValidation type="list" allowBlank="1" showInputMessage="1" showErrorMessage="1" sqref="G184">
      <formula1>liste_responsables</formula1>
    </dataValidation>
    <dataValidation type="list" allowBlank="1" showInputMessage="1" showErrorMessage="1" sqref="H184">
      <formula1>liste_sites</formula1>
    </dataValidation>
    <dataValidation type="list" allowBlank="1" showInputMessage="1" showErrorMessage="1" sqref="I184">
      <formula1>liste_priorites</formula1>
    </dataValidation>
    <dataValidation type="date" operator="greaterThanOrEqual" allowBlank="1" showInputMessage="1" showErrorMessage="1" sqref="J184">
      <formula1>730120</formula1>
    </dataValidation>
    <dataValidation type="date" operator="greaterThanOrEqual" allowBlank="1" showInputMessage="1" showErrorMessage="1" sqref="K184">
      <formula1>730120</formula1>
    </dataValidation>
    <dataValidation type="date" operator="greaterThanOrEqual" allowBlank="1" showInputMessage="1" showErrorMessage="1" sqref="L184">
      <formula1>730120</formula1>
    </dataValidation>
    <dataValidation type="whole" allowBlank="1" showInputMessage="1" showErrorMessage="1" sqref="P184">
      <formula1>0</formula1>
      <formula2>100</formula2>
    </dataValidation>
    <dataValidation type="decimal" operator="greaterThanOrEqual" allowBlank="1" showInputMessage="1" showErrorMessage="1" sqref="Q184">
      <formula1>0</formula1>
    </dataValidation>
    <dataValidation type="decimal" operator="greaterThanOrEqual" allowBlank="1" showInputMessage="1" showErrorMessage="1" sqref="R184">
      <formula1>0</formula1>
    </dataValidation>
    <dataValidation type="whole" allowBlank="1" showInputMessage="1" showErrorMessage="1" sqref="U184">
      <formula1>1</formula1>
      <formula2>5</formula2>
    </dataValidation>
    <dataValidation type="whole" allowBlank="1" showInputMessage="1" showErrorMessage="1" sqref="V184">
      <formula1>1</formula1>
      <formula2>5</formula2>
    </dataValidation>
    <dataValidation type="whole" allowBlank="1" showInputMessage="1" showErrorMessage="1" sqref="X184">
      <formula1>1</formula1>
      <formula2>5</formula2>
    </dataValidation>
    <dataValidation type="decimal" operator="greaterThanOrEqual" allowBlank="1" showInputMessage="1" showErrorMessage="1" sqref="Y184">
      <formula1>0</formula1>
    </dataValidation>
    <dataValidation type="whole" operator="greaterThanOrEqual" allowBlank="1" showInputMessage="1" showErrorMessage="1" sqref="Z184">
      <formula1>0</formula1>
    </dataValidation>
    <dataValidation type="whole" allowBlank="1" showInputMessage="1" showErrorMessage="1" sqref="AA184">
      <formula1>1</formula1>
      <formula2>5</formula2>
    </dataValidation>
    <dataValidation type="decimal" allowBlank="1" showInputMessage="1" showErrorMessage="1" sqref="AB184">
      <formula1>0</formula1>
      <formula2>1</formula2>
    </dataValidation>
    <dataValidation type="list" allowBlank="1" showInputMessage="1" showErrorMessage="1" sqref="O184">
      <formula1>liste_statuts</formula1>
    </dataValidation>
    <dataValidation type="list" allowBlank="1" showInputMessage="1" showErrorMessage="1" sqref="B185">
      <formula1>liste_programmes</formula1>
    </dataValidation>
    <dataValidation type="list" allowBlank="1" showInputMessage="1" showErrorMessage="1" sqref="D185">
      <formula1>liste_types</formula1>
    </dataValidation>
    <dataValidation type="list" allowBlank="1" showInputMessage="1" showErrorMessage="1" sqref="F185">
      <formula1>liste_categories</formula1>
    </dataValidation>
    <dataValidation type="list" allowBlank="1" showInputMessage="1" showErrorMessage="1" sqref="G185">
      <formula1>liste_responsables</formula1>
    </dataValidation>
    <dataValidation type="list" allowBlank="1" showInputMessage="1" showErrorMessage="1" sqref="H185">
      <formula1>liste_sites</formula1>
    </dataValidation>
    <dataValidation type="list" allowBlank="1" showInputMessage="1" showErrorMessage="1" sqref="I185">
      <formula1>liste_priorites</formula1>
    </dataValidation>
    <dataValidation type="date" operator="greaterThanOrEqual" allowBlank="1" showInputMessage="1" showErrorMessage="1" sqref="J185">
      <formula1>730120</formula1>
    </dataValidation>
    <dataValidation type="date" operator="greaterThanOrEqual" allowBlank="1" showInputMessage="1" showErrorMessage="1" sqref="K185">
      <formula1>730120</formula1>
    </dataValidation>
    <dataValidation type="date" operator="greaterThanOrEqual" allowBlank="1" showInputMessage="1" showErrorMessage="1" sqref="L185">
      <formula1>730120</formula1>
    </dataValidation>
    <dataValidation type="whole" allowBlank="1" showInputMessage="1" showErrorMessage="1" sqref="P185">
      <formula1>0</formula1>
      <formula2>100</formula2>
    </dataValidation>
    <dataValidation type="decimal" operator="greaterThanOrEqual" allowBlank="1" showInputMessage="1" showErrorMessage="1" sqref="Q185">
      <formula1>0</formula1>
    </dataValidation>
    <dataValidation type="decimal" operator="greaterThanOrEqual" allowBlank="1" showInputMessage="1" showErrorMessage="1" sqref="R185">
      <formula1>0</formula1>
    </dataValidation>
    <dataValidation type="whole" allowBlank="1" showInputMessage="1" showErrorMessage="1" sqref="U185">
      <formula1>1</formula1>
      <formula2>5</formula2>
    </dataValidation>
    <dataValidation type="whole" allowBlank="1" showInputMessage="1" showErrorMessage="1" sqref="V185">
      <formula1>1</formula1>
      <formula2>5</formula2>
    </dataValidation>
    <dataValidation type="whole" allowBlank="1" showInputMessage="1" showErrorMessage="1" sqref="X185">
      <formula1>1</formula1>
      <formula2>5</formula2>
    </dataValidation>
    <dataValidation type="decimal" operator="greaterThanOrEqual" allowBlank="1" showInputMessage="1" showErrorMessage="1" sqref="Y185">
      <formula1>0</formula1>
    </dataValidation>
    <dataValidation type="whole" operator="greaterThanOrEqual" allowBlank="1" showInputMessage="1" showErrorMessage="1" sqref="Z185">
      <formula1>0</formula1>
    </dataValidation>
    <dataValidation type="whole" allowBlank="1" showInputMessage="1" showErrorMessage="1" sqref="AA185">
      <formula1>1</formula1>
      <formula2>5</formula2>
    </dataValidation>
    <dataValidation type="decimal" allowBlank="1" showInputMessage="1" showErrorMessage="1" sqref="AB185">
      <formula1>0</formula1>
      <formula2>1</formula2>
    </dataValidation>
    <dataValidation type="list" allowBlank="1" showInputMessage="1" showErrorMessage="1" sqref="O185">
      <formula1>liste_statuts</formula1>
    </dataValidation>
    <dataValidation type="list" allowBlank="1" showInputMessage="1" showErrorMessage="1" sqref="B186">
      <formula1>liste_programmes</formula1>
    </dataValidation>
    <dataValidation type="list" allowBlank="1" showInputMessage="1" showErrorMessage="1" sqref="D186">
      <formula1>liste_types</formula1>
    </dataValidation>
    <dataValidation type="list" allowBlank="1" showInputMessage="1" showErrorMessage="1" sqref="F186">
      <formula1>liste_categories</formula1>
    </dataValidation>
    <dataValidation type="list" allowBlank="1" showInputMessage="1" showErrorMessage="1" sqref="G186">
      <formula1>liste_responsables</formula1>
    </dataValidation>
    <dataValidation type="list" allowBlank="1" showInputMessage="1" showErrorMessage="1" sqref="H186">
      <formula1>liste_sites</formula1>
    </dataValidation>
    <dataValidation type="list" allowBlank="1" showInputMessage="1" showErrorMessage="1" sqref="I186">
      <formula1>liste_priorites</formula1>
    </dataValidation>
    <dataValidation type="date" operator="greaterThanOrEqual" allowBlank="1" showInputMessage="1" showErrorMessage="1" sqref="J186">
      <formula1>730120</formula1>
    </dataValidation>
    <dataValidation type="date" operator="greaterThanOrEqual" allowBlank="1" showInputMessage="1" showErrorMessage="1" sqref="K186">
      <formula1>730120</formula1>
    </dataValidation>
    <dataValidation type="date" operator="greaterThanOrEqual" allowBlank="1" showInputMessage="1" showErrorMessage="1" sqref="L186">
      <formula1>730120</formula1>
    </dataValidation>
    <dataValidation type="whole" allowBlank="1" showInputMessage="1" showErrorMessage="1" sqref="P186">
      <formula1>0</formula1>
      <formula2>100</formula2>
    </dataValidation>
    <dataValidation type="decimal" operator="greaterThanOrEqual" allowBlank="1" showInputMessage="1" showErrorMessage="1" sqref="Q186">
      <formula1>0</formula1>
    </dataValidation>
    <dataValidation type="decimal" operator="greaterThanOrEqual" allowBlank="1" showInputMessage="1" showErrorMessage="1" sqref="R186">
      <formula1>0</formula1>
    </dataValidation>
    <dataValidation type="whole" allowBlank="1" showInputMessage="1" showErrorMessage="1" sqref="U186">
      <formula1>1</formula1>
      <formula2>5</formula2>
    </dataValidation>
    <dataValidation type="whole" allowBlank="1" showInputMessage="1" showErrorMessage="1" sqref="V186">
      <formula1>1</formula1>
      <formula2>5</formula2>
    </dataValidation>
    <dataValidation type="whole" allowBlank="1" showInputMessage="1" showErrorMessage="1" sqref="X186">
      <formula1>1</formula1>
      <formula2>5</formula2>
    </dataValidation>
    <dataValidation type="decimal" operator="greaterThanOrEqual" allowBlank="1" showInputMessage="1" showErrorMessage="1" sqref="Y186">
      <formula1>0</formula1>
    </dataValidation>
    <dataValidation type="whole" operator="greaterThanOrEqual" allowBlank="1" showInputMessage="1" showErrorMessage="1" sqref="Z186">
      <formula1>0</formula1>
    </dataValidation>
    <dataValidation type="whole" allowBlank="1" showInputMessage="1" showErrorMessage="1" sqref="AA186">
      <formula1>1</formula1>
      <formula2>5</formula2>
    </dataValidation>
    <dataValidation type="decimal" allowBlank="1" showInputMessage="1" showErrorMessage="1" sqref="AB186">
      <formula1>0</formula1>
      <formula2>1</formula2>
    </dataValidation>
    <dataValidation type="list" allowBlank="1" showInputMessage="1" showErrorMessage="1" sqref="O186">
      <formula1>liste_statuts</formula1>
    </dataValidation>
    <dataValidation type="list" allowBlank="1" showInputMessage="1" showErrorMessage="1" sqref="B187">
      <formula1>liste_programmes</formula1>
    </dataValidation>
    <dataValidation type="list" allowBlank="1" showInputMessage="1" showErrorMessage="1" sqref="D187">
      <formula1>liste_types</formula1>
    </dataValidation>
    <dataValidation type="list" allowBlank="1" showInputMessage="1" showErrorMessage="1" sqref="F187">
      <formula1>liste_categories</formula1>
    </dataValidation>
    <dataValidation type="list" allowBlank="1" showInputMessage="1" showErrorMessage="1" sqref="G187">
      <formula1>liste_responsables</formula1>
    </dataValidation>
    <dataValidation type="list" allowBlank="1" showInputMessage="1" showErrorMessage="1" sqref="H187">
      <formula1>liste_sites</formula1>
    </dataValidation>
    <dataValidation type="list" allowBlank="1" showInputMessage="1" showErrorMessage="1" sqref="I187">
      <formula1>liste_priorites</formula1>
    </dataValidation>
    <dataValidation type="date" operator="greaterThanOrEqual" allowBlank="1" showInputMessage="1" showErrorMessage="1" sqref="J187">
      <formula1>730120</formula1>
    </dataValidation>
    <dataValidation type="date" operator="greaterThanOrEqual" allowBlank="1" showInputMessage="1" showErrorMessage="1" sqref="K187">
      <formula1>730120</formula1>
    </dataValidation>
    <dataValidation type="date" operator="greaterThanOrEqual" allowBlank="1" showInputMessage="1" showErrorMessage="1" sqref="L187">
      <formula1>730120</formula1>
    </dataValidation>
    <dataValidation type="whole" allowBlank="1" showInputMessage="1" showErrorMessage="1" sqref="P187">
      <formula1>0</formula1>
      <formula2>100</formula2>
    </dataValidation>
    <dataValidation type="decimal" operator="greaterThanOrEqual" allowBlank="1" showInputMessage="1" showErrorMessage="1" sqref="Q187">
      <formula1>0</formula1>
    </dataValidation>
    <dataValidation type="decimal" operator="greaterThanOrEqual" allowBlank="1" showInputMessage="1" showErrorMessage="1" sqref="R187">
      <formula1>0</formula1>
    </dataValidation>
    <dataValidation type="whole" allowBlank="1" showInputMessage="1" showErrorMessage="1" sqref="U187">
      <formula1>1</formula1>
      <formula2>5</formula2>
    </dataValidation>
    <dataValidation type="whole" allowBlank="1" showInputMessage="1" showErrorMessage="1" sqref="V187">
      <formula1>1</formula1>
      <formula2>5</formula2>
    </dataValidation>
    <dataValidation type="whole" allowBlank="1" showInputMessage="1" showErrorMessage="1" sqref="X187">
      <formula1>1</formula1>
      <formula2>5</formula2>
    </dataValidation>
    <dataValidation type="decimal" operator="greaterThanOrEqual" allowBlank="1" showInputMessage="1" showErrorMessage="1" sqref="Y187">
      <formula1>0</formula1>
    </dataValidation>
    <dataValidation type="whole" operator="greaterThanOrEqual" allowBlank="1" showInputMessage="1" showErrorMessage="1" sqref="Z187">
      <formula1>0</formula1>
    </dataValidation>
    <dataValidation type="whole" allowBlank="1" showInputMessage="1" showErrorMessage="1" sqref="AA187">
      <formula1>1</formula1>
      <formula2>5</formula2>
    </dataValidation>
    <dataValidation type="decimal" allowBlank="1" showInputMessage="1" showErrorMessage="1" sqref="AB187">
      <formula1>0</formula1>
      <formula2>1</formula2>
    </dataValidation>
    <dataValidation type="list" allowBlank="1" showInputMessage="1" showErrorMessage="1" sqref="O187">
      <formula1>liste_statuts</formula1>
    </dataValidation>
    <dataValidation type="list" allowBlank="1" showInputMessage="1" showErrorMessage="1" sqref="B188">
      <formula1>liste_programmes</formula1>
    </dataValidation>
    <dataValidation type="list" allowBlank="1" showInputMessage="1" showErrorMessage="1" sqref="D188">
      <formula1>liste_types</formula1>
    </dataValidation>
    <dataValidation type="list" allowBlank="1" showInputMessage="1" showErrorMessage="1" sqref="F188">
      <formula1>liste_categories</formula1>
    </dataValidation>
    <dataValidation type="list" allowBlank="1" showInputMessage="1" showErrorMessage="1" sqref="G188">
      <formula1>liste_responsables</formula1>
    </dataValidation>
    <dataValidation type="list" allowBlank="1" showInputMessage="1" showErrorMessage="1" sqref="H188">
      <formula1>liste_sites</formula1>
    </dataValidation>
    <dataValidation type="list" allowBlank="1" showInputMessage="1" showErrorMessage="1" sqref="I188">
      <formula1>liste_priorites</formula1>
    </dataValidation>
    <dataValidation type="date" operator="greaterThanOrEqual" allowBlank="1" showInputMessage="1" showErrorMessage="1" sqref="J188">
      <formula1>730120</formula1>
    </dataValidation>
    <dataValidation type="date" operator="greaterThanOrEqual" allowBlank="1" showInputMessage="1" showErrorMessage="1" sqref="K188">
      <formula1>730120</formula1>
    </dataValidation>
    <dataValidation type="date" operator="greaterThanOrEqual" allowBlank="1" showInputMessage="1" showErrorMessage="1" sqref="L188">
      <formula1>730120</formula1>
    </dataValidation>
    <dataValidation type="whole" allowBlank="1" showInputMessage="1" showErrorMessage="1" sqref="P188">
      <formula1>0</formula1>
      <formula2>100</formula2>
    </dataValidation>
    <dataValidation type="decimal" operator="greaterThanOrEqual" allowBlank="1" showInputMessage="1" showErrorMessage="1" sqref="Q188">
      <formula1>0</formula1>
    </dataValidation>
    <dataValidation type="decimal" operator="greaterThanOrEqual" allowBlank="1" showInputMessage="1" showErrorMessage="1" sqref="R188">
      <formula1>0</formula1>
    </dataValidation>
    <dataValidation type="whole" allowBlank="1" showInputMessage="1" showErrorMessage="1" sqref="U188">
      <formula1>1</formula1>
      <formula2>5</formula2>
    </dataValidation>
    <dataValidation type="whole" allowBlank="1" showInputMessage="1" showErrorMessage="1" sqref="V188">
      <formula1>1</formula1>
      <formula2>5</formula2>
    </dataValidation>
    <dataValidation type="whole" allowBlank="1" showInputMessage="1" showErrorMessage="1" sqref="X188">
      <formula1>1</formula1>
      <formula2>5</formula2>
    </dataValidation>
    <dataValidation type="decimal" operator="greaterThanOrEqual" allowBlank="1" showInputMessage="1" showErrorMessage="1" sqref="Y188">
      <formula1>0</formula1>
    </dataValidation>
    <dataValidation type="whole" operator="greaterThanOrEqual" allowBlank="1" showInputMessage="1" showErrorMessage="1" sqref="Z188">
      <formula1>0</formula1>
    </dataValidation>
    <dataValidation type="whole" allowBlank="1" showInputMessage="1" showErrorMessage="1" sqref="AA188">
      <formula1>1</formula1>
      <formula2>5</formula2>
    </dataValidation>
    <dataValidation type="decimal" allowBlank="1" showInputMessage="1" showErrorMessage="1" sqref="AB188">
      <formula1>0</formula1>
      <formula2>1</formula2>
    </dataValidation>
    <dataValidation type="list" allowBlank="1" showInputMessage="1" showErrorMessage="1" sqref="O188">
      <formula1>liste_statuts</formula1>
    </dataValidation>
    <dataValidation type="list" allowBlank="1" showInputMessage="1" showErrorMessage="1" sqref="B189">
      <formula1>liste_programmes</formula1>
    </dataValidation>
    <dataValidation type="list" allowBlank="1" showInputMessage="1" showErrorMessage="1" sqref="D189">
      <formula1>liste_types</formula1>
    </dataValidation>
    <dataValidation type="list" allowBlank="1" showInputMessage="1" showErrorMessage="1" sqref="F189">
      <formula1>liste_categories</formula1>
    </dataValidation>
    <dataValidation type="list" allowBlank="1" showInputMessage="1" showErrorMessage="1" sqref="G189">
      <formula1>liste_responsables</formula1>
    </dataValidation>
    <dataValidation type="list" allowBlank="1" showInputMessage="1" showErrorMessage="1" sqref="H189">
      <formula1>liste_sites</formula1>
    </dataValidation>
    <dataValidation type="list" allowBlank="1" showInputMessage="1" showErrorMessage="1" sqref="I189">
      <formula1>liste_priorites</formula1>
    </dataValidation>
    <dataValidation type="date" operator="greaterThanOrEqual" allowBlank="1" showInputMessage="1" showErrorMessage="1" sqref="J189">
      <formula1>730120</formula1>
    </dataValidation>
    <dataValidation type="date" operator="greaterThanOrEqual" allowBlank="1" showInputMessage="1" showErrorMessage="1" sqref="K189">
      <formula1>730120</formula1>
    </dataValidation>
    <dataValidation type="date" operator="greaterThanOrEqual" allowBlank="1" showInputMessage="1" showErrorMessage="1" sqref="L189">
      <formula1>730120</formula1>
    </dataValidation>
    <dataValidation type="whole" allowBlank="1" showInputMessage="1" showErrorMessage="1" sqref="P189">
      <formula1>0</formula1>
      <formula2>100</formula2>
    </dataValidation>
    <dataValidation type="decimal" operator="greaterThanOrEqual" allowBlank="1" showInputMessage="1" showErrorMessage="1" sqref="Q189">
      <formula1>0</formula1>
    </dataValidation>
    <dataValidation type="decimal" operator="greaterThanOrEqual" allowBlank="1" showInputMessage="1" showErrorMessage="1" sqref="R189">
      <formula1>0</formula1>
    </dataValidation>
    <dataValidation type="whole" allowBlank="1" showInputMessage="1" showErrorMessage="1" sqref="U189">
      <formula1>1</formula1>
      <formula2>5</formula2>
    </dataValidation>
    <dataValidation type="whole" allowBlank="1" showInputMessage="1" showErrorMessage="1" sqref="V189">
      <formula1>1</formula1>
      <formula2>5</formula2>
    </dataValidation>
    <dataValidation type="whole" allowBlank="1" showInputMessage="1" showErrorMessage="1" sqref="X189">
      <formula1>1</formula1>
      <formula2>5</formula2>
    </dataValidation>
    <dataValidation type="decimal" operator="greaterThanOrEqual" allowBlank="1" showInputMessage="1" showErrorMessage="1" sqref="Y189">
      <formula1>0</formula1>
    </dataValidation>
    <dataValidation type="whole" operator="greaterThanOrEqual" allowBlank="1" showInputMessage="1" showErrorMessage="1" sqref="Z189">
      <formula1>0</formula1>
    </dataValidation>
    <dataValidation type="whole" allowBlank="1" showInputMessage="1" showErrorMessage="1" sqref="AA189">
      <formula1>1</formula1>
      <formula2>5</formula2>
    </dataValidation>
    <dataValidation type="decimal" allowBlank="1" showInputMessage="1" showErrorMessage="1" sqref="AB189">
      <formula1>0</formula1>
      <formula2>1</formula2>
    </dataValidation>
    <dataValidation type="list" allowBlank="1" showInputMessage="1" showErrorMessage="1" sqref="O189">
      <formula1>liste_statuts</formula1>
    </dataValidation>
    <dataValidation type="list" allowBlank="1" showInputMessage="1" showErrorMessage="1" sqref="B190">
      <formula1>liste_programmes</formula1>
    </dataValidation>
    <dataValidation type="list" allowBlank="1" showInputMessage="1" showErrorMessage="1" sqref="D190">
      <formula1>liste_types</formula1>
    </dataValidation>
    <dataValidation type="list" allowBlank="1" showInputMessage="1" showErrorMessage="1" sqref="F190">
      <formula1>liste_categories</formula1>
    </dataValidation>
    <dataValidation type="list" allowBlank="1" showInputMessage="1" showErrorMessage="1" sqref="G190">
      <formula1>liste_responsables</formula1>
    </dataValidation>
    <dataValidation type="list" allowBlank="1" showInputMessage="1" showErrorMessage="1" sqref="H190">
      <formula1>liste_sites</formula1>
    </dataValidation>
    <dataValidation type="list" allowBlank="1" showInputMessage="1" showErrorMessage="1" sqref="I190">
      <formula1>liste_priorites</formula1>
    </dataValidation>
    <dataValidation type="date" operator="greaterThanOrEqual" allowBlank="1" showInputMessage="1" showErrorMessage="1" sqref="J190">
      <formula1>730120</formula1>
    </dataValidation>
    <dataValidation type="date" operator="greaterThanOrEqual" allowBlank="1" showInputMessage="1" showErrorMessage="1" sqref="K190">
      <formula1>730120</formula1>
    </dataValidation>
    <dataValidation type="date" operator="greaterThanOrEqual" allowBlank="1" showInputMessage="1" showErrorMessage="1" sqref="L190">
      <formula1>730120</formula1>
    </dataValidation>
    <dataValidation type="whole" allowBlank="1" showInputMessage="1" showErrorMessage="1" sqref="P190">
      <formula1>0</formula1>
      <formula2>100</formula2>
    </dataValidation>
    <dataValidation type="decimal" operator="greaterThanOrEqual" allowBlank="1" showInputMessage="1" showErrorMessage="1" sqref="Q190">
      <formula1>0</formula1>
    </dataValidation>
    <dataValidation type="decimal" operator="greaterThanOrEqual" allowBlank="1" showInputMessage="1" showErrorMessage="1" sqref="R190">
      <formula1>0</formula1>
    </dataValidation>
    <dataValidation type="whole" allowBlank="1" showInputMessage="1" showErrorMessage="1" sqref="U190">
      <formula1>1</formula1>
      <formula2>5</formula2>
    </dataValidation>
    <dataValidation type="whole" allowBlank="1" showInputMessage="1" showErrorMessage="1" sqref="V190">
      <formula1>1</formula1>
      <formula2>5</formula2>
    </dataValidation>
    <dataValidation type="whole" allowBlank="1" showInputMessage="1" showErrorMessage="1" sqref="X190">
      <formula1>1</formula1>
      <formula2>5</formula2>
    </dataValidation>
    <dataValidation type="decimal" operator="greaterThanOrEqual" allowBlank="1" showInputMessage="1" showErrorMessage="1" sqref="Y190">
      <formula1>0</formula1>
    </dataValidation>
    <dataValidation type="whole" operator="greaterThanOrEqual" allowBlank="1" showInputMessage="1" showErrorMessage="1" sqref="Z190">
      <formula1>0</formula1>
    </dataValidation>
    <dataValidation type="whole" allowBlank="1" showInputMessage="1" showErrorMessage="1" sqref="AA190">
      <formula1>1</formula1>
      <formula2>5</formula2>
    </dataValidation>
    <dataValidation type="decimal" allowBlank="1" showInputMessage="1" showErrorMessage="1" sqref="AB190">
      <formula1>0</formula1>
      <formula2>1</formula2>
    </dataValidation>
    <dataValidation type="list" allowBlank="1" showInputMessage="1" showErrorMessage="1" sqref="O190">
      <formula1>liste_statuts</formula1>
    </dataValidation>
    <dataValidation type="list" allowBlank="1" showInputMessage="1" showErrorMessage="1" sqref="B191">
      <formula1>liste_programmes</formula1>
    </dataValidation>
    <dataValidation type="list" allowBlank="1" showInputMessage="1" showErrorMessage="1" sqref="D191">
      <formula1>liste_types</formula1>
    </dataValidation>
    <dataValidation type="list" allowBlank="1" showInputMessage="1" showErrorMessage="1" sqref="F191">
      <formula1>liste_categories</formula1>
    </dataValidation>
    <dataValidation type="list" allowBlank="1" showInputMessage="1" showErrorMessage="1" sqref="G191">
      <formula1>liste_responsables</formula1>
    </dataValidation>
    <dataValidation type="list" allowBlank="1" showInputMessage="1" showErrorMessage="1" sqref="H191">
      <formula1>liste_sites</formula1>
    </dataValidation>
    <dataValidation type="list" allowBlank="1" showInputMessage="1" showErrorMessage="1" sqref="I191">
      <formula1>liste_priorites</formula1>
    </dataValidation>
    <dataValidation type="date" operator="greaterThanOrEqual" allowBlank="1" showInputMessage="1" showErrorMessage="1" sqref="J191">
      <formula1>730120</formula1>
    </dataValidation>
    <dataValidation type="date" operator="greaterThanOrEqual" allowBlank="1" showInputMessage="1" showErrorMessage="1" sqref="K191">
      <formula1>730120</formula1>
    </dataValidation>
    <dataValidation type="date" operator="greaterThanOrEqual" allowBlank="1" showInputMessage="1" showErrorMessage="1" sqref="L191">
      <formula1>730120</formula1>
    </dataValidation>
    <dataValidation type="whole" allowBlank="1" showInputMessage="1" showErrorMessage="1" sqref="P191">
      <formula1>0</formula1>
      <formula2>100</formula2>
    </dataValidation>
    <dataValidation type="decimal" operator="greaterThanOrEqual" allowBlank="1" showInputMessage="1" showErrorMessage="1" sqref="Q191">
      <formula1>0</formula1>
    </dataValidation>
    <dataValidation type="decimal" operator="greaterThanOrEqual" allowBlank="1" showInputMessage="1" showErrorMessage="1" sqref="R191">
      <formula1>0</formula1>
    </dataValidation>
    <dataValidation type="whole" allowBlank="1" showInputMessage="1" showErrorMessage="1" sqref="U191">
      <formula1>1</formula1>
      <formula2>5</formula2>
    </dataValidation>
    <dataValidation type="whole" allowBlank="1" showInputMessage="1" showErrorMessage="1" sqref="V191">
      <formula1>1</formula1>
      <formula2>5</formula2>
    </dataValidation>
    <dataValidation type="whole" allowBlank="1" showInputMessage="1" showErrorMessage="1" sqref="X191">
      <formula1>1</formula1>
      <formula2>5</formula2>
    </dataValidation>
    <dataValidation type="decimal" operator="greaterThanOrEqual" allowBlank="1" showInputMessage="1" showErrorMessage="1" sqref="Y191">
      <formula1>0</formula1>
    </dataValidation>
    <dataValidation type="whole" operator="greaterThanOrEqual" allowBlank="1" showInputMessage="1" showErrorMessage="1" sqref="Z191">
      <formula1>0</formula1>
    </dataValidation>
    <dataValidation type="whole" allowBlank="1" showInputMessage="1" showErrorMessage="1" sqref="AA191">
      <formula1>1</formula1>
      <formula2>5</formula2>
    </dataValidation>
    <dataValidation type="decimal" allowBlank="1" showInputMessage="1" showErrorMessage="1" sqref="AB191">
      <formula1>0</formula1>
      <formula2>1</formula2>
    </dataValidation>
    <dataValidation type="list" allowBlank="1" showInputMessage="1" showErrorMessage="1" sqref="O191">
      <formula1>liste_statuts</formula1>
    </dataValidation>
    <dataValidation type="list" allowBlank="1" showInputMessage="1" showErrorMessage="1" sqref="B192">
      <formula1>liste_programmes</formula1>
    </dataValidation>
    <dataValidation type="list" allowBlank="1" showInputMessage="1" showErrorMessage="1" sqref="D192">
      <formula1>liste_types</formula1>
    </dataValidation>
    <dataValidation type="list" allowBlank="1" showInputMessage="1" showErrorMessage="1" sqref="F192">
      <formula1>liste_categories</formula1>
    </dataValidation>
    <dataValidation type="list" allowBlank="1" showInputMessage="1" showErrorMessage="1" sqref="G192">
      <formula1>liste_responsables</formula1>
    </dataValidation>
    <dataValidation type="list" allowBlank="1" showInputMessage="1" showErrorMessage="1" sqref="H192">
      <formula1>liste_sites</formula1>
    </dataValidation>
    <dataValidation type="list" allowBlank="1" showInputMessage="1" showErrorMessage="1" sqref="I192">
      <formula1>liste_priorites</formula1>
    </dataValidation>
    <dataValidation type="date" operator="greaterThanOrEqual" allowBlank="1" showInputMessage="1" showErrorMessage="1" sqref="J192">
      <formula1>730120</formula1>
    </dataValidation>
    <dataValidation type="date" operator="greaterThanOrEqual" allowBlank="1" showInputMessage="1" showErrorMessage="1" sqref="K192">
      <formula1>730120</formula1>
    </dataValidation>
    <dataValidation type="date" operator="greaterThanOrEqual" allowBlank="1" showInputMessage="1" showErrorMessage="1" sqref="L192">
      <formula1>730120</formula1>
    </dataValidation>
    <dataValidation type="whole" allowBlank="1" showInputMessage="1" showErrorMessage="1" sqref="P192">
      <formula1>0</formula1>
      <formula2>100</formula2>
    </dataValidation>
    <dataValidation type="decimal" operator="greaterThanOrEqual" allowBlank="1" showInputMessage="1" showErrorMessage="1" sqref="Q192">
      <formula1>0</formula1>
    </dataValidation>
    <dataValidation type="decimal" operator="greaterThanOrEqual" allowBlank="1" showInputMessage="1" showErrorMessage="1" sqref="R192">
      <formula1>0</formula1>
    </dataValidation>
    <dataValidation type="whole" allowBlank="1" showInputMessage="1" showErrorMessage="1" sqref="U192">
      <formula1>1</formula1>
      <formula2>5</formula2>
    </dataValidation>
    <dataValidation type="whole" allowBlank="1" showInputMessage="1" showErrorMessage="1" sqref="V192">
      <formula1>1</formula1>
      <formula2>5</formula2>
    </dataValidation>
    <dataValidation type="whole" allowBlank="1" showInputMessage="1" showErrorMessage="1" sqref="X192">
      <formula1>1</formula1>
      <formula2>5</formula2>
    </dataValidation>
    <dataValidation type="decimal" operator="greaterThanOrEqual" allowBlank="1" showInputMessage="1" showErrorMessage="1" sqref="Y192">
      <formula1>0</formula1>
    </dataValidation>
    <dataValidation type="whole" operator="greaterThanOrEqual" allowBlank="1" showInputMessage="1" showErrorMessage="1" sqref="Z192">
      <formula1>0</formula1>
    </dataValidation>
    <dataValidation type="whole" allowBlank="1" showInputMessage="1" showErrorMessage="1" sqref="AA192">
      <formula1>1</formula1>
      <formula2>5</formula2>
    </dataValidation>
    <dataValidation type="decimal" allowBlank="1" showInputMessage="1" showErrorMessage="1" sqref="AB192">
      <formula1>0</formula1>
      <formula2>1</formula2>
    </dataValidation>
    <dataValidation type="list" allowBlank="1" showInputMessage="1" showErrorMessage="1" sqref="O192">
      <formula1>liste_statuts</formula1>
    </dataValidation>
    <dataValidation type="list" allowBlank="1" showInputMessage="1" showErrorMessage="1" sqref="B193">
      <formula1>liste_programmes</formula1>
    </dataValidation>
    <dataValidation type="list" allowBlank="1" showInputMessage="1" showErrorMessage="1" sqref="D193">
      <formula1>liste_types</formula1>
    </dataValidation>
    <dataValidation type="list" allowBlank="1" showInputMessage="1" showErrorMessage="1" sqref="F193">
      <formula1>liste_categories</formula1>
    </dataValidation>
    <dataValidation type="list" allowBlank="1" showInputMessage="1" showErrorMessage="1" sqref="G193">
      <formula1>liste_responsables</formula1>
    </dataValidation>
    <dataValidation type="list" allowBlank="1" showInputMessage="1" showErrorMessage="1" sqref="H193">
      <formula1>liste_sites</formula1>
    </dataValidation>
    <dataValidation type="list" allowBlank="1" showInputMessage="1" showErrorMessage="1" sqref="I193">
      <formula1>liste_priorites</formula1>
    </dataValidation>
    <dataValidation type="date" operator="greaterThanOrEqual" allowBlank="1" showInputMessage="1" showErrorMessage="1" sqref="J193">
      <formula1>730120</formula1>
    </dataValidation>
    <dataValidation type="date" operator="greaterThanOrEqual" allowBlank="1" showInputMessage="1" showErrorMessage="1" sqref="K193">
      <formula1>730120</formula1>
    </dataValidation>
    <dataValidation type="date" operator="greaterThanOrEqual" allowBlank="1" showInputMessage="1" showErrorMessage="1" sqref="L193">
      <formula1>730120</formula1>
    </dataValidation>
    <dataValidation type="whole" allowBlank="1" showInputMessage="1" showErrorMessage="1" sqref="P193">
      <formula1>0</formula1>
      <formula2>100</formula2>
    </dataValidation>
    <dataValidation type="decimal" operator="greaterThanOrEqual" allowBlank="1" showInputMessage="1" showErrorMessage="1" sqref="Q193">
      <formula1>0</formula1>
    </dataValidation>
    <dataValidation type="decimal" operator="greaterThanOrEqual" allowBlank="1" showInputMessage="1" showErrorMessage="1" sqref="R193">
      <formula1>0</formula1>
    </dataValidation>
    <dataValidation type="whole" allowBlank="1" showInputMessage="1" showErrorMessage="1" sqref="U193">
      <formula1>1</formula1>
      <formula2>5</formula2>
    </dataValidation>
    <dataValidation type="whole" allowBlank="1" showInputMessage="1" showErrorMessage="1" sqref="V193">
      <formula1>1</formula1>
      <formula2>5</formula2>
    </dataValidation>
    <dataValidation type="whole" allowBlank="1" showInputMessage="1" showErrorMessage="1" sqref="X193">
      <formula1>1</formula1>
      <formula2>5</formula2>
    </dataValidation>
    <dataValidation type="decimal" operator="greaterThanOrEqual" allowBlank="1" showInputMessage="1" showErrorMessage="1" sqref="Y193">
      <formula1>0</formula1>
    </dataValidation>
    <dataValidation type="whole" operator="greaterThanOrEqual" allowBlank="1" showInputMessage="1" showErrorMessage="1" sqref="Z193">
      <formula1>0</formula1>
    </dataValidation>
    <dataValidation type="whole" allowBlank="1" showInputMessage="1" showErrorMessage="1" sqref="AA193">
      <formula1>1</formula1>
      <formula2>5</formula2>
    </dataValidation>
    <dataValidation type="decimal" allowBlank="1" showInputMessage="1" showErrorMessage="1" sqref="AB193">
      <formula1>0</formula1>
      <formula2>1</formula2>
    </dataValidation>
    <dataValidation type="list" allowBlank="1" showInputMessage="1" showErrorMessage="1" sqref="O193">
      <formula1>liste_statuts</formula1>
    </dataValidation>
    <dataValidation type="list" allowBlank="1" showInputMessage="1" showErrorMessage="1" sqref="B194">
      <formula1>liste_programmes</formula1>
    </dataValidation>
    <dataValidation type="list" allowBlank="1" showInputMessage="1" showErrorMessage="1" sqref="D194">
      <formula1>liste_types</formula1>
    </dataValidation>
    <dataValidation type="list" allowBlank="1" showInputMessage="1" showErrorMessage="1" sqref="F194">
      <formula1>liste_categories</formula1>
    </dataValidation>
    <dataValidation type="list" allowBlank="1" showInputMessage="1" showErrorMessage="1" sqref="G194">
      <formula1>liste_responsables</formula1>
    </dataValidation>
    <dataValidation type="list" allowBlank="1" showInputMessage="1" showErrorMessage="1" sqref="H194">
      <formula1>liste_sites</formula1>
    </dataValidation>
    <dataValidation type="list" allowBlank="1" showInputMessage="1" showErrorMessage="1" sqref="I194">
      <formula1>liste_priorites</formula1>
    </dataValidation>
    <dataValidation type="date" operator="greaterThanOrEqual" allowBlank="1" showInputMessage="1" showErrorMessage="1" sqref="J194">
      <formula1>730120</formula1>
    </dataValidation>
    <dataValidation type="date" operator="greaterThanOrEqual" allowBlank="1" showInputMessage="1" showErrorMessage="1" sqref="K194">
      <formula1>730120</formula1>
    </dataValidation>
    <dataValidation type="date" operator="greaterThanOrEqual" allowBlank="1" showInputMessage="1" showErrorMessage="1" sqref="L194">
      <formula1>730120</formula1>
    </dataValidation>
    <dataValidation type="whole" allowBlank="1" showInputMessage="1" showErrorMessage="1" sqref="P194">
      <formula1>0</formula1>
      <formula2>100</formula2>
    </dataValidation>
    <dataValidation type="decimal" operator="greaterThanOrEqual" allowBlank="1" showInputMessage="1" showErrorMessage="1" sqref="Q194">
      <formula1>0</formula1>
    </dataValidation>
    <dataValidation type="decimal" operator="greaterThanOrEqual" allowBlank="1" showInputMessage="1" showErrorMessage="1" sqref="R194">
      <formula1>0</formula1>
    </dataValidation>
    <dataValidation type="whole" allowBlank="1" showInputMessage="1" showErrorMessage="1" sqref="U194">
      <formula1>1</formula1>
      <formula2>5</formula2>
    </dataValidation>
    <dataValidation type="whole" allowBlank="1" showInputMessage="1" showErrorMessage="1" sqref="V194">
      <formula1>1</formula1>
      <formula2>5</formula2>
    </dataValidation>
    <dataValidation type="whole" allowBlank="1" showInputMessage="1" showErrorMessage="1" sqref="X194">
      <formula1>1</formula1>
      <formula2>5</formula2>
    </dataValidation>
    <dataValidation type="decimal" operator="greaterThanOrEqual" allowBlank="1" showInputMessage="1" showErrorMessage="1" sqref="Y194">
      <formula1>0</formula1>
    </dataValidation>
    <dataValidation type="whole" operator="greaterThanOrEqual" allowBlank="1" showInputMessage="1" showErrorMessage="1" sqref="Z194">
      <formula1>0</formula1>
    </dataValidation>
    <dataValidation type="whole" allowBlank="1" showInputMessage="1" showErrorMessage="1" sqref="AA194">
      <formula1>1</formula1>
      <formula2>5</formula2>
    </dataValidation>
    <dataValidation type="decimal" allowBlank="1" showInputMessage="1" showErrorMessage="1" sqref="AB194">
      <formula1>0</formula1>
      <formula2>1</formula2>
    </dataValidation>
    <dataValidation type="list" allowBlank="1" showInputMessage="1" showErrorMessage="1" sqref="O194">
      <formula1>liste_statuts</formula1>
    </dataValidation>
    <dataValidation type="list" allowBlank="1" showInputMessage="1" showErrorMessage="1" sqref="B195">
      <formula1>liste_programmes</formula1>
    </dataValidation>
    <dataValidation type="list" allowBlank="1" showInputMessage="1" showErrorMessage="1" sqref="D195">
      <formula1>liste_types</formula1>
    </dataValidation>
    <dataValidation type="list" allowBlank="1" showInputMessage="1" showErrorMessage="1" sqref="F195">
      <formula1>liste_categories</formula1>
    </dataValidation>
    <dataValidation type="list" allowBlank="1" showInputMessage="1" showErrorMessage="1" sqref="G195">
      <formula1>liste_responsables</formula1>
    </dataValidation>
    <dataValidation type="list" allowBlank="1" showInputMessage="1" showErrorMessage="1" sqref="H195">
      <formula1>liste_sites</formula1>
    </dataValidation>
    <dataValidation type="list" allowBlank="1" showInputMessage="1" showErrorMessage="1" sqref="I195">
      <formula1>liste_priorites</formula1>
    </dataValidation>
    <dataValidation type="date" operator="greaterThanOrEqual" allowBlank="1" showInputMessage="1" showErrorMessage="1" sqref="J195">
      <formula1>730120</formula1>
    </dataValidation>
    <dataValidation type="date" operator="greaterThanOrEqual" allowBlank="1" showInputMessage="1" showErrorMessage="1" sqref="K195">
      <formula1>730120</formula1>
    </dataValidation>
    <dataValidation type="date" operator="greaterThanOrEqual" allowBlank="1" showInputMessage="1" showErrorMessage="1" sqref="L195">
      <formula1>730120</formula1>
    </dataValidation>
    <dataValidation type="whole" allowBlank="1" showInputMessage="1" showErrorMessage="1" sqref="P195">
      <formula1>0</formula1>
      <formula2>100</formula2>
    </dataValidation>
    <dataValidation type="decimal" operator="greaterThanOrEqual" allowBlank="1" showInputMessage="1" showErrorMessage="1" sqref="Q195">
      <formula1>0</formula1>
    </dataValidation>
    <dataValidation type="decimal" operator="greaterThanOrEqual" allowBlank="1" showInputMessage="1" showErrorMessage="1" sqref="R195">
      <formula1>0</formula1>
    </dataValidation>
    <dataValidation type="whole" allowBlank="1" showInputMessage="1" showErrorMessage="1" sqref="U195">
      <formula1>1</formula1>
      <formula2>5</formula2>
    </dataValidation>
    <dataValidation type="whole" allowBlank="1" showInputMessage="1" showErrorMessage="1" sqref="V195">
      <formula1>1</formula1>
      <formula2>5</formula2>
    </dataValidation>
    <dataValidation type="whole" allowBlank="1" showInputMessage="1" showErrorMessage="1" sqref="X195">
      <formula1>1</formula1>
      <formula2>5</formula2>
    </dataValidation>
    <dataValidation type="decimal" operator="greaterThanOrEqual" allowBlank="1" showInputMessage="1" showErrorMessage="1" sqref="Y195">
      <formula1>0</formula1>
    </dataValidation>
    <dataValidation type="whole" operator="greaterThanOrEqual" allowBlank="1" showInputMessage="1" showErrorMessage="1" sqref="Z195">
      <formula1>0</formula1>
    </dataValidation>
    <dataValidation type="whole" allowBlank="1" showInputMessage="1" showErrorMessage="1" sqref="AA195">
      <formula1>1</formula1>
      <formula2>5</formula2>
    </dataValidation>
    <dataValidation type="decimal" allowBlank="1" showInputMessage="1" showErrorMessage="1" sqref="AB195">
      <formula1>0</formula1>
      <formula2>1</formula2>
    </dataValidation>
    <dataValidation type="list" allowBlank="1" showInputMessage="1" showErrorMessage="1" sqref="O195">
      <formula1>liste_statuts</formula1>
    </dataValidation>
    <dataValidation type="list" allowBlank="1" showInputMessage="1" showErrorMessage="1" sqref="B196">
      <formula1>liste_programmes</formula1>
    </dataValidation>
    <dataValidation type="list" allowBlank="1" showInputMessage="1" showErrorMessage="1" sqref="D196">
      <formula1>liste_types</formula1>
    </dataValidation>
    <dataValidation type="list" allowBlank="1" showInputMessage="1" showErrorMessage="1" sqref="F196">
      <formula1>liste_categories</formula1>
    </dataValidation>
    <dataValidation type="list" allowBlank="1" showInputMessage="1" showErrorMessage="1" sqref="G196">
      <formula1>liste_responsables</formula1>
    </dataValidation>
    <dataValidation type="list" allowBlank="1" showInputMessage="1" showErrorMessage="1" sqref="H196">
      <formula1>liste_sites</formula1>
    </dataValidation>
    <dataValidation type="list" allowBlank="1" showInputMessage="1" showErrorMessage="1" sqref="I196">
      <formula1>liste_priorites</formula1>
    </dataValidation>
    <dataValidation type="date" operator="greaterThanOrEqual" allowBlank="1" showInputMessage="1" showErrorMessage="1" sqref="J196">
      <formula1>730120</formula1>
    </dataValidation>
    <dataValidation type="date" operator="greaterThanOrEqual" allowBlank="1" showInputMessage="1" showErrorMessage="1" sqref="K196">
      <formula1>730120</formula1>
    </dataValidation>
    <dataValidation type="date" operator="greaterThanOrEqual" allowBlank="1" showInputMessage="1" showErrorMessage="1" sqref="L196">
      <formula1>730120</formula1>
    </dataValidation>
    <dataValidation type="whole" allowBlank="1" showInputMessage="1" showErrorMessage="1" sqref="P196">
      <formula1>0</formula1>
      <formula2>100</formula2>
    </dataValidation>
    <dataValidation type="decimal" operator="greaterThanOrEqual" allowBlank="1" showInputMessage="1" showErrorMessage="1" sqref="Q196">
      <formula1>0</formula1>
    </dataValidation>
    <dataValidation type="decimal" operator="greaterThanOrEqual" allowBlank="1" showInputMessage="1" showErrorMessage="1" sqref="R196">
      <formula1>0</formula1>
    </dataValidation>
    <dataValidation type="whole" allowBlank="1" showInputMessage="1" showErrorMessage="1" sqref="U196">
      <formula1>1</formula1>
      <formula2>5</formula2>
    </dataValidation>
    <dataValidation type="whole" allowBlank="1" showInputMessage="1" showErrorMessage="1" sqref="V196">
      <formula1>1</formula1>
      <formula2>5</formula2>
    </dataValidation>
    <dataValidation type="whole" allowBlank="1" showInputMessage="1" showErrorMessage="1" sqref="X196">
      <formula1>1</formula1>
      <formula2>5</formula2>
    </dataValidation>
    <dataValidation type="decimal" operator="greaterThanOrEqual" allowBlank="1" showInputMessage="1" showErrorMessage="1" sqref="Y196">
      <formula1>0</formula1>
    </dataValidation>
    <dataValidation type="whole" operator="greaterThanOrEqual" allowBlank="1" showInputMessage="1" showErrorMessage="1" sqref="Z196">
      <formula1>0</formula1>
    </dataValidation>
    <dataValidation type="whole" allowBlank="1" showInputMessage="1" showErrorMessage="1" sqref="AA196">
      <formula1>1</formula1>
      <formula2>5</formula2>
    </dataValidation>
    <dataValidation type="decimal" allowBlank="1" showInputMessage="1" showErrorMessage="1" sqref="AB196">
      <formula1>0</formula1>
      <formula2>1</formula2>
    </dataValidation>
    <dataValidation type="list" allowBlank="1" showInputMessage="1" showErrorMessage="1" sqref="O196">
      <formula1>liste_statuts</formula1>
    </dataValidation>
    <dataValidation type="list" allowBlank="1" showInputMessage="1" showErrorMessage="1" sqref="B197">
      <formula1>liste_programmes</formula1>
    </dataValidation>
    <dataValidation type="list" allowBlank="1" showInputMessage="1" showErrorMessage="1" sqref="D197">
      <formula1>liste_types</formula1>
    </dataValidation>
    <dataValidation type="list" allowBlank="1" showInputMessage="1" showErrorMessage="1" sqref="F197">
      <formula1>liste_categories</formula1>
    </dataValidation>
    <dataValidation type="list" allowBlank="1" showInputMessage="1" showErrorMessage="1" sqref="G197">
      <formula1>liste_responsables</formula1>
    </dataValidation>
    <dataValidation type="list" allowBlank="1" showInputMessage="1" showErrorMessage="1" sqref="H197">
      <formula1>liste_sites</formula1>
    </dataValidation>
    <dataValidation type="list" allowBlank="1" showInputMessage="1" showErrorMessage="1" sqref="I197">
      <formula1>liste_priorites</formula1>
    </dataValidation>
    <dataValidation type="date" operator="greaterThanOrEqual" allowBlank="1" showInputMessage="1" showErrorMessage="1" sqref="J197">
      <formula1>730120</formula1>
    </dataValidation>
    <dataValidation type="date" operator="greaterThanOrEqual" allowBlank="1" showInputMessage="1" showErrorMessage="1" sqref="K197">
      <formula1>730120</formula1>
    </dataValidation>
    <dataValidation type="date" operator="greaterThanOrEqual" allowBlank="1" showInputMessage="1" showErrorMessage="1" sqref="L197">
      <formula1>730120</formula1>
    </dataValidation>
    <dataValidation type="whole" allowBlank="1" showInputMessage="1" showErrorMessage="1" sqref="P197">
      <formula1>0</formula1>
      <formula2>100</formula2>
    </dataValidation>
    <dataValidation type="decimal" operator="greaterThanOrEqual" allowBlank="1" showInputMessage="1" showErrorMessage="1" sqref="Q197">
      <formula1>0</formula1>
    </dataValidation>
    <dataValidation type="decimal" operator="greaterThanOrEqual" allowBlank="1" showInputMessage="1" showErrorMessage="1" sqref="R197">
      <formula1>0</formula1>
    </dataValidation>
    <dataValidation type="whole" allowBlank="1" showInputMessage="1" showErrorMessage="1" sqref="U197">
      <formula1>1</formula1>
      <formula2>5</formula2>
    </dataValidation>
    <dataValidation type="whole" allowBlank="1" showInputMessage="1" showErrorMessage="1" sqref="V197">
      <formula1>1</formula1>
      <formula2>5</formula2>
    </dataValidation>
    <dataValidation type="whole" allowBlank="1" showInputMessage="1" showErrorMessage="1" sqref="X197">
      <formula1>1</formula1>
      <formula2>5</formula2>
    </dataValidation>
    <dataValidation type="decimal" operator="greaterThanOrEqual" allowBlank="1" showInputMessage="1" showErrorMessage="1" sqref="Y197">
      <formula1>0</formula1>
    </dataValidation>
    <dataValidation type="whole" operator="greaterThanOrEqual" allowBlank="1" showInputMessage="1" showErrorMessage="1" sqref="Z197">
      <formula1>0</formula1>
    </dataValidation>
    <dataValidation type="whole" allowBlank="1" showInputMessage="1" showErrorMessage="1" sqref="AA197">
      <formula1>1</formula1>
      <formula2>5</formula2>
    </dataValidation>
    <dataValidation type="decimal" allowBlank="1" showInputMessage="1" showErrorMessage="1" sqref="AB197">
      <formula1>0</formula1>
      <formula2>1</formula2>
    </dataValidation>
    <dataValidation type="list" allowBlank="1" showInputMessage="1" showErrorMessage="1" sqref="O197">
      <formula1>liste_statuts</formula1>
    </dataValidation>
    <dataValidation type="list" allowBlank="1" showInputMessage="1" showErrorMessage="1" sqref="B198">
      <formula1>liste_programmes</formula1>
    </dataValidation>
    <dataValidation type="list" allowBlank="1" showInputMessage="1" showErrorMessage="1" sqref="D198">
      <formula1>liste_types</formula1>
    </dataValidation>
    <dataValidation type="list" allowBlank="1" showInputMessage="1" showErrorMessage="1" sqref="F198">
      <formula1>liste_categories</formula1>
    </dataValidation>
    <dataValidation type="list" allowBlank="1" showInputMessage="1" showErrorMessage="1" sqref="G198">
      <formula1>liste_responsables</formula1>
    </dataValidation>
    <dataValidation type="list" allowBlank="1" showInputMessage="1" showErrorMessage="1" sqref="H198">
      <formula1>liste_sites</formula1>
    </dataValidation>
    <dataValidation type="list" allowBlank="1" showInputMessage="1" showErrorMessage="1" sqref="I198">
      <formula1>liste_priorites</formula1>
    </dataValidation>
    <dataValidation type="date" operator="greaterThanOrEqual" allowBlank="1" showInputMessage="1" showErrorMessage="1" sqref="J198">
      <formula1>730120</formula1>
    </dataValidation>
    <dataValidation type="date" operator="greaterThanOrEqual" allowBlank="1" showInputMessage="1" showErrorMessage="1" sqref="K198">
      <formula1>730120</formula1>
    </dataValidation>
    <dataValidation type="date" operator="greaterThanOrEqual" allowBlank="1" showInputMessage="1" showErrorMessage="1" sqref="L198">
      <formula1>730120</formula1>
    </dataValidation>
    <dataValidation type="whole" allowBlank="1" showInputMessage="1" showErrorMessage="1" sqref="P198">
      <formula1>0</formula1>
      <formula2>100</formula2>
    </dataValidation>
    <dataValidation type="decimal" operator="greaterThanOrEqual" allowBlank="1" showInputMessage="1" showErrorMessage="1" sqref="Q198">
      <formula1>0</formula1>
    </dataValidation>
    <dataValidation type="decimal" operator="greaterThanOrEqual" allowBlank="1" showInputMessage="1" showErrorMessage="1" sqref="R198">
      <formula1>0</formula1>
    </dataValidation>
    <dataValidation type="whole" allowBlank="1" showInputMessage="1" showErrorMessage="1" sqref="U198">
      <formula1>1</formula1>
      <formula2>5</formula2>
    </dataValidation>
    <dataValidation type="whole" allowBlank="1" showInputMessage="1" showErrorMessage="1" sqref="V198">
      <formula1>1</formula1>
      <formula2>5</formula2>
    </dataValidation>
    <dataValidation type="whole" allowBlank="1" showInputMessage="1" showErrorMessage="1" sqref="X198">
      <formula1>1</formula1>
      <formula2>5</formula2>
    </dataValidation>
    <dataValidation type="decimal" operator="greaterThanOrEqual" allowBlank="1" showInputMessage="1" showErrorMessage="1" sqref="Y198">
      <formula1>0</formula1>
    </dataValidation>
    <dataValidation type="whole" operator="greaterThanOrEqual" allowBlank="1" showInputMessage="1" showErrorMessage="1" sqref="Z198">
      <formula1>0</formula1>
    </dataValidation>
    <dataValidation type="whole" allowBlank="1" showInputMessage="1" showErrorMessage="1" sqref="AA198">
      <formula1>1</formula1>
      <formula2>5</formula2>
    </dataValidation>
    <dataValidation type="decimal" allowBlank="1" showInputMessage="1" showErrorMessage="1" sqref="AB198">
      <formula1>0</formula1>
      <formula2>1</formula2>
    </dataValidation>
    <dataValidation type="list" allowBlank="1" showInputMessage="1" showErrorMessage="1" sqref="O198">
      <formula1>liste_statuts</formula1>
    </dataValidation>
    <dataValidation type="list" allowBlank="1" showInputMessage="1" showErrorMessage="1" sqref="B199">
      <formula1>liste_programmes</formula1>
    </dataValidation>
    <dataValidation type="list" allowBlank="1" showInputMessage="1" showErrorMessage="1" sqref="D199">
      <formula1>liste_types</formula1>
    </dataValidation>
    <dataValidation type="list" allowBlank="1" showInputMessage="1" showErrorMessage="1" sqref="F199">
      <formula1>liste_categories</formula1>
    </dataValidation>
    <dataValidation type="list" allowBlank="1" showInputMessage="1" showErrorMessage="1" sqref="G199">
      <formula1>liste_responsables</formula1>
    </dataValidation>
    <dataValidation type="list" allowBlank="1" showInputMessage="1" showErrorMessage="1" sqref="H199">
      <formula1>liste_sites</formula1>
    </dataValidation>
    <dataValidation type="list" allowBlank="1" showInputMessage="1" showErrorMessage="1" sqref="I199">
      <formula1>liste_priorites</formula1>
    </dataValidation>
    <dataValidation type="date" operator="greaterThanOrEqual" allowBlank="1" showInputMessage="1" showErrorMessage="1" sqref="J199">
      <formula1>730120</formula1>
    </dataValidation>
    <dataValidation type="date" operator="greaterThanOrEqual" allowBlank="1" showInputMessage="1" showErrorMessage="1" sqref="K199">
      <formula1>730120</formula1>
    </dataValidation>
    <dataValidation type="date" operator="greaterThanOrEqual" allowBlank="1" showInputMessage="1" showErrorMessage="1" sqref="L199">
      <formula1>730120</formula1>
    </dataValidation>
    <dataValidation type="whole" allowBlank="1" showInputMessage="1" showErrorMessage="1" sqref="P199">
      <formula1>0</formula1>
      <formula2>100</formula2>
    </dataValidation>
    <dataValidation type="decimal" operator="greaterThanOrEqual" allowBlank="1" showInputMessage="1" showErrorMessage="1" sqref="Q199">
      <formula1>0</formula1>
    </dataValidation>
    <dataValidation type="decimal" operator="greaterThanOrEqual" allowBlank="1" showInputMessage="1" showErrorMessage="1" sqref="R199">
      <formula1>0</formula1>
    </dataValidation>
    <dataValidation type="whole" allowBlank="1" showInputMessage="1" showErrorMessage="1" sqref="U199">
      <formula1>1</formula1>
      <formula2>5</formula2>
    </dataValidation>
    <dataValidation type="whole" allowBlank="1" showInputMessage="1" showErrorMessage="1" sqref="V199">
      <formula1>1</formula1>
      <formula2>5</formula2>
    </dataValidation>
    <dataValidation type="whole" allowBlank="1" showInputMessage="1" showErrorMessage="1" sqref="X199">
      <formula1>1</formula1>
      <formula2>5</formula2>
    </dataValidation>
    <dataValidation type="decimal" operator="greaterThanOrEqual" allowBlank="1" showInputMessage="1" showErrorMessage="1" sqref="Y199">
      <formula1>0</formula1>
    </dataValidation>
    <dataValidation type="whole" operator="greaterThanOrEqual" allowBlank="1" showInputMessage="1" showErrorMessage="1" sqref="Z199">
      <formula1>0</formula1>
    </dataValidation>
    <dataValidation type="whole" allowBlank="1" showInputMessage="1" showErrorMessage="1" sqref="AA199">
      <formula1>1</formula1>
      <formula2>5</formula2>
    </dataValidation>
    <dataValidation type="decimal" allowBlank="1" showInputMessage="1" showErrorMessage="1" sqref="AB199">
      <formula1>0</formula1>
      <formula2>1</formula2>
    </dataValidation>
    <dataValidation type="list" allowBlank="1" showInputMessage="1" showErrorMessage="1" sqref="O199">
      <formula1>liste_statuts</formula1>
    </dataValidation>
    <dataValidation type="list" allowBlank="1" showInputMessage="1" showErrorMessage="1" sqref="B200">
      <formula1>liste_programmes</formula1>
    </dataValidation>
    <dataValidation type="list" allowBlank="1" showInputMessage="1" showErrorMessage="1" sqref="D200">
      <formula1>liste_types</formula1>
    </dataValidation>
    <dataValidation type="list" allowBlank="1" showInputMessage="1" showErrorMessage="1" sqref="F200">
      <formula1>liste_categories</formula1>
    </dataValidation>
    <dataValidation type="list" allowBlank="1" showInputMessage="1" showErrorMessage="1" sqref="G200">
      <formula1>liste_responsables</formula1>
    </dataValidation>
    <dataValidation type="list" allowBlank="1" showInputMessage="1" showErrorMessage="1" sqref="H200">
      <formula1>liste_sites</formula1>
    </dataValidation>
    <dataValidation type="list" allowBlank="1" showInputMessage="1" showErrorMessage="1" sqref="I200">
      <formula1>liste_priorites</formula1>
    </dataValidation>
    <dataValidation type="date" operator="greaterThanOrEqual" allowBlank="1" showInputMessage="1" showErrorMessage="1" sqref="J200">
      <formula1>730120</formula1>
    </dataValidation>
    <dataValidation type="date" operator="greaterThanOrEqual" allowBlank="1" showInputMessage="1" showErrorMessage="1" sqref="K200">
      <formula1>730120</formula1>
    </dataValidation>
    <dataValidation type="date" operator="greaterThanOrEqual" allowBlank="1" showInputMessage="1" showErrorMessage="1" sqref="L200">
      <formula1>730120</formula1>
    </dataValidation>
    <dataValidation type="whole" allowBlank="1" showInputMessage="1" showErrorMessage="1" sqref="P200">
      <formula1>0</formula1>
      <formula2>100</formula2>
    </dataValidation>
    <dataValidation type="decimal" operator="greaterThanOrEqual" allowBlank="1" showInputMessage="1" showErrorMessage="1" sqref="Q200">
      <formula1>0</formula1>
    </dataValidation>
    <dataValidation type="decimal" operator="greaterThanOrEqual" allowBlank="1" showInputMessage="1" showErrorMessage="1" sqref="R200">
      <formula1>0</formula1>
    </dataValidation>
    <dataValidation type="whole" allowBlank="1" showInputMessage="1" showErrorMessage="1" sqref="U200">
      <formula1>1</formula1>
      <formula2>5</formula2>
    </dataValidation>
    <dataValidation type="whole" allowBlank="1" showInputMessage="1" showErrorMessage="1" sqref="V200">
      <formula1>1</formula1>
      <formula2>5</formula2>
    </dataValidation>
    <dataValidation type="whole" allowBlank="1" showInputMessage="1" showErrorMessage="1" sqref="X200">
      <formula1>1</formula1>
      <formula2>5</formula2>
    </dataValidation>
    <dataValidation type="decimal" operator="greaterThanOrEqual" allowBlank="1" showInputMessage="1" showErrorMessage="1" sqref="Y200">
      <formula1>0</formula1>
    </dataValidation>
    <dataValidation type="whole" operator="greaterThanOrEqual" allowBlank="1" showInputMessage="1" showErrorMessage="1" sqref="Z200">
      <formula1>0</formula1>
    </dataValidation>
    <dataValidation type="whole" allowBlank="1" showInputMessage="1" showErrorMessage="1" sqref="AA200">
      <formula1>1</formula1>
      <formula2>5</formula2>
    </dataValidation>
    <dataValidation type="decimal" allowBlank="1" showInputMessage="1" showErrorMessage="1" sqref="AB200">
      <formula1>0</formula1>
      <formula2>1</formula2>
    </dataValidation>
    <dataValidation type="list" allowBlank="1" showInputMessage="1" showErrorMessage="1" sqref="O200">
      <formula1>liste_statuts</formula1>
    </dataValidation>
    <dataValidation type="list" allowBlank="1" showInputMessage="1" showErrorMessage="1" sqref="B201">
      <formula1>liste_programmes</formula1>
    </dataValidation>
    <dataValidation type="list" allowBlank="1" showInputMessage="1" showErrorMessage="1" sqref="D201">
      <formula1>liste_types</formula1>
    </dataValidation>
    <dataValidation type="list" allowBlank="1" showInputMessage="1" showErrorMessage="1" sqref="F201">
      <formula1>liste_categories</formula1>
    </dataValidation>
    <dataValidation type="list" allowBlank="1" showInputMessage="1" showErrorMessage="1" sqref="G201">
      <formula1>liste_responsables</formula1>
    </dataValidation>
    <dataValidation type="list" allowBlank="1" showInputMessage="1" showErrorMessage="1" sqref="H201">
      <formula1>liste_sites</formula1>
    </dataValidation>
    <dataValidation type="list" allowBlank="1" showInputMessage="1" showErrorMessage="1" sqref="I201">
      <formula1>liste_priorites</formula1>
    </dataValidation>
    <dataValidation type="date" operator="greaterThanOrEqual" allowBlank="1" showInputMessage="1" showErrorMessage="1" sqref="J201">
      <formula1>730120</formula1>
    </dataValidation>
    <dataValidation type="date" operator="greaterThanOrEqual" allowBlank="1" showInputMessage="1" showErrorMessage="1" sqref="K201">
      <formula1>730120</formula1>
    </dataValidation>
    <dataValidation type="date" operator="greaterThanOrEqual" allowBlank="1" showInputMessage="1" showErrorMessage="1" sqref="L201">
      <formula1>730120</formula1>
    </dataValidation>
    <dataValidation type="whole" allowBlank="1" showInputMessage="1" showErrorMessage="1" sqref="P201">
      <formula1>0</formula1>
      <formula2>100</formula2>
    </dataValidation>
    <dataValidation type="decimal" operator="greaterThanOrEqual" allowBlank="1" showInputMessage="1" showErrorMessage="1" sqref="Q201">
      <formula1>0</formula1>
    </dataValidation>
    <dataValidation type="decimal" operator="greaterThanOrEqual" allowBlank="1" showInputMessage="1" showErrorMessage="1" sqref="R201">
      <formula1>0</formula1>
    </dataValidation>
    <dataValidation type="whole" allowBlank="1" showInputMessage="1" showErrorMessage="1" sqref="U201">
      <formula1>1</formula1>
      <formula2>5</formula2>
    </dataValidation>
    <dataValidation type="whole" allowBlank="1" showInputMessage="1" showErrorMessage="1" sqref="V201">
      <formula1>1</formula1>
      <formula2>5</formula2>
    </dataValidation>
    <dataValidation type="whole" allowBlank="1" showInputMessage="1" showErrorMessage="1" sqref="X201">
      <formula1>1</formula1>
      <formula2>5</formula2>
    </dataValidation>
    <dataValidation type="decimal" operator="greaterThanOrEqual" allowBlank="1" showInputMessage="1" showErrorMessage="1" sqref="Y201">
      <formula1>0</formula1>
    </dataValidation>
    <dataValidation type="whole" operator="greaterThanOrEqual" allowBlank="1" showInputMessage="1" showErrorMessage="1" sqref="Z201">
      <formula1>0</formula1>
    </dataValidation>
    <dataValidation type="whole" allowBlank="1" showInputMessage="1" showErrorMessage="1" sqref="AA201">
      <formula1>1</formula1>
      <formula2>5</formula2>
    </dataValidation>
    <dataValidation type="decimal" allowBlank="1" showInputMessage="1" showErrorMessage="1" sqref="AB201">
      <formula1>0</formula1>
      <formula2>1</formula2>
    </dataValidation>
    <dataValidation type="list" allowBlank="1" showInputMessage="1" showErrorMessage="1" sqref="O201">
      <formula1>liste_statuts</formula1>
    </dataValidation>
    <dataValidation type="list" allowBlank="1" showInputMessage="1" showErrorMessage="1" sqref="B202">
      <formula1>liste_programmes</formula1>
    </dataValidation>
    <dataValidation type="list" allowBlank="1" showInputMessage="1" showErrorMessage="1" sqref="D202">
      <formula1>liste_types</formula1>
    </dataValidation>
    <dataValidation type="list" allowBlank="1" showInputMessage="1" showErrorMessage="1" sqref="F202">
      <formula1>liste_categories</formula1>
    </dataValidation>
    <dataValidation type="list" allowBlank="1" showInputMessage="1" showErrorMessage="1" sqref="G202">
      <formula1>liste_responsables</formula1>
    </dataValidation>
    <dataValidation type="list" allowBlank="1" showInputMessage="1" showErrorMessage="1" sqref="H202">
      <formula1>liste_sites</formula1>
    </dataValidation>
    <dataValidation type="list" allowBlank="1" showInputMessage="1" showErrorMessage="1" sqref="I202">
      <formula1>liste_priorites</formula1>
    </dataValidation>
    <dataValidation type="date" operator="greaterThanOrEqual" allowBlank="1" showInputMessage="1" showErrorMessage="1" sqref="J202">
      <formula1>730120</formula1>
    </dataValidation>
    <dataValidation type="date" operator="greaterThanOrEqual" allowBlank="1" showInputMessage="1" showErrorMessage="1" sqref="K202">
      <formula1>730120</formula1>
    </dataValidation>
    <dataValidation type="date" operator="greaterThanOrEqual" allowBlank="1" showInputMessage="1" showErrorMessage="1" sqref="L202">
      <formula1>730120</formula1>
    </dataValidation>
    <dataValidation type="whole" allowBlank="1" showInputMessage="1" showErrorMessage="1" sqref="P202">
      <formula1>0</formula1>
      <formula2>100</formula2>
    </dataValidation>
    <dataValidation type="decimal" operator="greaterThanOrEqual" allowBlank="1" showInputMessage="1" showErrorMessage="1" sqref="Q202">
      <formula1>0</formula1>
    </dataValidation>
    <dataValidation type="decimal" operator="greaterThanOrEqual" allowBlank="1" showInputMessage="1" showErrorMessage="1" sqref="R202">
      <formula1>0</formula1>
    </dataValidation>
    <dataValidation type="whole" allowBlank="1" showInputMessage="1" showErrorMessage="1" sqref="U202">
      <formula1>1</formula1>
      <formula2>5</formula2>
    </dataValidation>
    <dataValidation type="whole" allowBlank="1" showInputMessage="1" showErrorMessage="1" sqref="V202">
      <formula1>1</formula1>
      <formula2>5</formula2>
    </dataValidation>
    <dataValidation type="whole" allowBlank="1" showInputMessage="1" showErrorMessage="1" sqref="X202">
      <formula1>1</formula1>
      <formula2>5</formula2>
    </dataValidation>
    <dataValidation type="decimal" operator="greaterThanOrEqual" allowBlank="1" showInputMessage="1" showErrorMessage="1" sqref="Y202">
      <formula1>0</formula1>
    </dataValidation>
    <dataValidation type="whole" operator="greaterThanOrEqual" allowBlank="1" showInputMessage="1" showErrorMessage="1" sqref="Z202">
      <formula1>0</formula1>
    </dataValidation>
    <dataValidation type="whole" allowBlank="1" showInputMessage="1" showErrorMessage="1" sqref="AA202">
      <formula1>1</formula1>
      <formula2>5</formula2>
    </dataValidation>
    <dataValidation type="decimal" allowBlank="1" showInputMessage="1" showErrorMessage="1" sqref="AB202">
      <formula1>0</formula1>
      <formula2>1</formula2>
    </dataValidation>
    <dataValidation type="list" allowBlank="1" showInputMessage="1" showErrorMessage="1" sqref="O202">
      <formula1>liste_statuts</formula1>
    </dataValidation>
    <dataValidation type="list" allowBlank="1" showInputMessage="1" showErrorMessage="1" sqref="B203">
      <formula1>liste_programmes</formula1>
    </dataValidation>
    <dataValidation type="list" allowBlank="1" showInputMessage="1" showErrorMessage="1" sqref="D203">
      <formula1>liste_types</formula1>
    </dataValidation>
    <dataValidation type="list" allowBlank="1" showInputMessage="1" showErrorMessage="1" sqref="F203">
      <formula1>liste_categories</formula1>
    </dataValidation>
    <dataValidation type="list" allowBlank="1" showInputMessage="1" showErrorMessage="1" sqref="G203">
      <formula1>liste_responsables</formula1>
    </dataValidation>
    <dataValidation type="list" allowBlank="1" showInputMessage="1" showErrorMessage="1" sqref="H203">
      <formula1>liste_sites</formula1>
    </dataValidation>
    <dataValidation type="list" allowBlank="1" showInputMessage="1" showErrorMessage="1" sqref="I203">
      <formula1>liste_priorites</formula1>
    </dataValidation>
    <dataValidation type="date" operator="greaterThanOrEqual" allowBlank="1" showInputMessage="1" showErrorMessage="1" sqref="J203">
      <formula1>730120</formula1>
    </dataValidation>
    <dataValidation type="date" operator="greaterThanOrEqual" allowBlank="1" showInputMessage="1" showErrorMessage="1" sqref="K203">
      <formula1>730120</formula1>
    </dataValidation>
    <dataValidation type="date" operator="greaterThanOrEqual" allowBlank="1" showInputMessage="1" showErrorMessage="1" sqref="L203">
      <formula1>730120</formula1>
    </dataValidation>
    <dataValidation type="whole" allowBlank="1" showInputMessage="1" showErrorMessage="1" sqref="P203">
      <formula1>0</formula1>
      <formula2>100</formula2>
    </dataValidation>
    <dataValidation type="decimal" operator="greaterThanOrEqual" allowBlank="1" showInputMessage="1" showErrorMessage="1" sqref="Q203">
      <formula1>0</formula1>
    </dataValidation>
    <dataValidation type="decimal" operator="greaterThanOrEqual" allowBlank="1" showInputMessage="1" showErrorMessage="1" sqref="R203">
      <formula1>0</formula1>
    </dataValidation>
    <dataValidation type="whole" allowBlank="1" showInputMessage="1" showErrorMessage="1" sqref="U203">
      <formula1>1</formula1>
      <formula2>5</formula2>
    </dataValidation>
    <dataValidation type="whole" allowBlank="1" showInputMessage="1" showErrorMessage="1" sqref="V203">
      <formula1>1</formula1>
      <formula2>5</formula2>
    </dataValidation>
    <dataValidation type="whole" allowBlank="1" showInputMessage="1" showErrorMessage="1" sqref="X203">
      <formula1>1</formula1>
      <formula2>5</formula2>
    </dataValidation>
    <dataValidation type="decimal" operator="greaterThanOrEqual" allowBlank="1" showInputMessage="1" showErrorMessage="1" sqref="Y203">
      <formula1>0</formula1>
    </dataValidation>
    <dataValidation type="whole" operator="greaterThanOrEqual" allowBlank="1" showInputMessage="1" showErrorMessage="1" sqref="Z203">
      <formula1>0</formula1>
    </dataValidation>
    <dataValidation type="whole" allowBlank="1" showInputMessage="1" showErrorMessage="1" sqref="AA203">
      <formula1>1</formula1>
      <formula2>5</formula2>
    </dataValidation>
    <dataValidation type="decimal" allowBlank="1" showInputMessage="1" showErrorMessage="1" sqref="AB203">
      <formula1>0</formula1>
      <formula2>1</formula2>
    </dataValidation>
    <dataValidation type="list" allowBlank="1" showInputMessage="1" showErrorMessage="1" sqref="O203">
      <formula1>liste_statuts</formula1>
    </dataValidation>
    <dataValidation type="list" allowBlank="1" showInputMessage="1" showErrorMessage="1" sqref="B204">
      <formula1>liste_programmes</formula1>
    </dataValidation>
    <dataValidation type="list" allowBlank="1" showInputMessage="1" showErrorMessage="1" sqref="D204">
      <formula1>liste_types</formula1>
    </dataValidation>
    <dataValidation type="list" allowBlank="1" showInputMessage="1" showErrorMessage="1" sqref="F204">
      <formula1>liste_categories</formula1>
    </dataValidation>
    <dataValidation type="list" allowBlank="1" showInputMessage="1" showErrorMessage="1" sqref="G204">
      <formula1>liste_responsables</formula1>
    </dataValidation>
    <dataValidation type="list" allowBlank="1" showInputMessage="1" showErrorMessage="1" sqref="H204">
      <formula1>liste_sites</formula1>
    </dataValidation>
    <dataValidation type="list" allowBlank="1" showInputMessage="1" showErrorMessage="1" sqref="I204">
      <formula1>liste_priorites</formula1>
    </dataValidation>
    <dataValidation type="date" operator="greaterThanOrEqual" allowBlank="1" showInputMessage="1" showErrorMessage="1" sqref="J204">
      <formula1>730120</formula1>
    </dataValidation>
    <dataValidation type="date" operator="greaterThanOrEqual" allowBlank="1" showInputMessage="1" showErrorMessage="1" sqref="K204">
      <formula1>730120</formula1>
    </dataValidation>
    <dataValidation type="date" operator="greaterThanOrEqual" allowBlank="1" showInputMessage="1" showErrorMessage="1" sqref="L204">
      <formula1>730120</formula1>
    </dataValidation>
    <dataValidation type="whole" allowBlank="1" showInputMessage="1" showErrorMessage="1" sqref="P204">
      <formula1>0</formula1>
      <formula2>100</formula2>
    </dataValidation>
    <dataValidation type="decimal" operator="greaterThanOrEqual" allowBlank="1" showInputMessage="1" showErrorMessage="1" sqref="Q204">
      <formula1>0</formula1>
    </dataValidation>
    <dataValidation type="decimal" operator="greaterThanOrEqual" allowBlank="1" showInputMessage="1" showErrorMessage="1" sqref="R204">
      <formula1>0</formula1>
    </dataValidation>
    <dataValidation type="whole" allowBlank="1" showInputMessage="1" showErrorMessage="1" sqref="U204">
      <formula1>1</formula1>
      <formula2>5</formula2>
    </dataValidation>
    <dataValidation type="whole" allowBlank="1" showInputMessage="1" showErrorMessage="1" sqref="V204">
      <formula1>1</formula1>
      <formula2>5</formula2>
    </dataValidation>
    <dataValidation type="whole" allowBlank="1" showInputMessage="1" showErrorMessage="1" sqref="X204">
      <formula1>1</formula1>
      <formula2>5</formula2>
    </dataValidation>
    <dataValidation type="decimal" operator="greaterThanOrEqual" allowBlank="1" showInputMessage="1" showErrorMessage="1" sqref="Y204">
      <formula1>0</formula1>
    </dataValidation>
    <dataValidation type="whole" operator="greaterThanOrEqual" allowBlank="1" showInputMessage="1" showErrorMessage="1" sqref="Z204">
      <formula1>0</formula1>
    </dataValidation>
    <dataValidation type="whole" allowBlank="1" showInputMessage="1" showErrorMessage="1" sqref="AA204">
      <formula1>1</formula1>
      <formula2>5</formula2>
    </dataValidation>
    <dataValidation type="decimal" allowBlank="1" showInputMessage="1" showErrorMessage="1" sqref="AB204">
      <formula1>0</formula1>
      <formula2>1</formula2>
    </dataValidation>
    <dataValidation type="list" allowBlank="1" showInputMessage="1" showErrorMessage="1" sqref="O204">
      <formula1>liste_statuts</formula1>
    </dataValidation>
    <dataValidation type="list" allowBlank="1" showInputMessage="1" showErrorMessage="1" sqref="B205">
      <formula1>liste_programmes</formula1>
    </dataValidation>
    <dataValidation type="list" allowBlank="1" showInputMessage="1" showErrorMessage="1" sqref="D205">
      <formula1>liste_types</formula1>
    </dataValidation>
    <dataValidation type="list" allowBlank="1" showInputMessage="1" showErrorMessage="1" sqref="F205">
      <formula1>liste_categories</formula1>
    </dataValidation>
    <dataValidation type="list" allowBlank="1" showInputMessage="1" showErrorMessage="1" sqref="G205">
      <formula1>liste_responsables</formula1>
    </dataValidation>
    <dataValidation type="list" allowBlank="1" showInputMessage="1" showErrorMessage="1" sqref="H205">
      <formula1>liste_sites</formula1>
    </dataValidation>
    <dataValidation type="list" allowBlank="1" showInputMessage="1" showErrorMessage="1" sqref="I205">
      <formula1>liste_priorites</formula1>
    </dataValidation>
    <dataValidation type="date" operator="greaterThanOrEqual" allowBlank="1" showInputMessage="1" showErrorMessage="1" sqref="J205">
      <formula1>730120</formula1>
    </dataValidation>
    <dataValidation type="date" operator="greaterThanOrEqual" allowBlank="1" showInputMessage="1" showErrorMessage="1" sqref="K205">
      <formula1>730120</formula1>
    </dataValidation>
    <dataValidation type="date" operator="greaterThanOrEqual" allowBlank="1" showInputMessage="1" showErrorMessage="1" sqref="L205">
      <formula1>730120</formula1>
    </dataValidation>
    <dataValidation type="whole" allowBlank="1" showInputMessage="1" showErrorMessage="1" sqref="P205">
      <formula1>0</formula1>
      <formula2>100</formula2>
    </dataValidation>
    <dataValidation type="decimal" operator="greaterThanOrEqual" allowBlank="1" showInputMessage="1" showErrorMessage="1" sqref="Q205">
      <formula1>0</formula1>
    </dataValidation>
    <dataValidation type="decimal" operator="greaterThanOrEqual" allowBlank="1" showInputMessage="1" showErrorMessage="1" sqref="R205">
      <formula1>0</formula1>
    </dataValidation>
    <dataValidation type="whole" allowBlank="1" showInputMessage="1" showErrorMessage="1" sqref="U205">
      <formula1>1</formula1>
      <formula2>5</formula2>
    </dataValidation>
    <dataValidation type="whole" allowBlank="1" showInputMessage="1" showErrorMessage="1" sqref="V205">
      <formula1>1</formula1>
      <formula2>5</formula2>
    </dataValidation>
    <dataValidation type="whole" allowBlank="1" showInputMessage="1" showErrorMessage="1" sqref="X205">
      <formula1>1</formula1>
      <formula2>5</formula2>
    </dataValidation>
    <dataValidation type="decimal" operator="greaterThanOrEqual" allowBlank="1" showInputMessage="1" showErrorMessage="1" sqref="Y205">
      <formula1>0</formula1>
    </dataValidation>
    <dataValidation type="whole" operator="greaterThanOrEqual" allowBlank="1" showInputMessage="1" showErrorMessage="1" sqref="Z205">
      <formula1>0</formula1>
    </dataValidation>
    <dataValidation type="whole" allowBlank="1" showInputMessage="1" showErrorMessage="1" sqref="AA205">
      <formula1>1</formula1>
      <formula2>5</formula2>
    </dataValidation>
    <dataValidation type="decimal" allowBlank="1" showInputMessage="1" showErrorMessage="1" sqref="AB205">
      <formula1>0</formula1>
      <formula2>1</formula2>
    </dataValidation>
    <dataValidation type="list" allowBlank="1" showInputMessage="1" showErrorMessage="1" sqref="O205">
      <formula1>liste_statuts</formula1>
    </dataValidation>
    <dataValidation type="list" allowBlank="1" showInputMessage="1" showErrorMessage="1" sqref="B206">
      <formula1>liste_programmes</formula1>
    </dataValidation>
    <dataValidation type="list" allowBlank="1" showInputMessage="1" showErrorMessage="1" sqref="D206">
      <formula1>liste_types</formula1>
    </dataValidation>
    <dataValidation type="list" allowBlank="1" showInputMessage="1" showErrorMessage="1" sqref="F206">
      <formula1>liste_categories</formula1>
    </dataValidation>
    <dataValidation type="list" allowBlank="1" showInputMessage="1" showErrorMessage="1" sqref="G206">
      <formula1>liste_responsables</formula1>
    </dataValidation>
    <dataValidation type="list" allowBlank="1" showInputMessage="1" showErrorMessage="1" sqref="H206">
      <formula1>liste_sites</formula1>
    </dataValidation>
    <dataValidation type="list" allowBlank="1" showInputMessage="1" showErrorMessage="1" sqref="I206">
      <formula1>liste_priorites</formula1>
    </dataValidation>
    <dataValidation type="date" operator="greaterThanOrEqual" allowBlank="1" showInputMessage="1" showErrorMessage="1" sqref="J206">
      <formula1>730120</formula1>
    </dataValidation>
    <dataValidation type="date" operator="greaterThanOrEqual" allowBlank="1" showInputMessage="1" showErrorMessage="1" sqref="K206">
      <formula1>730120</formula1>
    </dataValidation>
    <dataValidation type="date" operator="greaterThanOrEqual" allowBlank="1" showInputMessage="1" showErrorMessage="1" sqref="L206">
      <formula1>730120</formula1>
    </dataValidation>
    <dataValidation type="whole" allowBlank="1" showInputMessage="1" showErrorMessage="1" sqref="P206">
      <formula1>0</formula1>
      <formula2>100</formula2>
    </dataValidation>
    <dataValidation type="decimal" operator="greaterThanOrEqual" allowBlank="1" showInputMessage="1" showErrorMessage="1" sqref="Q206">
      <formula1>0</formula1>
    </dataValidation>
    <dataValidation type="decimal" operator="greaterThanOrEqual" allowBlank="1" showInputMessage="1" showErrorMessage="1" sqref="R206">
      <formula1>0</formula1>
    </dataValidation>
    <dataValidation type="whole" allowBlank="1" showInputMessage="1" showErrorMessage="1" sqref="U206">
      <formula1>1</formula1>
      <formula2>5</formula2>
    </dataValidation>
    <dataValidation type="whole" allowBlank="1" showInputMessage="1" showErrorMessage="1" sqref="V206">
      <formula1>1</formula1>
      <formula2>5</formula2>
    </dataValidation>
    <dataValidation type="whole" allowBlank="1" showInputMessage="1" showErrorMessage="1" sqref="X206">
      <formula1>1</formula1>
      <formula2>5</formula2>
    </dataValidation>
    <dataValidation type="decimal" operator="greaterThanOrEqual" allowBlank="1" showInputMessage="1" showErrorMessage="1" sqref="Y206">
      <formula1>0</formula1>
    </dataValidation>
    <dataValidation type="whole" operator="greaterThanOrEqual" allowBlank="1" showInputMessage="1" showErrorMessage="1" sqref="Z206">
      <formula1>0</formula1>
    </dataValidation>
    <dataValidation type="whole" allowBlank="1" showInputMessage="1" showErrorMessage="1" sqref="AA206">
      <formula1>1</formula1>
      <formula2>5</formula2>
    </dataValidation>
    <dataValidation type="decimal" allowBlank="1" showInputMessage="1" showErrorMessage="1" sqref="AB206">
      <formula1>0</formula1>
      <formula2>1</formula2>
    </dataValidation>
    <dataValidation type="list" allowBlank="1" showInputMessage="1" showErrorMessage="1" sqref="O206">
      <formula1>liste_statuts</formula1>
    </dataValidation>
    <dataValidation type="list" allowBlank="1" showInputMessage="1" showErrorMessage="1" sqref="B207">
      <formula1>liste_programmes</formula1>
    </dataValidation>
    <dataValidation type="list" allowBlank="1" showInputMessage="1" showErrorMessage="1" sqref="D207">
      <formula1>liste_types</formula1>
    </dataValidation>
    <dataValidation type="list" allowBlank="1" showInputMessage="1" showErrorMessage="1" sqref="F207">
      <formula1>liste_categories</formula1>
    </dataValidation>
    <dataValidation type="list" allowBlank="1" showInputMessage="1" showErrorMessage="1" sqref="G207">
      <formula1>liste_responsables</formula1>
    </dataValidation>
    <dataValidation type="list" allowBlank="1" showInputMessage="1" showErrorMessage="1" sqref="H207">
      <formula1>liste_sites</formula1>
    </dataValidation>
    <dataValidation type="list" allowBlank="1" showInputMessage="1" showErrorMessage="1" sqref="I207">
      <formula1>liste_priorites</formula1>
    </dataValidation>
    <dataValidation type="date" operator="greaterThanOrEqual" allowBlank="1" showInputMessage="1" showErrorMessage="1" sqref="J207">
      <formula1>730120</formula1>
    </dataValidation>
    <dataValidation type="date" operator="greaterThanOrEqual" allowBlank="1" showInputMessage="1" showErrorMessage="1" sqref="K207">
      <formula1>730120</formula1>
    </dataValidation>
    <dataValidation type="date" operator="greaterThanOrEqual" allowBlank="1" showInputMessage="1" showErrorMessage="1" sqref="L207">
      <formula1>730120</formula1>
    </dataValidation>
    <dataValidation type="whole" allowBlank="1" showInputMessage="1" showErrorMessage="1" sqref="P207">
      <formula1>0</formula1>
      <formula2>100</formula2>
    </dataValidation>
    <dataValidation type="decimal" operator="greaterThanOrEqual" allowBlank="1" showInputMessage="1" showErrorMessage="1" sqref="Q207">
      <formula1>0</formula1>
    </dataValidation>
    <dataValidation type="decimal" operator="greaterThanOrEqual" allowBlank="1" showInputMessage="1" showErrorMessage="1" sqref="R207">
      <formula1>0</formula1>
    </dataValidation>
    <dataValidation type="whole" allowBlank="1" showInputMessage="1" showErrorMessage="1" sqref="U207">
      <formula1>1</formula1>
      <formula2>5</formula2>
    </dataValidation>
    <dataValidation type="whole" allowBlank="1" showInputMessage="1" showErrorMessage="1" sqref="V207">
      <formula1>1</formula1>
      <formula2>5</formula2>
    </dataValidation>
    <dataValidation type="whole" allowBlank="1" showInputMessage="1" showErrorMessage="1" sqref="X207">
      <formula1>1</formula1>
      <formula2>5</formula2>
    </dataValidation>
    <dataValidation type="decimal" operator="greaterThanOrEqual" allowBlank="1" showInputMessage="1" showErrorMessage="1" sqref="Y207">
      <formula1>0</formula1>
    </dataValidation>
    <dataValidation type="whole" operator="greaterThanOrEqual" allowBlank="1" showInputMessage="1" showErrorMessage="1" sqref="Z207">
      <formula1>0</formula1>
    </dataValidation>
    <dataValidation type="whole" allowBlank="1" showInputMessage="1" showErrorMessage="1" sqref="AA207">
      <formula1>1</formula1>
      <formula2>5</formula2>
    </dataValidation>
    <dataValidation type="decimal" allowBlank="1" showInputMessage="1" showErrorMessage="1" sqref="AB207">
      <formula1>0</formula1>
      <formula2>1</formula2>
    </dataValidation>
    <dataValidation type="list" allowBlank="1" showInputMessage="1" showErrorMessage="1" sqref="O207">
      <formula1>liste_statuts</formula1>
    </dataValidation>
    <dataValidation type="list" allowBlank="1" showInputMessage="1" showErrorMessage="1" sqref="B208">
      <formula1>liste_programmes</formula1>
    </dataValidation>
    <dataValidation type="list" allowBlank="1" showInputMessage="1" showErrorMessage="1" sqref="D208">
      <formula1>liste_types</formula1>
    </dataValidation>
    <dataValidation type="list" allowBlank="1" showInputMessage="1" showErrorMessage="1" sqref="F208">
      <formula1>liste_categories</formula1>
    </dataValidation>
    <dataValidation type="list" allowBlank="1" showInputMessage="1" showErrorMessage="1" sqref="G208">
      <formula1>liste_responsables</formula1>
    </dataValidation>
    <dataValidation type="list" allowBlank="1" showInputMessage="1" showErrorMessage="1" sqref="H208">
      <formula1>liste_sites</formula1>
    </dataValidation>
    <dataValidation type="list" allowBlank="1" showInputMessage="1" showErrorMessage="1" sqref="I208">
      <formula1>liste_priorites</formula1>
    </dataValidation>
    <dataValidation type="date" operator="greaterThanOrEqual" allowBlank="1" showInputMessage="1" showErrorMessage="1" sqref="J208">
      <formula1>730120</formula1>
    </dataValidation>
    <dataValidation type="date" operator="greaterThanOrEqual" allowBlank="1" showInputMessage="1" showErrorMessage="1" sqref="K208">
      <formula1>730120</formula1>
    </dataValidation>
    <dataValidation type="date" operator="greaterThanOrEqual" allowBlank="1" showInputMessage="1" showErrorMessage="1" sqref="L208">
      <formula1>730120</formula1>
    </dataValidation>
    <dataValidation type="whole" allowBlank="1" showInputMessage="1" showErrorMessage="1" sqref="P208">
      <formula1>0</formula1>
      <formula2>100</formula2>
    </dataValidation>
    <dataValidation type="decimal" operator="greaterThanOrEqual" allowBlank="1" showInputMessage="1" showErrorMessage="1" sqref="Q208">
      <formula1>0</formula1>
    </dataValidation>
    <dataValidation type="decimal" operator="greaterThanOrEqual" allowBlank="1" showInputMessage="1" showErrorMessage="1" sqref="R208">
      <formula1>0</formula1>
    </dataValidation>
    <dataValidation type="whole" allowBlank="1" showInputMessage="1" showErrorMessage="1" sqref="U208">
      <formula1>1</formula1>
      <formula2>5</formula2>
    </dataValidation>
    <dataValidation type="whole" allowBlank="1" showInputMessage="1" showErrorMessage="1" sqref="V208">
      <formula1>1</formula1>
      <formula2>5</formula2>
    </dataValidation>
    <dataValidation type="whole" allowBlank="1" showInputMessage="1" showErrorMessage="1" sqref="X208">
      <formula1>1</formula1>
      <formula2>5</formula2>
    </dataValidation>
    <dataValidation type="decimal" operator="greaterThanOrEqual" allowBlank="1" showInputMessage="1" showErrorMessage="1" sqref="Y208">
      <formula1>0</formula1>
    </dataValidation>
    <dataValidation type="whole" operator="greaterThanOrEqual" allowBlank="1" showInputMessage="1" showErrorMessage="1" sqref="Z208">
      <formula1>0</formula1>
    </dataValidation>
    <dataValidation type="whole" allowBlank="1" showInputMessage="1" showErrorMessage="1" sqref="AA208">
      <formula1>1</formula1>
      <formula2>5</formula2>
    </dataValidation>
    <dataValidation type="decimal" allowBlank="1" showInputMessage="1" showErrorMessage="1" sqref="AB208">
      <formula1>0</formula1>
      <formula2>1</formula2>
    </dataValidation>
    <dataValidation type="list" allowBlank="1" showInputMessage="1" showErrorMessage="1" sqref="O208">
      <formula1>liste_statuts</formula1>
    </dataValidation>
    <dataValidation type="list" allowBlank="1" showInputMessage="1" showErrorMessage="1" sqref="B209">
      <formula1>liste_programmes</formula1>
    </dataValidation>
    <dataValidation type="list" allowBlank="1" showInputMessage="1" showErrorMessage="1" sqref="D209">
      <formula1>liste_types</formula1>
    </dataValidation>
    <dataValidation type="list" allowBlank="1" showInputMessage="1" showErrorMessage="1" sqref="F209">
      <formula1>liste_categories</formula1>
    </dataValidation>
    <dataValidation type="list" allowBlank="1" showInputMessage="1" showErrorMessage="1" sqref="G209">
      <formula1>liste_responsables</formula1>
    </dataValidation>
    <dataValidation type="list" allowBlank="1" showInputMessage="1" showErrorMessage="1" sqref="H209">
      <formula1>liste_sites</formula1>
    </dataValidation>
    <dataValidation type="list" allowBlank="1" showInputMessage="1" showErrorMessage="1" sqref="I209">
      <formula1>liste_priorites</formula1>
    </dataValidation>
    <dataValidation type="date" operator="greaterThanOrEqual" allowBlank="1" showInputMessage="1" showErrorMessage="1" sqref="J209">
      <formula1>730120</formula1>
    </dataValidation>
    <dataValidation type="date" operator="greaterThanOrEqual" allowBlank="1" showInputMessage="1" showErrorMessage="1" sqref="K209">
      <formula1>730120</formula1>
    </dataValidation>
    <dataValidation type="date" operator="greaterThanOrEqual" allowBlank="1" showInputMessage="1" showErrorMessage="1" sqref="L209">
      <formula1>730120</formula1>
    </dataValidation>
    <dataValidation type="whole" allowBlank="1" showInputMessage="1" showErrorMessage="1" sqref="P209">
      <formula1>0</formula1>
      <formula2>100</formula2>
    </dataValidation>
    <dataValidation type="decimal" operator="greaterThanOrEqual" allowBlank="1" showInputMessage="1" showErrorMessage="1" sqref="Q209">
      <formula1>0</formula1>
    </dataValidation>
    <dataValidation type="decimal" operator="greaterThanOrEqual" allowBlank="1" showInputMessage="1" showErrorMessage="1" sqref="R209">
      <formula1>0</formula1>
    </dataValidation>
    <dataValidation type="whole" allowBlank="1" showInputMessage="1" showErrorMessage="1" sqref="U209">
      <formula1>1</formula1>
      <formula2>5</formula2>
    </dataValidation>
    <dataValidation type="whole" allowBlank="1" showInputMessage="1" showErrorMessage="1" sqref="V209">
      <formula1>1</formula1>
      <formula2>5</formula2>
    </dataValidation>
    <dataValidation type="whole" allowBlank="1" showInputMessage="1" showErrorMessage="1" sqref="X209">
      <formula1>1</formula1>
      <formula2>5</formula2>
    </dataValidation>
    <dataValidation type="decimal" operator="greaterThanOrEqual" allowBlank="1" showInputMessage="1" showErrorMessage="1" sqref="Y209">
      <formula1>0</formula1>
    </dataValidation>
    <dataValidation type="whole" operator="greaterThanOrEqual" allowBlank="1" showInputMessage="1" showErrorMessage="1" sqref="Z209">
      <formula1>0</formula1>
    </dataValidation>
    <dataValidation type="whole" allowBlank="1" showInputMessage="1" showErrorMessage="1" sqref="AA209">
      <formula1>1</formula1>
      <formula2>5</formula2>
    </dataValidation>
    <dataValidation type="decimal" allowBlank="1" showInputMessage="1" showErrorMessage="1" sqref="AB209">
      <formula1>0</formula1>
      <formula2>1</formula2>
    </dataValidation>
    <dataValidation type="list" allowBlank="1" showInputMessage="1" showErrorMessage="1" sqref="O209">
      <formula1>liste_statuts</formula1>
    </dataValidation>
    <dataValidation type="list" allowBlank="1" showInputMessage="1" showErrorMessage="1" sqref="B210">
      <formula1>liste_programmes</formula1>
    </dataValidation>
    <dataValidation type="list" allowBlank="1" showInputMessage="1" showErrorMessage="1" sqref="D210">
      <formula1>liste_types</formula1>
    </dataValidation>
    <dataValidation type="list" allowBlank="1" showInputMessage="1" showErrorMessage="1" sqref="F210">
      <formula1>liste_categories</formula1>
    </dataValidation>
    <dataValidation type="list" allowBlank="1" showInputMessage="1" showErrorMessage="1" sqref="G210">
      <formula1>liste_responsables</formula1>
    </dataValidation>
    <dataValidation type="list" allowBlank="1" showInputMessage="1" showErrorMessage="1" sqref="H210">
      <formula1>liste_sites</formula1>
    </dataValidation>
    <dataValidation type="list" allowBlank="1" showInputMessage="1" showErrorMessage="1" sqref="I210">
      <formula1>liste_priorites</formula1>
    </dataValidation>
    <dataValidation type="date" operator="greaterThanOrEqual" allowBlank="1" showInputMessage="1" showErrorMessage="1" sqref="J210">
      <formula1>730120</formula1>
    </dataValidation>
    <dataValidation type="date" operator="greaterThanOrEqual" allowBlank="1" showInputMessage="1" showErrorMessage="1" sqref="K210">
      <formula1>730120</formula1>
    </dataValidation>
    <dataValidation type="date" operator="greaterThanOrEqual" allowBlank="1" showInputMessage="1" showErrorMessage="1" sqref="L210">
      <formula1>730120</formula1>
    </dataValidation>
    <dataValidation type="whole" allowBlank="1" showInputMessage="1" showErrorMessage="1" sqref="P210">
      <formula1>0</formula1>
      <formula2>100</formula2>
    </dataValidation>
    <dataValidation type="decimal" operator="greaterThanOrEqual" allowBlank="1" showInputMessage="1" showErrorMessage="1" sqref="Q210">
      <formula1>0</formula1>
    </dataValidation>
    <dataValidation type="decimal" operator="greaterThanOrEqual" allowBlank="1" showInputMessage="1" showErrorMessage="1" sqref="R210">
      <formula1>0</formula1>
    </dataValidation>
    <dataValidation type="whole" allowBlank="1" showInputMessage="1" showErrorMessage="1" sqref="U210">
      <formula1>1</formula1>
      <formula2>5</formula2>
    </dataValidation>
    <dataValidation type="whole" allowBlank="1" showInputMessage="1" showErrorMessage="1" sqref="V210">
      <formula1>1</formula1>
      <formula2>5</formula2>
    </dataValidation>
    <dataValidation type="whole" allowBlank="1" showInputMessage="1" showErrorMessage="1" sqref="X210">
      <formula1>1</formula1>
      <formula2>5</formula2>
    </dataValidation>
    <dataValidation type="decimal" operator="greaterThanOrEqual" allowBlank="1" showInputMessage="1" showErrorMessage="1" sqref="Y210">
      <formula1>0</formula1>
    </dataValidation>
    <dataValidation type="whole" operator="greaterThanOrEqual" allowBlank="1" showInputMessage="1" showErrorMessage="1" sqref="Z210">
      <formula1>0</formula1>
    </dataValidation>
    <dataValidation type="whole" allowBlank="1" showInputMessage="1" showErrorMessage="1" sqref="AA210">
      <formula1>1</formula1>
      <formula2>5</formula2>
    </dataValidation>
    <dataValidation type="decimal" allowBlank="1" showInputMessage="1" showErrorMessage="1" sqref="AB210">
      <formula1>0</formula1>
      <formula2>1</formula2>
    </dataValidation>
    <dataValidation type="list" allowBlank="1" showInputMessage="1" showErrorMessage="1" sqref="O210">
      <formula1>liste_statuts</formula1>
    </dataValidation>
    <dataValidation type="list" allowBlank="1" showInputMessage="1" showErrorMessage="1" sqref="B211">
      <formula1>liste_programmes</formula1>
    </dataValidation>
    <dataValidation type="list" allowBlank="1" showInputMessage="1" showErrorMessage="1" sqref="D211">
      <formula1>liste_types</formula1>
    </dataValidation>
    <dataValidation type="list" allowBlank="1" showInputMessage="1" showErrorMessage="1" sqref="F211">
      <formula1>liste_categories</formula1>
    </dataValidation>
    <dataValidation type="list" allowBlank="1" showInputMessage="1" showErrorMessage="1" sqref="G211">
      <formula1>liste_responsables</formula1>
    </dataValidation>
    <dataValidation type="list" allowBlank="1" showInputMessage="1" showErrorMessage="1" sqref="H211">
      <formula1>liste_sites</formula1>
    </dataValidation>
    <dataValidation type="list" allowBlank="1" showInputMessage="1" showErrorMessage="1" sqref="I211">
      <formula1>liste_priorites</formula1>
    </dataValidation>
    <dataValidation type="date" operator="greaterThanOrEqual" allowBlank="1" showInputMessage="1" showErrorMessage="1" sqref="J211">
      <formula1>730120</formula1>
    </dataValidation>
    <dataValidation type="date" operator="greaterThanOrEqual" allowBlank="1" showInputMessage="1" showErrorMessage="1" sqref="K211">
      <formula1>730120</formula1>
    </dataValidation>
    <dataValidation type="date" operator="greaterThanOrEqual" allowBlank="1" showInputMessage="1" showErrorMessage="1" sqref="L211">
      <formula1>730120</formula1>
    </dataValidation>
    <dataValidation type="whole" allowBlank="1" showInputMessage="1" showErrorMessage="1" sqref="P211">
      <formula1>0</formula1>
      <formula2>100</formula2>
    </dataValidation>
    <dataValidation type="decimal" operator="greaterThanOrEqual" allowBlank="1" showInputMessage="1" showErrorMessage="1" sqref="Q211">
      <formula1>0</formula1>
    </dataValidation>
    <dataValidation type="decimal" operator="greaterThanOrEqual" allowBlank="1" showInputMessage="1" showErrorMessage="1" sqref="R211">
      <formula1>0</formula1>
    </dataValidation>
    <dataValidation type="whole" allowBlank="1" showInputMessage="1" showErrorMessage="1" sqref="U211">
      <formula1>1</formula1>
      <formula2>5</formula2>
    </dataValidation>
    <dataValidation type="whole" allowBlank="1" showInputMessage="1" showErrorMessage="1" sqref="V211">
      <formula1>1</formula1>
      <formula2>5</formula2>
    </dataValidation>
    <dataValidation type="whole" allowBlank="1" showInputMessage="1" showErrorMessage="1" sqref="X211">
      <formula1>1</formula1>
      <formula2>5</formula2>
    </dataValidation>
    <dataValidation type="decimal" operator="greaterThanOrEqual" allowBlank="1" showInputMessage="1" showErrorMessage="1" sqref="Y211">
      <formula1>0</formula1>
    </dataValidation>
    <dataValidation type="whole" operator="greaterThanOrEqual" allowBlank="1" showInputMessage="1" showErrorMessage="1" sqref="Z211">
      <formula1>0</formula1>
    </dataValidation>
    <dataValidation type="whole" allowBlank="1" showInputMessage="1" showErrorMessage="1" sqref="AA211">
      <formula1>1</formula1>
      <formula2>5</formula2>
    </dataValidation>
    <dataValidation type="decimal" allowBlank="1" showInputMessage="1" showErrorMessage="1" sqref="AB211">
      <formula1>0</formula1>
      <formula2>1</formula2>
    </dataValidation>
    <dataValidation type="list" allowBlank="1" showInputMessage="1" showErrorMessage="1" sqref="O211">
      <formula1>liste_statuts</formula1>
    </dataValidation>
    <dataValidation type="list" allowBlank="1" showInputMessage="1" showErrorMessage="1" sqref="B212">
      <formula1>liste_programmes</formula1>
    </dataValidation>
    <dataValidation type="list" allowBlank="1" showInputMessage="1" showErrorMessage="1" sqref="D212">
      <formula1>liste_types</formula1>
    </dataValidation>
    <dataValidation type="list" allowBlank="1" showInputMessage="1" showErrorMessage="1" sqref="F212">
      <formula1>liste_categories</formula1>
    </dataValidation>
    <dataValidation type="list" allowBlank="1" showInputMessage="1" showErrorMessage="1" sqref="G212">
      <formula1>liste_responsables</formula1>
    </dataValidation>
    <dataValidation type="list" allowBlank="1" showInputMessage="1" showErrorMessage="1" sqref="H212">
      <formula1>liste_sites</formula1>
    </dataValidation>
    <dataValidation type="list" allowBlank="1" showInputMessage="1" showErrorMessage="1" sqref="I212">
      <formula1>liste_priorites</formula1>
    </dataValidation>
    <dataValidation type="date" operator="greaterThanOrEqual" allowBlank="1" showInputMessage="1" showErrorMessage="1" sqref="J212">
      <formula1>730120</formula1>
    </dataValidation>
    <dataValidation type="date" operator="greaterThanOrEqual" allowBlank="1" showInputMessage="1" showErrorMessage="1" sqref="K212">
      <formula1>730120</formula1>
    </dataValidation>
    <dataValidation type="date" operator="greaterThanOrEqual" allowBlank="1" showInputMessage="1" showErrorMessage="1" sqref="L212">
      <formula1>730120</formula1>
    </dataValidation>
    <dataValidation type="whole" allowBlank="1" showInputMessage="1" showErrorMessage="1" sqref="P212">
      <formula1>0</formula1>
      <formula2>100</formula2>
    </dataValidation>
    <dataValidation type="decimal" operator="greaterThanOrEqual" allowBlank="1" showInputMessage="1" showErrorMessage="1" sqref="Q212">
      <formula1>0</formula1>
    </dataValidation>
    <dataValidation type="decimal" operator="greaterThanOrEqual" allowBlank="1" showInputMessage="1" showErrorMessage="1" sqref="R212">
      <formula1>0</formula1>
    </dataValidation>
    <dataValidation type="whole" allowBlank="1" showInputMessage="1" showErrorMessage="1" sqref="U212">
      <formula1>1</formula1>
      <formula2>5</formula2>
    </dataValidation>
    <dataValidation type="whole" allowBlank="1" showInputMessage="1" showErrorMessage="1" sqref="V212">
      <formula1>1</formula1>
      <formula2>5</formula2>
    </dataValidation>
    <dataValidation type="whole" allowBlank="1" showInputMessage="1" showErrorMessage="1" sqref="X212">
      <formula1>1</formula1>
      <formula2>5</formula2>
    </dataValidation>
    <dataValidation type="decimal" operator="greaterThanOrEqual" allowBlank="1" showInputMessage="1" showErrorMessage="1" sqref="Y212">
      <formula1>0</formula1>
    </dataValidation>
    <dataValidation type="whole" operator="greaterThanOrEqual" allowBlank="1" showInputMessage="1" showErrorMessage="1" sqref="Z212">
      <formula1>0</formula1>
    </dataValidation>
    <dataValidation type="whole" allowBlank="1" showInputMessage="1" showErrorMessage="1" sqref="AA212">
      <formula1>1</formula1>
      <formula2>5</formula2>
    </dataValidation>
    <dataValidation type="decimal" allowBlank="1" showInputMessage="1" showErrorMessage="1" sqref="AB212">
      <formula1>0</formula1>
      <formula2>1</formula2>
    </dataValidation>
    <dataValidation type="list" allowBlank="1" showInputMessage="1" showErrorMessage="1" sqref="O212">
      <formula1>liste_statuts</formula1>
    </dataValidation>
    <dataValidation type="list" allowBlank="1" showInputMessage="1" showErrorMessage="1" sqref="B213">
      <formula1>liste_programmes</formula1>
    </dataValidation>
    <dataValidation type="list" allowBlank="1" showInputMessage="1" showErrorMessage="1" sqref="D213">
      <formula1>liste_types</formula1>
    </dataValidation>
    <dataValidation type="list" allowBlank="1" showInputMessage="1" showErrorMessage="1" sqref="F213">
      <formula1>liste_categories</formula1>
    </dataValidation>
    <dataValidation type="list" allowBlank="1" showInputMessage="1" showErrorMessage="1" sqref="G213">
      <formula1>liste_responsables</formula1>
    </dataValidation>
    <dataValidation type="list" allowBlank="1" showInputMessage="1" showErrorMessage="1" sqref="H213">
      <formula1>liste_sites</formula1>
    </dataValidation>
    <dataValidation type="list" allowBlank="1" showInputMessage="1" showErrorMessage="1" sqref="I213">
      <formula1>liste_priorites</formula1>
    </dataValidation>
    <dataValidation type="date" operator="greaterThanOrEqual" allowBlank="1" showInputMessage="1" showErrorMessage="1" sqref="J213">
      <formula1>730120</formula1>
    </dataValidation>
    <dataValidation type="date" operator="greaterThanOrEqual" allowBlank="1" showInputMessage="1" showErrorMessage="1" sqref="K213">
      <formula1>730120</formula1>
    </dataValidation>
    <dataValidation type="date" operator="greaterThanOrEqual" allowBlank="1" showInputMessage="1" showErrorMessage="1" sqref="L213">
      <formula1>730120</formula1>
    </dataValidation>
    <dataValidation type="whole" allowBlank="1" showInputMessage="1" showErrorMessage="1" sqref="P213">
      <formula1>0</formula1>
      <formula2>100</formula2>
    </dataValidation>
    <dataValidation type="decimal" operator="greaterThanOrEqual" allowBlank="1" showInputMessage="1" showErrorMessage="1" sqref="Q213">
      <formula1>0</formula1>
    </dataValidation>
    <dataValidation type="decimal" operator="greaterThanOrEqual" allowBlank="1" showInputMessage="1" showErrorMessage="1" sqref="R213">
      <formula1>0</formula1>
    </dataValidation>
    <dataValidation type="whole" allowBlank="1" showInputMessage="1" showErrorMessage="1" sqref="U213">
      <formula1>1</formula1>
      <formula2>5</formula2>
    </dataValidation>
    <dataValidation type="whole" allowBlank="1" showInputMessage="1" showErrorMessage="1" sqref="V213">
      <formula1>1</formula1>
      <formula2>5</formula2>
    </dataValidation>
    <dataValidation type="whole" allowBlank="1" showInputMessage="1" showErrorMessage="1" sqref="X213">
      <formula1>1</formula1>
      <formula2>5</formula2>
    </dataValidation>
    <dataValidation type="decimal" operator="greaterThanOrEqual" allowBlank="1" showInputMessage="1" showErrorMessage="1" sqref="Y213">
      <formula1>0</formula1>
    </dataValidation>
    <dataValidation type="whole" operator="greaterThanOrEqual" allowBlank="1" showInputMessage="1" showErrorMessage="1" sqref="Z213">
      <formula1>0</formula1>
    </dataValidation>
    <dataValidation type="whole" allowBlank="1" showInputMessage="1" showErrorMessage="1" sqref="AA213">
      <formula1>1</formula1>
      <formula2>5</formula2>
    </dataValidation>
    <dataValidation type="decimal" allowBlank="1" showInputMessage="1" showErrorMessage="1" sqref="AB213">
      <formula1>0</formula1>
      <formula2>1</formula2>
    </dataValidation>
    <dataValidation type="list" allowBlank="1" showInputMessage="1" showErrorMessage="1" sqref="O213">
      <formula1>liste_statuts</formula1>
    </dataValidation>
    <dataValidation type="list" allowBlank="1" showInputMessage="1" showErrorMessage="1" sqref="B214">
      <formula1>liste_programmes</formula1>
    </dataValidation>
    <dataValidation type="list" allowBlank="1" showInputMessage="1" showErrorMessage="1" sqref="D214">
      <formula1>liste_types</formula1>
    </dataValidation>
    <dataValidation type="list" allowBlank="1" showInputMessage="1" showErrorMessage="1" sqref="F214">
      <formula1>liste_categories</formula1>
    </dataValidation>
    <dataValidation type="list" allowBlank="1" showInputMessage="1" showErrorMessage="1" sqref="G214">
      <formula1>liste_responsables</formula1>
    </dataValidation>
    <dataValidation type="list" allowBlank="1" showInputMessage="1" showErrorMessage="1" sqref="H214">
      <formula1>liste_sites</formula1>
    </dataValidation>
    <dataValidation type="list" allowBlank="1" showInputMessage="1" showErrorMessage="1" sqref="I214">
      <formula1>liste_priorites</formula1>
    </dataValidation>
    <dataValidation type="date" operator="greaterThanOrEqual" allowBlank="1" showInputMessage="1" showErrorMessage="1" sqref="J214">
      <formula1>730120</formula1>
    </dataValidation>
    <dataValidation type="date" operator="greaterThanOrEqual" allowBlank="1" showInputMessage="1" showErrorMessage="1" sqref="K214">
      <formula1>730120</formula1>
    </dataValidation>
    <dataValidation type="date" operator="greaterThanOrEqual" allowBlank="1" showInputMessage="1" showErrorMessage="1" sqref="L214">
      <formula1>730120</formula1>
    </dataValidation>
    <dataValidation type="whole" allowBlank="1" showInputMessage="1" showErrorMessage="1" sqref="P214">
      <formula1>0</formula1>
      <formula2>100</formula2>
    </dataValidation>
    <dataValidation type="decimal" operator="greaterThanOrEqual" allowBlank="1" showInputMessage="1" showErrorMessage="1" sqref="Q214">
      <formula1>0</formula1>
    </dataValidation>
    <dataValidation type="decimal" operator="greaterThanOrEqual" allowBlank="1" showInputMessage="1" showErrorMessage="1" sqref="R214">
      <formula1>0</formula1>
    </dataValidation>
    <dataValidation type="whole" allowBlank="1" showInputMessage="1" showErrorMessage="1" sqref="U214">
      <formula1>1</formula1>
      <formula2>5</formula2>
    </dataValidation>
    <dataValidation type="whole" allowBlank="1" showInputMessage="1" showErrorMessage="1" sqref="V214">
      <formula1>1</formula1>
      <formula2>5</formula2>
    </dataValidation>
    <dataValidation type="whole" allowBlank="1" showInputMessage="1" showErrorMessage="1" sqref="X214">
      <formula1>1</formula1>
      <formula2>5</formula2>
    </dataValidation>
    <dataValidation type="decimal" operator="greaterThanOrEqual" allowBlank="1" showInputMessage="1" showErrorMessage="1" sqref="Y214">
      <formula1>0</formula1>
    </dataValidation>
    <dataValidation type="whole" operator="greaterThanOrEqual" allowBlank="1" showInputMessage="1" showErrorMessage="1" sqref="Z214">
      <formula1>0</formula1>
    </dataValidation>
    <dataValidation type="whole" allowBlank="1" showInputMessage="1" showErrorMessage="1" sqref="AA214">
      <formula1>1</formula1>
      <formula2>5</formula2>
    </dataValidation>
    <dataValidation type="decimal" allowBlank="1" showInputMessage="1" showErrorMessage="1" sqref="AB214">
      <formula1>0</formula1>
      <formula2>1</formula2>
    </dataValidation>
    <dataValidation type="list" allowBlank="1" showInputMessage="1" showErrorMessage="1" sqref="O214">
      <formula1>liste_statuts</formula1>
    </dataValidation>
    <dataValidation type="list" allowBlank="1" showInputMessage="1" showErrorMessage="1" sqref="B215">
      <formula1>liste_programmes</formula1>
    </dataValidation>
    <dataValidation type="list" allowBlank="1" showInputMessage="1" showErrorMessage="1" sqref="D215">
      <formula1>liste_types</formula1>
    </dataValidation>
    <dataValidation type="list" allowBlank="1" showInputMessage="1" showErrorMessage="1" sqref="F215">
      <formula1>liste_categories</formula1>
    </dataValidation>
    <dataValidation type="list" allowBlank="1" showInputMessage="1" showErrorMessage="1" sqref="G215">
      <formula1>liste_responsables</formula1>
    </dataValidation>
    <dataValidation type="list" allowBlank="1" showInputMessage="1" showErrorMessage="1" sqref="H215">
      <formula1>liste_sites</formula1>
    </dataValidation>
    <dataValidation type="list" allowBlank="1" showInputMessage="1" showErrorMessage="1" sqref="I215">
      <formula1>liste_priorites</formula1>
    </dataValidation>
    <dataValidation type="date" operator="greaterThanOrEqual" allowBlank="1" showInputMessage="1" showErrorMessage="1" sqref="J215">
      <formula1>730120</formula1>
    </dataValidation>
    <dataValidation type="date" operator="greaterThanOrEqual" allowBlank="1" showInputMessage="1" showErrorMessage="1" sqref="K215">
      <formula1>730120</formula1>
    </dataValidation>
    <dataValidation type="date" operator="greaterThanOrEqual" allowBlank="1" showInputMessage="1" showErrorMessage="1" sqref="L215">
      <formula1>730120</formula1>
    </dataValidation>
    <dataValidation type="whole" allowBlank="1" showInputMessage="1" showErrorMessage="1" sqref="P215">
      <formula1>0</formula1>
      <formula2>100</formula2>
    </dataValidation>
    <dataValidation type="decimal" operator="greaterThanOrEqual" allowBlank="1" showInputMessage="1" showErrorMessage="1" sqref="Q215">
      <formula1>0</formula1>
    </dataValidation>
    <dataValidation type="decimal" operator="greaterThanOrEqual" allowBlank="1" showInputMessage="1" showErrorMessage="1" sqref="R215">
      <formula1>0</formula1>
    </dataValidation>
    <dataValidation type="whole" allowBlank="1" showInputMessage="1" showErrorMessage="1" sqref="U215">
      <formula1>1</formula1>
      <formula2>5</formula2>
    </dataValidation>
    <dataValidation type="whole" allowBlank="1" showInputMessage="1" showErrorMessage="1" sqref="V215">
      <formula1>1</formula1>
      <formula2>5</formula2>
    </dataValidation>
    <dataValidation type="whole" allowBlank="1" showInputMessage="1" showErrorMessage="1" sqref="X215">
      <formula1>1</formula1>
      <formula2>5</formula2>
    </dataValidation>
    <dataValidation type="decimal" operator="greaterThanOrEqual" allowBlank="1" showInputMessage="1" showErrorMessage="1" sqref="Y215">
      <formula1>0</formula1>
    </dataValidation>
    <dataValidation type="whole" operator="greaterThanOrEqual" allowBlank="1" showInputMessage="1" showErrorMessage="1" sqref="Z215">
      <formula1>0</formula1>
    </dataValidation>
    <dataValidation type="whole" allowBlank="1" showInputMessage="1" showErrorMessage="1" sqref="AA215">
      <formula1>1</formula1>
      <formula2>5</formula2>
    </dataValidation>
    <dataValidation type="decimal" allowBlank="1" showInputMessage="1" showErrorMessage="1" sqref="AB215">
      <formula1>0</formula1>
      <formula2>1</formula2>
    </dataValidation>
    <dataValidation type="list" allowBlank="1" showInputMessage="1" showErrorMessage="1" sqref="O215">
      <formula1>liste_statuts</formula1>
    </dataValidation>
    <dataValidation type="list" allowBlank="1" showInputMessage="1" showErrorMessage="1" sqref="B216">
      <formula1>liste_programmes</formula1>
    </dataValidation>
    <dataValidation type="list" allowBlank="1" showInputMessage="1" showErrorMessage="1" sqref="D216">
      <formula1>liste_types</formula1>
    </dataValidation>
    <dataValidation type="list" allowBlank="1" showInputMessage="1" showErrorMessage="1" sqref="F216">
      <formula1>liste_categories</formula1>
    </dataValidation>
    <dataValidation type="list" allowBlank="1" showInputMessage="1" showErrorMessage="1" sqref="G216">
      <formula1>liste_responsables</formula1>
    </dataValidation>
    <dataValidation type="list" allowBlank="1" showInputMessage="1" showErrorMessage="1" sqref="H216">
      <formula1>liste_sites</formula1>
    </dataValidation>
    <dataValidation type="list" allowBlank="1" showInputMessage="1" showErrorMessage="1" sqref="I216">
      <formula1>liste_priorites</formula1>
    </dataValidation>
    <dataValidation type="date" operator="greaterThanOrEqual" allowBlank="1" showInputMessage="1" showErrorMessage="1" sqref="J216">
      <formula1>730120</formula1>
    </dataValidation>
    <dataValidation type="date" operator="greaterThanOrEqual" allowBlank="1" showInputMessage="1" showErrorMessage="1" sqref="K216">
      <formula1>730120</formula1>
    </dataValidation>
    <dataValidation type="date" operator="greaterThanOrEqual" allowBlank="1" showInputMessage="1" showErrorMessage="1" sqref="L216">
      <formula1>730120</formula1>
    </dataValidation>
    <dataValidation type="whole" allowBlank="1" showInputMessage="1" showErrorMessage="1" sqref="P216">
      <formula1>0</formula1>
      <formula2>100</formula2>
    </dataValidation>
    <dataValidation type="decimal" operator="greaterThanOrEqual" allowBlank="1" showInputMessage="1" showErrorMessage="1" sqref="Q216">
      <formula1>0</formula1>
    </dataValidation>
    <dataValidation type="decimal" operator="greaterThanOrEqual" allowBlank="1" showInputMessage="1" showErrorMessage="1" sqref="R216">
      <formula1>0</formula1>
    </dataValidation>
    <dataValidation type="whole" allowBlank="1" showInputMessage="1" showErrorMessage="1" sqref="U216">
      <formula1>1</formula1>
      <formula2>5</formula2>
    </dataValidation>
    <dataValidation type="whole" allowBlank="1" showInputMessage="1" showErrorMessage="1" sqref="V216">
      <formula1>1</formula1>
      <formula2>5</formula2>
    </dataValidation>
    <dataValidation type="whole" allowBlank="1" showInputMessage="1" showErrorMessage="1" sqref="X216">
      <formula1>1</formula1>
      <formula2>5</formula2>
    </dataValidation>
    <dataValidation type="decimal" operator="greaterThanOrEqual" allowBlank="1" showInputMessage="1" showErrorMessage="1" sqref="Y216">
      <formula1>0</formula1>
    </dataValidation>
    <dataValidation type="whole" operator="greaterThanOrEqual" allowBlank="1" showInputMessage="1" showErrorMessage="1" sqref="Z216">
      <formula1>0</formula1>
    </dataValidation>
    <dataValidation type="whole" allowBlank="1" showInputMessage="1" showErrorMessage="1" sqref="AA216">
      <formula1>1</formula1>
      <formula2>5</formula2>
    </dataValidation>
    <dataValidation type="decimal" allowBlank="1" showInputMessage="1" showErrorMessage="1" sqref="AB216">
      <formula1>0</formula1>
      <formula2>1</formula2>
    </dataValidation>
    <dataValidation type="list" allowBlank="1" showInputMessage="1" showErrorMessage="1" sqref="O216">
      <formula1>liste_statuts</formula1>
    </dataValidation>
    <dataValidation type="list" allowBlank="1" showInputMessage="1" showErrorMessage="1" sqref="B217">
      <formula1>liste_programmes</formula1>
    </dataValidation>
    <dataValidation type="list" allowBlank="1" showInputMessage="1" showErrorMessage="1" sqref="D217">
      <formula1>liste_types</formula1>
    </dataValidation>
    <dataValidation type="list" allowBlank="1" showInputMessage="1" showErrorMessage="1" sqref="F217">
      <formula1>liste_categories</formula1>
    </dataValidation>
    <dataValidation type="list" allowBlank="1" showInputMessage="1" showErrorMessage="1" sqref="G217">
      <formula1>liste_responsables</formula1>
    </dataValidation>
    <dataValidation type="list" allowBlank="1" showInputMessage="1" showErrorMessage="1" sqref="H217">
      <formula1>liste_sites</formula1>
    </dataValidation>
    <dataValidation type="list" allowBlank="1" showInputMessage="1" showErrorMessage="1" sqref="I217">
      <formula1>liste_priorites</formula1>
    </dataValidation>
    <dataValidation type="date" operator="greaterThanOrEqual" allowBlank="1" showInputMessage="1" showErrorMessage="1" sqref="J217">
      <formula1>730120</formula1>
    </dataValidation>
    <dataValidation type="date" operator="greaterThanOrEqual" allowBlank="1" showInputMessage="1" showErrorMessage="1" sqref="K217">
      <formula1>730120</formula1>
    </dataValidation>
    <dataValidation type="date" operator="greaterThanOrEqual" allowBlank="1" showInputMessage="1" showErrorMessage="1" sqref="L217">
      <formula1>730120</formula1>
    </dataValidation>
    <dataValidation type="whole" allowBlank="1" showInputMessage="1" showErrorMessage="1" sqref="P217">
      <formula1>0</formula1>
      <formula2>100</formula2>
    </dataValidation>
    <dataValidation type="decimal" operator="greaterThanOrEqual" allowBlank="1" showInputMessage="1" showErrorMessage="1" sqref="Q217">
      <formula1>0</formula1>
    </dataValidation>
    <dataValidation type="decimal" operator="greaterThanOrEqual" allowBlank="1" showInputMessage="1" showErrorMessage="1" sqref="R217">
      <formula1>0</formula1>
    </dataValidation>
    <dataValidation type="whole" allowBlank="1" showInputMessage="1" showErrorMessage="1" sqref="U217">
      <formula1>1</formula1>
      <formula2>5</formula2>
    </dataValidation>
    <dataValidation type="whole" allowBlank="1" showInputMessage="1" showErrorMessage="1" sqref="V217">
      <formula1>1</formula1>
      <formula2>5</formula2>
    </dataValidation>
    <dataValidation type="whole" allowBlank="1" showInputMessage="1" showErrorMessage="1" sqref="X217">
      <formula1>1</formula1>
      <formula2>5</formula2>
    </dataValidation>
    <dataValidation type="decimal" operator="greaterThanOrEqual" allowBlank="1" showInputMessage="1" showErrorMessage="1" sqref="Y217">
      <formula1>0</formula1>
    </dataValidation>
    <dataValidation type="whole" operator="greaterThanOrEqual" allowBlank="1" showInputMessage="1" showErrorMessage="1" sqref="Z217">
      <formula1>0</formula1>
    </dataValidation>
    <dataValidation type="whole" allowBlank="1" showInputMessage="1" showErrorMessage="1" sqref="AA217">
      <formula1>1</formula1>
      <formula2>5</formula2>
    </dataValidation>
    <dataValidation type="decimal" allowBlank="1" showInputMessage="1" showErrorMessage="1" sqref="AB217">
      <formula1>0</formula1>
      <formula2>1</formula2>
    </dataValidation>
    <dataValidation type="list" allowBlank="1" showInputMessage="1" showErrorMessage="1" sqref="O217">
      <formula1>liste_statuts</formula1>
    </dataValidation>
    <dataValidation type="list" allowBlank="1" showInputMessage="1" showErrorMessage="1" sqref="B218">
      <formula1>liste_programmes</formula1>
    </dataValidation>
    <dataValidation type="list" allowBlank="1" showInputMessage="1" showErrorMessage="1" sqref="D218">
      <formula1>liste_types</formula1>
    </dataValidation>
    <dataValidation type="list" allowBlank="1" showInputMessage="1" showErrorMessage="1" sqref="F218">
      <formula1>liste_categories</formula1>
    </dataValidation>
    <dataValidation type="list" allowBlank="1" showInputMessage="1" showErrorMessage="1" sqref="G218">
      <formula1>liste_responsables</formula1>
    </dataValidation>
    <dataValidation type="list" allowBlank="1" showInputMessage="1" showErrorMessage="1" sqref="H218">
      <formula1>liste_sites</formula1>
    </dataValidation>
    <dataValidation type="list" allowBlank="1" showInputMessage="1" showErrorMessage="1" sqref="I218">
      <formula1>liste_priorites</formula1>
    </dataValidation>
    <dataValidation type="date" operator="greaterThanOrEqual" allowBlank="1" showInputMessage="1" showErrorMessage="1" sqref="J218">
      <formula1>730120</formula1>
    </dataValidation>
    <dataValidation type="date" operator="greaterThanOrEqual" allowBlank="1" showInputMessage="1" showErrorMessage="1" sqref="K218">
      <formula1>730120</formula1>
    </dataValidation>
    <dataValidation type="date" operator="greaterThanOrEqual" allowBlank="1" showInputMessage="1" showErrorMessage="1" sqref="L218">
      <formula1>730120</formula1>
    </dataValidation>
    <dataValidation type="whole" allowBlank="1" showInputMessage="1" showErrorMessage="1" sqref="P218">
      <formula1>0</formula1>
      <formula2>100</formula2>
    </dataValidation>
    <dataValidation type="decimal" operator="greaterThanOrEqual" allowBlank="1" showInputMessage="1" showErrorMessage="1" sqref="Q218">
      <formula1>0</formula1>
    </dataValidation>
    <dataValidation type="decimal" operator="greaterThanOrEqual" allowBlank="1" showInputMessage="1" showErrorMessage="1" sqref="R218">
      <formula1>0</formula1>
    </dataValidation>
    <dataValidation type="whole" allowBlank="1" showInputMessage="1" showErrorMessage="1" sqref="U218">
      <formula1>1</formula1>
      <formula2>5</formula2>
    </dataValidation>
    <dataValidation type="whole" allowBlank="1" showInputMessage="1" showErrorMessage="1" sqref="V218">
      <formula1>1</formula1>
      <formula2>5</formula2>
    </dataValidation>
    <dataValidation type="whole" allowBlank="1" showInputMessage="1" showErrorMessage="1" sqref="X218">
      <formula1>1</formula1>
      <formula2>5</formula2>
    </dataValidation>
    <dataValidation type="decimal" operator="greaterThanOrEqual" allowBlank="1" showInputMessage="1" showErrorMessage="1" sqref="Y218">
      <formula1>0</formula1>
    </dataValidation>
    <dataValidation type="whole" operator="greaterThanOrEqual" allowBlank="1" showInputMessage="1" showErrorMessage="1" sqref="Z218">
      <formula1>0</formula1>
    </dataValidation>
    <dataValidation type="whole" allowBlank="1" showInputMessage="1" showErrorMessage="1" sqref="AA218">
      <formula1>1</formula1>
      <formula2>5</formula2>
    </dataValidation>
    <dataValidation type="decimal" allowBlank="1" showInputMessage="1" showErrorMessage="1" sqref="AB218">
      <formula1>0</formula1>
      <formula2>1</formula2>
    </dataValidation>
    <dataValidation type="list" allowBlank="1" showInputMessage="1" showErrorMessage="1" sqref="O218">
      <formula1>liste_statuts</formula1>
    </dataValidation>
    <dataValidation type="list" allowBlank="1" showInputMessage="1" showErrorMessage="1" sqref="B219">
      <formula1>liste_programmes</formula1>
    </dataValidation>
    <dataValidation type="list" allowBlank="1" showInputMessage="1" showErrorMessage="1" sqref="D219">
      <formula1>liste_types</formula1>
    </dataValidation>
    <dataValidation type="list" allowBlank="1" showInputMessage="1" showErrorMessage="1" sqref="F219">
      <formula1>liste_categories</formula1>
    </dataValidation>
    <dataValidation type="list" allowBlank="1" showInputMessage="1" showErrorMessage="1" sqref="G219">
      <formula1>liste_responsables</formula1>
    </dataValidation>
    <dataValidation type="list" allowBlank="1" showInputMessage="1" showErrorMessage="1" sqref="H219">
      <formula1>liste_sites</formula1>
    </dataValidation>
    <dataValidation type="list" allowBlank="1" showInputMessage="1" showErrorMessage="1" sqref="I219">
      <formula1>liste_priorites</formula1>
    </dataValidation>
    <dataValidation type="date" operator="greaterThanOrEqual" allowBlank="1" showInputMessage="1" showErrorMessage="1" sqref="J219">
      <formula1>730120</formula1>
    </dataValidation>
    <dataValidation type="date" operator="greaterThanOrEqual" allowBlank="1" showInputMessage="1" showErrorMessage="1" sqref="K219">
      <formula1>730120</formula1>
    </dataValidation>
    <dataValidation type="date" operator="greaterThanOrEqual" allowBlank="1" showInputMessage="1" showErrorMessage="1" sqref="L219">
      <formula1>730120</formula1>
    </dataValidation>
    <dataValidation type="whole" allowBlank="1" showInputMessage="1" showErrorMessage="1" sqref="P219">
      <formula1>0</formula1>
      <formula2>100</formula2>
    </dataValidation>
    <dataValidation type="decimal" operator="greaterThanOrEqual" allowBlank="1" showInputMessage="1" showErrorMessage="1" sqref="Q219">
      <formula1>0</formula1>
    </dataValidation>
    <dataValidation type="decimal" operator="greaterThanOrEqual" allowBlank="1" showInputMessage="1" showErrorMessage="1" sqref="R219">
      <formula1>0</formula1>
    </dataValidation>
    <dataValidation type="whole" allowBlank="1" showInputMessage="1" showErrorMessage="1" sqref="U219">
      <formula1>1</formula1>
      <formula2>5</formula2>
    </dataValidation>
    <dataValidation type="whole" allowBlank="1" showInputMessage="1" showErrorMessage="1" sqref="V219">
      <formula1>1</formula1>
      <formula2>5</formula2>
    </dataValidation>
    <dataValidation type="whole" allowBlank="1" showInputMessage="1" showErrorMessage="1" sqref="X219">
      <formula1>1</formula1>
      <formula2>5</formula2>
    </dataValidation>
    <dataValidation type="decimal" operator="greaterThanOrEqual" allowBlank="1" showInputMessage="1" showErrorMessage="1" sqref="Y219">
      <formula1>0</formula1>
    </dataValidation>
    <dataValidation type="whole" operator="greaterThanOrEqual" allowBlank="1" showInputMessage="1" showErrorMessage="1" sqref="Z219">
      <formula1>0</formula1>
    </dataValidation>
    <dataValidation type="whole" allowBlank="1" showInputMessage="1" showErrorMessage="1" sqref="AA219">
      <formula1>1</formula1>
      <formula2>5</formula2>
    </dataValidation>
    <dataValidation type="decimal" allowBlank="1" showInputMessage="1" showErrorMessage="1" sqref="AB219">
      <formula1>0</formula1>
      <formula2>1</formula2>
    </dataValidation>
    <dataValidation type="list" allowBlank="1" showInputMessage="1" showErrorMessage="1" sqref="O219">
      <formula1>liste_statuts</formula1>
    </dataValidation>
    <dataValidation type="list" allowBlank="1" showInputMessage="1" showErrorMessage="1" sqref="B220">
      <formula1>liste_programmes</formula1>
    </dataValidation>
    <dataValidation type="list" allowBlank="1" showInputMessage="1" showErrorMessage="1" sqref="D220">
      <formula1>liste_types</formula1>
    </dataValidation>
    <dataValidation type="list" allowBlank="1" showInputMessage="1" showErrorMessage="1" sqref="F220">
      <formula1>liste_categories</formula1>
    </dataValidation>
    <dataValidation type="list" allowBlank="1" showInputMessage="1" showErrorMessage="1" sqref="G220">
      <formula1>liste_responsables</formula1>
    </dataValidation>
    <dataValidation type="list" allowBlank="1" showInputMessage="1" showErrorMessage="1" sqref="H220">
      <formula1>liste_sites</formula1>
    </dataValidation>
    <dataValidation type="list" allowBlank="1" showInputMessage="1" showErrorMessage="1" sqref="I220">
      <formula1>liste_priorites</formula1>
    </dataValidation>
    <dataValidation type="date" operator="greaterThanOrEqual" allowBlank="1" showInputMessage="1" showErrorMessage="1" sqref="J220">
      <formula1>730120</formula1>
    </dataValidation>
    <dataValidation type="date" operator="greaterThanOrEqual" allowBlank="1" showInputMessage="1" showErrorMessage="1" sqref="K220">
      <formula1>730120</formula1>
    </dataValidation>
    <dataValidation type="date" operator="greaterThanOrEqual" allowBlank="1" showInputMessage="1" showErrorMessage="1" sqref="L220">
      <formula1>730120</formula1>
    </dataValidation>
    <dataValidation type="whole" allowBlank="1" showInputMessage="1" showErrorMessage="1" sqref="P220">
      <formula1>0</formula1>
      <formula2>100</formula2>
    </dataValidation>
    <dataValidation type="decimal" operator="greaterThanOrEqual" allowBlank="1" showInputMessage="1" showErrorMessage="1" sqref="Q220">
      <formula1>0</formula1>
    </dataValidation>
    <dataValidation type="decimal" operator="greaterThanOrEqual" allowBlank="1" showInputMessage="1" showErrorMessage="1" sqref="R220">
      <formula1>0</formula1>
    </dataValidation>
    <dataValidation type="whole" allowBlank="1" showInputMessage="1" showErrorMessage="1" sqref="U220">
      <formula1>1</formula1>
      <formula2>5</formula2>
    </dataValidation>
    <dataValidation type="whole" allowBlank="1" showInputMessage="1" showErrorMessage="1" sqref="V220">
      <formula1>1</formula1>
      <formula2>5</formula2>
    </dataValidation>
    <dataValidation type="whole" allowBlank="1" showInputMessage="1" showErrorMessage="1" sqref="X220">
      <formula1>1</formula1>
      <formula2>5</formula2>
    </dataValidation>
    <dataValidation type="decimal" operator="greaterThanOrEqual" allowBlank="1" showInputMessage="1" showErrorMessage="1" sqref="Y220">
      <formula1>0</formula1>
    </dataValidation>
    <dataValidation type="whole" operator="greaterThanOrEqual" allowBlank="1" showInputMessage="1" showErrorMessage="1" sqref="Z220">
      <formula1>0</formula1>
    </dataValidation>
    <dataValidation type="whole" allowBlank="1" showInputMessage="1" showErrorMessage="1" sqref="AA220">
      <formula1>1</formula1>
      <formula2>5</formula2>
    </dataValidation>
    <dataValidation type="decimal" allowBlank="1" showInputMessage="1" showErrorMessage="1" sqref="AB220">
      <formula1>0</formula1>
      <formula2>1</formula2>
    </dataValidation>
    <dataValidation type="list" allowBlank="1" showInputMessage="1" showErrorMessage="1" sqref="O220">
      <formula1>liste_statuts</formula1>
    </dataValidation>
    <dataValidation type="list" allowBlank="1" showInputMessage="1" showErrorMessage="1" sqref="B221">
      <formula1>liste_programmes</formula1>
    </dataValidation>
    <dataValidation type="list" allowBlank="1" showInputMessage="1" showErrorMessage="1" sqref="D221">
      <formula1>liste_types</formula1>
    </dataValidation>
    <dataValidation type="list" allowBlank="1" showInputMessage="1" showErrorMessage="1" sqref="F221">
      <formula1>liste_categories</formula1>
    </dataValidation>
    <dataValidation type="list" allowBlank="1" showInputMessage="1" showErrorMessage="1" sqref="G221">
      <formula1>liste_responsables</formula1>
    </dataValidation>
    <dataValidation type="list" allowBlank="1" showInputMessage="1" showErrorMessage="1" sqref="H221">
      <formula1>liste_sites</formula1>
    </dataValidation>
    <dataValidation type="list" allowBlank="1" showInputMessage="1" showErrorMessage="1" sqref="I221">
      <formula1>liste_priorites</formula1>
    </dataValidation>
    <dataValidation type="date" operator="greaterThanOrEqual" allowBlank="1" showInputMessage="1" showErrorMessage="1" sqref="J221">
      <formula1>730120</formula1>
    </dataValidation>
    <dataValidation type="date" operator="greaterThanOrEqual" allowBlank="1" showInputMessage="1" showErrorMessage="1" sqref="K221">
      <formula1>730120</formula1>
    </dataValidation>
    <dataValidation type="date" operator="greaterThanOrEqual" allowBlank="1" showInputMessage="1" showErrorMessage="1" sqref="L221">
      <formula1>730120</formula1>
    </dataValidation>
    <dataValidation type="whole" allowBlank="1" showInputMessage="1" showErrorMessage="1" sqref="P221">
      <formula1>0</formula1>
      <formula2>100</formula2>
    </dataValidation>
    <dataValidation type="decimal" operator="greaterThanOrEqual" allowBlank="1" showInputMessage="1" showErrorMessage="1" sqref="Q221">
      <formula1>0</formula1>
    </dataValidation>
    <dataValidation type="decimal" operator="greaterThanOrEqual" allowBlank="1" showInputMessage="1" showErrorMessage="1" sqref="R221">
      <formula1>0</formula1>
    </dataValidation>
    <dataValidation type="whole" allowBlank="1" showInputMessage="1" showErrorMessage="1" sqref="U221">
      <formula1>1</formula1>
      <formula2>5</formula2>
    </dataValidation>
    <dataValidation type="whole" allowBlank="1" showInputMessage="1" showErrorMessage="1" sqref="V221">
      <formula1>1</formula1>
      <formula2>5</formula2>
    </dataValidation>
    <dataValidation type="whole" allowBlank="1" showInputMessage="1" showErrorMessage="1" sqref="X221">
      <formula1>1</formula1>
      <formula2>5</formula2>
    </dataValidation>
    <dataValidation type="decimal" operator="greaterThanOrEqual" allowBlank="1" showInputMessage="1" showErrorMessage="1" sqref="Y221">
      <formula1>0</formula1>
    </dataValidation>
    <dataValidation type="whole" operator="greaterThanOrEqual" allowBlank="1" showInputMessage="1" showErrorMessage="1" sqref="Z221">
      <formula1>0</formula1>
    </dataValidation>
    <dataValidation type="whole" allowBlank="1" showInputMessage="1" showErrorMessage="1" sqref="AA221">
      <formula1>1</formula1>
      <formula2>5</formula2>
    </dataValidation>
    <dataValidation type="decimal" allowBlank="1" showInputMessage="1" showErrorMessage="1" sqref="AB221">
      <formula1>0</formula1>
      <formula2>1</formula2>
    </dataValidation>
    <dataValidation type="list" allowBlank="1" showInputMessage="1" showErrorMessage="1" sqref="O221">
      <formula1>liste_statuts</formula1>
    </dataValidation>
    <dataValidation type="list" allowBlank="1" showInputMessage="1" showErrorMessage="1" sqref="B222">
      <formula1>liste_programmes</formula1>
    </dataValidation>
    <dataValidation type="list" allowBlank="1" showInputMessage="1" showErrorMessage="1" sqref="D222">
      <formula1>liste_types</formula1>
    </dataValidation>
    <dataValidation type="list" allowBlank="1" showInputMessage="1" showErrorMessage="1" sqref="F222">
      <formula1>liste_categories</formula1>
    </dataValidation>
    <dataValidation type="list" allowBlank="1" showInputMessage="1" showErrorMessage="1" sqref="G222">
      <formula1>liste_responsables</formula1>
    </dataValidation>
    <dataValidation type="list" allowBlank="1" showInputMessage="1" showErrorMessage="1" sqref="H222">
      <formula1>liste_sites</formula1>
    </dataValidation>
    <dataValidation type="list" allowBlank="1" showInputMessage="1" showErrorMessage="1" sqref="I222">
      <formula1>liste_priorites</formula1>
    </dataValidation>
    <dataValidation type="date" operator="greaterThanOrEqual" allowBlank="1" showInputMessage="1" showErrorMessage="1" sqref="J222">
      <formula1>730120</formula1>
    </dataValidation>
    <dataValidation type="date" operator="greaterThanOrEqual" allowBlank="1" showInputMessage="1" showErrorMessage="1" sqref="K222">
      <formula1>730120</formula1>
    </dataValidation>
    <dataValidation type="date" operator="greaterThanOrEqual" allowBlank="1" showInputMessage="1" showErrorMessage="1" sqref="L222">
      <formula1>730120</formula1>
    </dataValidation>
    <dataValidation type="whole" allowBlank="1" showInputMessage="1" showErrorMessage="1" sqref="P222">
      <formula1>0</formula1>
      <formula2>100</formula2>
    </dataValidation>
    <dataValidation type="decimal" operator="greaterThanOrEqual" allowBlank="1" showInputMessage="1" showErrorMessage="1" sqref="Q222">
      <formula1>0</formula1>
    </dataValidation>
    <dataValidation type="decimal" operator="greaterThanOrEqual" allowBlank="1" showInputMessage="1" showErrorMessage="1" sqref="R222">
      <formula1>0</formula1>
    </dataValidation>
    <dataValidation type="whole" allowBlank="1" showInputMessage="1" showErrorMessage="1" sqref="U222">
      <formula1>1</formula1>
      <formula2>5</formula2>
    </dataValidation>
    <dataValidation type="whole" allowBlank="1" showInputMessage="1" showErrorMessage="1" sqref="V222">
      <formula1>1</formula1>
      <formula2>5</formula2>
    </dataValidation>
    <dataValidation type="whole" allowBlank="1" showInputMessage="1" showErrorMessage="1" sqref="X222">
      <formula1>1</formula1>
      <formula2>5</formula2>
    </dataValidation>
    <dataValidation type="decimal" operator="greaterThanOrEqual" allowBlank="1" showInputMessage="1" showErrorMessage="1" sqref="Y222">
      <formula1>0</formula1>
    </dataValidation>
    <dataValidation type="whole" operator="greaterThanOrEqual" allowBlank="1" showInputMessage="1" showErrorMessage="1" sqref="Z222">
      <formula1>0</formula1>
    </dataValidation>
    <dataValidation type="whole" allowBlank="1" showInputMessage="1" showErrorMessage="1" sqref="AA222">
      <formula1>1</formula1>
      <formula2>5</formula2>
    </dataValidation>
    <dataValidation type="decimal" allowBlank="1" showInputMessage="1" showErrorMessage="1" sqref="AB222">
      <formula1>0</formula1>
      <formula2>1</formula2>
    </dataValidation>
    <dataValidation type="list" allowBlank="1" showInputMessage="1" showErrorMessage="1" sqref="O222">
      <formula1>liste_statuts</formula1>
    </dataValidation>
    <dataValidation type="list" allowBlank="1" showInputMessage="1" showErrorMessage="1" sqref="B223">
      <formula1>liste_programmes</formula1>
    </dataValidation>
    <dataValidation type="list" allowBlank="1" showInputMessage="1" showErrorMessage="1" sqref="D223">
      <formula1>liste_types</formula1>
    </dataValidation>
    <dataValidation type="list" allowBlank="1" showInputMessage="1" showErrorMessage="1" sqref="F223">
      <formula1>liste_categories</formula1>
    </dataValidation>
    <dataValidation type="list" allowBlank="1" showInputMessage="1" showErrorMessage="1" sqref="G223">
      <formula1>liste_responsables</formula1>
    </dataValidation>
    <dataValidation type="list" allowBlank="1" showInputMessage="1" showErrorMessage="1" sqref="H223">
      <formula1>liste_sites</formula1>
    </dataValidation>
    <dataValidation type="list" allowBlank="1" showInputMessage="1" showErrorMessage="1" sqref="I223">
      <formula1>liste_priorites</formula1>
    </dataValidation>
    <dataValidation type="date" operator="greaterThanOrEqual" allowBlank="1" showInputMessage="1" showErrorMessage="1" sqref="J223">
      <formula1>730120</formula1>
    </dataValidation>
    <dataValidation type="date" operator="greaterThanOrEqual" allowBlank="1" showInputMessage="1" showErrorMessage="1" sqref="K223">
      <formula1>730120</formula1>
    </dataValidation>
    <dataValidation type="date" operator="greaterThanOrEqual" allowBlank="1" showInputMessage="1" showErrorMessage="1" sqref="L223">
      <formula1>730120</formula1>
    </dataValidation>
    <dataValidation type="whole" allowBlank="1" showInputMessage="1" showErrorMessage="1" sqref="P223">
      <formula1>0</formula1>
      <formula2>100</formula2>
    </dataValidation>
    <dataValidation type="decimal" operator="greaterThanOrEqual" allowBlank="1" showInputMessage="1" showErrorMessage="1" sqref="Q223">
      <formula1>0</formula1>
    </dataValidation>
    <dataValidation type="decimal" operator="greaterThanOrEqual" allowBlank="1" showInputMessage="1" showErrorMessage="1" sqref="R223">
      <formula1>0</formula1>
    </dataValidation>
    <dataValidation type="whole" allowBlank="1" showInputMessage="1" showErrorMessage="1" sqref="U223">
      <formula1>1</formula1>
      <formula2>5</formula2>
    </dataValidation>
    <dataValidation type="whole" allowBlank="1" showInputMessage="1" showErrorMessage="1" sqref="V223">
      <formula1>1</formula1>
      <formula2>5</formula2>
    </dataValidation>
    <dataValidation type="whole" allowBlank="1" showInputMessage="1" showErrorMessage="1" sqref="X223">
      <formula1>1</formula1>
      <formula2>5</formula2>
    </dataValidation>
    <dataValidation type="decimal" operator="greaterThanOrEqual" allowBlank="1" showInputMessage="1" showErrorMessage="1" sqref="Y223">
      <formula1>0</formula1>
    </dataValidation>
    <dataValidation type="whole" operator="greaterThanOrEqual" allowBlank="1" showInputMessage="1" showErrorMessage="1" sqref="Z223">
      <formula1>0</formula1>
    </dataValidation>
    <dataValidation type="whole" allowBlank="1" showInputMessage="1" showErrorMessage="1" sqref="AA223">
      <formula1>1</formula1>
      <formula2>5</formula2>
    </dataValidation>
    <dataValidation type="decimal" allowBlank="1" showInputMessage="1" showErrorMessage="1" sqref="AB223">
      <formula1>0</formula1>
      <formula2>1</formula2>
    </dataValidation>
    <dataValidation type="list" allowBlank="1" showInputMessage="1" showErrorMessage="1" sqref="O223">
      <formula1>liste_statuts</formula1>
    </dataValidation>
    <dataValidation type="list" allowBlank="1" showInputMessage="1" showErrorMessage="1" sqref="B224">
      <formula1>liste_programmes</formula1>
    </dataValidation>
    <dataValidation type="list" allowBlank="1" showInputMessage="1" showErrorMessage="1" sqref="D224">
      <formula1>liste_types</formula1>
    </dataValidation>
    <dataValidation type="list" allowBlank="1" showInputMessage="1" showErrorMessage="1" sqref="F224">
      <formula1>liste_categories</formula1>
    </dataValidation>
    <dataValidation type="list" allowBlank="1" showInputMessage="1" showErrorMessage="1" sqref="G224">
      <formula1>liste_responsables</formula1>
    </dataValidation>
    <dataValidation type="list" allowBlank="1" showInputMessage="1" showErrorMessage="1" sqref="H224">
      <formula1>liste_sites</formula1>
    </dataValidation>
    <dataValidation type="list" allowBlank="1" showInputMessage="1" showErrorMessage="1" sqref="I224">
      <formula1>liste_priorites</formula1>
    </dataValidation>
    <dataValidation type="date" operator="greaterThanOrEqual" allowBlank="1" showInputMessage="1" showErrorMessage="1" sqref="J224">
      <formula1>730120</formula1>
    </dataValidation>
    <dataValidation type="date" operator="greaterThanOrEqual" allowBlank="1" showInputMessage="1" showErrorMessage="1" sqref="K224">
      <formula1>730120</formula1>
    </dataValidation>
    <dataValidation type="date" operator="greaterThanOrEqual" allowBlank="1" showInputMessage="1" showErrorMessage="1" sqref="L224">
      <formula1>730120</formula1>
    </dataValidation>
    <dataValidation type="whole" allowBlank="1" showInputMessage="1" showErrorMessage="1" sqref="P224">
      <formula1>0</formula1>
      <formula2>100</formula2>
    </dataValidation>
    <dataValidation type="decimal" operator="greaterThanOrEqual" allowBlank="1" showInputMessage="1" showErrorMessage="1" sqref="Q224">
      <formula1>0</formula1>
    </dataValidation>
    <dataValidation type="decimal" operator="greaterThanOrEqual" allowBlank="1" showInputMessage="1" showErrorMessage="1" sqref="R224">
      <formula1>0</formula1>
    </dataValidation>
    <dataValidation type="whole" allowBlank="1" showInputMessage="1" showErrorMessage="1" sqref="U224">
      <formula1>1</formula1>
      <formula2>5</formula2>
    </dataValidation>
    <dataValidation type="whole" allowBlank="1" showInputMessage="1" showErrorMessage="1" sqref="V224">
      <formula1>1</formula1>
      <formula2>5</formula2>
    </dataValidation>
    <dataValidation type="whole" allowBlank="1" showInputMessage="1" showErrorMessage="1" sqref="X224">
      <formula1>1</formula1>
      <formula2>5</formula2>
    </dataValidation>
    <dataValidation type="decimal" operator="greaterThanOrEqual" allowBlank="1" showInputMessage="1" showErrorMessage="1" sqref="Y224">
      <formula1>0</formula1>
    </dataValidation>
    <dataValidation type="whole" operator="greaterThanOrEqual" allowBlank="1" showInputMessage="1" showErrorMessage="1" sqref="Z224">
      <formula1>0</formula1>
    </dataValidation>
    <dataValidation type="whole" allowBlank="1" showInputMessage="1" showErrorMessage="1" sqref="AA224">
      <formula1>1</formula1>
      <formula2>5</formula2>
    </dataValidation>
    <dataValidation type="decimal" allowBlank="1" showInputMessage="1" showErrorMessage="1" sqref="AB224">
      <formula1>0</formula1>
      <formula2>1</formula2>
    </dataValidation>
    <dataValidation type="list" allowBlank="1" showInputMessage="1" showErrorMessage="1" sqref="O224">
      <formula1>liste_statuts</formula1>
    </dataValidation>
    <dataValidation type="list" allowBlank="1" showInputMessage="1" showErrorMessage="1" sqref="B225">
      <formula1>liste_programmes</formula1>
    </dataValidation>
    <dataValidation type="list" allowBlank="1" showInputMessage="1" showErrorMessage="1" sqref="D225">
      <formula1>liste_types</formula1>
    </dataValidation>
    <dataValidation type="list" allowBlank="1" showInputMessage="1" showErrorMessage="1" sqref="F225">
      <formula1>liste_categories</formula1>
    </dataValidation>
    <dataValidation type="list" allowBlank="1" showInputMessage="1" showErrorMessage="1" sqref="G225">
      <formula1>liste_responsables</formula1>
    </dataValidation>
    <dataValidation type="list" allowBlank="1" showInputMessage="1" showErrorMessage="1" sqref="H225">
      <formula1>liste_sites</formula1>
    </dataValidation>
    <dataValidation type="list" allowBlank="1" showInputMessage="1" showErrorMessage="1" sqref="I225">
      <formula1>liste_priorites</formula1>
    </dataValidation>
    <dataValidation type="date" operator="greaterThanOrEqual" allowBlank="1" showInputMessage="1" showErrorMessage="1" sqref="J225">
      <formula1>730120</formula1>
    </dataValidation>
    <dataValidation type="date" operator="greaterThanOrEqual" allowBlank="1" showInputMessage="1" showErrorMessage="1" sqref="K225">
      <formula1>730120</formula1>
    </dataValidation>
    <dataValidation type="date" operator="greaterThanOrEqual" allowBlank="1" showInputMessage="1" showErrorMessage="1" sqref="L225">
      <formula1>730120</formula1>
    </dataValidation>
    <dataValidation type="whole" allowBlank="1" showInputMessage="1" showErrorMessage="1" sqref="P225">
      <formula1>0</formula1>
      <formula2>100</formula2>
    </dataValidation>
    <dataValidation type="decimal" operator="greaterThanOrEqual" allowBlank="1" showInputMessage="1" showErrorMessage="1" sqref="Q225">
      <formula1>0</formula1>
    </dataValidation>
    <dataValidation type="decimal" operator="greaterThanOrEqual" allowBlank="1" showInputMessage="1" showErrorMessage="1" sqref="R225">
      <formula1>0</formula1>
    </dataValidation>
    <dataValidation type="whole" allowBlank="1" showInputMessage="1" showErrorMessage="1" sqref="U225">
      <formula1>1</formula1>
      <formula2>5</formula2>
    </dataValidation>
    <dataValidation type="whole" allowBlank="1" showInputMessage="1" showErrorMessage="1" sqref="V225">
      <formula1>1</formula1>
      <formula2>5</formula2>
    </dataValidation>
    <dataValidation type="whole" allowBlank="1" showInputMessage="1" showErrorMessage="1" sqref="X225">
      <formula1>1</formula1>
      <formula2>5</formula2>
    </dataValidation>
    <dataValidation type="decimal" operator="greaterThanOrEqual" allowBlank="1" showInputMessage="1" showErrorMessage="1" sqref="Y225">
      <formula1>0</formula1>
    </dataValidation>
    <dataValidation type="whole" operator="greaterThanOrEqual" allowBlank="1" showInputMessage="1" showErrorMessage="1" sqref="Z225">
      <formula1>0</formula1>
    </dataValidation>
    <dataValidation type="whole" allowBlank="1" showInputMessage="1" showErrorMessage="1" sqref="AA225">
      <formula1>1</formula1>
      <formula2>5</formula2>
    </dataValidation>
    <dataValidation type="decimal" allowBlank="1" showInputMessage="1" showErrorMessage="1" sqref="AB225">
      <formula1>0</formula1>
      <formula2>1</formula2>
    </dataValidation>
    <dataValidation type="list" allowBlank="1" showInputMessage="1" showErrorMessage="1" sqref="O225">
      <formula1>liste_statuts</formula1>
    </dataValidation>
    <dataValidation type="list" allowBlank="1" showInputMessage="1" showErrorMessage="1" sqref="B226">
      <formula1>liste_programmes</formula1>
    </dataValidation>
    <dataValidation type="list" allowBlank="1" showInputMessage="1" showErrorMessage="1" sqref="D226">
      <formula1>liste_types</formula1>
    </dataValidation>
    <dataValidation type="list" allowBlank="1" showInputMessage="1" showErrorMessage="1" sqref="F226">
      <formula1>liste_categories</formula1>
    </dataValidation>
    <dataValidation type="list" allowBlank="1" showInputMessage="1" showErrorMessage="1" sqref="G226">
      <formula1>liste_responsables</formula1>
    </dataValidation>
    <dataValidation type="list" allowBlank="1" showInputMessage="1" showErrorMessage="1" sqref="H226">
      <formula1>liste_sites</formula1>
    </dataValidation>
    <dataValidation type="list" allowBlank="1" showInputMessage="1" showErrorMessage="1" sqref="I226">
      <formula1>liste_priorites</formula1>
    </dataValidation>
    <dataValidation type="date" operator="greaterThanOrEqual" allowBlank="1" showInputMessage="1" showErrorMessage="1" sqref="J226">
      <formula1>730120</formula1>
    </dataValidation>
    <dataValidation type="date" operator="greaterThanOrEqual" allowBlank="1" showInputMessage="1" showErrorMessage="1" sqref="K226">
      <formula1>730120</formula1>
    </dataValidation>
    <dataValidation type="date" operator="greaterThanOrEqual" allowBlank="1" showInputMessage="1" showErrorMessage="1" sqref="L226">
      <formula1>730120</formula1>
    </dataValidation>
    <dataValidation type="whole" allowBlank="1" showInputMessage="1" showErrorMessage="1" sqref="P226">
      <formula1>0</formula1>
      <formula2>100</formula2>
    </dataValidation>
    <dataValidation type="decimal" operator="greaterThanOrEqual" allowBlank="1" showInputMessage="1" showErrorMessage="1" sqref="Q226">
      <formula1>0</formula1>
    </dataValidation>
    <dataValidation type="decimal" operator="greaterThanOrEqual" allowBlank="1" showInputMessage="1" showErrorMessage="1" sqref="R226">
      <formula1>0</formula1>
    </dataValidation>
    <dataValidation type="whole" allowBlank="1" showInputMessage="1" showErrorMessage="1" sqref="U226">
      <formula1>1</formula1>
      <formula2>5</formula2>
    </dataValidation>
    <dataValidation type="whole" allowBlank="1" showInputMessage="1" showErrorMessage="1" sqref="V226">
      <formula1>1</formula1>
      <formula2>5</formula2>
    </dataValidation>
    <dataValidation type="whole" allowBlank="1" showInputMessage="1" showErrorMessage="1" sqref="X226">
      <formula1>1</formula1>
      <formula2>5</formula2>
    </dataValidation>
    <dataValidation type="decimal" operator="greaterThanOrEqual" allowBlank="1" showInputMessage="1" showErrorMessage="1" sqref="Y226">
      <formula1>0</formula1>
    </dataValidation>
    <dataValidation type="whole" operator="greaterThanOrEqual" allowBlank="1" showInputMessage="1" showErrorMessage="1" sqref="Z226">
      <formula1>0</formula1>
    </dataValidation>
    <dataValidation type="whole" allowBlank="1" showInputMessage="1" showErrorMessage="1" sqref="AA226">
      <formula1>1</formula1>
      <formula2>5</formula2>
    </dataValidation>
    <dataValidation type="decimal" allowBlank="1" showInputMessage="1" showErrorMessage="1" sqref="AB226">
      <formula1>0</formula1>
      <formula2>1</formula2>
    </dataValidation>
    <dataValidation type="list" allowBlank="1" showInputMessage="1" showErrorMessage="1" sqref="O226">
      <formula1>liste_statuts</formula1>
    </dataValidation>
    <dataValidation type="list" allowBlank="1" showInputMessage="1" showErrorMessage="1" sqref="B227">
      <formula1>liste_programmes</formula1>
    </dataValidation>
    <dataValidation type="list" allowBlank="1" showInputMessage="1" showErrorMessage="1" sqref="D227">
      <formula1>liste_types</formula1>
    </dataValidation>
    <dataValidation type="list" allowBlank="1" showInputMessage="1" showErrorMessage="1" sqref="F227">
      <formula1>liste_categories</formula1>
    </dataValidation>
    <dataValidation type="list" allowBlank="1" showInputMessage="1" showErrorMessage="1" sqref="G227">
      <formula1>liste_responsables</formula1>
    </dataValidation>
    <dataValidation type="list" allowBlank="1" showInputMessage="1" showErrorMessage="1" sqref="H227">
      <formula1>liste_sites</formula1>
    </dataValidation>
    <dataValidation type="list" allowBlank="1" showInputMessage="1" showErrorMessage="1" sqref="I227">
      <formula1>liste_priorites</formula1>
    </dataValidation>
    <dataValidation type="date" operator="greaterThanOrEqual" allowBlank="1" showInputMessage="1" showErrorMessage="1" sqref="J227">
      <formula1>730120</formula1>
    </dataValidation>
    <dataValidation type="date" operator="greaterThanOrEqual" allowBlank="1" showInputMessage="1" showErrorMessage="1" sqref="K227">
      <formula1>730120</formula1>
    </dataValidation>
    <dataValidation type="date" operator="greaterThanOrEqual" allowBlank="1" showInputMessage="1" showErrorMessage="1" sqref="L227">
      <formula1>730120</formula1>
    </dataValidation>
    <dataValidation type="whole" allowBlank="1" showInputMessage="1" showErrorMessage="1" sqref="P227">
      <formula1>0</formula1>
      <formula2>100</formula2>
    </dataValidation>
    <dataValidation type="decimal" operator="greaterThanOrEqual" allowBlank="1" showInputMessage="1" showErrorMessage="1" sqref="Q227">
      <formula1>0</formula1>
    </dataValidation>
    <dataValidation type="decimal" operator="greaterThanOrEqual" allowBlank="1" showInputMessage="1" showErrorMessage="1" sqref="R227">
      <formula1>0</formula1>
    </dataValidation>
    <dataValidation type="whole" allowBlank="1" showInputMessage="1" showErrorMessage="1" sqref="U227">
      <formula1>1</formula1>
      <formula2>5</formula2>
    </dataValidation>
    <dataValidation type="whole" allowBlank="1" showInputMessage="1" showErrorMessage="1" sqref="V227">
      <formula1>1</formula1>
      <formula2>5</formula2>
    </dataValidation>
    <dataValidation type="whole" allowBlank="1" showInputMessage="1" showErrorMessage="1" sqref="X227">
      <formula1>1</formula1>
      <formula2>5</formula2>
    </dataValidation>
    <dataValidation type="decimal" operator="greaterThanOrEqual" allowBlank="1" showInputMessage="1" showErrorMessage="1" sqref="Y227">
      <formula1>0</formula1>
    </dataValidation>
    <dataValidation type="whole" operator="greaterThanOrEqual" allowBlank="1" showInputMessage="1" showErrorMessage="1" sqref="Z227">
      <formula1>0</formula1>
    </dataValidation>
    <dataValidation type="whole" allowBlank="1" showInputMessage="1" showErrorMessage="1" sqref="AA227">
      <formula1>1</formula1>
      <formula2>5</formula2>
    </dataValidation>
    <dataValidation type="decimal" allowBlank="1" showInputMessage="1" showErrorMessage="1" sqref="AB227">
      <formula1>0</formula1>
      <formula2>1</formula2>
    </dataValidation>
    <dataValidation type="list" allowBlank="1" showInputMessage="1" showErrorMessage="1" sqref="O227">
      <formula1>liste_statuts</formula1>
    </dataValidation>
    <dataValidation type="list" allowBlank="1" showInputMessage="1" showErrorMessage="1" sqref="B228">
      <formula1>liste_programmes</formula1>
    </dataValidation>
    <dataValidation type="list" allowBlank="1" showInputMessage="1" showErrorMessage="1" sqref="D228">
      <formula1>liste_types</formula1>
    </dataValidation>
    <dataValidation type="list" allowBlank="1" showInputMessage="1" showErrorMessage="1" sqref="F228">
      <formula1>liste_categories</formula1>
    </dataValidation>
    <dataValidation type="list" allowBlank="1" showInputMessage="1" showErrorMessage="1" sqref="G228">
      <formula1>liste_responsables</formula1>
    </dataValidation>
    <dataValidation type="list" allowBlank="1" showInputMessage="1" showErrorMessage="1" sqref="H228">
      <formula1>liste_sites</formula1>
    </dataValidation>
    <dataValidation type="list" allowBlank="1" showInputMessage="1" showErrorMessage="1" sqref="I228">
      <formula1>liste_priorites</formula1>
    </dataValidation>
    <dataValidation type="date" operator="greaterThanOrEqual" allowBlank="1" showInputMessage="1" showErrorMessage="1" sqref="J228">
      <formula1>730120</formula1>
    </dataValidation>
    <dataValidation type="date" operator="greaterThanOrEqual" allowBlank="1" showInputMessage="1" showErrorMessage="1" sqref="K228">
      <formula1>730120</formula1>
    </dataValidation>
    <dataValidation type="date" operator="greaterThanOrEqual" allowBlank="1" showInputMessage="1" showErrorMessage="1" sqref="L228">
      <formula1>730120</formula1>
    </dataValidation>
    <dataValidation type="whole" allowBlank="1" showInputMessage="1" showErrorMessage="1" sqref="P228">
      <formula1>0</formula1>
      <formula2>100</formula2>
    </dataValidation>
    <dataValidation type="decimal" operator="greaterThanOrEqual" allowBlank="1" showInputMessage="1" showErrorMessage="1" sqref="Q228">
      <formula1>0</formula1>
    </dataValidation>
    <dataValidation type="decimal" operator="greaterThanOrEqual" allowBlank="1" showInputMessage="1" showErrorMessage="1" sqref="R228">
      <formula1>0</formula1>
    </dataValidation>
    <dataValidation type="whole" allowBlank="1" showInputMessage="1" showErrorMessage="1" sqref="U228">
      <formula1>1</formula1>
      <formula2>5</formula2>
    </dataValidation>
    <dataValidation type="whole" allowBlank="1" showInputMessage="1" showErrorMessage="1" sqref="V228">
      <formula1>1</formula1>
      <formula2>5</formula2>
    </dataValidation>
    <dataValidation type="whole" allowBlank="1" showInputMessage="1" showErrorMessage="1" sqref="X228">
      <formula1>1</formula1>
      <formula2>5</formula2>
    </dataValidation>
    <dataValidation type="decimal" operator="greaterThanOrEqual" allowBlank="1" showInputMessage="1" showErrorMessage="1" sqref="Y228">
      <formula1>0</formula1>
    </dataValidation>
    <dataValidation type="whole" operator="greaterThanOrEqual" allowBlank="1" showInputMessage="1" showErrorMessage="1" sqref="Z228">
      <formula1>0</formula1>
    </dataValidation>
    <dataValidation type="whole" allowBlank="1" showInputMessage="1" showErrorMessage="1" sqref="AA228">
      <formula1>1</formula1>
      <formula2>5</formula2>
    </dataValidation>
    <dataValidation type="decimal" allowBlank="1" showInputMessage="1" showErrorMessage="1" sqref="AB228">
      <formula1>0</formula1>
      <formula2>1</formula2>
    </dataValidation>
    <dataValidation type="list" allowBlank="1" showInputMessage="1" showErrorMessage="1" sqref="O228">
      <formula1>liste_statuts</formula1>
    </dataValidation>
    <dataValidation type="list" allowBlank="1" showInputMessage="1" showErrorMessage="1" sqref="B229">
      <formula1>liste_programmes</formula1>
    </dataValidation>
    <dataValidation type="list" allowBlank="1" showInputMessage="1" showErrorMessage="1" sqref="D229">
      <formula1>liste_types</formula1>
    </dataValidation>
    <dataValidation type="list" allowBlank="1" showInputMessage="1" showErrorMessage="1" sqref="F229">
      <formula1>liste_categories</formula1>
    </dataValidation>
    <dataValidation type="list" allowBlank="1" showInputMessage="1" showErrorMessage="1" sqref="G229">
      <formula1>liste_responsables</formula1>
    </dataValidation>
    <dataValidation type="list" allowBlank="1" showInputMessage="1" showErrorMessage="1" sqref="H229">
      <formula1>liste_sites</formula1>
    </dataValidation>
    <dataValidation type="list" allowBlank="1" showInputMessage="1" showErrorMessage="1" sqref="I229">
      <formula1>liste_priorites</formula1>
    </dataValidation>
    <dataValidation type="date" operator="greaterThanOrEqual" allowBlank="1" showInputMessage="1" showErrorMessage="1" sqref="J229">
      <formula1>730120</formula1>
    </dataValidation>
    <dataValidation type="date" operator="greaterThanOrEqual" allowBlank="1" showInputMessage="1" showErrorMessage="1" sqref="K229">
      <formula1>730120</formula1>
    </dataValidation>
    <dataValidation type="date" operator="greaterThanOrEqual" allowBlank="1" showInputMessage="1" showErrorMessage="1" sqref="L229">
      <formula1>730120</formula1>
    </dataValidation>
    <dataValidation type="whole" allowBlank="1" showInputMessage="1" showErrorMessage="1" sqref="P229">
      <formula1>0</formula1>
      <formula2>100</formula2>
    </dataValidation>
    <dataValidation type="decimal" operator="greaterThanOrEqual" allowBlank="1" showInputMessage="1" showErrorMessage="1" sqref="Q229">
      <formula1>0</formula1>
    </dataValidation>
    <dataValidation type="decimal" operator="greaterThanOrEqual" allowBlank="1" showInputMessage="1" showErrorMessage="1" sqref="R229">
      <formula1>0</formula1>
    </dataValidation>
    <dataValidation type="whole" allowBlank="1" showInputMessage="1" showErrorMessage="1" sqref="U229">
      <formula1>1</formula1>
      <formula2>5</formula2>
    </dataValidation>
    <dataValidation type="whole" allowBlank="1" showInputMessage="1" showErrorMessage="1" sqref="V229">
      <formula1>1</formula1>
      <formula2>5</formula2>
    </dataValidation>
    <dataValidation type="whole" allowBlank="1" showInputMessage="1" showErrorMessage="1" sqref="X229">
      <formula1>1</formula1>
      <formula2>5</formula2>
    </dataValidation>
    <dataValidation type="decimal" operator="greaterThanOrEqual" allowBlank="1" showInputMessage="1" showErrorMessage="1" sqref="Y229">
      <formula1>0</formula1>
    </dataValidation>
    <dataValidation type="whole" operator="greaterThanOrEqual" allowBlank="1" showInputMessage="1" showErrorMessage="1" sqref="Z229">
      <formula1>0</formula1>
    </dataValidation>
    <dataValidation type="whole" allowBlank="1" showInputMessage="1" showErrorMessage="1" sqref="AA229">
      <formula1>1</formula1>
      <formula2>5</formula2>
    </dataValidation>
    <dataValidation type="decimal" allowBlank="1" showInputMessage="1" showErrorMessage="1" sqref="AB229">
      <formula1>0</formula1>
      <formula2>1</formula2>
    </dataValidation>
    <dataValidation type="list" allowBlank="1" showInputMessage="1" showErrorMessage="1" sqref="O229">
      <formula1>liste_statuts</formula1>
    </dataValidation>
    <dataValidation type="list" allowBlank="1" showInputMessage="1" showErrorMessage="1" sqref="B230">
      <formula1>liste_programmes</formula1>
    </dataValidation>
    <dataValidation type="list" allowBlank="1" showInputMessage="1" showErrorMessage="1" sqref="D230">
      <formula1>liste_types</formula1>
    </dataValidation>
    <dataValidation type="list" allowBlank="1" showInputMessage="1" showErrorMessage="1" sqref="F230">
      <formula1>liste_categories</formula1>
    </dataValidation>
    <dataValidation type="list" allowBlank="1" showInputMessage="1" showErrorMessage="1" sqref="G230">
      <formula1>liste_responsables</formula1>
    </dataValidation>
    <dataValidation type="list" allowBlank="1" showInputMessage="1" showErrorMessage="1" sqref="H230">
      <formula1>liste_sites</formula1>
    </dataValidation>
    <dataValidation type="list" allowBlank="1" showInputMessage="1" showErrorMessage="1" sqref="I230">
      <formula1>liste_priorites</formula1>
    </dataValidation>
    <dataValidation type="date" operator="greaterThanOrEqual" allowBlank="1" showInputMessage="1" showErrorMessage="1" sqref="J230">
      <formula1>730120</formula1>
    </dataValidation>
    <dataValidation type="date" operator="greaterThanOrEqual" allowBlank="1" showInputMessage="1" showErrorMessage="1" sqref="K230">
      <formula1>730120</formula1>
    </dataValidation>
    <dataValidation type="date" operator="greaterThanOrEqual" allowBlank="1" showInputMessage="1" showErrorMessage="1" sqref="L230">
      <formula1>730120</formula1>
    </dataValidation>
    <dataValidation type="whole" allowBlank="1" showInputMessage="1" showErrorMessage="1" sqref="P230">
      <formula1>0</formula1>
      <formula2>100</formula2>
    </dataValidation>
    <dataValidation type="decimal" operator="greaterThanOrEqual" allowBlank="1" showInputMessage="1" showErrorMessage="1" sqref="Q230">
      <formula1>0</formula1>
    </dataValidation>
    <dataValidation type="decimal" operator="greaterThanOrEqual" allowBlank="1" showInputMessage="1" showErrorMessage="1" sqref="R230">
      <formula1>0</formula1>
    </dataValidation>
    <dataValidation type="whole" allowBlank="1" showInputMessage="1" showErrorMessage="1" sqref="U230">
      <formula1>1</formula1>
      <formula2>5</formula2>
    </dataValidation>
    <dataValidation type="whole" allowBlank="1" showInputMessage="1" showErrorMessage="1" sqref="V230">
      <formula1>1</formula1>
      <formula2>5</formula2>
    </dataValidation>
    <dataValidation type="whole" allowBlank="1" showInputMessage="1" showErrorMessage="1" sqref="X230">
      <formula1>1</formula1>
      <formula2>5</formula2>
    </dataValidation>
    <dataValidation type="decimal" operator="greaterThanOrEqual" allowBlank="1" showInputMessage="1" showErrorMessage="1" sqref="Y230">
      <formula1>0</formula1>
    </dataValidation>
    <dataValidation type="whole" operator="greaterThanOrEqual" allowBlank="1" showInputMessage="1" showErrorMessage="1" sqref="Z230">
      <formula1>0</formula1>
    </dataValidation>
    <dataValidation type="whole" allowBlank="1" showInputMessage="1" showErrorMessage="1" sqref="AA230">
      <formula1>1</formula1>
      <formula2>5</formula2>
    </dataValidation>
    <dataValidation type="decimal" allowBlank="1" showInputMessage="1" showErrorMessage="1" sqref="AB230">
      <formula1>0</formula1>
      <formula2>1</formula2>
    </dataValidation>
    <dataValidation type="list" allowBlank="1" showInputMessage="1" showErrorMessage="1" sqref="O230">
      <formula1>liste_statuts</formula1>
    </dataValidation>
    <dataValidation type="list" allowBlank="1" showInputMessage="1" showErrorMessage="1" sqref="B231">
      <formula1>liste_programmes</formula1>
    </dataValidation>
    <dataValidation type="list" allowBlank="1" showInputMessage="1" showErrorMessage="1" sqref="D231">
      <formula1>liste_types</formula1>
    </dataValidation>
    <dataValidation type="list" allowBlank="1" showInputMessage="1" showErrorMessage="1" sqref="F231">
      <formula1>liste_categories</formula1>
    </dataValidation>
    <dataValidation type="list" allowBlank="1" showInputMessage="1" showErrorMessage="1" sqref="G231">
      <formula1>liste_responsables</formula1>
    </dataValidation>
    <dataValidation type="list" allowBlank="1" showInputMessage="1" showErrorMessage="1" sqref="H231">
      <formula1>liste_sites</formula1>
    </dataValidation>
    <dataValidation type="list" allowBlank="1" showInputMessage="1" showErrorMessage="1" sqref="I231">
      <formula1>liste_priorites</formula1>
    </dataValidation>
    <dataValidation type="date" operator="greaterThanOrEqual" allowBlank="1" showInputMessage="1" showErrorMessage="1" sqref="J231">
      <formula1>730120</formula1>
    </dataValidation>
    <dataValidation type="date" operator="greaterThanOrEqual" allowBlank="1" showInputMessage="1" showErrorMessage="1" sqref="K231">
      <formula1>730120</formula1>
    </dataValidation>
    <dataValidation type="date" operator="greaterThanOrEqual" allowBlank="1" showInputMessage="1" showErrorMessage="1" sqref="L231">
      <formula1>730120</formula1>
    </dataValidation>
    <dataValidation type="whole" allowBlank="1" showInputMessage="1" showErrorMessage="1" sqref="P231">
      <formula1>0</formula1>
      <formula2>100</formula2>
    </dataValidation>
    <dataValidation type="decimal" operator="greaterThanOrEqual" allowBlank="1" showInputMessage="1" showErrorMessage="1" sqref="Q231">
      <formula1>0</formula1>
    </dataValidation>
    <dataValidation type="decimal" operator="greaterThanOrEqual" allowBlank="1" showInputMessage="1" showErrorMessage="1" sqref="R231">
      <formula1>0</formula1>
    </dataValidation>
    <dataValidation type="whole" allowBlank="1" showInputMessage="1" showErrorMessage="1" sqref="U231">
      <formula1>1</formula1>
      <formula2>5</formula2>
    </dataValidation>
    <dataValidation type="whole" allowBlank="1" showInputMessage="1" showErrorMessage="1" sqref="V231">
      <formula1>1</formula1>
      <formula2>5</formula2>
    </dataValidation>
    <dataValidation type="whole" allowBlank="1" showInputMessage="1" showErrorMessage="1" sqref="X231">
      <formula1>1</formula1>
      <formula2>5</formula2>
    </dataValidation>
    <dataValidation type="decimal" operator="greaterThanOrEqual" allowBlank="1" showInputMessage="1" showErrorMessage="1" sqref="Y231">
      <formula1>0</formula1>
    </dataValidation>
    <dataValidation type="whole" operator="greaterThanOrEqual" allowBlank="1" showInputMessage="1" showErrorMessage="1" sqref="Z231">
      <formula1>0</formula1>
    </dataValidation>
    <dataValidation type="whole" allowBlank="1" showInputMessage="1" showErrorMessage="1" sqref="AA231">
      <formula1>1</formula1>
      <formula2>5</formula2>
    </dataValidation>
    <dataValidation type="decimal" allowBlank="1" showInputMessage="1" showErrorMessage="1" sqref="AB231">
      <formula1>0</formula1>
      <formula2>1</formula2>
    </dataValidation>
    <dataValidation type="list" allowBlank="1" showInputMessage="1" showErrorMessage="1" sqref="O231">
      <formula1>liste_statuts</formula1>
    </dataValidation>
    <dataValidation type="list" allowBlank="1" showInputMessage="1" showErrorMessage="1" sqref="B232">
      <formula1>liste_programmes</formula1>
    </dataValidation>
    <dataValidation type="list" allowBlank="1" showInputMessage="1" showErrorMessage="1" sqref="D232">
      <formula1>liste_types</formula1>
    </dataValidation>
    <dataValidation type="list" allowBlank="1" showInputMessage="1" showErrorMessage="1" sqref="F232">
      <formula1>liste_categories</formula1>
    </dataValidation>
    <dataValidation type="list" allowBlank="1" showInputMessage="1" showErrorMessage="1" sqref="G232">
      <formula1>liste_responsables</formula1>
    </dataValidation>
    <dataValidation type="list" allowBlank="1" showInputMessage="1" showErrorMessage="1" sqref="H232">
      <formula1>liste_sites</formula1>
    </dataValidation>
    <dataValidation type="list" allowBlank="1" showInputMessage="1" showErrorMessage="1" sqref="I232">
      <formula1>liste_priorites</formula1>
    </dataValidation>
    <dataValidation type="date" operator="greaterThanOrEqual" allowBlank="1" showInputMessage="1" showErrorMessage="1" sqref="J232">
      <formula1>730120</formula1>
    </dataValidation>
    <dataValidation type="date" operator="greaterThanOrEqual" allowBlank="1" showInputMessage="1" showErrorMessage="1" sqref="K232">
      <formula1>730120</formula1>
    </dataValidation>
    <dataValidation type="date" operator="greaterThanOrEqual" allowBlank="1" showInputMessage="1" showErrorMessage="1" sqref="L232">
      <formula1>730120</formula1>
    </dataValidation>
    <dataValidation type="whole" allowBlank="1" showInputMessage="1" showErrorMessage="1" sqref="P232">
      <formula1>0</formula1>
      <formula2>100</formula2>
    </dataValidation>
    <dataValidation type="decimal" operator="greaterThanOrEqual" allowBlank="1" showInputMessage="1" showErrorMessage="1" sqref="Q232">
      <formula1>0</formula1>
    </dataValidation>
    <dataValidation type="decimal" operator="greaterThanOrEqual" allowBlank="1" showInputMessage="1" showErrorMessage="1" sqref="R232">
      <formula1>0</formula1>
    </dataValidation>
    <dataValidation type="whole" allowBlank="1" showInputMessage="1" showErrorMessage="1" sqref="U232">
      <formula1>1</formula1>
      <formula2>5</formula2>
    </dataValidation>
    <dataValidation type="whole" allowBlank="1" showInputMessage="1" showErrorMessage="1" sqref="V232">
      <formula1>1</formula1>
      <formula2>5</formula2>
    </dataValidation>
    <dataValidation type="whole" allowBlank="1" showInputMessage="1" showErrorMessage="1" sqref="X232">
      <formula1>1</formula1>
      <formula2>5</formula2>
    </dataValidation>
    <dataValidation type="decimal" operator="greaterThanOrEqual" allowBlank="1" showInputMessage="1" showErrorMessage="1" sqref="Y232">
      <formula1>0</formula1>
    </dataValidation>
    <dataValidation type="whole" operator="greaterThanOrEqual" allowBlank="1" showInputMessage="1" showErrorMessage="1" sqref="Z232">
      <formula1>0</formula1>
    </dataValidation>
    <dataValidation type="whole" allowBlank="1" showInputMessage="1" showErrorMessage="1" sqref="AA232">
      <formula1>1</formula1>
      <formula2>5</formula2>
    </dataValidation>
    <dataValidation type="decimal" allowBlank="1" showInputMessage="1" showErrorMessage="1" sqref="AB232">
      <formula1>0</formula1>
      <formula2>1</formula2>
    </dataValidation>
    <dataValidation type="list" allowBlank="1" showInputMessage="1" showErrorMessage="1" sqref="O232">
      <formula1>liste_statuts</formula1>
    </dataValidation>
    <dataValidation type="list" allowBlank="1" showInputMessage="1" showErrorMessage="1" sqref="B233">
      <formula1>liste_programmes</formula1>
    </dataValidation>
    <dataValidation type="list" allowBlank="1" showInputMessage="1" showErrorMessage="1" sqref="D233">
      <formula1>liste_types</formula1>
    </dataValidation>
    <dataValidation type="list" allowBlank="1" showInputMessage="1" showErrorMessage="1" sqref="F233">
      <formula1>liste_categories</formula1>
    </dataValidation>
    <dataValidation type="list" allowBlank="1" showInputMessage="1" showErrorMessage="1" sqref="G233">
      <formula1>liste_responsables</formula1>
    </dataValidation>
    <dataValidation type="list" allowBlank="1" showInputMessage="1" showErrorMessage="1" sqref="H233">
      <formula1>liste_sites</formula1>
    </dataValidation>
    <dataValidation type="list" allowBlank="1" showInputMessage="1" showErrorMessage="1" sqref="I233">
      <formula1>liste_priorites</formula1>
    </dataValidation>
    <dataValidation type="date" operator="greaterThanOrEqual" allowBlank="1" showInputMessage="1" showErrorMessage="1" sqref="J233">
      <formula1>730120</formula1>
    </dataValidation>
    <dataValidation type="date" operator="greaterThanOrEqual" allowBlank="1" showInputMessage="1" showErrorMessage="1" sqref="K233">
      <formula1>730120</formula1>
    </dataValidation>
    <dataValidation type="date" operator="greaterThanOrEqual" allowBlank="1" showInputMessage="1" showErrorMessage="1" sqref="L233">
      <formula1>730120</formula1>
    </dataValidation>
    <dataValidation type="whole" allowBlank="1" showInputMessage="1" showErrorMessage="1" sqref="P233">
      <formula1>0</formula1>
      <formula2>100</formula2>
    </dataValidation>
    <dataValidation type="decimal" operator="greaterThanOrEqual" allowBlank="1" showInputMessage="1" showErrorMessage="1" sqref="Q233">
      <formula1>0</formula1>
    </dataValidation>
    <dataValidation type="decimal" operator="greaterThanOrEqual" allowBlank="1" showInputMessage="1" showErrorMessage="1" sqref="R233">
      <formula1>0</formula1>
    </dataValidation>
    <dataValidation type="whole" allowBlank="1" showInputMessage="1" showErrorMessage="1" sqref="U233">
      <formula1>1</formula1>
      <formula2>5</formula2>
    </dataValidation>
    <dataValidation type="whole" allowBlank="1" showInputMessage="1" showErrorMessage="1" sqref="V233">
      <formula1>1</formula1>
      <formula2>5</formula2>
    </dataValidation>
    <dataValidation type="whole" allowBlank="1" showInputMessage="1" showErrorMessage="1" sqref="X233">
      <formula1>1</formula1>
      <formula2>5</formula2>
    </dataValidation>
    <dataValidation type="decimal" operator="greaterThanOrEqual" allowBlank="1" showInputMessage="1" showErrorMessage="1" sqref="Y233">
      <formula1>0</formula1>
    </dataValidation>
    <dataValidation type="whole" operator="greaterThanOrEqual" allowBlank="1" showInputMessage="1" showErrorMessage="1" sqref="Z233">
      <formula1>0</formula1>
    </dataValidation>
    <dataValidation type="whole" allowBlank="1" showInputMessage="1" showErrorMessage="1" sqref="AA233">
      <formula1>1</formula1>
      <formula2>5</formula2>
    </dataValidation>
    <dataValidation type="decimal" allowBlank="1" showInputMessage="1" showErrorMessage="1" sqref="AB233">
      <formula1>0</formula1>
      <formula2>1</formula2>
    </dataValidation>
    <dataValidation type="list" allowBlank="1" showInputMessage="1" showErrorMessage="1" sqref="O233">
      <formula1>liste_statuts</formula1>
    </dataValidation>
    <dataValidation type="list" allowBlank="1" showInputMessage="1" showErrorMessage="1" sqref="B234">
      <formula1>liste_programmes</formula1>
    </dataValidation>
    <dataValidation type="list" allowBlank="1" showInputMessage="1" showErrorMessage="1" sqref="D234">
      <formula1>liste_types</formula1>
    </dataValidation>
    <dataValidation type="list" allowBlank="1" showInputMessage="1" showErrorMessage="1" sqref="F234">
      <formula1>liste_categories</formula1>
    </dataValidation>
    <dataValidation type="list" allowBlank="1" showInputMessage="1" showErrorMessage="1" sqref="G234">
      <formula1>liste_responsables</formula1>
    </dataValidation>
    <dataValidation type="list" allowBlank="1" showInputMessage="1" showErrorMessage="1" sqref="H234">
      <formula1>liste_sites</formula1>
    </dataValidation>
    <dataValidation type="list" allowBlank="1" showInputMessage="1" showErrorMessage="1" sqref="I234">
      <formula1>liste_priorites</formula1>
    </dataValidation>
    <dataValidation type="date" operator="greaterThanOrEqual" allowBlank="1" showInputMessage="1" showErrorMessage="1" sqref="J234">
      <formula1>730120</formula1>
    </dataValidation>
    <dataValidation type="date" operator="greaterThanOrEqual" allowBlank="1" showInputMessage="1" showErrorMessage="1" sqref="K234">
      <formula1>730120</formula1>
    </dataValidation>
    <dataValidation type="date" operator="greaterThanOrEqual" allowBlank="1" showInputMessage="1" showErrorMessage="1" sqref="L234">
      <formula1>730120</formula1>
    </dataValidation>
    <dataValidation type="whole" allowBlank="1" showInputMessage="1" showErrorMessage="1" sqref="P234">
      <formula1>0</formula1>
      <formula2>100</formula2>
    </dataValidation>
    <dataValidation type="decimal" operator="greaterThanOrEqual" allowBlank="1" showInputMessage="1" showErrorMessage="1" sqref="Q234">
      <formula1>0</formula1>
    </dataValidation>
    <dataValidation type="decimal" operator="greaterThanOrEqual" allowBlank="1" showInputMessage="1" showErrorMessage="1" sqref="R234">
      <formula1>0</formula1>
    </dataValidation>
    <dataValidation type="whole" allowBlank="1" showInputMessage="1" showErrorMessage="1" sqref="U234">
      <formula1>1</formula1>
      <formula2>5</formula2>
    </dataValidation>
    <dataValidation type="whole" allowBlank="1" showInputMessage="1" showErrorMessage="1" sqref="V234">
      <formula1>1</formula1>
      <formula2>5</formula2>
    </dataValidation>
    <dataValidation type="whole" allowBlank="1" showInputMessage="1" showErrorMessage="1" sqref="X234">
      <formula1>1</formula1>
      <formula2>5</formula2>
    </dataValidation>
    <dataValidation type="decimal" operator="greaterThanOrEqual" allowBlank="1" showInputMessage="1" showErrorMessage="1" sqref="Y234">
      <formula1>0</formula1>
    </dataValidation>
    <dataValidation type="whole" operator="greaterThanOrEqual" allowBlank="1" showInputMessage="1" showErrorMessage="1" sqref="Z234">
      <formula1>0</formula1>
    </dataValidation>
    <dataValidation type="whole" allowBlank="1" showInputMessage="1" showErrorMessage="1" sqref="AA234">
      <formula1>1</formula1>
      <formula2>5</formula2>
    </dataValidation>
    <dataValidation type="decimal" allowBlank="1" showInputMessage="1" showErrorMessage="1" sqref="AB234">
      <formula1>0</formula1>
      <formula2>1</formula2>
    </dataValidation>
    <dataValidation type="list" allowBlank="1" showInputMessage="1" showErrorMessage="1" sqref="O234">
      <formula1>liste_statuts</formula1>
    </dataValidation>
    <dataValidation type="list" allowBlank="1" showInputMessage="1" showErrorMessage="1" sqref="B235">
      <formula1>liste_programmes</formula1>
    </dataValidation>
    <dataValidation type="list" allowBlank="1" showInputMessage="1" showErrorMessage="1" sqref="D235">
      <formula1>liste_types</formula1>
    </dataValidation>
    <dataValidation type="list" allowBlank="1" showInputMessage="1" showErrorMessage="1" sqref="F235">
      <formula1>liste_categories</formula1>
    </dataValidation>
    <dataValidation type="list" allowBlank="1" showInputMessage="1" showErrorMessage="1" sqref="G235">
      <formula1>liste_responsables</formula1>
    </dataValidation>
    <dataValidation type="list" allowBlank="1" showInputMessage="1" showErrorMessage="1" sqref="H235">
      <formula1>liste_sites</formula1>
    </dataValidation>
    <dataValidation type="list" allowBlank="1" showInputMessage="1" showErrorMessage="1" sqref="I235">
      <formula1>liste_priorites</formula1>
    </dataValidation>
    <dataValidation type="date" operator="greaterThanOrEqual" allowBlank="1" showInputMessage="1" showErrorMessage="1" sqref="J235">
      <formula1>730120</formula1>
    </dataValidation>
    <dataValidation type="date" operator="greaterThanOrEqual" allowBlank="1" showInputMessage="1" showErrorMessage="1" sqref="K235">
      <formula1>730120</formula1>
    </dataValidation>
    <dataValidation type="date" operator="greaterThanOrEqual" allowBlank="1" showInputMessage="1" showErrorMessage="1" sqref="L235">
      <formula1>730120</formula1>
    </dataValidation>
    <dataValidation type="whole" allowBlank="1" showInputMessage="1" showErrorMessage="1" sqref="P235">
      <formula1>0</formula1>
      <formula2>100</formula2>
    </dataValidation>
    <dataValidation type="decimal" operator="greaterThanOrEqual" allowBlank="1" showInputMessage="1" showErrorMessage="1" sqref="Q235">
      <formula1>0</formula1>
    </dataValidation>
    <dataValidation type="decimal" operator="greaterThanOrEqual" allowBlank="1" showInputMessage="1" showErrorMessage="1" sqref="R235">
      <formula1>0</formula1>
    </dataValidation>
    <dataValidation type="whole" allowBlank="1" showInputMessage="1" showErrorMessage="1" sqref="U235">
      <formula1>1</formula1>
      <formula2>5</formula2>
    </dataValidation>
    <dataValidation type="whole" allowBlank="1" showInputMessage="1" showErrorMessage="1" sqref="V235">
      <formula1>1</formula1>
      <formula2>5</formula2>
    </dataValidation>
    <dataValidation type="whole" allowBlank="1" showInputMessage="1" showErrorMessage="1" sqref="X235">
      <formula1>1</formula1>
      <formula2>5</formula2>
    </dataValidation>
    <dataValidation type="decimal" operator="greaterThanOrEqual" allowBlank="1" showInputMessage="1" showErrorMessage="1" sqref="Y235">
      <formula1>0</formula1>
    </dataValidation>
    <dataValidation type="whole" operator="greaterThanOrEqual" allowBlank="1" showInputMessage="1" showErrorMessage="1" sqref="Z235">
      <formula1>0</formula1>
    </dataValidation>
    <dataValidation type="whole" allowBlank="1" showInputMessage="1" showErrorMessage="1" sqref="AA235">
      <formula1>1</formula1>
      <formula2>5</formula2>
    </dataValidation>
    <dataValidation type="decimal" allowBlank="1" showInputMessage="1" showErrorMessage="1" sqref="AB235">
      <formula1>0</formula1>
      <formula2>1</formula2>
    </dataValidation>
    <dataValidation type="list" allowBlank="1" showInputMessage="1" showErrorMessage="1" sqref="O235">
      <formula1>liste_statuts</formula1>
    </dataValidation>
    <dataValidation type="list" allowBlank="1" showInputMessage="1" showErrorMessage="1" sqref="B236">
      <formula1>liste_programmes</formula1>
    </dataValidation>
    <dataValidation type="list" allowBlank="1" showInputMessage="1" showErrorMessage="1" sqref="D236">
      <formula1>liste_types</formula1>
    </dataValidation>
    <dataValidation type="list" allowBlank="1" showInputMessage="1" showErrorMessage="1" sqref="F236">
      <formula1>liste_categories</formula1>
    </dataValidation>
    <dataValidation type="list" allowBlank="1" showInputMessage="1" showErrorMessage="1" sqref="G236">
      <formula1>liste_responsables</formula1>
    </dataValidation>
    <dataValidation type="list" allowBlank="1" showInputMessage="1" showErrorMessage="1" sqref="H236">
      <formula1>liste_sites</formula1>
    </dataValidation>
    <dataValidation type="list" allowBlank="1" showInputMessage="1" showErrorMessage="1" sqref="I236">
      <formula1>liste_priorites</formula1>
    </dataValidation>
    <dataValidation type="date" operator="greaterThanOrEqual" allowBlank="1" showInputMessage="1" showErrorMessage="1" sqref="J236">
      <formula1>730120</formula1>
    </dataValidation>
    <dataValidation type="date" operator="greaterThanOrEqual" allowBlank="1" showInputMessage="1" showErrorMessage="1" sqref="K236">
      <formula1>730120</formula1>
    </dataValidation>
    <dataValidation type="date" operator="greaterThanOrEqual" allowBlank="1" showInputMessage="1" showErrorMessage="1" sqref="L236">
      <formula1>730120</formula1>
    </dataValidation>
    <dataValidation type="whole" allowBlank="1" showInputMessage="1" showErrorMessage="1" sqref="P236">
      <formula1>0</formula1>
      <formula2>100</formula2>
    </dataValidation>
    <dataValidation type="decimal" operator="greaterThanOrEqual" allowBlank="1" showInputMessage="1" showErrorMessage="1" sqref="Q236">
      <formula1>0</formula1>
    </dataValidation>
    <dataValidation type="decimal" operator="greaterThanOrEqual" allowBlank="1" showInputMessage="1" showErrorMessage="1" sqref="R236">
      <formula1>0</formula1>
    </dataValidation>
    <dataValidation type="whole" allowBlank="1" showInputMessage="1" showErrorMessage="1" sqref="U236">
      <formula1>1</formula1>
      <formula2>5</formula2>
    </dataValidation>
    <dataValidation type="whole" allowBlank="1" showInputMessage="1" showErrorMessage="1" sqref="V236">
      <formula1>1</formula1>
      <formula2>5</formula2>
    </dataValidation>
    <dataValidation type="whole" allowBlank="1" showInputMessage="1" showErrorMessage="1" sqref="X236">
      <formula1>1</formula1>
      <formula2>5</formula2>
    </dataValidation>
    <dataValidation type="decimal" operator="greaterThanOrEqual" allowBlank="1" showInputMessage="1" showErrorMessage="1" sqref="Y236">
      <formula1>0</formula1>
    </dataValidation>
    <dataValidation type="whole" operator="greaterThanOrEqual" allowBlank="1" showInputMessage="1" showErrorMessage="1" sqref="Z236">
      <formula1>0</formula1>
    </dataValidation>
    <dataValidation type="whole" allowBlank="1" showInputMessage="1" showErrorMessage="1" sqref="AA236">
      <formula1>1</formula1>
      <formula2>5</formula2>
    </dataValidation>
    <dataValidation type="decimal" allowBlank="1" showInputMessage="1" showErrorMessage="1" sqref="AB236">
      <formula1>0</formula1>
      <formula2>1</formula2>
    </dataValidation>
    <dataValidation type="list" allowBlank="1" showInputMessage="1" showErrorMessage="1" sqref="O236">
      <formula1>liste_statuts</formula1>
    </dataValidation>
    <dataValidation type="list" allowBlank="1" showInputMessage="1" showErrorMessage="1" sqref="B237">
      <formula1>liste_programmes</formula1>
    </dataValidation>
    <dataValidation type="list" allowBlank="1" showInputMessage="1" showErrorMessage="1" sqref="D237">
      <formula1>liste_types</formula1>
    </dataValidation>
    <dataValidation type="list" allowBlank="1" showInputMessage="1" showErrorMessage="1" sqref="F237">
      <formula1>liste_categories</formula1>
    </dataValidation>
    <dataValidation type="list" allowBlank="1" showInputMessage="1" showErrorMessage="1" sqref="G237">
      <formula1>liste_responsables</formula1>
    </dataValidation>
    <dataValidation type="list" allowBlank="1" showInputMessage="1" showErrorMessage="1" sqref="H237">
      <formula1>liste_sites</formula1>
    </dataValidation>
    <dataValidation type="list" allowBlank="1" showInputMessage="1" showErrorMessage="1" sqref="I237">
      <formula1>liste_priorites</formula1>
    </dataValidation>
    <dataValidation type="date" operator="greaterThanOrEqual" allowBlank="1" showInputMessage="1" showErrorMessage="1" sqref="J237">
      <formula1>730120</formula1>
    </dataValidation>
    <dataValidation type="date" operator="greaterThanOrEqual" allowBlank="1" showInputMessage="1" showErrorMessage="1" sqref="K237">
      <formula1>730120</formula1>
    </dataValidation>
    <dataValidation type="date" operator="greaterThanOrEqual" allowBlank="1" showInputMessage="1" showErrorMessage="1" sqref="L237">
      <formula1>730120</formula1>
    </dataValidation>
    <dataValidation type="whole" allowBlank="1" showInputMessage="1" showErrorMessage="1" sqref="P237">
      <formula1>0</formula1>
      <formula2>100</formula2>
    </dataValidation>
    <dataValidation type="decimal" operator="greaterThanOrEqual" allowBlank="1" showInputMessage="1" showErrorMessage="1" sqref="Q237">
      <formula1>0</formula1>
    </dataValidation>
    <dataValidation type="decimal" operator="greaterThanOrEqual" allowBlank="1" showInputMessage="1" showErrorMessage="1" sqref="R237">
      <formula1>0</formula1>
    </dataValidation>
    <dataValidation type="whole" allowBlank="1" showInputMessage="1" showErrorMessage="1" sqref="U237">
      <formula1>1</formula1>
      <formula2>5</formula2>
    </dataValidation>
    <dataValidation type="whole" allowBlank="1" showInputMessage="1" showErrorMessage="1" sqref="V237">
      <formula1>1</formula1>
      <formula2>5</formula2>
    </dataValidation>
    <dataValidation type="whole" allowBlank="1" showInputMessage="1" showErrorMessage="1" sqref="X237">
      <formula1>1</formula1>
      <formula2>5</formula2>
    </dataValidation>
    <dataValidation type="decimal" operator="greaterThanOrEqual" allowBlank="1" showInputMessage="1" showErrorMessage="1" sqref="Y237">
      <formula1>0</formula1>
    </dataValidation>
    <dataValidation type="whole" operator="greaterThanOrEqual" allowBlank="1" showInputMessage="1" showErrorMessage="1" sqref="Z237">
      <formula1>0</formula1>
    </dataValidation>
    <dataValidation type="whole" allowBlank="1" showInputMessage="1" showErrorMessage="1" sqref="AA237">
      <formula1>1</formula1>
      <formula2>5</formula2>
    </dataValidation>
    <dataValidation type="decimal" allowBlank="1" showInputMessage="1" showErrorMessage="1" sqref="AB237">
      <formula1>0</formula1>
      <formula2>1</formula2>
    </dataValidation>
    <dataValidation type="list" allowBlank="1" showInputMessage="1" showErrorMessage="1" sqref="O237">
      <formula1>liste_statuts</formula1>
    </dataValidation>
    <dataValidation type="list" allowBlank="1" showInputMessage="1" showErrorMessage="1" sqref="B238">
      <formula1>liste_programmes</formula1>
    </dataValidation>
    <dataValidation type="list" allowBlank="1" showInputMessage="1" showErrorMessage="1" sqref="D238">
      <formula1>liste_types</formula1>
    </dataValidation>
    <dataValidation type="list" allowBlank="1" showInputMessage="1" showErrorMessage="1" sqref="F238">
      <formula1>liste_categories</formula1>
    </dataValidation>
    <dataValidation type="list" allowBlank="1" showInputMessage="1" showErrorMessage="1" sqref="G238">
      <formula1>liste_responsables</formula1>
    </dataValidation>
    <dataValidation type="list" allowBlank="1" showInputMessage="1" showErrorMessage="1" sqref="H238">
      <formula1>liste_sites</formula1>
    </dataValidation>
    <dataValidation type="list" allowBlank="1" showInputMessage="1" showErrorMessage="1" sqref="I238">
      <formula1>liste_priorites</formula1>
    </dataValidation>
    <dataValidation type="date" operator="greaterThanOrEqual" allowBlank="1" showInputMessage="1" showErrorMessage="1" sqref="J238">
      <formula1>730120</formula1>
    </dataValidation>
    <dataValidation type="date" operator="greaterThanOrEqual" allowBlank="1" showInputMessage="1" showErrorMessage="1" sqref="K238">
      <formula1>730120</formula1>
    </dataValidation>
    <dataValidation type="date" operator="greaterThanOrEqual" allowBlank="1" showInputMessage="1" showErrorMessage="1" sqref="L238">
      <formula1>730120</formula1>
    </dataValidation>
    <dataValidation type="whole" allowBlank="1" showInputMessage="1" showErrorMessage="1" sqref="P238">
      <formula1>0</formula1>
      <formula2>100</formula2>
    </dataValidation>
    <dataValidation type="decimal" operator="greaterThanOrEqual" allowBlank="1" showInputMessage="1" showErrorMessage="1" sqref="Q238">
      <formula1>0</formula1>
    </dataValidation>
    <dataValidation type="decimal" operator="greaterThanOrEqual" allowBlank="1" showInputMessage="1" showErrorMessage="1" sqref="R238">
      <formula1>0</formula1>
    </dataValidation>
    <dataValidation type="whole" allowBlank="1" showInputMessage="1" showErrorMessage="1" sqref="U238">
      <formula1>1</formula1>
      <formula2>5</formula2>
    </dataValidation>
    <dataValidation type="whole" allowBlank="1" showInputMessage="1" showErrorMessage="1" sqref="V238">
      <formula1>1</formula1>
      <formula2>5</formula2>
    </dataValidation>
    <dataValidation type="whole" allowBlank="1" showInputMessage="1" showErrorMessage="1" sqref="X238">
      <formula1>1</formula1>
      <formula2>5</formula2>
    </dataValidation>
    <dataValidation type="decimal" operator="greaterThanOrEqual" allowBlank="1" showInputMessage="1" showErrorMessage="1" sqref="Y238">
      <formula1>0</formula1>
    </dataValidation>
    <dataValidation type="whole" operator="greaterThanOrEqual" allowBlank="1" showInputMessage="1" showErrorMessage="1" sqref="Z238">
      <formula1>0</formula1>
    </dataValidation>
    <dataValidation type="whole" allowBlank="1" showInputMessage="1" showErrorMessage="1" sqref="AA238">
      <formula1>1</formula1>
      <formula2>5</formula2>
    </dataValidation>
    <dataValidation type="decimal" allowBlank="1" showInputMessage="1" showErrorMessage="1" sqref="AB238">
      <formula1>0</formula1>
      <formula2>1</formula2>
    </dataValidation>
    <dataValidation type="list" allowBlank="1" showInputMessage="1" showErrorMessage="1" sqref="O238">
      <formula1>liste_statuts</formula1>
    </dataValidation>
    <dataValidation type="list" allowBlank="1" showInputMessage="1" showErrorMessage="1" sqref="B239">
      <formula1>liste_programmes</formula1>
    </dataValidation>
    <dataValidation type="list" allowBlank="1" showInputMessage="1" showErrorMessage="1" sqref="D239">
      <formula1>liste_types</formula1>
    </dataValidation>
    <dataValidation type="list" allowBlank="1" showInputMessage="1" showErrorMessage="1" sqref="F239">
      <formula1>liste_categories</formula1>
    </dataValidation>
    <dataValidation type="list" allowBlank="1" showInputMessage="1" showErrorMessage="1" sqref="G239">
      <formula1>liste_responsables</formula1>
    </dataValidation>
    <dataValidation type="list" allowBlank="1" showInputMessage="1" showErrorMessage="1" sqref="H239">
      <formula1>liste_sites</formula1>
    </dataValidation>
    <dataValidation type="list" allowBlank="1" showInputMessage="1" showErrorMessage="1" sqref="I239">
      <formula1>liste_priorites</formula1>
    </dataValidation>
    <dataValidation type="date" operator="greaterThanOrEqual" allowBlank="1" showInputMessage="1" showErrorMessage="1" sqref="J239">
      <formula1>730120</formula1>
    </dataValidation>
    <dataValidation type="date" operator="greaterThanOrEqual" allowBlank="1" showInputMessage="1" showErrorMessage="1" sqref="K239">
      <formula1>730120</formula1>
    </dataValidation>
    <dataValidation type="date" operator="greaterThanOrEqual" allowBlank="1" showInputMessage="1" showErrorMessage="1" sqref="L239">
      <formula1>730120</formula1>
    </dataValidation>
    <dataValidation type="whole" allowBlank="1" showInputMessage="1" showErrorMessage="1" sqref="P239">
      <formula1>0</formula1>
      <formula2>100</formula2>
    </dataValidation>
    <dataValidation type="decimal" operator="greaterThanOrEqual" allowBlank="1" showInputMessage="1" showErrorMessage="1" sqref="Q239">
      <formula1>0</formula1>
    </dataValidation>
    <dataValidation type="decimal" operator="greaterThanOrEqual" allowBlank="1" showInputMessage="1" showErrorMessage="1" sqref="R239">
      <formula1>0</formula1>
    </dataValidation>
    <dataValidation type="whole" allowBlank="1" showInputMessage="1" showErrorMessage="1" sqref="U239">
      <formula1>1</formula1>
      <formula2>5</formula2>
    </dataValidation>
    <dataValidation type="whole" allowBlank="1" showInputMessage="1" showErrorMessage="1" sqref="V239">
      <formula1>1</formula1>
      <formula2>5</formula2>
    </dataValidation>
    <dataValidation type="whole" allowBlank="1" showInputMessage="1" showErrorMessage="1" sqref="X239">
      <formula1>1</formula1>
      <formula2>5</formula2>
    </dataValidation>
    <dataValidation type="decimal" operator="greaterThanOrEqual" allowBlank="1" showInputMessage="1" showErrorMessage="1" sqref="Y239">
      <formula1>0</formula1>
    </dataValidation>
    <dataValidation type="whole" operator="greaterThanOrEqual" allowBlank="1" showInputMessage="1" showErrorMessage="1" sqref="Z239">
      <formula1>0</formula1>
    </dataValidation>
    <dataValidation type="whole" allowBlank="1" showInputMessage="1" showErrorMessage="1" sqref="AA239">
      <formula1>1</formula1>
      <formula2>5</formula2>
    </dataValidation>
    <dataValidation type="decimal" allowBlank="1" showInputMessage="1" showErrorMessage="1" sqref="AB239">
      <formula1>0</formula1>
      <formula2>1</formula2>
    </dataValidation>
    <dataValidation type="list" allowBlank="1" showInputMessage="1" showErrorMessage="1" sqref="O239">
      <formula1>liste_statuts</formula1>
    </dataValidation>
    <dataValidation type="list" allowBlank="1" showInputMessage="1" showErrorMessage="1" sqref="B240">
      <formula1>liste_programmes</formula1>
    </dataValidation>
    <dataValidation type="list" allowBlank="1" showInputMessage="1" showErrorMessage="1" sqref="D240">
      <formula1>liste_types</formula1>
    </dataValidation>
    <dataValidation type="list" allowBlank="1" showInputMessage="1" showErrorMessage="1" sqref="F240">
      <formula1>liste_categories</formula1>
    </dataValidation>
    <dataValidation type="list" allowBlank="1" showInputMessage="1" showErrorMessage="1" sqref="G240">
      <formula1>liste_responsables</formula1>
    </dataValidation>
    <dataValidation type="list" allowBlank="1" showInputMessage="1" showErrorMessage="1" sqref="H240">
      <formula1>liste_sites</formula1>
    </dataValidation>
    <dataValidation type="list" allowBlank="1" showInputMessage="1" showErrorMessage="1" sqref="I240">
      <formula1>liste_priorites</formula1>
    </dataValidation>
    <dataValidation type="date" operator="greaterThanOrEqual" allowBlank="1" showInputMessage="1" showErrorMessage="1" sqref="J240">
      <formula1>730120</formula1>
    </dataValidation>
    <dataValidation type="date" operator="greaterThanOrEqual" allowBlank="1" showInputMessage="1" showErrorMessage="1" sqref="K240">
      <formula1>730120</formula1>
    </dataValidation>
    <dataValidation type="date" operator="greaterThanOrEqual" allowBlank="1" showInputMessage="1" showErrorMessage="1" sqref="L240">
      <formula1>730120</formula1>
    </dataValidation>
    <dataValidation type="whole" allowBlank="1" showInputMessage="1" showErrorMessage="1" sqref="P240">
      <formula1>0</formula1>
      <formula2>100</formula2>
    </dataValidation>
    <dataValidation type="decimal" operator="greaterThanOrEqual" allowBlank="1" showInputMessage="1" showErrorMessage="1" sqref="Q240">
      <formula1>0</formula1>
    </dataValidation>
    <dataValidation type="decimal" operator="greaterThanOrEqual" allowBlank="1" showInputMessage="1" showErrorMessage="1" sqref="R240">
      <formula1>0</formula1>
    </dataValidation>
    <dataValidation type="whole" allowBlank="1" showInputMessage="1" showErrorMessage="1" sqref="U240">
      <formula1>1</formula1>
      <formula2>5</formula2>
    </dataValidation>
    <dataValidation type="whole" allowBlank="1" showInputMessage="1" showErrorMessage="1" sqref="V240">
      <formula1>1</formula1>
      <formula2>5</formula2>
    </dataValidation>
    <dataValidation type="whole" allowBlank="1" showInputMessage="1" showErrorMessage="1" sqref="X240">
      <formula1>1</formula1>
      <formula2>5</formula2>
    </dataValidation>
    <dataValidation type="decimal" operator="greaterThanOrEqual" allowBlank="1" showInputMessage="1" showErrorMessage="1" sqref="Y240">
      <formula1>0</formula1>
    </dataValidation>
    <dataValidation type="whole" operator="greaterThanOrEqual" allowBlank="1" showInputMessage="1" showErrorMessage="1" sqref="Z240">
      <formula1>0</formula1>
    </dataValidation>
    <dataValidation type="whole" allowBlank="1" showInputMessage="1" showErrorMessage="1" sqref="AA240">
      <formula1>1</formula1>
      <formula2>5</formula2>
    </dataValidation>
    <dataValidation type="decimal" allowBlank="1" showInputMessage="1" showErrorMessage="1" sqref="AB240">
      <formula1>0</formula1>
      <formula2>1</formula2>
    </dataValidation>
    <dataValidation type="list" allowBlank="1" showInputMessage="1" showErrorMessage="1" sqref="O240">
      <formula1>liste_statuts</formula1>
    </dataValidation>
    <dataValidation type="list" allowBlank="1" showInputMessage="1" showErrorMessage="1" sqref="B241">
      <formula1>liste_programmes</formula1>
    </dataValidation>
    <dataValidation type="list" allowBlank="1" showInputMessage="1" showErrorMessage="1" sqref="D241">
      <formula1>liste_types</formula1>
    </dataValidation>
    <dataValidation type="list" allowBlank="1" showInputMessage="1" showErrorMessage="1" sqref="F241">
      <formula1>liste_categories</formula1>
    </dataValidation>
    <dataValidation type="list" allowBlank="1" showInputMessage="1" showErrorMessage="1" sqref="G241">
      <formula1>liste_responsables</formula1>
    </dataValidation>
    <dataValidation type="list" allowBlank="1" showInputMessage="1" showErrorMessage="1" sqref="H241">
      <formula1>liste_sites</formula1>
    </dataValidation>
    <dataValidation type="list" allowBlank="1" showInputMessage="1" showErrorMessage="1" sqref="I241">
      <formula1>liste_priorites</formula1>
    </dataValidation>
    <dataValidation type="date" operator="greaterThanOrEqual" allowBlank="1" showInputMessage="1" showErrorMessage="1" sqref="J241">
      <formula1>730120</formula1>
    </dataValidation>
    <dataValidation type="date" operator="greaterThanOrEqual" allowBlank="1" showInputMessage="1" showErrorMessage="1" sqref="K241">
      <formula1>730120</formula1>
    </dataValidation>
    <dataValidation type="date" operator="greaterThanOrEqual" allowBlank="1" showInputMessage="1" showErrorMessage="1" sqref="L241">
      <formula1>730120</formula1>
    </dataValidation>
    <dataValidation type="whole" allowBlank="1" showInputMessage="1" showErrorMessage="1" sqref="P241">
      <formula1>0</formula1>
      <formula2>100</formula2>
    </dataValidation>
    <dataValidation type="decimal" operator="greaterThanOrEqual" allowBlank="1" showInputMessage="1" showErrorMessage="1" sqref="Q241">
      <formula1>0</formula1>
    </dataValidation>
    <dataValidation type="decimal" operator="greaterThanOrEqual" allowBlank="1" showInputMessage="1" showErrorMessage="1" sqref="R241">
      <formula1>0</formula1>
    </dataValidation>
    <dataValidation type="whole" allowBlank="1" showInputMessage="1" showErrorMessage="1" sqref="U241">
      <formula1>1</formula1>
      <formula2>5</formula2>
    </dataValidation>
    <dataValidation type="whole" allowBlank="1" showInputMessage="1" showErrorMessage="1" sqref="V241">
      <formula1>1</formula1>
      <formula2>5</formula2>
    </dataValidation>
    <dataValidation type="whole" allowBlank="1" showInputMessage="1" showErrorMessage="1" sqref="X241">
      <formula1>1</formula1>
      <formula2>5</formula2>
    </dataValidation>
    <dataValidation type="decimal" operator="greaterThanOrEqual" allowBlank="1" showInputMessage="1" showErrorMessage="1" sqref="Y241">
      <formula1>0</formula1>
    </dataValidation>
    <dataValidation type="whole" operator="greaterThanOrEqual" allowBlank="1" showInputMessage="1" showErrorMessage="1" sqref="Z241">
      <formula1>0</formula1>
    </dataValidation>
    <dataValidation type="whole" allowBlank="1" showInputMessage="1" showErrorMessage="1" sqref="AA241">
      <formula1>1</formula1>
      <formula2>5</formula2>
    </dataValidation>
    <dataValidation type="decimal" allowBlank="1" showInputMessage="1" showErrorMessage="1" sqref="AB241">
      <formula1>0</formula1>
      <formula2>1</formula2>
    </dataValidation>
    <dataValidation type="list" allowBlank="1" showInputMessage="1" showErrorMessage="1" sqref="O241">
      <formula1>liste_statuts</formula1>
    </dataValidation>
    <dataValidation type="list" allowBlank="1" showInputMessage="1" showErrorMessage="1" sqref="B242">
      <formula1>liste_programmes</formula1>
    </dataValidation>
    <dataValidation type="list" allowBlank="1" showInputMessage="1" showErrorMessage="1" sqref="D242">
      <formula1>liste_types</formula1>
    </dataValidation>
    <dataValidation type="list" allowBlank="1" showInputMessage="1" showErrorMessage="1" sqref="F242">
      <formula1>liste_categories</formula1>
    </dataValidation>
    <dataValidation type="list" allowBlank="1" showInputMessage="1" showErrorMessage="1" sqref="G242">
      <formula1>liste_responsables</formula1>
    </dataValidation>
    <dataValidation type="list" allowBlank="1" showInputMessage="1" showErrorMessage="1" sqref="H242">
      <formula1>liste_sites</formula1>
    </dataValidation>
    <dataValidation type="list" allowBlank="1" showInputMessage="1" showErrorMessage="1" sqref="I242">
      <formula1>liste_priorites</formula1>
    </dataValidation>
    <dataValidation type="date" operator="greaterThanOrEqual" allowBlank="1" showInputMessage="1" showErrorMessage="1" sqref="J242">
      <formula1>730120</formula1>
    </dataValidation>
    <dataValidation type="date" operator="greaterThanOrEqual" allowBlank="1" showInputMessage="1" showErrorMessage="1" sqref="K242">
      <formula1>730120</formula1>
    </dataValidation>
    <dataValidation type="date" operator="greaterThanOrEqual" allowBlank="1" showInputMessage="1" showErrorMessage="1" sqref="L242">
      <formula1>730120</formula1>
    </dataValidation>
    <dataValidation type="whole" allowBlank="1" showInputMessage="1" showErrorMessage="1" sqref="P242">
      <formula1>0</formula1>
      <formula2>100</formula2>
    </dataValidation>
    <dataValidation type="decimal" operator="greaterThanOrEqual" allowBlank="1" showInputMessage="1" showErrorMessage="1" sqref="Q242">
      <formula1>0</formula1>
    </dataValidation>
    <dataValidation type="decimal" operator="greaterThanOrEqual" allowBlank="1" showInputMessage="1" showErrorMessage="1" sqref="R242">
      <formula1>0</formula1>
    </dataValidation>
    <dataValidation type="whole" allowBlank="1" showInputMessage="1" showErrorMessage="1" sqref="U242">
      <formula1>1</formula1>
      <formula2>5</formula2>
    </dataValidation>
    <dataValidation type="whole" allowBlank="1" showInputMessage="1" showErrorMessage="1" sqref="V242">
      <formula1>1</formula1>
      <formula2>5</formula2>
    </dataValidation>
    <dataValidation type="whole" allowBlank="1" showInputMessage="1" showErrorMessage="1" sqref="X242">
      <formula1>1</formula1>
      <formula2>5</formula2>
    </dataValidation>
    <dataValidation type="decimal" operator="greaterThanOrEqual" allowBlank="1" showInputMessage="1" showErrorMessage="1" sqref="Y242">
      <formula1>0</formula1>
    </dataValidation>
    <dataValidation type="whole" operator="greaterThanOrEqual" allowBlank="1" showInputMessage="1" showErrorMessage="1" sqref="Z242">
      <formula1>0</formula1>
    </dataValidation>
    <dataValidation type="whole" allowBlank="1" showInputMessage="1" showErrorMessage="1" sqref="AA242">
      <formula1>1</formula1>
      <formula2>5</formula2>
    </dataValidation>
    <dataValidation type="decimal" allowBlank="1" showInputMessage="1" showErrorMessage="1" sqref="AB242">
      <formula1>0</formula1>
      <formula2>1</formula2>
    </dataValidation>
    <dataValidation type="list" allowBlank="1" showInputMessage="1" showErrorMessage="1" sqref="O242">
      <formula1>liste_statuts</formula1>
    </dataValidation>
    <dataValidation type="list" allowBlank="1" showInputMessage="1" showErrorMessage="1" sqref="B243">
      <formula1>liste_programmes</formula1>
    </dataValidation>
    <dataValidation type="list" allowBlank="1" showInputMessage="1" showErrorMessage="1" sqref="D243">
      <formula1>liste_types</formula1>
    </dataValidation>
    <dataValidation type="list" allowBlank="1" showInputMessage="1" showErrorMessage="1" sqref="F243">
      <formula1>liste_categories</formula1>
    </dataValidation>
    <dataValidation type="list" allowBlank="1" showInputMessage="1" showErrorMessage="1" sqref="G243">
      <formula1>liste_responsables</formula1>
    </dataValidation>
    <dataValidation type="list" allowBlank="1" showInputMessage="1" showErrorMessage="1" sqref="H243">
      <formula1>liste_sites</formula1>
    </dataValidation>
    <dataValidation type="list" allowBlank="1" showInputMessage="1" showErrorMessage="1" sqref="I243">
      <formula1>liste_priorites</formula1>
    </dataValidation>
    <dataValidation type="date" operator="greaterThanOrEqual" allowBlank="1" showInputMessage="1" showErrorMessage="1" sqref="J243">
      <formula1>730120</formula1>
    </dataValidation>
    <dataValidation type="date" operator="greaterThanOrEqual" allowBlank="1" showInputMessage="1" showErrorMessage="1" sqref="K243">
      <formula1>730120</formula1>
    </dataValidation>
    <dataValidation type="date" operator="greaterThanOrEqual" allowBlank="1" showInputMessage="1" showErrorMessage="1" sqref="L243">
      <formula1>730120</formula1>
    </dataValidation>
    <dataValidation type="whole" allowBlank="1" showInputMessage="1" showErrorMessage="1" sqref="P243">
      <formula1>0</formula1>
      <formula2>100</formula2>
    </dataValidation>
    <dataValidation type="decimal" operator="greaterThanOrEqual" allowBlank="1" showInputMessage="1" showErrorMessage="1" sqref="Q243">
      <formula1>0</formula1>
    </dataValidation>
    <dataValidation type="decimal" operator="greaterThanOrEqual" allowBlank="1" showInputMessage="1" showErrorMessage="1" sqref="R243">
      <formula1>0</formula1>
    </dataValidation>
    <dataValidation type="whole" allowBlank="1" showInputMessage="1" showErrorMessage="1" sqref="U243">
      <formula1>1</formula1>
      <formula2>5</formula2>
    </dataValidation>
    <dataValidation type="whole" allowBlank="1" showInputMessage="1" showErrorMessage="1" sqref="V243">
      <formula1>1</formula1>
      <formula2>5</formula2>
    </dataValidation>
    <dataValidation type="whole" allowBlank="1" showInputMessage="1" showErrorMessage="1" sqref="X243">
      <formula1>1</formula1>
      <formula2>5</formula2>
    </dataValidation>
    <dataValidation type="decimal" operator="greaterThanOrEqual" allowBlank="1" showInputMessage="1" showErrorMessage="1" sqref="Y243">
      <formula1>0</formula1>
    </dataValidation>
    <dataValidation type="whole" operator="greaterThanOrEqual" allowBlank="1" showInputMessage="1" showErrorMessage="1" sqref="Z243">
      <formula1>0</formula1>
    </dataValidation>
    <dataValidation type="whole" allowBlank="1" showInputMessage="1" showErrorMessage="1" sqref="AA243">
      <formula1>1</formula1>
      <formula2>5</formula2>
    </dataValidation>
    <dataValidation type="decimal" allowBlank="1" showInputMessage="1" showErrorMessage="1" sqref="AB243">
      <formula1>0</formula1>
      <formula2>1</formula2>
    </dataValidation>
    <dataValidation type="list" allowBlank="1" showInputMessage="1" showErrorMessage="1" sqref="O243">
      <formula1>liste_statuts</formula1>
    </dataValidation>
    <dataValidation type="list" allowBlank="1" showInputMessage="1" showErrorMessage="1" sqref="B244">
      <formula1>liste_programmes</formula1>
    </dataValidation>
    <dataValidation type="list" allowBlank="1" showInputMessage="1" showErrorMessage="1" sqref="D244">
      <formula1>liste_types</formula1>
    </dataValidation>
    <dataValidation type="list" allowBlank="1" showInputMessage="1" showErrorMessage="1" sqref="F244">
      <formula1>liste_categories</formula1>
    </dataValidation>
    <dataValidation type="list" allowBlank="1" showInputMessage="1" showErrorMessage="1" sqref="G244">
      <formula1>liste_responsables</formula1>
    </dataValidation>
    <dataValidation type="list" allowBlank="1" showInputMessage="1" showErrorMessage="1" sqref="H244">
      <formula1>liste_sites</formula1>
    </dataValidation>
    <dataValidation type="list" allowBlank="1" showInputMessage="1" showErrorMessage="1" sqref="I244">
      <formula1>liste_priorites</formula1>
    </dataValidation>
    <dataValidation type="date" operator="greaterThanOrEqual" allowBlank="1" showInputMessage="1" showErrorMessage="1" sqref="J244">
      <formula1>730120</formula1>
    </dataValidation>
    <dataValidation type="date" operator="greaterThanOrEqual" allowBlank="1" showInputMessage="1" showErrorMessage="1" sqref="K244">
      <formula1>730120</formula1>
    </dataValidation>
    <dataValidation type="date" operator="greaterThanOrEqual" allowBlank="1" showInputMessage="1" showErrorMessage="1" sqref="L244">
      <formula1>730120</formula1>
    </dataValidation>
    <dataValidation type="whole" allowBlank="1" showInputMessage="1" showErrorMessage="1" sqref="P244">
      <formula1>0</formula1>
      <formula2>100</formula2>
    </dataValidation>
    <dataValidation type="decimal" operator="greaterThanOrEqual" allowBlank="1" showInputMessage="1" showErrorMessage="1" sqref="Q244">
      <formula1>0</formula1>
    </dataValidation>
    <dataValidation type="decimal" operator="greaterThanOrEqual" allowBlank="1" showInputMessage="1" showErrorMessage="1" sqref="R244">
      <formula1>0</formula1>
    </dataValidation>
    <dataValidation type="whole" allowBlank="1" showInputMessage="1" showErrorMessage="1" sqref="U244">
      <formula1>1</formula1>
      <formula2>5</formula2>
    </dataValidation>
    <dataValidation type="whole" allowBlank="1" showInputMessage="1" showErrorMessage="1" sqref="V244">
      <formula1>1</formula1>
      <formula2>5</formula2>
    </dataValidation>
    <dataValidation type="whole" allowBlank="1" showInputMessage="1" showErrorMessage="1" sqref="X244">
      <formula1>1</formula1>
      <formula2>5</formula2>
    </dataValidation>
    <dataValidation type="decimal" operator="greaterThanOrEqual" allowBlank="1" showInputMessage="1" showErrorMessage="1" sqref="Y244">
      <formula1>0</formula1>
    </dataValidation>
    <dataValidation type="whole" operator="greaterThanOrEqual" allowBlank="1" showInputMessage="1" showErrorMessage="1" sqref="Z244">
      <formula1>0</formula1>
    </dataValidation>
    <dataValidation type="whole" allowBlank="1" showInputMessage="1" showErrorMessage="1" sqref="AA244">
      <formula1>1</formula1>
      <formula2>5</formula2>
    </dataValidation>
    <dataValidation type="decimal" allowBlank="1" showInputMessage="1" showErrorMessage="1" sqref="AB244">
      <formula1>0</formula1>
      <formula2>1</formula2>
    </dataValidation>
    <dataValidation type="list" allowBlank="1" showInputMessage="1" showErrorMessage="1" sqref="O244">
      <formula1>liste_statuts</formula1>
    </dataValidation>
    <dataValidation type="list" allowBlank="1" showInputMessage="1" showErrorMessage="1" sqref="B245">
      <formula1>liste_programmes</formula1>
    </dataValidation>
    <dataValidation type="list" allowBlank="1" showInputMessage="1" showErrorMessage="1" sqref="D245">
      <formula1>liste_types</formula1>
    </dataValidation>
    <dataValidation type="list" allowBlank="1" showInputMessage="1" showErrorMessage="1" sqref="F245">
      <formula1>liste_categories</formula1>
    </dataValidation>
    <dataValidation type="list" allowBlank="1" showInputMessage="1" showErrorMessage="1" sqref="G245">
      <formula1>liste_responsables</formula1>
    </dataValidation>
    <dataValidation type="list" allowBlank="1" showInputMessage="1" showErrorMessage="1" sqref="H245">
      <formula1>liste_sites</formula1>
    </dataValidation>
    <dataValidation type="list" allowBlank="1" showInputMessage="1" showErrorMessage="1" sqref="I245">
      <formula1>liste_priorites</formula1>
    </dataValidation>
    <dataValidation type="date" operator="greaterThanOrEqual" allowBlank="1" showInputMessage="1" showErrorMessage="1" sqref="J245">
      <formula1>730120</formula1>
    </dataValidation>
    <dataValidation type="date" operator="greaterThanOrEqual" allowBlank="1" showInputMessage="1" showErrorMessage="1" sqref="K245">
      <formula1>730120</formula1>
    </dataValidation>
    <dataValidation type="date" operator="greaterThanOrEqual" allowBlank="1" showInputMessage="1" showErrorMessage="1" sqref="L245">
      <formula1>730120</formula1>
    </dataValidation>
    <dataValidation type="whole" allowBlank="1" showInputMessage="1" showErrorMessage="1" sqref="P245">
      <formula1>0</formula1>
      <formula2>100</formula2>
    </dataValidation>
    <dataValidation type="decimal" operator="greaterThanOrEqual" allowBlank="1" showInputMessage="1" showErrorMessage="1" sqref="Q245">
      <formula1>0</formula1>
    </dataValidation>
    <dataValidation type="decimal" operator="greaterThanOrEqual" allowBlank="1" showInputMessage="1" showErrorMessage="1" sqref="R245">
      <formula1>0</formula1>
    </dataValidation>
    <dataValidation type="whole" allowBlank="1" showInputMessage="1" showErrorMessage="1" sqref="U245">
      <formula1>1</formula1>
      <formula2>5</formula2>
    </dataValidation>
    <dataValidation type="whole" allowBlank="1" showInputMessage="1" showErrorMessage="1" sqref="V245">
      <formula1>1</formula1>
      <formula2>5</formula2>
    </dataValidation>
    <dataValidation type="whole" allowBlank="1" showInputMessage="1" showErrorMessage="1" sqref="X245">
      <formula1>1</formula1>
      <formula2>5</formula2>
    </dataValidation>
    <dataValidation type="decimal" operator="greaterThanOrEqual" allowBlank="1" showInputMessage="1" showErrorMessage="1" sqref="Y245">
      <formula1>0</formula1>
    </dataValidation>
    <dataValidation type="whole" operator="greaterThanOrEqual" allowBlank="1" showInputMessage="1" showErrorMessage="1" sqref="Z245">
      <formula1>0</formula1>
    </dataValidation>
    <dataValidation type="whole" allowBlank="1" showInputMessage="1" showErrorMessage="1" sqref="AA245">
      <formula1>1</formula1>
      <formula2>5</formula2>
    </dataValidation>
    <dataValidation type="decimal" allowBlank="1" showInputMessage="1" showErrorMessage="1" sqref="AB245">
      <formula1>0</formula1>
      <formula2>1</formula2>
    </dataValidation>
    <dataValidation type="list" allowBlank="1" showInputMessage="1" showErrorMessage="1" sqref="O245">
      <formula1>liste_statuts</formula1>
    </dataValidation>
    <dataValidation type="list" allowBlank="1" showInputMessage="1" showErrorMessage="1" sqref="B246">
      <formula1>liste_programmes</formula1>
    </dataValidation>
    <dataValidation type="list" allowBlank="1" showInputMessage="1" showErrorMessage="1" sqref="D246">
      <formula1>liste_types</formula1>
    </dataValidation>
    <dataValidation type="list" allowBlank="1" showInputMessage="1" showErrorMessage="1" sqref="F246">
      <formula1>liste_categories</formula1>
    </dataValidation>
    <dataValidation type="list" allowBlank="1" showInputMessage="1" showErrorMessage="1" sqref="G246">
      <formula1>liste_responsables</formula1>
    </dataValidation>
    <dataValidation type="list" allowBlank="1" showInputMessage="1" showErrorMessage="1" sqref="H246">
      <formula1>liste_sites</formula1>
    </dataValidation>
    <dataValidation type="list" allowBlank="1" showInputMessage="1" showErrorMessage="1" sqref="I246">
      <formula1>liste_priorites</formula1>
    </dataValidation>
    <dataValidation type="date" operator="greaterThanOrEqual" allowBlank="1" showInputMessage="1" showErrorMessage="1" sqref="J246">
      <formula1>730120</formula1>
    </dataValidation>
    <dataValidation type="date" operator="greaterThanOrEqual" allowBlank="1" showInputMessage="1" showErrorMessage="1" sqref="K246">
      <formula1>730120</formula1>
    </dataValidation>
    <dataValidation type="date" operator="greaterThanOrEqual" allowBlank="1" showInputMessage="1" showErrorMessage="1" sqref="L246">
      <formula1>730120</formula1>
    </dataValidation>
    <dataValidation type="whole" allowBlank="1" showInputMessage="1" showErrorMessage="1" sqref="P246">
      <formula1>0</formula1>
      <formula2>100</formula2>
    </dataValidation>
    <dataValidation type="decimal" operator="greaterThanOrEqual" allowBlank="1" showInputMessage="1" showErrorMessage="1" sqref="Q246">
      <formula1>0</formula1>
    </dataValidation>
    <dataValidation type="decimal" operator="greaterThanOrEqual" allowBlank="1" showInputMessage="1" showErrorMessage="1" sqref="R246">
      <formula1>0</formula1>
    </dataValidation>
    <dataValidation type="whole" allowBlank="1" showInputMessage="1" showErrorMessage="1" sqref="U246">
      <formula1>1</formula1>
      <formula2>5</formula2>
    </dataValidation>
    <dataValidation type="whole" allowBlank="1" showInputMessage="1" showErrorMessage="1" sqref="V246">
      <formula1>1</formula1>
      <formula2>5</formula2>
    </dataValidation>
    <dataValidation type="whole" allowBlank="1" showInputMessage="1" showErrorMessage="1" sqref="X246">
      <formula1>1</formula1>
      <formula2>5</formula2>
    </dataValidation>
    <dataValidation type="decimal" operator="greaterThanOrEqual" allowBlank="1" showInputMessage="1" showErrorMessage="1" sqref="Y246">
      <formula1>0</formula1>
    </dataValidation>
    <dataValidation type="whole" operator="greaterThanOrEqual" allowBlank="1" showInputMessage="1" showErrorMessage="1" sqref="Z246">
      <formula1>0</formula1>
    </dataValidation>
    <dataValidation type="whole" allowBlank="1" showInputMessage="1" showErrorMessage="1" sqref="AA246">
      <formula1>1</formula1>
      <formula2>5</formula2>
    </dataValidation>
    <dataValidation type="decimal" allowBlank="1" showInputMessage="1" showErrorMessage="1" sqref="AB246">
      <formula1>0</formula1>
      <formula2>1</formula2>
    </dataValidation>
    <dataValidation type="list" allowBlank="1" showInputMessage="1" showErrorMessage="1" sqref="O246">
      <formula1>liste_statuts</formula1>
    </dataValidation>
    <dataValidation type="list" allowBlank="1" showInputMessage="1" showErrorMessage="1" sqref="B247">
      <formula1>liste_programmes</formula1>
    </dataValidation>
    <dataValidation type="list" allowBlank="1" showInputMessage="1" showErrorMessage="1" sqref="D247">
      <formula1>liste_types</formula1>
    </dataValidation>
    <dataValidation type="list" allowBlank="1" showInputMessage="1" showErrorMessage="1" sqref="F247">
      <formula1>liste_categories</formula1>
    </dataValidation>
    <dataValidation type="list" allowBlank="1" showInputMessage="1" showErrorMessage="1" sqref="G247">
      <formula1>liste_responsables</formula1>
    </dataValidation>
    <dataValidation type="list" allowBlank="1" showInputMessage="1" showErrorMessage="1" sqref="H247">
      <formula1>liste_sites</formula1>
    </dataValidation>
    <dataValidation type="list" allowBlank="1" showInputMessage="1" showErrorMessage="1" sqref="I247">
      <formula1>liste_priorites</formula1>
    </dataValidation>
    <dataValidation type="date" operator="greaterThanOrEqual" allowBlank="1" showInputMessage="1" showErrorMessage="1" sqref="J247">
      <formula1>730120</formula1>
    </dataValidation>
    <dataValidation type="date" operator="greaterThanOrEqual" allowBlank="1" showInputMessage="1" showErrorMessage="1" sqref="K247">
      <formula1>730120</formula1>
    </dataValidation>
    <dataValidation type="date" operator="greaterThanOrEqual" allowBlank="1" showInputMessage="1" showErrorMessage="1" sqref="L247">
      <formula1>730120</formula1>
    </dataValidation>
    <dataValidation type="whole" allowBlank="1" showInputMessage="1" showErrorMessage="1" sqref="P247">
      <formula1>0</formula1>
      <formula2>100</formula2>
    </dataValidation>
    <dataValidation type="decimal" operator="greaterThanOrEqual" allowBlank="1" showInputMessage="1" showErrorMessage="1" sqref="Q247">
      <formula1>0</formula1>
    </dataValidation>
    <dataValidation type="decimal" operator="greaterThanOrEqual" allowBlank="1" showInputMessage="1" showErrorMessage="1" sqref="R247">
      <formula1>0</formula1>
    </dataValidation>
    <dataValidation type="whole" allowBlank="1" showInputMessage="1" showErrorMessage="1" sqref="U247">
      <formula1>1</formula1>
      <formula2>5</formula2>
    </dataValidation>
    <dataValidation type="whole" allowBlank="1" showInputMessage="1" showErrorMessage="1" sqref="V247">
      <formula1>1</formula1>
      <formula2>5</formula2>
    </dataValidation>
    <dataValidation type="whole" allowBlank="1" showInputMessage="1" showErrorMessage="1" sqref="X247">
      <formula1>1</formula1>
      <formula2>5</formula2>
    </dataValidation>
    <dataValidation type="decimal" operator="greaterThanOrEqual" allowBlank="1" showInputMessage="1" showErrorMessage="1" sqref="Y247">
      <formula1>0</formula1>
    </dataValidation>
    <dataValidation type="whole" operator="greaterThanOrEqual" allowBlank="1" showInputMessage="1" showErrorMessage="1" sqref="Z247">
      <formula1>0</formula1>
    </dataValidation>
    <dataValidation type="whole" allowBlank="1" showInputMessage="1" showErrorMessage="1" sqref="AA247">
      <formula1>1</formula1>
      <formula2>5</formula2>
    </dataValidation>
    <dataValidation type="decimal" allowBlank="1" showInputMessage="1" showErrorMessage="1" sqref="AB247">
      <formula1>0</formula1>
      <formula2>1</formula2>
    </dataValidation>
    <dataValidation type="list" allowBlank="1" showInputMessage="1" showErrorMessage="1" sqref="O247">
      <formula1>liste_statuts</formula1>
    </dataValidation>
    <dataValidation type="list" allowBlank="1" showInputMessage="1" showErrorMessage="1" sqref="B248">
      <formula1>liste_programmes</formula1>
    </dataValidation>
    <dataValidation type="list" allowBlank="1" showInputMessage="1" showErrorMessage="1" sqref="D248">
      <formula1>liste_types</formula1>
    </dataValidation>
    <dataValidation type="list" allowBlank="1" showInputMessage="1" showErrorMessage="1" sqref="F248">
      <formula1>liste_categories</formula1>
    </dataValidation>
    <dataValidation type="list" allowBlank="1" showInputMessage="1" showErrorMessage="1" sqref="G248">
      <formula1>liste_responsables</formula1>
    </dataValidation>
    <dataValidation type="list" allowBlank="1" showInputMessage="1" showErrorMessage="1" sqref="H248">
      <formula1>liste_sites</formula1>
    </dataValidation>
    <dataValidation type="list" allowBlank="1" showInputMessage="1" showErrorMessage="1" sqref="I248">
      <formula1>liste_priorites</formula1>
    </dataValidation>
    <dataValidation type="date" operator="greaterThanOrEqual" allowBlank="1" showInputMessage="1" showErrorMessage="1" sqref="J248">
      <formula1>730120</formula1>
    </dataValidation>
    <dataValidation type="date" operator="greaterThanOrEqual" allowBlank="1" showInputMessage="1" showErrorMessage="1" sqref="K248">
      <formula1>730120</formula1>
    </dataValidation>
    <dataValidation type="date" operator="greaterThanOrEqual" allowBlank="1" showInputMessage="1" showErrorMessage="1" sqref="L248">
      <formula1>730120</formula1>
    </dataValidation>
    <dataValidation type="whole" allowBlank="1" showInputMessage="1" showErrorMessage="1" sqref="P248">
      <formula1>0</formula1>
      <formula2>100</formula2>
    </dataValidation>
    <dataValidation type="decimal" operator="greaterThanOrEqual" allowBlank="1" showInputMessage="1" showErrorMessage="1" sqref="Q248">
      <formula1>0</formula1>
    </dataValidation>
    <dataValidation type="decimal" operator="greaterThanOrEqual" allowBlank="1" showInputMessage="1" showErrorMessage="1" sqref="R248">
      <formula1>0</formula1>
    </dataValidation>
    <dataValidation type="whole" allowBlank="1" showInputMessage="1" showErrorMessage="1" sqref="U248">
      <formula1>1</formula1>
      <formula2>5</formula2>
    </dataValidation>
    <dataValidation type="whole" allowBlank="1" showInputMessage="1" showErrorMessage="1" sqref="V248">
      <formula1>1</formula1>
      <formula2>5</formula2>
    </dataValidation>
    <dataValidation type="whole" allowBlank="1" showInputMessage="1" showErrorMessage="1" sqref="X248">
      <formula1>1</formula1>
      <formula2>5</formula2>
    </dataValidation>
    <dataValidation type="decimal" operator="greaterThanOrEqual" allowBlank="1" showInputMessage="1" showErrorMessage="1" sqref="Y248">
      <formula1>0</formula1>
    </dataValidation>
    <dataValidation type="whole" operator="greaterThanOrEqual" allowBlank="1" showInputMessage="1" showErrorMessage="1" sqref="Z248">
      <formula1>0</formula1>
    </dataValidation>
    <dataValidation type="whole" allowBlank="1" showInputMessage="1" showErrorMessage="1" sqref="AA248">
      <formula1>1</formula1>
      <formula2>5</formula2>
    </dataValidation>
    <dataValidation type="decimal" allowBlank="1" showInputMessage="1" showErrorMessage="1" sqref="AB248">
      <formula1>0</formula1>
      <formula2>1</formula2>
    </dataValidation>
    <dataValidation type="list" allowBlank="1" showInputMessage="1" showErrorMessage="1" sqref="O248">
      <formula1>liste_statuts</formula1>
    </dataValidation>
    <dataValidation type="list" allowBlank="1" showInputMessage="1" showErrorMessage="1" sqref="B249">
      <formula1>liste_programmes</formula1>
    </dataValidation>
    <dataValidation type="list" allowBlank="1" showInputMessage="1" showErrorMessage="1" sqref="D249">
      <formula1>liste_types</formula1>
    </dataValidation>
    <dataValidation type="list" allowBlank="1" showInputMessage="1" showErrorMessage="1" sqref="F249">
      <formula1>liste_categories</formula1>
    </dataValidation>
    <dataValidation type="list" allowBlank="1" showInputMessage="1" showErrorMessage="1" sqref="G249">
      <formula1>liste_responsables</formula1>
    </dataValidation>
    <dataValidation type="list" allowBlank="1" showInputMessage="1" showErrorMessage="1" sqref="H249">
      <formula1>liste_sites</formula1>
    </dataValidation>
    <dataValidation type="list" allowBlank="1" showInputMessage="1" showErrorMessage="1" sqref="I249">
      <formula1>liste_priorites</formula1>
    </dataValidation>
    <dataValidation type="date" operator="greaterThanOrEqual" allowBlank="1" showInputMessage="1" showErrorMessage="1" sqref="J249">
      <formula1>730120</formula1>
    </dataValidation>
    <dataValidation type="date" operator="greaterThanOrEqual" allowBlank="1" showInputMessage="1" showErrorMessage="1" sqref="K249">
      <formula1>730120</formula1>
    </dataValidation>
    <dataValidation type="date" operator="greaterThanOrEqual" allowBlank="1" showInputMessage="1" showErrorMessage="1" sqref="L249">
      <formula1>730120</formula1>
    </dataValidation>
    <dataValidation type="whole" allowBlank="1" showInputMessage="1" showErrorMessage="1" sqref="P249">
      <formula1>0</formula1>
      <formula2>100</formula2>
    </dataValidation>
    <dataValidation type="decimal" operator="greaterThanOrEqual" allowBlank="1" showInputMessage="1" showErrorMessage="1" sqref="Q249">
      <formula1>0</formula1>
    </dataValidation>
    <dataValidation type="decimal" operator="greaterThanOrEqual" allowBlank="1" showInputMessage="1" showErrorMessage="1" sqref="R249">
      <formula1>0</formula1>
    </dataValidation>
    <dataValidation type="whole" allowBlank="1" showInputMessage="1" showErrorMessage="1" sqref="U249">
      <formula1>1</formula1>
      <formula2>5</formula2>
    </dataValidation>
    <dataValidation type="whole" allowBlank="1" showInputMessage="1" showErrorMessage="1" sqref="V249">
      <formula1>1</formula1>
      <formula2>5</formula2>
    </dataValidation>
    <dataValidation type="whole" allowBlank="1" showInputMessage="1" showErrorMessage="1" sqref="X249">
      <formula1>1</formula1>
      <formula2>5</formula2>
    </dataValidation>
    <dataValidation type="decimal" operator="greaterThanOrEqual" allowBlank="1" showInputMessage="1" showErrorMessage="1" sqref="Y249">
      <formula1>0</formula1>
    </dataValidation>
    <dataValidation type="whole" operator="greaterThanOrEqual" allowBlank="1" showInputMessage="1" showErrorMessage="1" sqref="Z249">
      <formula1>0</formula1>
    </dataValidation>
    <dataValidation type="whole" allowBlank="1" showInputMessage="1" showErrorMessage="1" sqref="AA249">
      <formula1>1</formula1>
      <formula2>5</formula2>
    </dataValidation>
    <dataValidation type="decimal" allowBlank="1" showInputMessage="1" showErrorMessage="1" sqref="AB249">
      <formula1>0</formula1>
      <formula2>1</formula2>
    </dataValidation>
    <dataValidation type="list" allowBlank="1" showInputMessage="1" showErrorMessage="1" sqref="O249">
      <formula1>liste_statuts</formula1>
    </dataValidation>
    <dataValidation type="list" allowBlank="1" showInputMessage="1" showErrorMessage="1" sqref="B250">
      <formula1>liste_programmes</formula1>
    </dataValidation>
    <dataValidation type="list" allowBlank="1" showInputMessage="1" showErrorMessage="1" sqref="D250">
      <formula1>liste_types</formula1>
    </dataValidation>
    <dataValidation type="list" allowBlank="1" showInputMessage="1" showErrorMessage="1" sqref="F250">
      <formula1>liste_categories</formula1>
    </dataValidation>
    <dataValidation type="list" allowBlank="1" showInputMessage="1" showErrorMessage="1" sqref="G250">
      <formula1>liste_responsables</formula1>
    </dataValidation>
    <dataValidation type="list" allowBlank="1" showInputMessage="1" showErrorMessage="1" sqref="H250">
      <formula1>liste_sites</formula1>
    </dataValidation>
    <dataValidation type="list" allowBlank="1" showInputMessage="1" showErrorMessage="1" sqref="I250">
      <formula1>liste_priorites</formula1>
    </dataValidation>
    <dataValidation type="date" operator="greaterThanOrEqual" allowBlank="1" showInputMessage="1" showErrorMessage="1" sqref="J250">
      <formula1>730120</formula1>
    </dataValidation>
    <dataValidation type="date" operator="greaterThanOrEqual" allowBlank="1" showInputMessage="1" showErrorMessage="1" sqref="K250">
      <formula1>730120</formula1>
    </dataValidation>
    <dataValidation type="date" operator="greaterThanOrEqual" allowBlank="1" showInputMessage="1" showErrorMessage="1" sqref="L250">
      <formula1>730120</formula1>
    </dataValidation>
    <dataValidation type="whole" allowBlank="1" showInputMessage="1" showErrorMessage="1" sqref="P250">
      <formula1>0</formula1>
      <formula2>100</formula2>
    </dataValidation>
    <dataValidation type="decimal" operator="greaterThanOrEqual" allowBlank="1" showInputMessage="1" showErrorMessage="1" sqref="Q250">
      <formula1>0</formula1>
    </dataValidation>
    <dataValidation type="decimal" operator="greaterThanOrEqual" allowBlank="1" showInputMessage="1" showErrorMessage="1" sqref="R250">
      <formula1>0</formula1>
    </dataValidation>
    <dataValidation type="whole" allowBlank="1" showInputMessage="1" showErrorMessage="1" sqref="U250">
      <formula1>1</formula1>
      <formula2>5</formula2>
    </dataValidation>
    <dataValidation type="whole" allowBlank="1" showInputMessage="1" showErrorMessage="1" sqref="V250">
      <formula1>1</formula1>
      <formula2>5</formula2>
    </dataValidation>
    <dataValidation type="whole" allowBlank="1" showInputMessage="1" showErrorMessage="1" sqref="X250">
      <formula1>1</formula1>
      <formula2>5</formula2>
    </dataValidation>
    <dataValidation type="decimal" operator="greaterThanOrEqual" allowBlank="1" showInputMessage="1" showErrorMessage="1" sqref="Y250">
      <formula1>0</formula1>
    </dataValidation>
    <dataValidation type="whole" operator="greaterThanOrEqual" allowBlank="1" showInputMessage="1" showErrorMessage="1" sqref="Z250">
      <formula1>0</formula1>
    </dataValidation>
    <dataValidation type="whole" allowBlank="1" showInputMessage="1" showErrorMessage="1" sqref="AA250">
      <formula1>1</formula1>
      <formula2>5</formula2>
    </dataValidation>
    <dataValidation type="decimal" allowBlank="1" showInputMessage="1" showErrorMessage="1" sqref="AB250">
      <formula1>0</formula1>
      <formula2>1</formula2>
    </dataValidation>
    <dataValidation type="list" allowBlank="1" showInputMessage="1" showErrorMessage="1" sqref="O250">
      <formula1>liste_statuts</formula1>
    </dataValidation>
    <dataValidation type="list" allowBlank="1" showInputMessage="1" showErrorMessage="1" sqref="B251">
      <formula1>liste_programmes</formula1>
    </dataValidation>
    <dataValidation type="list" allowBlank="1" showInputMessage="1" showErrorMessage="1" sqref="D251">
      <formula1>liste_types</formula1>
    </dataValidation>
    <dataValidation type="list" allowBlank="1" showInputMessage="1" showErrorMessage="1" sqref="F251">
      <formula1>liste_categories</formula1>
    </dataValidation>
    <dataValidation type="list" allowBlank="1" showInputMessage="1" showErrorMessage="1" sqref="G251">
      <formula1>liste_responsables</formula1>
    </dataValidation>
    <dataValidation type="list" allowBlank="1" showInputMessage="1" showErrorMessage="1" sqref="H251">
      <formula1>liste_sites</formula1>
    </dataValidation>
    <dataValidation type="list" allowBlank="1" showInputMessage="1" showErrorMessage="1" sqref="I251">
      <formula1>liste_priorites</formula1>
    </dataValidation>
    <dataValidation type="date" operator="greaterThanOrEqual" allowBlank="1" showInputMessage="1" showErrorMessage="1" sqref="J251">
      <formula1>730120</formula1>
    </dataValidation>
    <dataValidation type="date" operator="greaterThanOrEqual" allowBlank="1" showInputMessage="1" showErrorMessage="1" sqref="K251">
      <formula1>730120</formula1>
    </dataValidation>
    <dataValidation type="date" operator="greaterThanOrEqual" allowBlank="1" showInputMessage="1" showErrorMessage="1" sqref="L251">
      <formula1>730120</formula1>
    </dataValidation>
    <dataValidation type="whole" allowBlank="1" showInputMessage="1" showErrorMessage="1" sqref="P251">
      <formula1>0</formula1>
      <formula2>100</formula2>
    </dataValidation>
    <dataValidation type="decimal" operator="greaterThanOrEqual" allowBlank="1" showInputMessage="1" showErrorMessage="1" sqref="Q251">
      <formula1>0</formula1>
    </dataValidation>
    <dataValidation type="decimal" operator="greaterThanOrEqual" allowBlank="1" showInputMessage="1" showErrorMessage="1" sqref="R251">
      <formula1>0</formula1>
    </dataValidation>
    <dataValidation type="whole" allowBlank="1" showInputMessage="1" showErrorMessage="1" sqref="U251">
      <formula1>1</formula1>
      <formula2>5</formula2>
    </dataValidation>
    <dataValidation type="whole" allowBlank="1" showInputMessage="1" showErrorMessage="1" sqref="V251">
      <formula1>1</formula1>
      <formula2>5</formula2>
    </dataValidation>
    <dataValidation type="whole" allowBlank="1" showInputMessage="1" showErrorMessage="1" sqref="X251">
      <formula1>1</formula1>
      <formula2>5</formula2>
    </dataValidation>
    <dataValidation type="decimal" operator="greaterThanOrEqual" allowBlank="1" showInputMessage="1" showErrorMessage="1" sqref="Y251">
      <formula1>0</formula1>
    </dataValidation>
    <dataValidation type="whole" operator="greaterThanOrEqual" allowBlank="1" showInputMessage="1" showErrorMessage="1" sqref="Z251">
      <formula1>0</formula1>
    </dataValidation>
    <dataValidation type="whole" allowBlank="1" showInputMessage="1" showErrorMessage="1" sqref="AA251">
      <formula1>1</formula1>
      <formula2>5</formula2>
    </dataValidation>
    <dataValidation type="decimal" allowBlank="1" showInputMessage="1" showErrorMessage="1" sqref="AB251">
      <formula1>0</formula1>
      <formula2>1</formula2>
    </dataValidation>
    <dataValidation type="list" allowBlank="1" showInputMessage="1" showErrorMessage="1" sqref="O251">
      <formula1>liste_statuts</formula1>
    </dataValidation>
    <dataValidation type="list" allowBlank="1" showInputMessage="1" showErrorMessage="1" sqref="B252">
      <formula1>liste_programmes</formula1>
    </dataValidation>
    <dataValidation type="list" allowBlank="1" showInputMessage="1" showErrorMessage="1" sqref="D252">
      <formula1>liste_types</formula1>
    </dataValidation>
    <dataValidation type="list" allowBlank="1" showInputMessage="1" showErrorMessage="1" sqref="F252">
      <formula1>liste_categories</formula1>
    </dataValidation>
    <dataValidation type="list" allowBlank="1" showInputMessage="1" showErrorMessage="1" sqref="G252">
      <formula1>liste_responsables</formula1>
    </dataValidation>
    <dataValidation type="list" allowBlank="1" showInputMessage="1" showErrorMessage="1" sqref="H252">
      <formula1>liste_sites</formula1>
    </dataValidation>
    <dataValidation type="list" allowBlank="1" showInputMessage="1" showErrorMessage="1" sqref="I252">
      <formula1>liste_priorites</formula1>
    </dataValidation>
    <dataValidation type="date" operator="greaterThanOrEqual" allowBlank="1" showInputMessage="1" showErrorMessage="1" sqref="J252">
      <formula1>730120</formula1>
    </dataValidation>
    <dataValidation type="date" operator="greaterThanOrEqual" allowBlank="1" showInputMessage="1" showErrorMessage="1" sqref="K252">
      <formula1>730120</formula1>
    </dataValidation>
    <dataValidation type="date" operator="greaterThanOrEqual" allowBlank="1" showInputMessage="1" showErrorMessage="1" sqref="L252">
      <formula1>730120</formula1>
    </dataValidation>
    <dataValidation type="whole" allowBlank="1" showInputMessage="1" showErrorMessage="1" sqref="P252">
      <formula1>0</formula1>
      <formula2>100</formula2>
    </dataValidation>
    <dataValidation type="decimal" operator="greaterThanOrEqual" allowBlank="1" showInputMessage="1" showErrorMessage="1" sqref="Q252">
      <formula1>0</formula1>
    </dataValidation>
    <dataValidation type="decimal" operator="greaterThanOrEqual" allowBlank="1" showInputMessage="1" showErrorMessage="1" sqref="R252">
      <formula1>0</formula1>
    </dataValidation>
    <dataValidation type="whole" allowBlank="1" showInputMessage="1" showErrorMessage="1" sqref="U252">
      <formula1>1</formula1>
      <formula2>5</formula2>
    </dataValidation>
    <dataValidation type="whole" allowBlank="1" showInputMessage="1" showErrorMessage="1" sqref="V252">
      <formula1>1</formula1>
      <formula2>5</formula2>
    </dataValidation>
    <dataValidation type="whole" allowBlank="1" showInputMessage="1" showErrorMessage="1" sqref="X252">
      <formula1>1</formula1>
      <formula2>5</formula2>
    </dataValidation>
    <dataValidation type="decimal" operator="greaterThanOrEqual" allowBlank="1" showInputMessage="1" showErrorMessage="1" sqref="Y252">
      <formula1>0</formula1>
    </dataValidation>
    <dataValidation type="whole" operator="greaterThanOrEqual" allowBlank="1" showInputMessage="1" showErrorMessage="1" sqref="Z252">
      <formula1>0</formula1>
    </dataValidation>
    <dataValidation type="whole" allowBlank="1" showInputMessage="1" showErrorMessage="1" sqref="AA252">
      <formula1>1</formula1>
      <formula2>5</formula2>
    </dataValidation>
    <dataValidation type="decimal" allowBlank="1" showInputMessage="1" showErrorMessage="1" sqref="AB252">
      <formula1>0</formula1>
      <formula2>1</formula2>
    </dataValidation>
    <dataValidation type="list" allowBlank="1" showInputMessage="1" showErrorMessage="1" sqref="O252">
      <formula1>liste_statuts</formula1>
    </dataValidation>
    <dataValidation type="list" allowBlank="1" showInputMessage="1" showErrorMessage="1" sqref="B253">
      <formula1>liste_programmes</formula1>
    </dataValidation>
    <dataValidation type="list" allowBlank="1" showInputMessage="1" showErrorMessage="1" sqref="D253">
      <formula1>liste_types</formula1>
    </dataValidation>
    <dataValidation type="list" allowBlank="1" showInputMessage="1" showErrorMessage="1" sqref="F253">
      <formula1>liste_categories</formula1>
    </dataValidation>
    <dataValidation type="list" allowBlank="1" showInputMessage="1" showErrorMessage="1" sqref="G253">
      <formula1>liste_responsables</formula1>
    </dataValidation>
    <dataValidation type="list" allowBlank="1" showInputMessage="1" showErrorMessage="1" sqref="H253">
      <formula1>liste_sites</formula1>
    </dataValidation>
    <dataValidation type="list" allowBlank="1" showInputMessage="1" showErrorMessage="1" sqref="I253">
      <formula1>liste_priorites</formula1>
    </dataValidation>
    <dataValidation type="date" operator="greaterThanOrEqual" allowBlank="1" showInputMessage="1" showErrorMessage="1" sqref="J253">
      <formula1>730120</formula1>
    </dataValidation>
    <dataValidation type="date" operator="greaterThanOrEqual" allowBlank="1" showInputMessage="1" showErrorMessage="1" sqref="K253">
      <formula1>730120</formula1>
    </dataValidation>
    <dataValidation type="date" operator="greaterThanOrEqual" allowBlank="1" showInputMessage="1" showErrorMessage="1" sqref="L253">
      <formula1>730120</formula1>
    </dataValidation>
    <dataValidation type="whole" allowBlank="1" showInputMessage="1" showErrorMessage="1" sqref="P253">
      <formula1>0</formula1>
      <formula2>100</formula2>
    </dataValidation>
    <dataValidation type="decimal" operator="greaterThanOrEqual" allowBlank="1" showInputMessage="1" showErrorMessage="1" sqref="Q253">
      <formula1>0</formula1>
    </dataValidation>
    <dataValidation type="decimal" operator="greaterThanOrEqual" allowBlank="1" showInputMessage="1" showErrorMessage="1" sqref="R253">
      <formula1>0</formula1>
    </dataValidation>
    <dataValidation type="whole" allowBlank="1" showInputMessage="1" showErrorMessage="1" sqref="U253">
      <formula1>1</formula1>
      <formula2>5</formula2>
    </dataValidation>
    <dataValidation type="whole" allowBlank="1" showInputMessage="1" showErrorMessage="1" sqref="V253">
      <formula1>1</formula1>
      <formula2>5</formula2>
    </dataValidation>
    <dataValidation type="whole" allowBlank="1" showInputMessage="1" showErrorMessage="1" sqref="X253">
      <formula1>1</formula1>
      <formula2>5</formula2>
    </dataValidation>
    <dataValidation type="decimal" operator="greaterThanOrEqual" allowBlank="1" showInputMessage="1" showErrorMessage="1" sqref="Y253">
      <formula1>0</formula1>
    </dataValidation>
    <dataValidation type="whole" operator="greaterThanOrEqual" allowBlank="1" showInputMessage="1" showErrorMessage="1" sqref="Z253">
      <formula1>0</formula1>
    </dataValidation>
    <dataValidation type="whole" allowBlank="1" showInputMessage="1" showErrorMessage="1" sqref="AA253">
      <formula1>1</formula1>
      <formula2>5</formula2>
    </dataValidation>
    <dataValidation type="decimal" allowBlank="1" showInputMessage="1" showErrorMessage="1" sqref="AB253">
      <formula1>0</formula1>
      <formula2>1</formula2>
    </dataValidation>
    <dataValidation type="list" allowBlank="1" showInputMessage="1" showErrorMessage="1" sqref="O253">
      <formula1>liste_statuts</formula1>
    </dataValidation>
    <dataValidation type="list" allowBlank="1" showInputMessage="1" showErrorMessage="1" sqref="B254">
      <formula1>liste_programmes</formula1>
    </dataValidation>
    <dataValidation type="list" allowBlank="1" showInputMessage="1" showErrorMessage="1" sqref="D254">
      <formula1>liste_types</formula1>
    </dataValidation>
    <dataValidation type="list" allowBlank="1" showInputMessage="1" showErrorMessage="1" sqref="F254">
      <formula1>liste_categories</formula1>
    </dataValidation>
    <dataValidation type="list" allowBlank="1" showInputMessage="1" showErrorMessage="1" sqref="G254">
      <formula1>liste_responsables</formula1>
    </dataValidation>
    <dataValidation type="list" allowBlank="1" showInputMessage="1" showErrorMessage="1" sqref="H254">
      <formula1>liste_sites</formula1>
    </dataValidation>
    <dataValidation type="list" allowBlank="1" showInputMessage="1" showErrorMessage="1" sqref="I254">
      <formula1>liste_priorites</formula1>
    </dataValidation>
    <dataValidation type="date" operator="greaterThanOrEqual" allowBlank="1" showInputMessage="1" showErrorMessage="1" sqref="J254">
      <formula1>730120</formula1>
    </dataValidation>
    <dataValidation type="date" operator="greaterThanOrEqual" allowBlank="1" showInputMessage="1" showErrorMessage="1" sqref="K254">
      <formula1>730120</formula1>
    </dataValidation>
    <dataValidation type="date" operator="greaterThanOrEqual" allowBlank="1" showInputMessage="1" showErrorMessage="1" sqref="L254">
      <formula1>730120</formula1>
    </dataValidation>
    <dataValidation type="whole" allowBlank="1" showInputMessage="1" showErrorMessage="1" sqref="P254">
      <formula1>0</formula1>
      <formula2>100</formula2>
    </dataValidation>
    <dataValidation type="decimal" operator="greaterThanOrEqual" allowBlank="1" showInputMessage="1" showErrorMessage="1" sqref="Q254">
      <formula1>0</formula1>
    </dataValidation>
    <dataValidation type="decimal" operator="greaterThanOrEqual" allowBlank="1" showInputMessage="1" showErrorMessage="1" sqref="R254">
      <formula1>0</formula1>
    </dataValidation>
    <dataValidation type="whole" allowBlank="1" showInputMessage="1" showErrorMessage="1" sqref="U254">
      <formula1>1</formula1>
      <formula2>5</formula2>
    </dataValidation>
    <dataValidation type="whole" allowBlank="1" showInputMessage="1" showErrorMessage="1" sqref="V254">
      <formula1>1</formula1>
      <formula2>5</formula2>
    </dataValidation>
    <dataValidation type="whole" allowBlank="1" showInputMessage="1" showErrorMessage="1" sqref="X254">
      <formula1>1</formula1>
      <formula2>5</formula2>
    </dataValidation>
    <dataValidation type="decimal" operator="greaterThanOrEqual" allowBlank="1" showInputMessage="1" showErrorMessage="1" sqref="Y254">
      <formula1>0</formula1>
    </dataValidation>
    <dataValidation type="whole" operator="greaterThanOrEqual" allowBlank="1" showInputMessage="1" showErrorMessage="1" sqref="Z254">
      <formula1>0</formula1>
    </dataValidation>
    <dataValidation type="whole" allowBlank="1" showInputMessage="1" showErrorMessage="1" sqref="AA254">
      <formula1>1</formula1>
      <formula2>5</formula2>
    </dataValidation>
    <dataValidation type="decimal" allowBlank="1" showInputMessage="1" showErrorMessage="1" sqref="AB254">
      <formula1>0</formula1>
      <formula2>1</formula2>
    </dataValidation>
    <dataValidation type="list" allowBlank="1" showInputMessage="1" showErrorMessage="1" sqref="O254">
      <formula1>liste_statuts</formula1>
    </dataValidation>
    <dataValidation type="list" allowBlank="1" showInputMessage="1" showErrorMessage="1" sqref="B255">
      <formula1>liste_programmes</formula1>
    </dataValidation>
    <dataValidation type="list" allowBlank="1" showInputMessage="1" showErrorMessage="1" sqref="D255">
      <formula1>liste_types</formula1>
    </dataValidation>
    <dataValidation type="list" allowBlank="1" showInputMessage="1" showErrorMessage="1" sqref="F255">
      <formula1>liste_categories</formula1>
    </dataValidation>
    <dataValidation type="list" allowBlank="1" showInputMessage="1" showErrorMessage="1" sqref="G255">
      <formula1>liste_responsables</formula1>
    </dataValidation>
    <dataValidation type="list" allowBlank="1" showInputMessage="1" showErrorMessage="1" sqref="H255">
      <formula1>liste_sites</formula1>
    </dataValidation>
    <dataValidation type="list" allowBlank="1" showInputMessage="1" showErrorMessage="1" sqref="I255">
      <formula1>liste_priorites</formula1>
    </dataValidation>
    <dataValidation type="date" operator="greaterThanOrEqual" allowBlank="1" showInputMessage="1" showErrorMessage="1" sqref="J255">
      <formula1>730120</formula1>
    </dataValidation>
    <dataValidation type="date" operator="greaterThanOrEqual" allowBlank="1" showInputMessage="1" showErrorMessage="1" sqref="K255">
      <formula1>730120</formula1>
    </dataValidation>
    <dataValidation type="date" operator="greaterThanOrEqual" allowBlank="1" showInputMessage="1" showErrorMessage="1" sqref="L255">
      <formula1>730120</formula1>
    </dataValidation>
    <dataValidation type="whole" allowBlank="1" showInputMessage="1" showErrorMessage="1" sqref="P255">
      <formula1>0</formula1>
      <formula2>100</formula2>
    </dataValidation>
    <dataValidation type="decimal" operator="greaterThanOrEqual" allowBlank="1" showInputMessage="1" showErrorMessage="1" sqref="Q255">
      <formula1>0</formula1>
    </dataValidation>
    <dataValidation type="decimal" operator="greaterThanOrEqual" allowBlank="1" showInputMessage="1" showErrorMessage="1" sqref="R255">
      <formula1>0</formula1>
    </dataValidation>
    <dataValidation type="whole" allowBlank="1" showInputMessage="1" showErrorMessage="1" sqref="U255">
      <formula1>1</formula1>
      <formula2>5</formula2>
    </dataValidation>
    <dataValidation type="whole" allowBlank="1" showInputMessage="1" showErrorMessage="1" sqref="V255">
      <formula1>1</formula1>
      <formula2>5</formula2>
    </dataValidation>
    <dataValidation type="whole" allowBlank="1" showInputMessage="1" showErrorMessage="1" sqref="X255">
      <formula1>1</formula1>
      <formula2>5</formula2>
    </dataValidation>
    <dataValidation type="decimal" operator="greaterThanOrEqual" allowBlank="1" showInputMessage="1" showErrorMessage="1" sqref="Y255">
      <formula1>0</formula1>
    </dataValidation>
    <dataValidation type="whole" operator="greaterThanOrEqual" allowBlank="1" showInputMessage="1" showErrorMessage="1" sqref="Z255">
      <formula1>0</formula1>
    </dataValidation>
    <dataValidation type="whole" allowBlank="1" showInputMessage="1" showErrorMessage="1" sqref="AA255">
      <formula1>1</formula1>
      <formula2>5</formula2>
    </dataValidation>
    <dataValidation type="decimal" allowBlank="1" showInputMessage="1" showErrorMessage="1" sqref="AB255">
      <formula1>0</formula1>
      <formula2>1</formula2>
    </dataValidation>
    <dataValidation type="list" allowBlank="1" showInputMessage="1" showErrorMessage="1" sqref="O255">
      <formula1>liste_statuts</formula1>
    </dataValidation>
    <dataValidation type="list" allowBlank="1" showInputMessage="1" showErrorMessage="1" sqref="B256">
      <formula1>liste_programmes</formula1>
    </dataValidation>
    <dataValidation type="list" allowBlank="1" showInputMessage="1" showErrorMessage="1" sqref="D256">
      <formula1>liste_types</formula1>
    </dataValidation>
    <dataValidation type="list" allowBlank="1" showInputMessage="1" showErrorMessage="1" sqref="F256">
      <formula1>liste_categories</formula1>
    </dataValidation>
    <dataValidation type="list" allowBlank="1" showInputMessage="1" showErrorMessage="1" sqref="G256">
      <formula1>liste_responsables</formula1>
    </dataValidation>
    <dataValidation type="list" allowBlank="1" showInputMessage="1" showErrorMessage="1" sqref="H256">
      <formula1>liste_sites</formula1>
    </dataValidation>
    <dataValidation type="list" allowBlank="1" showInputMessage="1" showErrorMessage="1" sqref="I256">
      <formula1>liste_priorites</formula1>
    </dataValidation>
    <dataValidation type="date" operator="greaterThanOrEqual" allowBlank="1" showInputMessage="1" showErrorMessage="1" sqref="J256">
      <formula1>730120</formula1>
    </dataValidation>
    <dataValidation type="date" operator="greaterThanOrEqual" allowBlank="1" showInputMessage="1" showErrorMessage="1" sqref="K256">
      <formula1>730120</formula1>
    </dataValidation>
    <dataValidation type="date" operator="greaterThanOrEqual" allowBlank="1" showInputMessage="1" showErrorMessage="1" sqref="L256">
      <formula1>730120</formula1>
    </dataValidation>
    <dataValidation type="whole" allowBlank="1" showInputMessage="1" showErrorMessage="1" sqref="P256">
      <formula1>0</formula1>
      <formula2>100</formula2>
    </dataValidation>
    <dataValidation type="decimal" operator="greaterThanOrEqual" allowBlank="1" showInputMessage="1" showErrorMessage="1" sqref="Q256">
      <formula1>0</formula1>
    </dataValidation>
    <dataValidation type="decimal" operator="greaterThanOrEqual" allowBlank="1" showInputMessage="1" showErrorMessage="1" sqref="R256">
      <formula1>0</formula1>
    </dataValidation>
    <dataValidation type="whole" allowBlank="1" showInputMessage="1" showErrorMessage="1" sqref="U256">
      <formula1>1</formula1>
      <formula2>5</formula2>
    </dataValidation>
    <dataValidation type="whole" allowBlank="1" showInputMessage="1" showErrorMessage="1" sqref="V256">
      <formula1>1</formula1>
      <formula2>5</formula2>
    </dataValidation>
    <dataValidation type="whole" allowBlank="1" showInputMessage="1" showErrorMessage="1" sqref="X256">
      <formula1>1</formula1>
      <formula2>5</formula2>
    </dataValidation>
    <dataValidation type="decimal" operator="greaterThanOrEqual" allowBlank="1" showInputMessage="1" showErrorMessage="1" sqref="Y256">
      <formula1>0</formula1>
    </dataValidation>
    <dataValidation type="whole" operator="greaterThanOrEqual" allowBlank="1" showInputMessage="1" showErrorMessage="1" sqref="Z256">
      <formula1>0</formula1>
    </dataValidation>
    <dataValidation type="whole" allowBlank="1" showInputMessage="1" showErrorMessage="1" sqref="AA256">
      <formula1>1</formula1>
      <formula2>5</formula2>
    </dataValidation>
    <dataValidation type="decimal" allowBlank="1" showInputMessage="1" showErrorMessage="1" sqref="AB256">
      <formula1>0</formula1>
      <formula2>1</formula2>
    </dataValidation>
    <dataValidation type="list" allowBlank="1" showInputMessage="1" showErrorMessage="1" sqref="O256">
      <formula1>liste_statuts</formula1>
    </dataValidation>
    <dataValidation type="list" allowBlank="1" showInputMessage="1" showErrorMessage="1" sqref="B257">
      <formula1>liste_programmes</formula1>
    </dataValidation>
    <dataValidation type="list" allowBlank="1" showInputMessage="1" showErrorMessage="1" sqref="D257">
      <formula1>liste_types</formula1>
    </dataValidation>
    <dataValidation type="list" allowBlank="1" showInputMessage="1" showErrorMessage="1" sqref="F257">
      <formula1>liste_categories</formula1>
    </dataValidation>
    <dataValidation type="list" allowBlank="1" showInputMessage="1" showErrorMessage="1" sqref="G257">
      <formula1>liste_responsables</formula1>
    </dataValidation>
    <dataValidation type="list" allowBlank="1" showInputMessage="1" showErrorMessage="1" sqref="H257">
      <formula1>liste_sites</formula1>
    </dataValidation>
    <dataValidation type="list" allowBlank="1" showInputMessage="1" showErrorMessage="1" sqref="I257">
      <formula1>liste_priorites</formula1>
    </dataValidation>
    <dataValidation type="date" operator="greaterThanOrEqual" allowBlank="1" showInputMessage="1" showErrorMessage="1" sqref="J257">
      <formula1>730120</formula1>
    </dataValidation>
    <dataValidation type="date" operator="greaterThanOrEqual" allowBlank="1" showInputMessage="1" showErrorMessage="1" sqref="K257">
      <formula1>730120</formula1>
    </dataValidation>
    <dataValidation type="date" operator="greaterThanOrEqual" allowBlank="1" showInputMessage="1" showErrorMessage="1" sqref="L257">
      <formula1>730120</formula1>
    </dataValidation>
    <dataValidation type="whole" allowBlank="1" showInputMessage="1" showErrorMessage="1" sqref="P257">
      <formula1>0</formula1>
      <formula2>100</formula2>
    </dataValidation>
    <dataValidation type="decimal" operator="greaterThanOrEqual" allowBlank="1" showInputMessage="1" showErrorMessage="1" sqref="Q257">
      <formula1>0</formula1>
    </dataValidation>
    <dataValidation type="decimal" operator="greaterThanOrEqual" allowBlank="1" showInputMessage="1" showErrorMessage="1" sqref="R257">
      <formula1>0</formula1>
    </dataValidation>
    <dataValidation type="whole" allowBlank="1" showInputMessage="1" showErrorMessage="1" sqref="U257">
      <formula1>1</formula1>
      <formula2>5</formula2>
    </dataValidation>
    <dataValidation type="whole" allowBlank="1" showInputMessage="1" showErrorMessage="1" sqref="V257">
      <formula1>1</formula1>
      <formula2>5</formula2>
    </dataValidation>
    <dataValidation type="whole" allowBlank="1" showInputMessage="1" showErrorMessage="1" sqref="X257">
      <formula1>1</formula1>
      <formula2>5</formula2>
    </dataValidation>
    <dataValidation type="decimal" operator="greaterThanOrEqual" allowBlank="1" showInputMessage="1" showErrorMessage="1" sqref="Y257">
      <formula1>0</formula1>
    </dataValidation>
    <dataValidation type="whole" operator="greaterThanOrEqual" allowBlank="1" showInputMessage="1" showErrorMessage="1" sqref="Z257">
      <formula1>0</formula1>
    </dataValidation>
    <dataValidation type="whole" allowBlank="1" showInputMessage="1" showErrorMessage="1" sqref="AA257">
      <formula1>1</formula1>
      <formula2>5</formula2>
    </dataValidation>
    <dataValidation type="decimal" allowBlank="1" showInputMessage="1" showErrorMessage="1" sqref="AB257">
      <formula1>0</formula1>
      <formula2>1</formula2>
    </dataValidation>
    <dataValidation type="list" allowBlank="1" showInputMessage="1" showErrorMessage="1" sqref="O257">
      <formula1>liste_statuts</formula1>
    </dataValidation>
    <dataValidation type="list" allowBlank="1" showInputMessage="1" showErrorMessage="1" sqref="B258">
      <formula1>liste_programmes</formula1>
    </dataValidation>
    <dataValidation type="list" allowBlank="1" showInputMessage="1" showErrorMessage="1" sqref="D258">
      <formula1>liste_types</formula1>
    </dataValidation>
    <dataValidation type="list" allowBlank="1" showInputMessage="1" showErrorMessage="1" sqref="F258">
      <formula1>liste_categories</formula1>
    </dataValidation>
    <dataValidation type="list" allowBlank="1" showInputMessage="1" showErrorMessage="1" sqref="G258">
      <formula1>liste_responsables</formula1>
    </dataValidation>
    <dataValidation type="list" allowBlank="1" showInputMessage="1" showErrorMessage="1" sqref="H258">
      <formula1>liste_sites</formula1>
    </dataValidation>
    <dataValidation type="list" allowBlank="1" showInputMessage="1" showErrorMessage="1" sqref="I258">
      <formula1>liste_priorites</formula1>
    </dataValidation>
    <dataValidation type="date" operator="greaterThanOrEqual" allowBlank="1" showInputMessage="1" showErrorMessage="1" sqref="J258">
      <formula1>730120</formula1>
    </dataValidation>
    <dataValidation type="date" operator="greaterThanOrEqual" allowBlank="1" showInputMessage="1" showErrorMessage="1" sqref="K258">
      <formula1>730120</formula1>
    </dataValidation>
    <dataValidation type="date" operator="greaterThanOrEqual" allowBlank="1" showInputMessage="1" showErrorMessage="1" sqref="L258">
      <formula1>730120</formula1>
    </dataValidation>
    <dataValidation type="whole" allowBlank="1" showInputMessage="1" showErrorMessage="1" sqref="P258">
      <formula1>0</formula1>
      <formula2>100</formula2>
    </dataValidation>
    <dataValidation type="decimal" operator="greaterThanOrEqual" allowBlank="1" showInputMessage="1" showErrorMessage="1" sqref="Q258">
      <formula1>0</formula1>
    </dataValidation>
    <dataValidation type="decimal" operator="greaterThanOrEqual" allowBlank="1" showInputMessage="1" showErrorMessage="1" sqref="R258">
      <formula1>0</formula1>
    </dataValidation>
    <dataValidation type="whole" allowBlank="1" showInputMessage="1" showErrorMessage="1" sqref="U258">
      <formula1>1</formula1>
      <formula2>5</formula2>
    </dataValidation>
    <dataValidation type="whole" allowBlank="1" showInputMessage="1" showErrorMessage="1" sqref="V258">
      <formula1>1</formula1>
      <formula2>5</formula2>
    </dataValidation>
    <dataValidation type="whole" allowBlank="1" showInputMessage="1" showErrorMessage="1" sqref="X258">
      <formula1>1</formula1>
      <formula2>5</formula2>
    </dataValidation>
    <dataValidation type="decimal" operator="greaterThanOrEqual" allowBlank="1" showInputMessage="1" showErrorMessage="1" sqref="Y258">
      <formula1>0</formula1>
    </dataValidation>
    <dataValidation type="whole" operator="greaterThanOrEqual" allowBlank="1" showInputMessage="1" showErrorMessage="1" sqref="Z258">
      <formula1>0</formula1>
    </dataValidation>
    <dataValidation type="whole" allowBlank="1" showInputMessage="1" showErrorMessage="1" sqref="AA258">
      <formula1>1</formula1>
      <formula2>5</formula2>
    </dataValidation>
    <dataValidation type="decimal" allowBlank="1" showInputMessage="1" showErrorMessage="1" sqref="AB258">
      <formula1>0</formula1>
      <formula2>1</formula2>
    </dataValidation>
    <dataValidation type="list" allowBlank="1" showInputMessage="1" showErrorMessage="1" sqref="O258">
      <formula1>liste_statuts</formula1>
    </dataValidation>
    <dataValidation type="list" allowBlank="1" showInputMessage="1" showErrorMessage="1" sqref="B259">
      <formula1>liste_programmes</formula1>
    </dataValidation>
    <dataValidation type="list" allowBlank="1" showInputMessage="1" showErrorMessage="1" sqref="D259">
      <formula1>liste_types</formula1>
    </dataValidation>
    <dataValidation type="list" allowBlank="1" showInputMessage="1" showErrorMessage="1" sqref="F259">
      <formula1>liste_categories</formula1>
    </dataValidation>
    <dataValidation type="list" allowBlank="1" showInputMessage="1" showErrorMessage="1" sqref="G259">
      <formula1>liste_responsables</formula1>
    </dataValidation>
    <dataValidation type="list" allowBlank="1" showInputMessage="1" showErrorMessage="1" sqref="H259">
      <formula1>liste_sites</formula1>
    </dataValidation>
    <dataValidation type="list" allowBlank="1" showInputMessage="1" showErrorMessage="1" sqref="I259">
      <formula1>liste_priorites</formula1>
    </dataValidation>
    <dataValidation type="date" operator="greaterThanOrEqual" allowBlank="1" showInputMessage="1" showErrorMessage="1" sqref="J259">
      <formula1>730120</formula1>
    </dataValidation>
    <dataValidation type="date" operator="greaterThanOrEqual" allowBlank="1" showInputMessage="1" showErrorMessage="1" sqref="K259">
      <formula1>730120</formula1>
    </dataValidation>
    <dataValidation type="date" operator="greaterThanOrEqual" allowBlank="1" showInputMessage="1" showErrorMessage="1" sqref="L259">
      <formula1>730120</formula1>
    </dataValidation>
    <dataValidation type="whole" allowBlank="1" showInputMessage="1" showErrorMessage="1" sqref="P259">
      <formula1>0</formula1>
      <formula2>100</formula2>
    </dataValidation>
    <dataValidation type="decimal" operator="greaterThanOrEqual" allowBlank="1" showInputMessage="1" showErrorMessage="1" sqref="Q259">
      <formula1>0</formula1>
    </dataValidation>
    <dataValidation type="decimal" operator="greaterThanOrEqual" allowBlank="1" showInputMessage="1" showErrorMessage="1" sqref="R259">
      <formula1>0</formula1>
    </dataValidation>
    <dataValidation type="whole" allowBlank="1" showInputMessage="1" showErrorMessage="1" sqref="U259">
      <formula1>1</formula1>
      <formula2>5</formula2>
    </dataValidation>
    <dataValidation type="whole" allowBlank="1" showInputMessage="1" showErrorMessage="1" sqref="V259">
      <formula1>1</formula1>
      <formula2>5</formula2>
    </dataValidation>
    <dataValidation type="whole" allowBlank="1" showInputMessage="1" showErrorMessage="1" sqref="X259">
      <formula1>1</formula1>
      <formula2>5</formula2>
    </dataValidation>
    <dataValidation type="decimal" operator="greaterThanOrEqual" allowBlank="1" showInputMessage="1" showErrorMessage="1" sqref="Y259">
      <formula1>0</formula1>
    </dataValidation>
    <dataValidation type="whole" operator="greaterThanOrEqual" allowBlank="1" showInputMessage="1" showErrorMessage="1" sqref="Z259">
      <formula1>0</formula1>
    </dataValidation>
    <dataValidation type="whole" allowBlank="1" showInputMessage="1" showErrorMessage="1" sqref="AA259">
      <formula1>1</formula1>
      <formula2>5</formula2>
    </dataValidation>
    <dataValidation type="decimal" allowBlank="1" showInputMessage="1" showErrorMessage="1" sqref="AB259">
      <formula1>0</formula1>
      <formula2>1</formula2>
    </dataValidation>
    <dataValidation type="list" allowBlank="1" showInputMessage="1" showErrorMessage="1" sqref="O259">
      <formula1>liste_statuts</formula1>
    </dataValidation>
    <dataValidation type="list" allowBlank="1" showInputMessage="1" showErrorMessage="1" sqref="B260">
      <formula1>liste_programmes</formula1>
    </dataValidation>
    <dataValidation type="list" allowBlank="1" showInputMessage="1" showErrorMessage="1" sqref="D260">
      <formula1>liste_types</formula1>
    </dataValidation>
    <dataValidation type="list" allowBlank="1" showInputMessage="1" showErrorMessage="1" sqref="F260">
      <formula1>liste_categories</formula1>
    </dataValidation>
    <dataValidation type="list" allowBlank="1" showInputMessage="1" showErrorMessage="1" sqref="G260">
      <formula1>liste_responsables</formula1>
    </dataValidation>
    <dataValidation type="list" allowBlank="1" showInputMessage="1" showErrorMessage="1" sqref="H260">
      <formula1>liste_sites</formula1>
    </dataValidation>
    <dataValidation type="list" allowBlank="1" showInputMessage="1" showErrorMessage="1" sqref="I260">
      <formula1>liste_priorites</formula1>
    </dataValidation>
    <dataValidation type="date" operator="greaterThanOrEqual" allowBlank="1" showInputMessage="1" showErrorMessage="1" sqref="J260">
      <formula1>730120</formula1>
    </dataValidation>
    <dataValidation type="date" operator="greaterThanOrEqual" allowBlank="1" showInputMessage="1" showErrorMessage="1" sqref="K260">
      <formula1>730120</formula1>
    </dataValidation>
    <dataValidation type="date" operator="greaterThanOrEqual" allowBlank="1" showInputMessage="1" showErrorMessage="1" sqref="L260">
      <formula1>730120</formula1>
    </dataValidation>
    <dataValidation type="whole" allowBlank="1" showInputMessage="1" showErrorMessage="1" sqref="P260">
      <formula1>0</formula1>
      <formula2>100</formula2>
    </dataValidation>
    <dataValidation type="decimal" operator="greaterThanOrEqual" allowBlank="1" showInputMessage="1" showErrorMessage="1" sqref="Q260">
      <formula1>0</formula1>
    </dataValidation>
    <dataValidation type="decimal" operator="greaterThanOrEqual" allowBlank="1" showInputMessage="1" showErrorMessage="1" sqref="R260">
      <formula1>0</formula1>
    </dataValidation>
    <dataValidation type="whole" allowBlank="1" showInputMessage="1" showErrorMessage="1" sqref="U260">
      <formula1>1</formula1>
      <formula2>5</formula2>
    </dataValidation>
    <dataValidation type="whole" allowBlank="1" showInputMessage="1" showErrorMessage="1" sqref="V260">
      <formula1>1</formula1>
      <formula2>5</formula2>
    </dataValidation>
    <dataValidation type="whole" allowBlank="1" showInputMessage="1" showErrorMessage="1" sqref="X260">
      <formula1>1</formula1>
      <formula2>5</formula2>
    </dataValidation>
    <dataValidation type="decimal" operator="greaterThanOrEqual" allowBlank="1" showInputMessage="1" showErrorMessage="1" sqref="Y260">
      <formula1>0</formula1>
    </dataValidation>
    <dataValidation type="whole" operator="greaterThanOrEqual" allowBlank="1" showInputMessage="1" showErrorMessage="1" sqref="Z260">
      <formula1>0</formula1>
    </dataValidation>
    <dataValidation type="whole" allowBlank="1" showInputMessage="1" showErrorMessage="1" sqref="AA260">
      <formula1>1</formula1>
      <formula2>5</formula2>
    </dataValidation>
    <dataValidation type="decimal" allowBlank="1" showInputMessage="1" showErrorMessage="1" sqref="AB260">
      <formula1>0</formula1>
      <formula2>1</formula2>
    </dataValidation>
    <dataValidation type="list" allowBlank="1" showInputMessage="1" showErrorMessage="1" sqref="O260">
      <formula1>liste_statuts</formula1>
    </dataValidation>
    <dataValidation type="list" allowBlank="1" showInputMessage="1" showErrorMessage="1" sqref="B261">
      <formula1>liste_programmes</formula1>
    </dataValidation>
    <dataValidation type="list" allowBlank="1" showInputMessage="1" showErrorMessage="1" sqref="D261">
      <formula1>liste_types</formula1>
    </dataValidation>
    <dataValidation type="list" allowBlank="1" showInputMessage="1" showErrorMessage="1" sqref="F261">
      <formula1>liste_categories</formula1>
    </dataValidation>
    <dataValidation type="list" allowBlank="1" showInputMessage="1" showErrorMessage="1" sqref="G261">
      <formula1>liste_responsables</formula1>
    </dataValidation>
    <dataValidation type="list" allowBlank="1" showInputMessage="1" showErrorMessage="1" sqref="H261">
      <formula1>liste_sites</formula1>
    </dataValidation>
    <dataValidation type="list" allowBlank="1" showInputMessage="1" showErrorMessage="1" sqref="I261">
      <formula1>liste_priorites</formula1>
    </dataValidation>
    <dataValidation type="date" operator="greaterThanOrEqual" allowBlank="1" showInputMessage="1" showErrorMessage="1" sqref="J261">
      <formula1>730120</formula1>
    </dataValidation>
    <dataValidation type="date" operator="greaterThanOrEqual" allowBlank="1" showInputMessage="1" showErrorMessage="1" sqref="K261">
      <formula1>730120</formula1>
    </dataValidation>
    <dataValidation type="date" operator="greaterThanOrEqual" allowBlank="1" showInputMessage="1" showErrorMessage="1" sqref="L261">
      <formula1>730120</formula1>
    </dataValidation>
    <dataValidation type="whole" allowBlank="1" showInputMessage="1" showErrorMessage="1" sqref="P261">
      <formula1>0</formula1>
      <formula2>100</formula2>
    </dataValidation>
    <dataValidation type="decimal" operator="greaterThanOrEqual" allowBlank="1" showInputMessage="1" showErrorMessage="1" sqref="Q261">
      <formula1>0</formula1>
    </dataValidation>
    <dataValidation type="decimal" operator="greaterThanOrEqual" allowBlank="1" showInputMessage="1" showErrorMessage="1" sqref="R261">
      <formula1>0</formula1>
    </dataValidation>
    <dataValidation type="whole" allowBlank="1" showInputMessage="1" showErrorMessage="1" sqref="U261">
      <formula1>1</formula1>
      <formula2>5</formula2>
    </dataValidation>
    <dataValidation type="whole" allowBlank="1" showInputMessage="1" showErrorMessage="1" sqref="V261">
      <formula1>1</formula1>
      <formula2>5</formula2>
    </dataValidation>
    <dataValidation type="whole" allowBlank="1" showInputMessage="1" showErrorMessage="1" sqref="X261">
      <formula1>1</formula1>
      <formula2>5</formula2>
    </dataValidation>
    <dataValidation type="decimal" operator="greaterThanOrEqual" allowBlank="1" showInputMessage="1" showErrorMessage="1" sqref="Y261">
      <formula1>0</formula1>
    </dataValidation>
    <dataValidation type="whole" operator="greaterThanOrEqual" allowBlank="1" showInputMessage="1" showErrorMessage="1" sqref="Z261">
      <formula1>0</formula1>
    </dataValidation>
    <dataValidation type="whole" allowBlank="1" showInputMessage="1" showErrorMessage="1" sqref="AA261">
      <formula1>1</formula1>
      <formula2>5</formula2>
    </dataValidation>
    <dataValidation type="decimal" allowBlank="1" showInputMessage="1" showErrorMessage="1" sqref="AB261">
      <formula1>0</formula1>
      <formula2>1</formula2>
    </dataValidation>
    <dataValidation type="list" allowBlank="1" showInputMessage="1" showErrorMessage="1" sqref="O261">
      <formula1>liste_statuts</formula1>
    </dataValidation>
    <dataValidation type="list" allowBlank="1" showInputMessage="1" showErrorMessage="1" sqref="B262">
      <formula1>liste_programmes</formula1>
    </dataValidation>
    <dataValidation type="list" allowBlank="1" showInputMessage="1" showErrorMessage="1" sqref="D262">
      <formula1>liste_types</formula1>
    </dataValidation>
    <dataValidation type="list" allowBlank="1" showInputMessage="1" showErrorMessage="1" sqref="F262">
      <formula1>liste_categories</formula1>
    </dataValidation>
    <dataValidation type="list" allowBlank="1" showInputMessage="1" showErrorMessage="1" sqref="G262">
      <formula1>liste_responsables</formula1>
    </dataValidation>
    <dataValidation type="list" allowBlank="1" showInputMessage="1" showErrorMessage="1" sqref="H262">
      <formula1>liste_sites</formula1>
    </dataValidation>
    <dataValidation type="list" allowBlank="1" showInputMessage="1" showErrorMessage="1" sqref="I262">
      <formula1>liste_priorites</formula1>
    </dataValidation>
    <dataValidation type="date" operator="greaterThanOrEqual" allowBlank="1" showInputMessage="1" showErrorMessage="1" sqref="J262">
      <formula1>730120</formula1>
    </dataValidation>
    <dataValidation type="date" operator="greaterThanOrEqual" allowBlank="1" showInputMessage="1" showErrorMessage="1" sqref="K262">
      <formula1>730120</formula1>
    </dataValidation>
    <dataValidation type="date" operator="greaterThanOrEqual" allowBlank="1" showInputMessage="1" showErrorMessage="1" sqref="L262">
      <formula1>730120</formula1>
    </dataValidation>
    <dataValidation type="whole" allowBlank="1" showInputMessage="1" showErrorMessage="1" sqref="P262">
      <formula1>0</formula1>
      <formula2>100</formula2>
    </dataValidation>
    <dataValidation type="decimal" operator="greaterThanOrEqual" allowBlank="1" showInputMessage="1" showErrorMessage="1" sqref="Q262">
      <formula1>0</formula1>
    </dataValidation>
    <dataValidation type="decimal" operator="greaterThanOrEqual" allowBlank="1" showInputMessage="1" showErrorMessage="1" sqref="R262">
      <formula1>0</formula1>
    </dataValidation>
    <dataValidation type="whole" allowBlank="1" showInputMessage="1" showErrorMessage="1" sqref="U262">
      <formula1>1</formula1>
      <formula2>5</formula2>
    </dataValidation>
    <dataValidation type="whole" allowBlank="1" showInputMessage="1" showErrorMessage="1" sqref="V262">
      <formula1>1</formula1>
      <formula2>5</formula2>
    </dataValidation>
    <dataValidation type="whole" allowBlank="1" showInputMessage="1" showErrorMessage="1" sqref="X262">
      <formula1>1</formula1>
      <formula2>5</formula2>
    </dataValidation>
    <dataValidation type="decimal" operator="greaterThanOrEqual" allowBlank="1" showInputMessage="1" showErrorMessage="1" sqref="Y262">
      <formula1>0</formula1>
    </dataValidation>
    <dataValidation type="whole" operator="greaterThanOrEqual" allowBlank="1" showInputMessage="1" showErrorMessage="1" sqref="Z262">
      <formula1>0</formula1>
    </dataValidation>
    <dataValidation type="whole" allowBlank="1" showInputMessage="1" showErrorMessage="1" sqref="AA262">
      <formula1>1</formula1>
      <formula2>5</formula2>
    </dataValidation>
    <dataValidation type="decimal" allowBlank="1" showInputMessage="1" showErrorMessage="1" sqref="AB262">
      <formula1>0</formula1>
      <formula2>1</formula2>
    </dataValidation>
    <dataValidation type="list" allowBlank="1" showInputMessage="1" showErrorMessage="1" sqref="O262">
      <formula1>liste_statuts</formula1>
    </dataValidation>
    <dataValidation type="list" allowBlank="1" showInputMessage="1" showErrorMessage="1" sqref="B263">
      <formula1>liste_programmes</formula1>
    </dataValidation>
    <dataValidation type="list" allowBlank="1" showInputMessage="1" showErrorMessage="1" sqref="D263">
      <formula1>liste_types</formula1>
    </dataValidation>
    <dataValidation type="list" allowBlank="1" showInputMessage="1" showErrorMessage="1" sqref="F263">
      <formula1>liste_categories</formula1>
    </dataValidation>
    <dataValidation type="list" allowBlank="1" showInputMessage="1" showErrorMessage="1" sqref="G263">
      <formula1>liste_responsables</formula1>
    </dataValidation>
    <dataValidation type="list" allowBlank="1" showInputMessage="1" showErrorMessage="1" sqref="H263">
      <formula1>liste_sites</formula1>
    </dataValidation>
    <dataValidation type="list" allowBlank="1" showInputMessage="1" showErrorMessage="1" sqref="I263">
      <formula1>liste_priorites</formula1>
    </dataValidation>
    <dataValidation type="date" operator="greaterThanOrEqual" allowBlank="1" showInputMessage="1" showErrorMessage="1" sqref="J263">
      <formula1>730120</formula1>
    </dataValidation>
    <dataValidation type="date" operator="greaterThanOrEqual" allowBlank="1" showInputMessage="1" showErrorMessage="1" sqref="K263">
      <formula1>730120</formula1>
    </dataValidation>
    <dataValidation type="date" operator="greaterThanOrEqual" allowBlank="1" showInputMessage="1" showErrorMessage="1" sqref="L263">
      <formula1>730120</formula1>
    </dataValidation>
    <dataValidation type="whole" allowBlank="1" showInputMessage="1" showErrorMessage="1" sqref="P263">
      <formula1>0</formula1>
      <formula2>100</formula2>
    </dataValidation>
    <dataValidation type="decimal" operator="greaterThanOrEqual" allowBlank="1" showInputMessage="1" showErrorMessage="1" sqref="Q263">
      <formula1>0</formula1>
    </dataValidation>
    <dataValidation type="decimal" operator="greaterThanOrEqual" allowBlank="1" showInputMessage="1" showErrorMessage="1" sqref="R263">
      <formula1>0</formula1>
    </dataValidation>
    <dataValidation type="whole" allowBlank="1" showInputMessage="1" showErrorMessage="1" sqref="U263">
      <formula1>1</formula1>
      <formula2>5</formula2>
    </dataValidation>
    <dataValidation type="whole" allowBlank="1" showInputMessage="1" showErrorMessage="1" sqref="V263">
      <formula1>1</formula1>
      <formula2>5</formula2>
    </dataValidation>
    <dataValidation type="whole" allowBlank="1" showInputMessage="1" showErrorMessage="1" sqref="X263">
      <formula1>1</formula1>
      <formula2>5</formula2>
    </dataValidation>
    <dataValidation type="decimal" operator="greaterThanOrEqual" allowBlank="1" showInputMessage="1" showErrorMessage="1" sqref="Y263">
      <formula1>0</formula1>
    </dataValidation>
    <dataValidation type="whole" operator="greaterThanOrEqual" allowBlank="1" showInputMessage="1" showErrorMessage="1" sqref="Z263">
      <formula1>0</formula1>
    </dataValidation>
    <dataValidation type="whole" allowBlank="1" showInputMessage="1" showErrorMessage="1" sqref="AA263">
      <formula1>1</formula1>
      <formula2>5</formula2>
    </dataValidation>
    <dataValidation type="decimal" allowBlank="1" showInputMessage="1" showErrorMessage="1" sqref="AB263">
      <formula1>0</formula1>
      <formula2>1</formula2>
    </dataValidation>
    <dataValidation type="list" allowBlank="1" showInputMessage="1" showErrorMessage="1" sqref="O263">
      <formula1>liste_statuts</formula1>
    </dataValidation>
    <dataValidation type="list" allowBlank="1" showInputMessage="1" showErrorMessage="1" sqref="B264">
      <formula1>liste_programmes</formula1>
    </dataValidation>
    <dataValidation type="list" allowBlank="1" showInputMessage="1" showErrorMessage="1" sqref="D264">
      <formula1>liste_types</formula1>
    </dataValidation>
    <dataValidation type="list" allowBlank="1" showInputMessage="1" showErrorMessage="1" sqref="F264">
      <formula1>liste_categories</formula1>
    </dataValidation>
    <dataValidation type="list" allowBlank="1" showInputMessage="1" showErrorMessage="1" sqref="G264">
      <formula1>liste_responsables</formula1>
    </dataValidation>
    <dataValidation type="list" allowBlank="1" showInputMessage="1" showErrorMessage="1" sqref="H264">
      <formula1>liste_sites</formula1>
    </dataValidation>
    <dataValidation type="list" allowBlank="1" showInputMessage="1" showErrorMessage="1" sqref="I264">
      <formula1>liste_priorites</formula1>
    </dataValidation>
    <dataValidation type="date" operator="greaterThanOrEqual" allowBlank="1" showInputMessage="1" showErrorMessage="1" sqref="J264">
      <formula1>730120</formula1>
    </dataValidation>
    <dataValidation type="date" operator="greaterThanOrEqual" allowBlank="1" showInputMessage="1" showErrorMessage="1" sqref="K264">
      <formula1>730120</formula1>
    </dataValidation>
    <dataValidation type="date" operator="greaterThanOrEqual" allowBlank="1" showInputMessage="1" showErrorMessage="1" sqref="L264">
      <formula1>730120</formula1>
    </dataValidation>
    <dataValidation type="whole" allowBlank="1" showInputMessage="1" showErrorMessage="1" sqref="P264">
      <formula1>0</formula1>
      <formula2>100</formula2>
    </dataValidation>
    <dataValidation type="decimal" operator="greaterThanOrEqual" allowBlank="1" showInputMessage="1" showErrorMessage="1" sqref="Q264">
      <formula1>0</formula1>
    </dataValidation>
    <dataValidation type="decimal" operator="greaterThanOrEqual" allowBlank="1" showInputMessage="1" showErrorMessage="1" sqref="R264">
      <formula1>0</formula1>
    </dataValidation>
    <dataValidation type="whole" allowBlank="1" showInputMessage="1" showErrorMessage="1" sqref="U264">
      <formula1>1</formula1>
      <formula2>5</formula2>
    </dataValidation>
    <dataValidation type="whole" allowBlank="1" showInputMessage="1" showErrorMessage="1" sqref="V264">
      <formula1>1</formula1>
      <formula2>5</formula2>
    </dataValidation>
    <dataValidation type="whole" allowBlank="1" showInputMessage="1" showErrorMessage="1" sqref="X264">
      <formula1>1</formula1>
      <formula2>5</formula2>
    </dataValidation>
    <dataValidation type="decimal" operator="greaterThanOrEqual" allowBlank="1" showInputMessage="1" showErrorMessage="1" sqref="Y264">
      <formula1>0</formula1>
    </dataValidation>
    <dataValidation type="whole" operator="greaterThanOrEqual" allowBlank="1" showInputMessage="1" showErrorMessage="1" sqref="Z264">
      <formula1>0</formula1>
    </dataValidation>
    <dataValidation type="whole" allowBlank="1" showInputMessage="1" showErrorMessage="1" sqref="AA264">
      <formula1>1</formula1>
      <formula2>5</formula2>
    </dataValidation>
    <dataValidation type="decimal" allowBlank="1" showInputMessage="1" showErrorMessage="1" sqref="AB264">
      <formula1>0</formula1>
      <formula2>1</formula2>
    </dataValidation>
    <dataValidation type="list" allowBlank="1" showInputMessage="1" showErrorMessage="1" sqref="O264">
      <formula1>liste_statuts</formula1>
    </dataValidation>
    <dataValidation type="list" allowBlank="1" showInputMessage="1" showErrorMessage="1" sqref="B265">
      <formula1>liste_programmes</formula1>
    </dataValidation>
    <dataValidation type="list" allowBlank="1" showInputMessage="1" showErrorMessage="1" sqref="D265">
      <formula1>liste_types</formula1>
    </dataValidation>
    <dataValidation type="list" allowBlank="1" showInputMessage="1" showErrorMessage="1" sqref="F265">
      <formula1>liste_categories</formula1>
    </dataValidation>
    <dataValidation type="list" allowBlank="1" showInputMessage="1" showErrorMessage="1" sqref="G265">
      <formula1>liste_responsables</formula1>
    </dataValidation>
    <dataValidation type="list" allowBlank="1" showInputMessage="1" showErrorMessage="1" sqref="H265">
      <formula1>liste_sites</formula1>
    </dataValidation>
    <dataValidation type="list" allowBlank="1" showInputMessage="1" showErrorMessage="1" sqref="I265">
      <formula1>liste_priorites</formula1>
    </dataValidation>
    <dataValidation type="date" operator="greaterThanOrEqual" allowBlank="1" showInputMessage="1" showErrorMessage="1" sqref="J265">
      <formula1>730120</formula1>
    </dataValidation>
    <dataValidation type="date" operator="greaterThanOrEqual" allowBlank="1" showInputMessage="1" showErrorMessage="1" sqref="K265">
      <formula1>730120</formula1>
    </dataValidation>
    <dataValidation type="date" operator="greaterThanOrEqual" allowBlank="1" showInputMessage="1" showErrorMessage="1" sqref="L265">
      <formula1>730120</formula1>
    </dataValidation>
    <dataValidation type="whole" allowBlank="1" showInputMessage="1" showErrorMessage="1" sqref="P265">
      <formula1>0</formula1>
      <formula2>100</formula2>
    </dataValidation>
    <dataValidation type="decimal" operator="greaterThanOrEqual" allowBlank="1" showInputMessage="1" showErrorMessage="1" sqref="Q265">
      <formula1>0</formula1>
    </dataValidation>
    <dataValidation type="decimal" operator="greaterThanOrEqual" allowBlank="1" showInputMessage="1" showErrorMessage="1" sqref="R265">
      <formula1>0</formula1>
    </dataValidation>
    <dataValidation type="whole" allowBlank="1" showInputMessage="1" showErrorMessage="1" sqref="U265">
      <formula1>1</formula1>
      <formula2>5</formula2>
    </dataValidation>
    <dataValidation type="whole" allowBlank="1" showInputMessage="1" showErrorMessage="1" sqref="V265">
      <formula1>1</formula1>
      <formula2>5</formula2>
    </dataValidation>
    <dataValidation type="whole" allowBlank="1" showInputMessage="1" showErrorMessage="1" sqref="X265">
      <formula1>1</formula1>
      <formula2>5</formula2>
    </dataValidation>
    <dataValidation type="decimal" operator="greaterThanOrEqual" allowBlank="1" showInputMessage="1" showErrorMessage="1" sqref="Y265">
      <formula1>0</formula1>
    </dataValidation>
    <dataValidation type="whole" operator="greaterThanOrEqual" allowBlank="1" showInputMessage="1" showErrorMessage="1" sqref="Z265">
      <formula1>0</formula1>
    </dataValidation>
    <dataValidation type="whole" allowBlank="1" showInputMessage="1" showErrorMessage="1" sqref="AA265">
      <formula1>1</formula1>
      <formula2>5</formula2>
    </dataValidation>
    <dataValidation type="decimal" allowBlank="1" showInputMessage="1" showErrorMessage="1" sqref="AB265">
      <formula1>0</formula1>
      <formula2>1</formula2>
    </dataValidation>
    <dataValidation type="list" allowBlank="1" showInputMessage="1" showErrorMessage="1" sqref="O265">
      <formula1>liste_statuts</formula1>
    </dataValidation>
    <dataValidation type="list" allowBlank="1" showInputMessage="1" showErrorMessage="1" sqref="B266">
      <formula1>liste_programmes</formula1>
    </dataValidation>
    <dataValidation type="list" allowBlank="1" showInputMessage="1" showErrorMessage="1" sqref="D266">
      <formula1>liste_types</formula1>
    </dataValidation>
    <dataValidation type="list" allowBlank="1" showInputMessage="1" showErrorMessage="1" sqref="F266">
      <formula1>liste_categories</formula1>
    </dataValidation>
    <dataValidation type="list" allowBlank="1" showInputMessage="1" showErrorMessage="1" sqref="G266">
      <formula1>liste_responsables</formula1>
    </dataValidation>
    <dataValidation type="list" allowBlank="1" showInputMessage="1" showErrorMessage="1" sqref="H266">
      <formula1>liste_sites</formula1>
    </dataValidation>
    <dataValidation type="list" allowBlank="1" showInputMessage="1" showErrorMessage="1" sqref="I266">
      <formula1>liste_priorites</formula1>
    </dataValidation>
    <dataValidation type="date" operator="greaterThanOrEqual" allowBlank="1" showInputMessage="1" showErrorMessage="1" sqref="J266">
      <formula1>730120</formula1>
    </dataValidation>
    <dataValidation type="date" operator="greaterThanOrEqual" allowBlank="1" showInputMessage="1" showErrorMessage="1" sqref="K266">
      <formula1>730120</formula1>
    </dataValidation>
    <dataValidation type="date" operator="greaterThanOrEqual" allowBlank="1" showInputMessage="1" showErrorMessage="1" sqref="L266">
      <formula1>730120</formula1>
    </dataValidation>
    <dataValidation type="whole" allowBlank="1" showInputMessage="1" showErrorMessage="1" sqref="P266">
      <formula1>0</formula1>
      <formula2>100</formula2>
    </dataValidation>
    <dataValidation type="decimal" operator="greaterThanOrEqual" allowBlank="1" showInputMessage="1" showErrorMessage="1" sqref="Q266">
      <formula1>0</formula1>
    </dataValidation>
    <dataValidation type="decimal" operator="greaterThanOrEqual" allowBlank="1" showInputMessage="1" showErrorMessage="1" sqref="R266">
      <formula1>0</formula1>
    </dataValidation>
    <dataValidation type="whole" allowBlank="1" showInputMessage="1" showErrorMessage="1" sqref="U266">
      <formula1>1</formula1>
      <formula2>5</formula2>
    </dataValidation>
    <dataValidation type="whole" allowBlank="1" showInputMessage="1" showErrorMessage="1" sqref="V266">
      <formula1>1</formula1>
      <formula2>5</formula2>
    </dataValidation>
    <dataValidation type="whole" allowBlank="1" showInputMessage="1" showErrorMessage="1" sqref="X266">
      <formula1>1</formula1>
      <formula2>5</formula2>
    </dataValidation>
    <dataValidation type="decimal" operator="greaterThanOrEqual" allowBlank="1" showInputMessage="1" showErrorMessage="1" sqref="Y266">
      <formula1>0</formula1>
    </dataValidation>
    <dataValidation type="whole" operator="greaterThanOrEqual" allowBlank="1" showInputMessage="1" showErrorMessage="1" sqref="Z266">
      <formula1>0</formula1>
    </dataValidation>
    <dataValidation type="whole" allowBlank="1" showInputMessage="1" showErrorMessage="1" sqref="AA266">
      <formula1>1</formula1>
      <formula2>5</formula2>
    </dataValidation>
    <dataValidation type="decimal" allowBlank="1" showInputMessage="1" showErrorMessage="1" sqref="AB266">
      <formula1>0</formula1>
      <formula2>1</formula2>
    </dataValidation>
    <dataValidation type="list" allowBlank="1" showInputMessage="1" showErrorMessage="1" sqref="O266">
      <formula1>liste_statuts</formula1>
    </dataValidation>
    <dataValidation type="list" allowBlank="1" showInputMessage="1" showErrorMessage="1" sqref="B267">
      <formula1>liste_programmes</formula1>
    </dataValidation>
    <dataValidation type="list" allowBlank="1" showInputMessage="1" showErrorMessage="1" sqref="D267">
      <formula1>liste_types</formula1>
    </dataValidation>
    <dataValidation type="list" allowBlank="1" showInputMessage="1" showErrorMessage="1" sqref="F267">
      <formula1>liste_categories</formula1>
    </dataValidation>
    <dataValidation type="list" allowBlank="1" showInputMessage="1" showErrorMessage="1" sqref="G267">
      <formula1>liste_responsables</formula1>
    </dataValidation>
    <dataValidation type="list" allowBlank="1" showInputMessage="1" showErrorMessage="1" sqref="H267">
      <formula1>liste_sites</formula1>
    </dataValidation>
    <dataValidation type="list" allowBlank="1" showInputMessage="1" showErrorMessage="1" sqref="I267">
      <formula1>liste_priorites</formula1>
    </dataValidation>
    <dataValidation type="date" operator="greaterThanOrEqual" allowBlank="1" showInputMessage="1" showErrorMessage="1" sqref="J267">
      <formula1>730120</formula1>
    </dataValidation>
    <dataValidation type="date" operator="greaterThanOrEqual" allowBlank="1" showInputMessage="1" showErrorMessage="1" sqref="K267">
      <formula1>730120</formula1>
    </dataValidation>
    <dataValidation type="date" operator="greaterThanOrEqual" allowBlank="1" showInputMessage="1" showErrorMessage="1" sqref="L267">
      <formula1>730120</formula1>
    </dataValidation>
    <dataValidation type="whole" allowBlank="1" showInputMessage="1" showErrorMessage="1" sqref="P267">
      <formula1>0</formula1>
      <formula2>100</formula2>
    </dataValidation>
    <dataValidation type="decimal" operator="greaterThanOrEqual" allowBlank="1" showInputMessage="1" showErrorMessage="1" sqref="Q267">
      <formula1>0</formula1>
    </dataValidation>
    <dataValidation type="decimal" operator="greaterThanOrEqual" allowBlank="1" showInputMessage="1" showErrorMessage="1" sqref="R267">
      <formula1>0</formula1>
    </dataValidation>
    <dataValidation type="whole" allowBlank="1" showInputMessage="1" showErrorMessage="1" sqref="U267">
      <formula1>1</formula1>
      <formula2>5</formula2>
    </dataValidation>
    <dataValidation type="whole" allowBlank="1" showInputMessage="1" showErrorMessage="1" sqref="V267">
      <formula1>1</formula1>
      <formula2>5</formula2>
    </dataValidation>
    <dataValidation type="whole" allowBlank="1" showInputMessage="1" showErrorMessage="1" sqref="X267">
      <formula1>1</formula1>
      <formula2>5</formula2>
    </dataValidation>
    <dataValidation type="decimal" operator="greaterThanOrEqual" allowBlank="1" showInputMessage="1" showErrorMessage="1" sqref="Y267">
      <formula1>0</formula1>
    </dataValidation>
    <dataValidation type="whole" operator="greaterThanOrEqual" allowBlank="1" showInputMessage="1" showErrorMessage="1" sqref="Z267">
      <formula1>0</formula1>
    </dataValidation>
    <dataValidation type="whole" allowBlank="1" showInputMessage="1" showErrorMessage="1" sqref="AA267">
      <formula1>1</formula1>
      <formula2>5</formula2>
    </dataValidation>
    <dataValidation type="decimal" allowBlank="1" showInputMessage="1" showErrorMessage="1" sqref="AB267">
      <formula1>0</formula1>
      <formula2>1</formula2>
    </dataValidation>
    <dataValidation type="list" allowBlank="1" showInputMessage="1" showErrorMessage="1" sqref="O267">
      <formula1>liste_statuts</formula1>
    </dataValidation>
    <dataValidation type="list" allowBlank="1" showInputMessage="1" showErrorMessage="1" sqref="B268">
      <formula1>liste_programmes</formula1>
    </dataValidation>
    <dataValidation type="list" allowBlank="1" showInputMessage="1" showErrorMessage="1" sqref="D268">
      <formula1>liste_types</formula1>
    </dataValidation>
    <dataValidation type="list" allowBlank="1" showInputMessage="1" showErrorMessage="1" sqref="F268">
      <formula1>liste_categories</formula1>
    </dataValidation>
    <dataValidation type="list" allowBlank="1" showInputMessage="1" showErrorMessage="1" sqref="G268">
      <formula1>liste_responsables</formula1>
    </dataValidation>
    <dataValidation type="list" allowBlank="1" showInputMessage="1" showErrorMessage="1" sqref="H268">
      <formula1>liste_sites</formula1>
    </dataValidation>
    <dataValidation type="list" allowBlank="1" showInputMessage="1" showErrorMessage="1" sqref="I268">
      <formula1>liste_priorites</formula1>
    </dataValidation>
    <dataValidation type="date" operator="greaterThanOrEqual" allowBlank="1" showInputMessage="1" showErrorMessage="1" sqref="J268">
      <formula1>730120</formula1>
    </dataValidation>
    <dataValidation type="date" operator="greaterThanOrEqual" allowBlank="1" showInputMessage="1" showErrorMessage="1" sqref="K268">
      <formula1>730120</formula1>
    </dataValidation>
    <dataValidation type="date" operator="greaterThanOrEqual" allowBlank="1" showInputMessage="1" showErrorMessage="1" sqref="L268">
      <formula1>730120</formula1>
    </dataValidation>
    <dataValidation type="whole" allowBlank="1" showInputMessage="1" showErrorMessage="1" sqref="P268">
      <formula1>0</formula1>
      <formula2>100</formula2>
    </dataValidation>
    <dataValidation type="decimal" operator="greaterThanOrEqual" allowBlank="1" showInputMessage="1" showErrorMessage="1" sqref="Q268">
      <formula1>0</formula1>
    </dataValidation>
    <dataValidation type="decimal" operator="greaterThanOrEqual" allowBlank="1" showInputMessage="1" showErrorMessage="1" sqref="R268">
      <formula1>0</formula1>
    </dataValidation>
    <dataValidation type="whole" allowBlank="1" showInputMessage="1" showErrorMessage="1" sqref="U268">
      <formula1>1</formula1>
      <formula2>5</formula2>
    </dataValidation>
    <dataValidation type="whole" allowBlank="1" showInputMessage="1" showErrorMessage="1" sqref="V268">
      <formula1>1</formula1>
      <formula2>5</formula2>
    </dataValidation>
    <dataValidation type="whole" allowBlank="1" showInputMessage="1" showErrorMessage="1" sqref="X268">
      <formula1>1</formula1>
      <formula2>5</formula2>
    </dataValidation>
    <dataValidation type="decimal" operator="greaterThanOrEqual" allowBlank="1" showInputMessage="1" showErrorMessage="1" sqref="Y268">
      <formula1>0</formula1>
    </dataValidation>
    <dataValidation type="whole" operator="greaterThanOrEqual" allowBlank="1" showInputMessage="1" showErrorMessage="1" sqref="Z268">
      <formula1>0</formula1>
    </dataValidation>
    <dataValidation type="whole" allowBlank="1" showInputMessage="1" showErrorMessage="1" sqref="AA268">
      <formula1>1</formula1>
      <formula2>5</formula2>
    </dataValidation>
    <dataValidation type="decimal" allowBlank="1" showInputMessage="1" showErrorMessage="1" sqref="AB268">
      <formula1>0</formula1>
      <formula2>1</formula2>
    </dataValidation>
    <dataValidation type="list" allowBlank="1" showInputMessage="1" showErrorMessage="1" sqref="O268">
      <formula1>liste_statuts</formula1>
    </dataValidation>
    <dataValidation type="list" allowBlank="1" showInputMessage="1" showErrorMessage="1" sqref="B269">
      <formula1>liste_programmes</formula1>
    </dataValidation>
    <dataValidation type="list" allowBlank="1" showInputMessage="1" showErrorMessage="1" sqref="D269">
      <formula1>liste_types</formula1>
    </dataValidation>
    <dataValidation type="list" allowBlank="1" showInputMessage="1" showErrorMessage="1" sqref="F269">
      <formula1>liste_categories</formula1>
    </dataValidation>
    <dataValidation type="list" allowBlank="1" showInputMessage="1" showErrorMessage="1" sqref="G269">
      <formula1>liste_responsables</formula1>
    </dataValidation>
    <dataValidation type="list" allowBlank="1" showInputMessage="1" showErrorMessage="1" sqref="H269">
      <formula1>liste_sites</formula1>
    </dataValidation>
    <dataValidation type="list" allowBlank="1" showInputMessage="1" showErrorMessage="1" sqref="I269">
      <formula1>liste_priorites</formula1>
    </dataValidation>
    <dataValidation type="date" operator="greaterThanOrEqual" allowBlank="1" showInputMessage="1" showErrorMessage="1" sqref="J269">
      <formula1>730120</formula1>
    </dataValidation>
    <dataValidation type="date" operator="greaterThanOrEqual" allowBlank="1" showInputMessage="1" showErrorMessage="1" sqref="K269">
      <formula1>730120</formula1>
    </dataValidation>
    <dataValidation type="date" operator="greaterThanOrEqual" allowBlank="1" showInputMessage="1" showErrorMessage="1" sqref="L269">
      <formula1>730120</formula1>
    </dataValidation>
    <dataValidation type="whole" allowBlank="1" showInputMessage="1" showErrorMessage="1" sqref="P269">
      <formula1>0</formula1>
      <formula2>100</formula2>
    </dataValidation>
    <dataValidation type="decimal" operator="greaterThanOrEqual" allowBlank="1" showInputMessage="1" showErrorMessage="1" sqref="Q269">
      <formula1>0</formula1>
    </dataValidation>
    <dataValidation type="decimal" operator="greaterThanOrEqual" allowBlank="1" showInputMessage="1" showErrorMessage="1" sqref="R269">
      <formula1>0</formula1>
    </dataValidation>
    <dataValidation type="whole" allowBlank="1" showInputMessage="1" showErrorMessage="1" sqref="U269">
      <formula1>1</formula1>
      <formula2>5</formula2>
    </dataValidation>
    <dataValidation type="whole" allowBlank="1" showInputMessage="1" showErrorMessage="1" sqref="V269">
      <formula1>1</formula1>
      <formula2>5</formula2>
    </dataValidation>
    <dataValidation type="whole" allowBlank="1" showInputMessage="1" showErrorMessage="1" sqref="X269">
      <formula1>1</formula1>
      <formula2>5</formula2>
    </dataValidation>
    <dataValidation type="decimal" operator="greaterThanOrEqual" allowBlank="1" showInputMessage="1" showErrorMessage="1" sqref="Y269">
      <formula1>0</formula1>
    </dataValidation>
    <dataValidation type="whole" operator="greaterThanOrEqual" allowBlank="1" showInputMessage="1" showErrorMessage="1" sqref="Z269">
      <formula1>0</formula1>
    </dataValidation>
    <dataValidation type="whole" allowBlank="1" showInputMessage="1" showErrorMessage="1" sqref="AA269">
      <formula1>1</formula1>
      <formula2>5</formula2>
    </dataValidation>
    <dataValidation type="decimal" allowBlank="1" showInputMessage="1" showErrorMessage="1" sqref="AB269">
      <formula1>0</formula1>
      <formula2>1</formula2>
    </dataValidation>
    <dataValidation type="list" allowBlank="1" showInputMessage="1" showErrorMessage="1" sqref="O269">
      <formula1>liste_statuts</formula1>
    </dataValidation>
    <dataValidation type="list" allowBlank="1" showInputMessage="1" showErrorMessage="1" sqref="B270">
      <formula1>liste_programmes</formula1>
    </dataValidation>
    <dataValidation type="list" allowBlank="1" showInputMessage="1" showErrorMessage="1" sqref="D270">
      <formula1>liste_types</formula1>
    </dataValidation>
    <dataValidation type="list" allowBlank="1" showInputMessage="1" showErrorMessage="1" sqref="F270">
      <formula1>liste_categories</formula1>
    </dataValidation>
    <dataValidation type="list" allowBlank="1" showInputMessage="1" showErrorMessage="1" sqref="G270">
      <formula1>liste_responsables</formula1>
    </dataValidation>
    <dataValidation type="list" allowBlank="1" showInputMessage="1" showErrorMessage="1" sqref="H270">
      <formula1>liste_sites</formula1>
    </dataValidation>
    <dataValidation type="list" allowBlank="1" showInputMessage="1" showErrorMessage="1" sqref="I270">
      <formula1>liste_priorites</formula1>
    </dataValidation>
    <dataValidation type="date" operator="greaterThanOrEqual" allowBlank="1" showInputMessage="1" showErrorMessage="1" sqref="J270">
      <formula1>730120</formula1>
    </dataValidation>
    <dataValidation type="date" operator="greaterThanOrEqual" allowBlank="1" showInputMessage="1" showErrorMessage="1" sqref="K270">
      <formula1>730120</formula1>
    </dataValidation>
    <dataValidation type="date" operator="greaterThanOrEqual" allowBlank="1" showInputMessage="1" showErrorMessage="1" sqref="L270">
      <formula1>730120</formula1>
    </dataValidation>
    <dataValidation type="whole" allowBlank="1" showInputMessage="1" showErrorMessage="1" sqref="P270">
      <formula1>0</formula1>
      <formula2>100</formula2>
    </dataValidation>
    <dataValidation type="decimal" operator="greaterThanOrEqual" allowBlank="1" showInputMessage="1" showErrorMessage="1" sqref="Q270">
      <formula1>0</formula1>
    </dataValidation>
    <dataValidation type="decimal" operator="greaterThanOrEqual" allowBlank="1" showInputMessage="1" showErrorMessage="1" sqref="R270">
      <formula1>0</formula1>
    </dataValidation>
    <dataValidation type="whole" allowBlank="1" showInputMessage="1" showErrorMessage="1" sqref="U270">
      <formula1>1</formula1>
      <formula2>5</formula2>
    </dataValidation>
    <dataValidation type="whole" allowBlank="1" showInputMessage="1" showErrorMessage="1" sqref="V270">
      <formula1>1</formula1>
      <formula2>5</formula2>
    </dataValidation>
    <dataValidation type="whole" allowBlank="1" showInputMessage="1" showErrorMessage="1" sqref="X270">
      <formula1>1</formula1>
      <formula2>5</formula2>
    </dataValidation>
    <dataValidation type="decimal" operator="greaterThanOrEqual" allowBlank="1" showInputMessage="1" showErrorMessage="1" sqref="Y270">
      <formula1>0</formula1>
    </dataValidation>
    <dataValidation type="whole" operator="greaterThanOrEqual" allowBlank="1" showInputMessage="1" showErrorMessage="1" sqref="Z270">
      <formula1>0</formula1>
    </dataValidation>
    <dataValidation type="whole" allowBlank="1" showInputMessage="1" showErrorMessage="1" sqref="AA270">
      <formula1>1</formula1>
      <formula2>5</formula2>
    </dataValidation>
    <dataValidation type="decimal" allowBlank="1" showInputMessage="1" showErrorMessage="1" sqref="AB270">
      <formula1>0</formula1>
      <formula2>1</formula2>
    </dataValidation>
    <dataValidation type="list" allowBlank="1" showInputMessage="1" showErrorMessage="1" sqref="O270">
      <formula1>liste_statuts</formula1>
    </dataValidation>
    <dataValidation type="list" allowBlank="1" showInputMessage="1" showErrorMessage="1" sqref="B271">
      <formula1>liste_programmes</formula1>
    </dataValidation>
    <dataValidation type="list" allowBlank="1" showInputMessage="1" showErrorMessage="1" sqref="D271">
      <formula1>liste_types</formula1>
    </dataValidation>
    <dataValidation type="list" allowBlank="1" showInputMessage="1" showErrorMessage="1" sqref="F271">
      <formula1>liste_categories</formula1>
    </dataValidation>
    <dataValidation type="list" allowBlank="1" showInputMessage="1" showErrorMessage="1" sqref="G271">
      <formula1>liste_responsables</formula1>
    </dataValidation>
    <dataValidation type="list" allowBlank="1" showInputMessage="1" showErrorMessage="1" sqref="H271">
      <formula1>liste_sites</formula1>
    </dataValidation>
    <dataValidation type="list" allowBlank="1" showInputMessage="1" showErrorMessage="1" sqref="I271">
      <formula1>liste_priorites</formula1>
    </dataValidation>
    <dataValidation type="date" operator="greaterThanOrEqual" allowBlank="1" showInputMessage="1" showErrorMessage="1" sqref="J271">
      <formula1>730120</formula1>
    </dataValidation>
    <dataValidation type="date" operator="greaterThanOrEqual" allowBlank="1" showInputMessage="1" showErrorMessage="1" sqref="K271">
      <formula1>730120</formula1>
    </dataValidation>
    <dataValidation type="date" operator="greaterThanOrEqual" allowBlank="1" showInputMessage="1" showErrorMessage="1" sqref="L271">
      <formula1>730120</formula1>
    </dataValidation>
    <dataValidation type="whole" allowBlank="1" showInputMessage="1" showErrorMessage="1" sqref="P271">
      <formula1>0</formula1>
      <formula2>100</formula2>
    </dataValidation>
    <dataValidation type="decimal" operator="greaterThanOrEqual" allowBlank="1" showInputMessage="1" showErrorMessage="1" sqref="Q271">
      <formula1>0</formula1>
    </dataValidation>
    <dataValidation type="decimal" operator="greaterThanOrEqual" allowBlank="1" showInputMessage="1" showErrorMessage="1" sqref="R271">
      <formula1>0</formula1>
    </dataValidation>
    <dataValidation type="whole" allowBlank="1" showInputMessage="1" showErrorMessage="1" sqref="U271">
      <formula1>1</formula1>
      <formula2>5</formula2>
    </dataValidation>
    <dataValidation type="whole" allowBlank="1" showInputMessage="1" showErrorMessage="1" sqref="V271">
      <formula1>1</formula1>
      <formula2>5</formula2>
    </dataValidation>
    <dataValidation type="whole" allowBlank="1" showInputMessage="1" showErrorMessage="1" sqref="X271">
      <formula1>1</formula1>
      <formula2>5</formula2>
    </dataValidation>
    <dataValidation type="decimal" operator="greaterThanOrEqual" allowBlank="1" showInputMessage="1" showErrorMessage="1" sqref="Y271">
      <formula1>0</formula1>
    </dataValidation>
    <dataValidation type="whole" operator="greaterThanOrEqual" allowBlank="1" showInputMessage="1" showErrorMessage="1" sqref="Z271">
      <formula1>0</formula1>
    </dataValidation>
    <dataValidation type="whole" allowBlank="1" showInputMessage="1" showErrorMessage="1" sqref="AA271">
      <formula1>1</formula1>
      <formula2>5</formula2>
    </dataValidation>
    <dataValidation type="decimal" allowBlank="1" showInputMessage="1" showErrorMessage="1" sqref="AB271">
      <formula1>0</formula1>
      <formula2>1</formula2>
    </dataValidation>
    <dataValidation type="list" allowBlank="1" showInputMessage="1" showErrorMessage="1" sqref="O271">
      <formula1>liste_statuts</formula1>
    </dataValidation>
    <dataValidation type="list" allowBlank="1" showInputMessage="1" showErrorMessage="1" sqref="B272">
      <formula1>liste_programmes</formula1>
    </dataValidation>
    <dataValidation type="list" allowBlank="1" showInputMessage="1" showErrorMessage="1" sqref="D272">
      <formula1>liste_types</formula1>
    </dataValidation>
    <dataValidation type="list" allowBlank="1" showInputMessage="1" showErrorMessage="1" sqref="F272">
      <formula1>liste_categories</formula1>
    </dataValidation>
    <dataValidation type="list" allowBlank="1" showInputMessage="1" showErrorMessage="1" sqref="G272">
      <formula1>liste_responsables</formula1>
    </dataValidation>
    <dataValidation type="list" allowBlank="1" showInputMessage="1" showErrorMessage="1" sqref="H272">
      <formula1>liste_sites</formula1>
    </dataValidation>
    <dataValidation type="list" allowBlank="1" showInputMessage="1" showErrorMessage="1" sqref="I272">
      <formula1>liste_priorites</formula1>
    </dataValidation>
    <dataValidation type="date" operator="greaterThanOrEqual" allowBlank="1" showInputMessage="1" showErrorMessage="1" sqref="J272">
      <formula1>730120</formula1>
    </dataValidation>
    <dataValidation type="date" operator="greaterThanOrEqual" allowBlank="1" showInputMessage="1" showErrorMessage="1" sqref="K272">
      <formula1>730120</formula1>
    </dataValidation>
    <dataValidation type="date" operator="greaterThanOrEqual" allowBlank="1" showInputMessage="1" showErrorMessage="1" sqref="L272">
      <formula1>730120</formula1>
    </dataValidation>
    <dataValidation type="whole" allowBlank="1" showInputMessage="1" showErrorMessage="1" sqref="P272">
      <formula1>0</formula1>
      <formula2>100</formula2>
    </dataValidation>
    <dataValidation type="decimal" operator="greaterThanOrEqual" allowBlank="1" showInputMessage="1" showErrorMessage="1" sqref="Q272">
      <formula1>0</formula1>
    </dataValidation>
    <dataValidation type="decimal" operator="greaterThanOrEqual" allowBlank="1" showInputMessage="1" showErrorMessage="1" sqref="R272">
      <formula1>0</formula1>
    </dataValidation>
    <dataValidation type="whole" allowBlank="1" showInputMessage="1" showErrorMessage="1" sqref="U272">
      <formula1>1</formula1>
      <formula2>5</formula2>
    </dataValidation>
    <dataValidation type="whole" allowBlank="1" showInputMessage="1" showErrorMessage="1" sqref="V272">
      <formula1>1</formula1>
      <formula2>5</formula2>
    </dataValidation>
    <dataValidation type="whole" allowBlank="1" showInputMessage="1" showErrorMessage="1" sqref="X272">
      <formula1>1</formula1>
      <formula2>5</formula2>
    </dataValidation>
    <dataValidation type="decimal" operator="greaterThanOrEqual" allowBlank="1" showInputMessage="1" showErrorMessage="1" sqref="Y272">
      <formula1>0</formula1>
    </dataValidation>
    <dataValidation type="whole" operator="greaterThanOrEqual" allowBlank="1" showInputMessage="1" showErrorMessage="1" sqref="Z272">
      <formula1>0</formula1>
    </dataValidation>
    <dataValidation type="whole" allowBlank="1" showInputMessage="1" showErrorMessage="1" sqref="AA272">
      <formula1>1</formula1>
      <formula2>5</formula2>
    </dataValidation>
    <dataValidation type="decimal" allowBlank="1" showInputMessage="1" showErrorMessage="1" sqref="AB272">
      <formula1>0</formula1>
      <formula2>1</formula2>
    </dataValidation>
    <dataValidation type="list" allowBlank="1" showInputMessage="1" showErrorMessage="1" sqref="O272">
      <formula1>liste_statuts</formula1>
    </dataValidation>
    <dataValidation type="list" allowBlank="1" showInputMessage="1" showErrorMessage="1" sqref="B273">
      <formula1>liste_programmes</formula1>
    </dataValidation>
    <dataValidation type="list" allowBlank="1" showInputMessage="1" showErrorMessage="1" sqref="D273">
      <formula1>liste_types</formula1>
    </dataValidation>
    <dataValidation type="list" allowBlank="1" showInputMessage="1" showErrorMessage="1" sqref="F273">
      <formula1>liste_categories</formula1>
    </dataValidation>
    <dataValidation type="list" allowBlank="1" showInputMessage="1" showErrorMessage="1" sqref="G273">
      <formula1>liste_responsables</formula1>
    </dataValidation>
    <dataValidation type="list" allowBlank="1" showInputMessage="1" showErrorMessage="1" sqref="H273">
      <formula1>liste_sites</formula1>
    </dataValidation>
    <dataValidation type="list" allowBlank="1" showInputMessage="1" showErrorMessage="1" sqref="I273">
      <formula1>liste_priorites</formula1>
    </dataValidation>
    <dataValidation type="date" operator="greaterThanOrEqual" allowBlank="1" showInputMessage="1" showErrorMessage="1" sqref="J273">
      <formula1>730120</formula1>
    </dataValidation>
    <dataValidation type="date" operator="greaterThanOrEqual" allowBlank="1" showInputMessage="1" showErrorMessage="1" sqref="K273">
      <formula1>730120</formula1>
    </dataValidation>
    <dataValidation type="date" operator="greaterThanOrEqual" allowBlank="1" showInputMessage="1" showErrorMessage="1" sqref="L273">
      <formula1>730120</formula1>
    </dataValidation>
    <dataValidation type="whole" allowBlank="1" showInputMessage="1" showErrorMessage="1" sqref="P273">
      <formula1>0</formula1>
      <formula2>100</formula2>
    </dataValidation>
    <dataValidation type="decimal" operator="greaterThanOrEqual" allowBlank="1" showInputMessage="1" showErrorMessage="1" sqref="Q273">
      <formula1>0</formula1>
    </dataValidation>
    <dataValidation type="decimal" operator="greaterThanOrEqual" allowBlank="1" showInputMessage="1" showErrorMessage="1" sqref="R273">
      <formula1>0</formula1>
    </dataValidation>
    <dataValidation type="whole" allowBlank="1" showInputMessage="1" showErrorMessage="1" sqref="U273">
      <formula1>1</formula1>
      <formula2>5</formula2>
    </dataValidation>
    <dataValidation type="whole" allowBlank="1" showInputMessage="1" showErrorMessage="1" sqref="V273">
      <formula1>1</formula1>
      <formula2>5</formula2>
    </dataValidation>
    <dataValidation type="whole" allowBlank="1" showInputMessage="1" showErrorMessage="1" sqref="X273">
      <formula1>1</formula1>
      <formula2>5</formula2>
    </dataValidation>
    <dataValidation type="decimal" operator="greaterThanOrEqual" allowBlank="1" showInputMessage="1" showErrorMessage="1" sqref="Y273">
      <formula1>0</formula1>
    </dataValidation>
    <dataValidation type="whole" operator="greaterThanOrEqual" allowBlank="1" showInputMessage="1" showErrorMessage="1" sqref="Z273">
      <formula1>0</formula1>
    </dataValidation>
    <dataValidation type="whole" allowBlank="1" showInputMessage="1" showErrorMessage="1" sqref="AA273">
      <formula1>1</formula1>
      <formula2>5</formula2>
    </dataValidation>
    <dataValidation type="decimal" allowBlank="1" showInputMessage="1" showErrorMessage="1" sqref="AB273">
      <formula1>0</formula1>
      <formula2>1</formula2>
    </dataValidation>
    <dataValidation type="list" allowBlank="1" showInputMessage="1" showErrorMessage="1" sqref="O273">
      <formula1>liste_statuts</formula1>
    </dataValidation>
    <dataValidation type="list" allowBlank="1" showInputMessage="1" showErrorMessage="1" sqref="B274">
      <formula1>liste_programmes</formula1>
    </dataValidation>
    <dataValidation type="list" allowBlank="1" showInputMessage="1" showErrorMessage="1" sqref="D274">
      <formula1>liste_types</formula1>
    </dataValidation>
    <dataValidation type="list" allowBlank="1" showInputMessage="1" showErrorMessage="1" sqref="F274">
      <formula1>liste_categories</formula1>
    </dataValidation>
    <dataValidation type="list" allowBlank="1" showInputMessage="1" showErrorMessage="1" sqref="G274">
      <formula1>liste_responsables</formula1>
    </dataValidation>
    <dataValidation type="list" allowBlank="1" showInputMessage="1" showErrorMessage="1" sqref="H274">
      <formula1>liste_sites</formula1>
    </dataValidation>
    <dataValidation type="list" allowBlank="1" showInputMessage="1" showErrorMessage="1" sqref="I274">
      <formula1>liste_priorites</formula1>
    </dataValidation>
    <dataValidation type="date" operator="greaterThanOrEqual" allowBlank="1" showInputMessage="1" showErrorMessage="1" sqref="J274">
      <formula1>730120</formula1>
    </dataValidation>
    <dataValidation type="date" operator="greaterThanOrEqual" allowBlank="1" showInputMessage="1" showErrorMessage="1" sqref="K274">
      <formula1>730120</formula1>
    </dataValidation>
    <dataValidation type="date" operator="greaterThanOrEqual" allowBlank="1" showInputMessage="1" showErrorMessage="1" sqref="L274">
      <formula1>730120</formula1>
    </dataValidation>
    <dataValidation type="whole" allowBlank="1" showInputMessage="1" showErrorMessage="1" sqref="P274">
      <formula1>0</formula1>
      <formula2>100</formula2>
    </dataValidation>
    <dataValidation type="decimal" operator="greaterThanOrEqual" allowBlank="1" showInputMessage="1" showErrorMessage="1" sqref="Q274">
      <formula1>0</formula1>
    </dataValidation>
    <dataValidation type="decimal" operator="greaterThanOrEqual" allowBlank="1" showInputMessage="1" showErrorMessage="1" sqref="R274">
      <formula1>0</formula1>
    </dataValidation>
    <dataValidation type="whole" allowBlank="1" showInputMessage="1" showErrorMessage="1" sqref="U274">
      <formula1>1</formula1>
      <formula2>5</formula2>
    </dataValidation>
    <dataValidation type="whole" allowBlank="1" showInputMessage="1" showErrorMessage="1" sqref="V274">
      <formula1>1</formula1>
      <formula2>5</formula2>
    </dataValidation>
    <dataValidation type="whole" allowBlank="1" showInputMessage="1" showErrorMessage="1" sqref="X274">
      <formula1>1</formula1>
      <formula2>5</formula2>
    </dataValidation>
    <dataValidation type="decimal" operator="greaterThanOrEqual" allowBlank="1" showInputMessage="1" showErrorMessage="1" sqref="Y274">
      <formula1>0</formula1>
    </dataValidation>
    <dataValidation type="whole" operator="greaterThanOrEqual" allowBlank="1" showInputMessage="1" showErrorMessage="1" sqref="Z274">
      <formula1>0</formula1>
    </dataValidation>
    <dataValidation type="whole" allowBlank="1" showInputMessage="1" showErrorMessage="1" sqref="AA274">
      <formula1>1</formula1>
      <formula2>5</formula2>
    </dataValidation>
    <dataValidation type="decimal" allowBlank="1" showInputMessage="1" showErrorMessage="1" sqref="AB274">
      <formula1>0</formula1>
      <formula2>1</formula2>
    </dataValidation>
    <dataValidation type="list" allowBlank="1" showInputMessage="1" showErrorMessage="1" sqref="O274">
      <formula1>liste_statuts</formula1>
    </dataValidation>
    <dataValidation type="list" allowBlank="1" showInputMessage="1" showErrorMessage="1" sqref="B275">
      <formula1>liste_programmes</formula1>
    </dataValidation>
    <dataValidation type="list" allowBlank="1" showInputMessage="1" showErrorMessage="1" sqref="D275">
      <formula1>liste_types</formula1>
    </dataValidation>
    <dataValidation type="list" allowBlank="1" showInputMessage="1" showErrorMessage="1" sqref="F275">
      <formula1>liste_categories</formula1>
    </dataValidation>
    <dataValidation type="list" allowBlank="1" showInputMessage="1" showErrorMessage="1" sqref="G275">
      <formula1>liste_responsables</formula1>
    </dataValidation>
    <dataValidation type="list" allowBlank="1" showInputMessage="1" showErrorMessage="1" sqref="H275">
      <formula1>liste_sites</formula1>
    </dataValidation>
    <dataValidation type="list" allowBlank="1" showInputMessage="1" showErrorMessage="1" sqref="I275">
      <formula1>liste_priorites</formula1>
    </dataValidation>
    <dataValidation type="date" operator="greaterThanOrEqual" allowBlank="1" showInputMessage="1" showErrorMessage="1" sqref="J275">
      <formula1>730120</formula1>
    </dataValidation>
    <dataValidation type="date" operator="greaterThanOrEqual" allowBlank="1" showInputMessage="1" showErrorMessage="1" sqref="K275">
      <formula1>730120</formula1>
    </dataValidation>
    <dataValidation type="date" operator="greaterThanOrEqual" allowBlank="1" showInputMessage="1" showErrorMessage="1" sqref="L275">
      <formula1>730120</formula1>
    </dataValidation>
    <dataValidation type="whole" allowBlank="1" showInputMessage="1" showErrorMessage="1" sqref="P275">
      <formula1>0</formula1>
      <formula2>100</formula2>
    </dataValidation>
    <dataValidation type="decimal" operator="greaterThanOrEqual" allowBlank="1" showInputMessage="1" showErrorMessage="1" sqref="Q275">
      <formula1>0</formula1>
    </dataValidation>
    <dataValidation type="decimal" operator="greaterThanOrEqual" allowBlank="1" showInputMessage="1" showErrorMessage="1" sqref="R275">
      <formula1>0</formula1>
    </dataValidation>
    <dataValidation type="whole" allowBlank="1" showInputMessage="1" showErrorMessage="1" sqref="U275">
      <formula1>1</formula1>
      <formula2>5</formula2>
    </dataValidation>
    <dataValidation type="whole" allowBlank="1" showInputMessage="1" showErrorMessage="1" sqref="V275">
      <formula1>1</formula1>
      <formula2>5</formula2>
    </dataValidation>
    <dataValidation type="whole" allowBlank="1" showInputMessage="1" showErrorMessage="1" sqref="X275">
      <formula1>1</formula1>
      <formula2>5</formula2>
    </dataValidation>
    <dataValidation type="decimal" operator="greaterThanOrEqual" allowBlank="1" showInputMessage="1" showErrorMessage="1" sqref="Y275">
      <formula1>0</formula1>
    </dataValidation>
    <dataValidation type="whole" operator="greaterThanOrEqual" allowBlank="1" showInputMessage="1" showErrorMessage="1" sqref="Z275">
      <formula1>0</formula1>
    </dataValidation>
    <dataValidation type="whole" allowBlank="1" showInputMessage="1" showErrorMessage="1" sqref="AA275">
      <formula1>1</formula1>
      <formula2>5</formula2>
    </dataValidation>
    <dataValidation type="decimal" allowBlank="1" showInputMessage="1" showErrorMessage="1" sqref="AB275">
      <formula1>0</formula1>
      <formula2>1</formula2>
    </dataValidation>
    <dataValidation type="list" allowBlank="1" showInputMessage="1" showErrorMessage="1" sqref="O275">
      <formula1>liste_statuts</formula1>
    </dataValidation>
    <dataValidation type="list" allowBlank="1" showInputMessage="1" showErrorMessage="1" sqref="B276">
      <formula1>liste_programmes</formula1>
    </dataValidation>
    <dataValidation type="list" allowBlank="1" showInputMessage="1" showErrorMessage="1" sqref="D276">
      <formula1>liste_types</formula1>
    </dataValidation>
    <dataValidation type="list" allowBlank="1" showInputMessage="1" showErrorMessage="1" sqref="F276">
      <formula1>liste_categories</formula1>
    </dataValidation>
    <dataValidation type="list" allowBlank="1" showInputMessage="1" showErrorMessage="1" sqref="G276">
      <formula1>liste_responsables</formula1>
    </dataValidation>
    <dataValidation type="list" allowBlank="1" showInputMessage="1" showErrorMessage="1" sqref="H276">
      <formula1>liste_sites</formula1>
    </dataValidation>
    <dataValidation type="list" allowBlank="1" showInputMessage="1" showErrorMessage="1" sqref="I276">
      <formula1>liste_priorites</formula1>
    </dataValidation>
    <dataValidation type="date" operator="greaterThanOrEqual" allowBlank="1" showInputMessage="1" showErrorMessage="1" sqref="J276">
      <formula1>730120</formula1>
    </dataValidation>
    <dataValidation type="date" operator="greaterThanOrEqual" allowBlank="1" showInputMessage="1" showErrorMessage="1" sqref="K276">
      <formula1>730120</formula1>
    </dataValidation>
    <dataValidation type="date" operator="greaterThanOrEqual" allowBlank="1" showInputMessage="1" showErrorMessage="1" sqref="L276">
      <formula1>730120</formula1>
    </dataValidation>
    <dataValidation type="whole" allowBlank="1" showInputMessage="1" showErrorMessage="1" sqref="P276">
      <formula1>0</formula1>
      <formula2>100</formula2>
    </dataValidation>
    <dataValidation type="decimal" operator="greaterThanOrEqual" allowBlank="1" showInputMessage="1" showErrorMessage="1" sqref="Q276">
      <formula1>0</formula1>
    </dataValidation>
    <dataValidation type="decimal" operator="greaterThanOrEqual" allowBlank="1" showInputMessage="1" showErrorMessage="1" sqref="R276">
      <formula1>0</formula1>
    </dataValidation>
    <dataValidation type="whole" allowBlank="1" showInputMessage="1" showErrorMessage="1" sqref="U276">
      <formula1>1</formula1>
      <formula2>5</formula2>
    </dataValidation>
    <dataValidation type="whole" allowBlank="1" showInputMessage="1" showErrorMessage="1" sqref="V276">
      <formula1>1</formula1>
      <formula2>5</formula2>
    </dataValidation>
    <dataValidation type="whole" allowBlank="1" showInputMessage="1" showErrorMessage="1" sqref="X276">
      <formula1>1</formula1>
      <formula2>5</formula2>
    </dataValidation>
    <dataValidation type="decimal" operator="greaterThanOrEqual" allowBlank="1" showInputMessage="1" showErrorMessage="1" sqref="Y276">
      <formula1>0</formula1>
    </dataValidation>
    <dataValidation type="whole" operator="greaterThanOrEqual" allowBlank="1" showInputMessage="1" showErrorMessage="1" sqref="Z276">
      <formula1>0</formula1>
    </dataValidation>
    <dataValidation type="whole" allowBlank="1" showInputMessage="1" showErrorMessage="1" sqref="AA276">
      <formula1>1</formula1>
      <formula2>5</formula2>
    </dataValidation>
    <dataValidation type="decimal" allowBlank="1" showInputMessage="1" showErrorMessage="1" sqref="AB276">
      <formula1>0</formula1>
      <formula2>1</formula2>
    </dataValidation>
    <dataValidation type="list" allowBlank="1" showInputMessage="1" showErrorMessage="1" sqref="O276">
      <formula1>liste_statuts</formula1>
    </dataValidation>
    <dataValidation type="list" allowBlank="1" showInputMessage="1" showErrorMessage="1" sqref="B277">
      <formula1>liste_programmes</formula1>
    </dataValidation>
    <dataValidation type="list" allowBlank="1" showInputMessage="1" showErrorMessage="1" sqref="D277">
      <formula1>liste_types</formula1>
    </dataValidation>
    <dataValidation type="list" allowBlank="1" showInputMessage="1" showErrorMessage="1" sqref="F277">
      <formula1>liste_categories</formula1>
    </dataValidation>
    <dataValidation type="list" allowBlank="1" showInputMessage="1" showErrorMessage="1" sqref="G277">
      <formula1>liste_responsables</formula1>
    </dataValidation>
    <dataValidation type="list" allowBlank="1" showInputMessage="1" showErrorMessage="1" sqref="H277">
      <formula1>liste_sites</formula1>
    </dataValidation>
    <dataValidation type="list" allowBlank="1" showInputMessage="1" showErrorMessage="1" sqref="I277">
      <formula1>liste_priorites</formula1>
    </dataValidation>
    <dataValidation type="date" operator="greaterThanOrEqual" allowBlank="1" showInputMessage="1" showErrorMessage="1" sqref="J277">
      <formula1>730120</formula1>
    </dataValidation>
    <dataValidation type="date" operator="greaterThanOrEqual" allowBlank="1" showInputMessage="1" showErrorMessage="1" sqref="K277">
      <formula1>730120</formula1>
    </dataValidation>
    <dataValidation type="date" operator="greaterThanOrEqual" allowBlank="1" showInputMessage="1" showErrorMessage="1" sqref="L277">
      <formula1>730120</formula1>
    </dataValidation>
    <dataValidation type="whole" allowBlank="1" showInputMessage="1" showErrorMessage="1" sqref="P277">
      <formula1>0</formula1>
      <formula2>100</formula2>
    </dataValidation>
    <dataValidation type="decimal" operator="greaterThanOrEqual" allowBlank="1" showInputMessage="1" showErrorMessage="1" sqref="Q277">
      <formula1>0</formula1>
    </dataValidation>
    <dataValidation type="decimal" operator="greaterThanOrEqual" allowBlank="1" showInputMessage="1" showErrorMessage="1" sqref="R277">
      <formula1>0</formula1>
    </dataValidation>
    <dataValidation type="whole" allowBlank="1" showInputMessage="1" showErrorMessage="1" sqref="U277">
      <formula1>1</formula1>
      <formula2>5</formula2>
    </dataValidation>
    <dataValidation type="whole" allowBlank="1" showInputMessage="1" showErrorMessage="1" sqref="V277">
      <formula1>1</formula1>
      <formula2>5</formula2>
    </dataValidation>
    <dataValidation type="whole" allowBlank="1" showInputMessage="1" showErrorMessage="1" sqref="X277">
      <formula1>1</formula1>
      <formula2>5</formula2>
    </dataValidation>
    <dataValidation type="decimal" operator="greaterThanOrEqual" allowBlank="1" showInputMessage="1" showErrorMessage="1" sqref="Y277">
      <formula1>0</formula1>
    </dataValidation>
    <dataValidation type="whole" operator="greaterThanOrEqual" allowBlank="1" showInputMessage="1" showErrorMessage="1" sqref="Z277">
      <formula1>0</formula1>
    </dataValidation>
    <dataValidation type="whole" allowBlank="1" showInputMessage="1" showErrorMessage="1" sqref="AA277">
      <formula1>1</formula1>
      <formula2>5</formula2>
    </dataValidation>
    <dataValidation type="decimal" allowBlank="1" showInputMessage="1" showErrorMessage="1" sqref="AB277">
      <formula1>0</formula1>
      <formula2>1</formula2>
    </dataValidation>
    <dataValidation type="list" allowBlank="1" showInputMessage="1" showErrorMessage="1" sqref="O277">
      <formula1>liste_statuts</formula1>
    </dataValidation>
    <dataValidation type="list" allowBlank="1" showInputMessage="1" showErrorMessage="1" sqref="B278">
      <formula1>liste_programmes</formula1>
    </dataValidation>
    <dataValidation type="list" allowBlank="1" showInputMessage="1" showErrorMessage="1" sqref="D278">
      <formula1>liste_types</formula1>
    </dataValidation>
    <dataValidation type="list" allowBlank="1" showInputMessage="1" showErrorMessage="1" sqref="F278">
      <formula1>liste_categories</formula1>
    </dataValidation>
    <dataValidation type="list" allowBlank="1" showInputMessage="1" showErrorMessage="1" sqref="G278">
      <formula1>liste_responsables</formula1>
    </dataValidation>
    <dataValidation type="list" allowBlank="1" showInputMessage="1" showErrorMessage="1" sqref="H278">
      <formula1>liste_sites</formula1>
    </dataValidation>
    <dataValidation type="list" allowBlank="1" showInputMessage="1" showErrorMessage="1" sqref="I278">
      <formula1>liste_priorites</formula1>
    </dataValidation>
    <dataValidation type="date" operator="greaterThanOrEqual" allowBlank="1" showInputMessage="1" showErrorMessage="1" sqref="J278">
      <formula1>730120</formula1>
    </dataValidation>
    <dataValidation type="date" operator="greaterThanOrEqual" allowBlank="1" showInputMessage="1" showErrorMessage="1" sqref="K278">
      <formula1>730120</formula1>
    </dataValidation>
    <dataValidation type="date" operator="greaterThanOrEqual" allowBlank="1" showInputMessage="1" showErrorMessage="1" sqref="L278">
      <formula1>730120</formula1>
    </dataValidation>
    <dataValidation type="whole" allowBlank="1" showInputMessage="1" showErrorMessage="1" sqref="P278">
      <formula1>0</formula1>
      <formula2>100</formula2>
    </dataValidation>
    <dataValidation type="decimal" operator="greaterThanOrEqual" allowBlank="1" showInputMessage="1" showErrorMessage="1" sqref="Q278">
      <formula1>0</formula1>
    </dataValidation>
    <dataValidation type="decimal" operator="greaterThanOrEqual" allowBlank="1" showInputMessage="1" showErrorMessage="1" sqref="R278">
      <formula1>0</formula1>
    </dataValidation>
    <dataValidation type="whole" allowBlank="1" showInputMessage="1" showErrorMessage="1" sqref="U278">
      <formula1>1</formula1>
      <formula2>5</formula2>
    </dataValidation>
    <dataValidation type="whole" allowBlank="1" showInputMessage="1" showErrorMessage="1" sqref="V278">
      <formula1>1</formula1>
      <formula2>5</formula2>
    </dataValidation>
    <dataValidation type="whole" allowBlank="1" showInputMessage="1" showErrorMessage="1" sqref="X278">
      <formula1>1</formula1>
      <formula2>5</formula2>
    </dataValidation>
    <dataValidation type="decimal" operator="greaterThanOrEqual" allowBlank="1" showInputMessage="1" showErrorMessage="1" sqref="Y278">
      <formula1>0</formula1>
    </dataValidation>
    <dataValidation type="whole" operator="greaterThanOrEqual" allowBlank="1" showInputMessage="1" showErrorMessage="1" sqref="Z278">
      <formula1>0</formula1>
    </dataValidation>
    <dataValidation type="whole" allowBlank="1" showInputMessage="1" showErrorMessage="1" sqref="AA278">
      <formula1>1</formula1>
      <formula2>5</formula2>
    </dataValidation>
    <dataValidation type="decimal" allowBlank="1" showInputMessage="1" showErrorMessage="1" sqref="AB278">
      <formula1>0</formula1>
      <formula2>1</formula2>
    </dataValidation>
    <dataValidation type="list" allowBlank="1" showInputMessage="1" showErrorMessage="1" sqref="O278">
      <formula1>liste_statuts</formula1>
    </dataValidation>
    <dataValidation type="list" allowBlank="1" showInputMessage="1" showErrorMessage="1" sqref="B279">
      <formula1>liste_programmes</formula1>
    </dataValidation>
    <dataValidation type="list" allowBlank="1" showInputMessage="1" showErrorMessage="1" sqref="D279">
      <formula1>liste_types</formula1>
    </dataValidation>
    <dataValidation type="list" allowBlank="1" showInputMessage="1" showErrorMessage="1" sqref="F279">
      <formula1>liste_categories</formula1>
    </dataValidation>
    <dataValidation type="list" allowBlank="1" showInputMessage="1" showErrorMessage="1" sqref="G279">
      <formula1>liste_responsables</formula1>
    </dataValidation>
    <dataValidation type="list" allowBlank="1" showInputMessage="1" showErrorMessage="1" sqref="H279">
      <formula1>liste_sites</formula1>
    </dataValidation>
    <dataValidation type="list" allowBlank="1" showInputMessage="1" showErrorMessage="1" sqref="I279">
      <formula1>liste_priorites</formula1>
    </dataValidation>
    <dataValidation type="date" operator="greaterThanOrEqual" allowBlank="1" showInputMessage="1" showErrorMessage="1" sqref="J279">
      <formula1>730120</formula1>
    </dataValidation>
    <dataValidation type="date" operator="greaterThanOrEqual" allowBlank="1" showInputMessage="1" showErrorMessage="1" sqref="K279">
      <formula1>730120</formula1>
    </dataValidation>
    <dataValidation type="date" operator="greaterThanOrEqual" allowBlank="1" showInputMessage="1" showErrorMessage="1" sqref="L279">
      <formula1>730120</formula1>
    </dataValidation>
    <dataValidation type="whole" allowBlank="1" showInputMessage="1" showErrorMessage="1" sqref="P279">
      <formula1>0</formula1>
      <formula2>100</formula2>
    </dataValidation>
    <dataValidation type="decimal" operator="greaterThanOrEqual" allowBlank="1" showInputMessage="1" showErrorMessage="1" sqref="Q279">
      <formula1>0</formula1>
    </dataValidation>
    <dataValidation type="decimal" operator="greaterThanOrEqual" allowBlank="1" showInputMessage="1" showErrorMessage="1" sqref="R279">
      <formula1>0</formula1>
    </dataValidation>
    <dataValidation type="whole" allowBlank="1" showInputMessage="1" showErrorMessage="1" sqref="U279">
      <formula1>1</formula1>
      <formula2>5</formula2>
    </dataValidation>
    <dataValidation type="whole" allowBlank="1" showInputMessage="1" showErrorMessage="1" sqref="V279">
      <formula1>1</formula1>
      <formula2>5</formula2>
    </dataValidation>
    <dataValidation type="whole" allowBlank="1" showInputMessage="1" showErrorMessage="1" sqref="X279">
      <formula1>1</formula1>
      <formula2>5</formula2>
    </dataValidation>
    <dataValidation type="decimal" operator="greaterThanOrEqual" allowBlank="1" showInputMessage="1" showErrorMessage="1" sqref="Y279">
      <formula1>0</formula1>
    </dataValidation>
    <dataValidation type="whole" operator="greaterThanOrEqual" allowBlank="1" showInputMessage="1" showErrorMessage="1" sqref="Z279">
      <formula1>0</formula1>
    </dataValidation>
    <dataValidation type="whole" allowBlank="1" showInputMessage="1" showErrorMessage="1" sqref="AA279">
      <formula1>1</formula1>
      <formula2>5</formula2>
    </dataValidation>
    <dataValidation type="decimal" allowBlank="1" showInputMessage="1" showErrorMessage="1" sqref="AB279">
      <formula1>0</formula1>
      <formula2>1</formula2>
    </dataValidation>
    <dataValidation type="list" allowBlank="1" showInputMessage="1" showErrorMessage="1" sqref="O279">
      <formula1>liste_statuts</formula1>
    </dataValidation>
    <dataValidation type="list" allowBlank="1" showInputMessage="1" showErrorMessage="1" sqref="B280">
      <formula1>liste_programmes</formula1>
    </dataValidation>
    <dataValidation type="list" allowBlank="1" showInputMessage="1" showErrorMessage="1" sqref="D280">
      <formula1>liste_types</formula1>
    </dataValidation>
    <dataValidation type="list" allowBlank="1" showInputMessage="1" showErrorMessage="1" sqref="F280">
      <formula1>liste_categories</formula1>
    </dataValidation>
    <dataValidation type="list" allowBlank="1" showInputMessage="1" showErrorMessage="1" sqref="G280">
      <formula1>liste_responsables</formula1>
    </dataValidation>
    <dataValidation type="list" allowBlank="1" showInputMessage="1" showErrorMessage="1" sqref="H280">
      <formula1>liste_sites</formula1>
    </dataValidation>
    <dataValidation type="list" allowBlank="1" showInputMessage="1" showErrorMessage="1" sqref="I280">
      <formula1>liste_priorites</formula1>
    </dataValidation>
    <dataValidation type="date" operator="greaterThanOrEqual" allowBlank="1" showInputMessage="1" showErrorMessage="1" sqref="J280">
      <formula1>730120</formula1>
    </dataValidation>
    <dataValidation type="date" operator="greaterThanOrEqual" allowBlank="1" showInputMessage="1" showErrorMessage="1" sqref="K280">
      <formula1>730120</formula1>
    </dataValidation>
    <dataValidation type="date" operator="greaterThanOrEqual" allowBlank="1" showInputMessage="1" showErrorMessage="1" sqref="L280">
      <formula1>730120</formula1>
    </dataValidation>
    <dataValidation type="whole" allowBlank="1" showInputMessage="1" showErrorMessage="1" sqref="P280">
      <formula1>0</formula1>
      <formula2>100</formula2>
    </dataValidation>
    <dataValidation type="decimal" operator="greaterThanOrEqual" allowBlank="1" showInputMessage="1" showErrorMessage="1" sqref="Q280">
      <formula1>0</formula1>
    </dataValidation>
    <dataValidation type="decimal" operator="greaterThanOrEqual" allowBlank="1" showInputMessage="1" showErrorMessage="1" sqref="R280">
      <formula1>0</formula1>
    </dataValidation>
    <dataValidation type="whole" allowBlank="1" showInputMessage="1" showErrorMessage="1" sqref="U280">
      <formula1>1</formula1>
      <formula2>5</formula2>
    </dataValidation>
    <dataValidation type="whole" allowBlank="1" showInputMessage="1" showErrorMessage="1" sqref="V280">
      <formula1>1</formula1>
      <formula2>5</formula2>
    </dataValidation>
    <dataValidation type="whole" allowBlank="1" showInputMessage="1" showErrorMessage="1" sqref="X280">
      <formula1>1</formula1>
      <formula2>5</formula2>
    </dataValidation>
    <dataValidation type="decimal" operator="greaterThanOrEqual" allowBlank="1" showInputMessage="1" showErrorMessage="1" sqref="Y280">
      <formula1>0</formula1>
    </dataValidation>
    <dataValidation type="whole" operator="greaterThanOrEqual" allowBlank="1" showInputMessage="1" showErrorMessage="1" sqref="Z280">
      <formula1>0</formula1>
    </dataValidation>
    <dataValidation type="whole" allowBlank="1" showInputMessage="1" showErrorMessage="1" sqref="AA280">
      <formula1>1</formula1>
      <formula2>5</formula2>
    </dataValidation>
    <dataValidation type="decimal" allowBlank="1" showInputMessage="1" showErrorMessage="1" sqref="AB280">
      <formula1>0</formula1>
      <formula2>1</formula2>
    </dataValidation>
    <dataValidation type="list" allowBlank="1" showInputMessage="1" showErrorMessage="1" sqref="O280">
      <formula1>liste_statuts</formula1>
    </dataValidation>
    <dataValidation type="list" allowBlank="1" showInputMessage="1" showErrorMessage="1" sqref="B281">
      <formula1>liste_programmes</formula1>
    </dataValidation>
    <dataValidation type="list" allowBlank="1" showInputMessage="1" showErrorMessage="1" sqref="D281">
      <formula1>liste_types</formula1>
    </dataValidation>
    <dataValidation type="list" allowBlank="1" showInputMessage="1" showErrorMessage="1" sqref="F281">
      <formula1>liste_categories</formula1>
    </dataValidation>
    <dataValidation type="list" allowBlank="1" showInputMessage="1" showErrorMessage="1" sqref="G281">
      <formula1>liste_responsables</formula1>
    </dataValidation>
    <dataValidation type="list" allowBlank="1" showInputMessage="1" showErrorMessage="1" sqref="H281">
      <formula1>liste_sites</formula1>
    </dataValidation>
    <dataValidation type="list" allowBlank="1" showInputMessage="1" showErrorMessage="1" sqref="I281">
      <formula1>liste_priorites</formula1>
    </dataValidation>
    <dataValidation type="date" operator="greaterThanOrEqual" allowBlank="1" showInputMessage="1" showErrorMessage="1" sqref="J281">
      <formula1>730120</formula1>
    </dataValidation>
    <dataValidation type="date" operator="greaterThanOrEqual" allowBlank="1" showInputMessage="1" showErrorMessage="1" sqref="K281">
      <formula1>730120</formula1>
    </dataValidation>
    <dataValidation type="date" operator="greaterThanOrEqual" allowBlank="1" showInputMessage="1" showErrorMessage="1" sqref="L281">
      <formula1>730120</formula1>
    </dataValidation>
    <dataValidation type="whole" allowBlank="1" showInputMessage="1" showErrorMessage="1" sqref="P281">
      <formula1>0</formula1>
      <formula2>100</formula2>
    </dataValidation>
    <dataValidation type="decimal" operator="greaterThanOrEqual" allowBlank="1" showInputMessage="1" showErrorMessage="1" sqref="Q281">
      <formula1>0</formula1>
    </dataValidation>
    <dataValidation type="decimal" operator="greaterThanOrEqual" allowBlank="1" showInputMessage="1" showErrorMessage="1" sqref="R281">
      <formula1>0</formula1>
    </dataValidation>
    <dataValidation type="whole" allowBlank="1" showInputMessage="1" showErrorMessage="1" sqref="U281">
      <formula1>1</formula1>
      <formula2>5</formula2>
    </dataValidation>
    <dataValidation type="whole" allowBlank="1" showInputMessage="1" showErrorMessage="1" sqref="V281">
      <formula1>1</formula1>
      <formula2>5</formula2>
    </dataValidation>
    <dataValidation type="whole" allowBlank="1" showInputMessage="1" showErrorMessage="1" sqref="X281">
      <formula1>1</formula1>
      <formula2>5</formula2>
    </dataValidation>
    <dataValidation type="decimal" operator="greaterThanOrEqual" allowBlank="1" showInputMessage="1" showErrorMessage="1" sqref="Y281">
      <formula1>0</formula1>
    </dataValidation>
    <dataValidation type="whole" operator="greaterThanOrEqual" allowBlank="1" showInputMessage="1" showErrorMessage="1" sqref="Z281">
      <formula1>0</formula1>
    </dataValidation>
    <dataValidation type="whole" allowBlank="1" showInputMessage="1" showErrorMessage="1" sqref="AA281">
      <formula1>1</formula1>
      <formula2>5</formula2>
    </dataValidation>
    <dataValidation type="decimal" allowBlank="1" showInputMessage="1" showErrorMessage="1" sqref="AB281">
      <formula1>0</formula1>
      <formula2>1</formula2>
    </dataValidation>
    <dataValidation type="list" allowBlank="1" showInputMessage="1" showErrorMessage="1" sqref="O281">
      <formula1>liste_statuts</formula1>
    </dataValidation>
    <dataValidation type="list" allowBlank="1" showInputMessage="1" showErrorMessage="1" sqref="B282">
      <formula1>liste_programmes</formula1>
    </dataValidation>
    <dataValidation type="list" allowBlank="1" showInputMessage="1" showErrorMessage="1" sqref="D282">
      <formula1>liste_types</formula1>
    </dataValidation>
    <dataValidation type="list" allowBlank="1" showInputMessage="1" showErrorMessage="1" sqref="F282">
      <formula1>liste_categories</formula1>
    </dataValidation>
    <dataValidation type="list" allowBlank="1" showInputMessage="1" showErrorMessage="1" sqref="G282">
      <formula1>liste_responsables</formula1>
    </dataValidation>
    <dataValidation type="list" allowBlank="1" showInputMessage="1" showErrorMessage="1" sqref="H282">
      <formula1>liste_sites</formula1>
    </dataValidation>
    <dataValidation type="list" allowBlank="1" showInputMessage="1" showErrorMessage="1" sqref="I282">
      <formula1>liste_priorites</formula1>
    </dataValidation>
    <dataValidation type="date" operator="greaterThanOrEqual" allowBlank="1" showInputMessage="1" showErrorMessage="1" sqref="J282">
      <formula1>730120</formula1>
    </dataValidation>
    <dataValidation type="date" operator="greaterThanOrEqual" allowBlank="1" showInputMessage="1" showErrorMessage="1" sqref="K282">
      <formula1>730120</formula1>
    </dataValidation>
    <dataValidation type="date" operator="greaterThanOrEqual" allowBlank="1" showInputMessage="1" showErrorMessage="1" sqref="L282">
      <formula1>730120</formula1>
    </dataValidation>
    <dataValidation type="whole" allowBlank="1" showInputMessage="1" showErrorMessage="1" sqref="P282">
      <formula1>0</formula1>
      <formula2>100</formula2>
    </dataValidation>
    <dataValidation type="decimal" operator="greaterThanOrEqual" allowBlank="1" showInputMessage="1" showErrorMessage="1" sqref="Q282">
      <formula1>0</formula1>
    </dataValidation>
    <dataValidation type="decimal" operator="greaterThanOrEqual" allowBlank="1" showInputMessage="1" showErrorMessage="1" sqref="R282">
      <formula1>0</formula1>
    </dataValidation>
    <dataValidation type="whole" allowBlank="1" showInputMessage="1" showErrorMessage="1" sqref="U282">
      <formula1>1</formula1>
      <formula2>5</formula2>
    </dataValidation>
    <dataValidation type="whole" allowBlank="1" showInputMessage="1" showErrorMessage="1" sqref="V282">
      <formula1>1</formula1>
      <formula2>5</formula2>
    </dataValidation>
    <dataValidation type="whole" allowBlank="1" showInputMessage="1" showErrorMessage="1" sqref="X282">
      <formula1>1</formula1>
      <formula2>5</formula2>
    </dataValidation>
    <dataValidation type="decimal" operator="greaterThanOrEqual" allowBlank="1" showInputMessage="1" showErrorMessage="1" sqref="Y282">
      <formula1>0</formula1>
    </dataValidation>
    <dataValidation type="whole" operator="greaterThanOrEqual" allowBlank="1" showInputMessage="1" showErrorMessage="1" sqref="Z282">
      <formula1>0</formula1>
    </dataValidation>
    <dataValidation type="whole" allowBlank="1" showInputMessage="1" showErrorMessage="1" sqref="AA282">
      <formula1>1</formula1>
      <formula2>5</formula2>
    </dataValidation>
    <dataValidation type="decimal" allowBlank="1" showInputMessage="1" showErrorMessage="1" sqref="AB282">
      <formula1>0</formula1>
      <formula2>1</formula2>
    </dataValidation>
    <dataValidation type="list" allowBlank="1" showInputMessage="1" showErrorMessage="1" sqref="O282">
      <formula1>liste_statuts</formula1>
    </dataValidation>
    <dataValidation type="list" allowBlank="1" showInputMessage="1" showErrorMessage="1" sqref="B283">
      <formula1>liste_programmes</formula1>
    </dataValidation>
    <dataValidation type="list" allowBlank="1" showInputMessage="1" showErrorMessage="1" sqref="D283">
      <formula1>liste_types</formula1>
    </dataValidation>
    <dataValidation type="list" allowBlank="1" showInputMessage="1" showErrorMessage="1" sqref="F283">
      <formula1>liste_categories</formula1>
    </dataValidation>
    <dataValidation type="list" allowBlank="1" showInputMessage="1" showErrorMessage="1" sqref="G283">
      <formula1>liste_responsables</formula1>
    </dataValidation>
    <dataValidation type="list" allowBlank="1" showInputMessage="1" showErrorMessage="1" sqref="H283">
      <formula1>liste_sites</formula1>
    </dataValidation>
    <dataValidation type="list" allowBlank="1" showInputMessage="1" showErrorMessage="1" sqref="I283">
      <formula1>liste_priorites</formula1>
    </dataValidation>
    <dataValidation type="date" operator="greaterThanOrEqual" allowBlank="1" showInputMessage="1" showErrorMessage="1" sqref="J283">
      <formula1>730120</formula1>
    </dataValidation>
    <dataValidation type="date" operator="greaterThanOrEqual" allowBlank="1" showInputMessage="1" showErrorMessage="1" sqref="K283">
      <formula1>730120</formula1>
    </dataValidation>
    <dataValidation type="date" operator="greaterThanOrEqual" allowBlank="1" showInputMessage="1" showErrorMessage="1" sqref="L283">
      <formula1>730120</formula1>
    </dataValidation>
    <dataValidation type="whole" allowBlank="1" showInputMessage="1" showErrorMessage="1" sqref="P283">
      <formula1>0</formula1>
      <formula2>100</formula2>
    </dataValidation>
    <dataValidation type="decimal" operator="greaterThanOrEqual" allowBlank="1" showInputMessage="1" showErrorMessage="1" sqref="Q283">
      <formula1>0</formula1>
    </dataValidation>
    <dataValidation type="decimal" operator="greaterThanOrEqual" allowBlank="1" showInputMessage="1" showErrorMessage="1" sqref="R283">
      <formula1>0</formula1>
    </dataValidation>
    <dataValidation type="whole" allowBlank="1" showInputMessage="1" showErrorMessage="1" sqref="U283">
      <formula1>1</formula1>
      <formula2>5</formula2>
    </dataValidation>
    <dataValidation type="whole" allowBlank="1" showInputMessage="1" showErrorMessage="1" sqref="V283">
      <formula1>1</formula1>
      <formula2>5</formula2>
    </dataValidation>
    <dataValidation type="whole" allowBlank="1" showInputMessage="1" showErrorMessage="1" sqref="X283">
      <formula1>1</formula1>
      <formula2>5</formula2>
    </dataValidation>
    <dataValidation type="decimal" operator="greaterThanOrEqual" allowBlank="1" showInputMessage="1" showErrorMessage="1" sqref="Y283">
      <formula1>0</formula1>
    </dataValidation>
    <dataValidation type="whole" operator="greaterThanOrEqual" allowBlank="1" showInputMessage="1" showErrorMessage="1" sqref="Z283">
      <formula1>0</formula1>
    </dataValidation>
    <dataValidation type="whole" allowBlank="1" showInputMessage="1" showErrorMessage="1" sqref="AA283">
      <formula1>1</formula1>
      <formula2>5</formula2>
    </dataValidation>
    <dataValidation type="decimal" allowBlank="1" showInputMessage="1" showErrorMessage="1" sqref="AB283">
      <formula1>0</formula1>
      <formula2>1</formula2>
    </dataValidation>
    <dataValidation type="list" allowBlank="1" showInputMessage="1" showErrorMessage="1" sqref="O283">
      <formula1>liste_statuts</formula1>
    </dataValidation>
    <dataValidation type="list" allowBlank="1" showInputMessage="1" showErrorMessage="1" sqref="B284">
      <formula1>liste_programmes</formula1>
    </dataValidation>
    <dataValidation type="list" allowBlank="1" showInputMessage="1" showErrorMessage="1" sqref="D284">
      <formula1>liste_types</formula1>
    </dataValidation>
    <dataValidation type="list" allowBlank="1" showInputMessage="1" showErrorMessage="1" sqref="F284">
      <formula1>liste_categories</formula1>
    </dataValidation>
    <dataValidation type="list" allowBlank="1" showInputMessage="1" showErrorMessage="1" sqref="G284">
      <formula1>liste_responsables</formula1>
    </dataValidation>
    <dataValidation type="list" allowBlank="1" showInputMessage="1" showErrorMessage="1" sqref="H284">
      <formula1>liste_sites</formula1>
    </dataValidation>
    <dataValidation type="list" allowBlank="1" showInputMessage="1" showErrorMessage="1" sqref="I284">
      <formula1>liste_priorites</formula1>
    </dataValidation>
    <dataValidation type="date" operator="greaterThanOrEqual" allowBlank="1" showInputMessage="1" showErrorMessage="1" sqref="J284">
      <formula1>730120</formula1>
    </dataValidation>
    <dataValidation type="date" operator="greaterThanOrEqual" allowBlank="1" showInputMessage="1" showErrorMessage="1" sqref="K284">
      <formula1>730120</formula1>
    </dataValidation>
    <dataValidation type="date" operator="greaterThanOrEqual" allowBlank="1" showInputMessage="1" showErrorMessage="1" sqref="L284">
      <formula1>730120</formula1>
    </dataValidation>
    <dataValidation type="whole" allowBlank="1" showInputMessage="1" showErrorMessage="1" sqref="P284">
      <formula1>0</formula1>
      <formula2>100</formula2>
    </dataValidation>
    <dataValidation type="decimal" operator="greaterThanOrEqual" allowBlank="1" showInputMessage="1" showErrorMessage="1" sqref="Q284">
      <formula1>0</formula1>
    </dataValidation>
    <dataValidation type="decimal" operator="greaterThanOrEqual" allowBlank="1" showInputMessage="1" showErrorMessage="1" sqref="R284">
      <formula1>0</formula1>
    </dataValidation>
    <dataValidation type="whole" allowBlank="1" showInputMessage="1" showErrorMessage="1" sqref="U284">
      <formula1>1</formula1>
      <formula2>5</formula2>
    </dataValidation>
    <dataValidation type="whole" allowBlank="1" showInputMessage="1" showErrorMessage="1" sqref="V284">
      <formula1>1</formula1>
      <formula2>5</formula2>
    </dataValidation>
    <dataValidation type="whole" allowBlank="1" showInputMessage="1" showErrorMessage="1" sqref="X284">
      <formula1>1</formula1>
      <formula2>5</formula2>
    </dataValidation>
    <dataValidation type="decimal" operator="greaterThanOrEqual" allowBlank="1" showInputMessage="1" showErrorMessage="1" sqref="Y284">
      <formula1>0</formula1>
    </dataValidation>
    <dataValidation type="whole" operator="greaterThanOrEqual" allowBlank="1" showInputMessage="1" showErrorMessage="1" sqref="Z284">
      <formula1>0</formula1>
    </dataValidation>
    <dataValidation type="whole" allowBlank="1" showInputMessage="1" showErrorMessage="1" sqref="AA284">
      <formula1>1</formula1>
      <formula2>5</formula2>
    </dataValidation>
    <dataValidation type="decimal" allowBlank="1" showInputMessage="1" showErrorMessage="1" sqref="AB284">
      <formula1>0</formula1>
      <formula2>1</formula2>
    </dataValidation>
    <dataValidation type="list" allowBlank="1" showInputMessage="1" showErrorMessage="1" sqref="O284">
      <formula1>liste_statuts</formula1>
    </dataValidation>
    <dataValidation type="list" allowBlank="1" showInputMessage="1" showErrorMessage="1" sqref="B285">
      <formula1>liste_programmes</formula1>
    </dataValidation>
    <dataValidation type="list" allowBlank="1" showInputMessage="1" showErrorMessage="1" sqref="D285">
      <formula1>liste_types</formula1>
    </dataValidation>
    <dataValidation type="list" allowBlank="1" showInputMessage="1" showErrorMessage="1" sqref="F285">
      <formula1>liste_categories</formula1>
    </dataValidation>
    <dataValidation type="list" allowBlank="1" showInputMessage="1" showErrorMessage="1" sqref="G285">
      <formula1>liste_responsables</formula1>
    </dataValidation>
    <dataValidation type="list" allowBlank="1" showInputMessage="1" showErrorMessage="1" sqref="H285">
      <formula1>liste_sites</formula1>
    </dataValidation>
    <dataValidation type="list" allowBlank="1" showInputMessage="1" showErrorMessage="1" sqref="I285">
      <formula1>liste_priorites</formula1>
    </dataValidation>
    <dataValidation type="date" operator="greaterThanOrEqual" allowBlank="1" showInputMessage="1" showErrorMessage="1" sqref="J285">
      <formula1>730120</formula1>
    </dataValidation>
    <dataValidation type="date" operator="greaterThanOrEqual" allowBlank="1" showInputMessage="1" showErrorMessage="1" sqref="K285">
      <formula1>730120</formula1>
    </dataValidation>
    <dataValidation type="date" operator="greaterThanOrEqual" allowBlank="1" showInputMessage="1" showErrorMessage="1" sqref="L285">
      <formula1>730120</formula1>
    </dataValidation>
    <dataValidation type="whole" allowBlank="1" showInputMessage="1" showErrorMessage="1" sqref="P285">
      <formula1>0</formula1>
      <formula2>100</formula2>
    </dataValidation>
    <dataValidation type="decimal" operator="greaterThanOrEqual" allowBlank="1" showInputMessage="1" showErrorMessage="1" sqref="Q285">
      <formula1>0</formula1>
    </dataValidation>
    <dataValidation type="decimal" operator="greaterThanOrEqual" allowBlank="1" showInputMessage="1" showErrorMessage="1" sqref="R285">
      <formula1>0</formula1>
    </dataValidation>
    <dataValidation type="whole" allowBlank="1" showInputMessage="1" showErrorMessage="1" sqref="U285">
      <formula1>1</formula1>
      <formula2>5</formula2>
    </dataValidation>
    <dataValidation type="whole" allowBlank="1" showInputMessage="1" showErrorMessage="1" sqref="V285">
      <formula1>1</formula1>
      <formula2>5</formula2>
    </dataValidation>
    <dataValidation type="whole" allowBlank="1" showInputMessage="1" showErrorMessage="1" sqref="X285">
      <formula1>1</formula1>
      <formula2>5</formula2>
    </dataValidation>
    <dataValidation type="decimal" operator="greaterThanOrEqual" allowBlank="1" showInputMessage="1" showErrorMessage="1" sqref="Y285">
      <formula1>0</formula1>
    </dataValidation>
    <dataValidation type="whole" operator="greaterThanOrEqual" allowBlank="1" showInputMessage="1" showErrorMessage="1" sqref="Z285">
      <formula1>0</formula1>
    </dataValidation>
    <dataValidation type="whole" allowBlank="1" showInputMessage="1" showErrorMessage="1" sqref="AA285">
      <formula1>1</formula1>
      <formula2>5</formula2>
    </dataValidation>
    <dataValidation type="decimal" allowBlank="1" showInputMessage="1" showErrorMessage="1" sqref="AB285">
      <formula1>0</formula1>
      <formula2>1</formula2>
    </dataValidation>
    <dataValidation type="list" allowBlank="1" showInputMessage="1" showErrorMessage="1" sqref="O285">
      <formula1>liste_statuts</formula1>
    </dataValidation>
    <dataValidation type="list" allowBlank="1" showInputMessage="1" showErrorMessage="1" sqref="B286">
      <formula1>liste_programmes</formula1>
    </dataValidation>
    <dataValidation type="list" allowBlank="1" showInputMessage="1" showErrorMessage="1" sqref="D286">
      <formula1>liste_types</formula1>
    </dataValidation>
    <dataValidation type="list" allowBlank="1" showInputMessage="1" showErrorMessage="1" sqref="F286">
      <formula1>liste_categories</formula1>
    </dataValidation>
    <dataValidation type="list" allowBlank="1" showInputMessage="1" showErrorMessage="1" sqref="G286">
      <formula1>liste_responsables</formula1>
    </dataValidation>
    <dataValidation type="list" allowBlank="1" showInputMessage="1" showErrorMessage="1" sqref="H286">
      <formula1>liste_sites</formula1>
    </dataValidation>
    <dataValidation type="list" allowBlank="1" showInputMessage="1" showErrorMessage="1" sqref="I286">
      <formula1>liste_priorites</formula1>
    </dataValidation>
    <dataValidation type="date" operator="greaterThanOrEqual" allowBlank="1" showInputMessage="1" showErrorMessage="1" sqref="J286">
      <formula1>730120</formula1>
    </dataValidation>
    <dataValidation type="date" operator="greaterThanOrEqual" allowBlank="1" showInputMessage="1" showErrorMessage="1" sqref="K286">
      <formula1>730120</formula1>
    </dataValidation>
    <dataValidation type="date" operator="greaterThanOrEqual" allowBlank="1" showInputMessage="1" showErrorMessage="1" sqref="L286">
      <formula1>730120</formula1>
    </dataValidation>
    <dataValidation type="whole" allowBlank="1" showInputMessage="1" showErrorMessage="1" sqref="P286">
      <formula1>0</formula1>
      <formula2>100</formula2>
    </dataValidation>
    <dataValidation type="decimal" operator="greaterThanOrEqual" allowBlank="1" showInputMessage="1" showErrorMessage="1" sqref="Q286">
      <formula1>0</formula1>
    </dataValidation>
    <dataValidation type="decimal" operator="greaterThanOrEqual" allowBlank="1" showInputMessage="1" showErrorMessage="1" sqref="R286">
      <formula1>0</formula1>
    </dataValidation>
    <dataValidation type="whole" allowBlank="1" showInputMessage="1" showErrorMessage="1" sqref="U286">
      <formula1>1</formula1>
      <formula2>5</formula2>
    </dataValidation>
    <dataValidation type="whole" allowBlank="1" showInputMessage="1" showErrorMessage="1" sqref="V286">
      <formula1>1</formula1>
      <formula2>5</formula2>
    </dataValidation>
    <dataValidation type="whole" allowBlank="1" showInputMessage="1" showErrorMessage="1" sqref="X286">
      <formula1>1</formula1>
      <formula2>5</formula2>
    </dataValidation>
    <dataValidation type="decimal" operator="greaterThanOrEqual" allowBlank="1" showInputMessage="1" showErrorMessage="1" sqref="Y286">
      <formula1>0</formula1>
    </dataValidation>
    <dataValidation type="whole" operator="greaterThanOrEqual" allowBlank="1" showInputMessage="1" showErrorMessage="1" sqref="Z286">
      <formula1>0</formula1>
    </dataValidation>
    <dataValidation type="whole" allowBlank="1" showInputMessage="1" showErrorMessage="1" sqref="AA286">
      <formula1>1</formula1>
      <formula2>5</formula2>
    </dataValidation>
    <dataValidation type="decimal" allowBlank="1" showInputMessage="1" showErrorMessage="1" sqref="AB286">
      <formula1>0</formula1>
      <formula2>1</formula2>
    </dataValidation>
    <dataValidation type="list" allowBlank="1" showInputMessage="1" showErrorMessage="1" sqref="O286">
      <formula1>liste_statuts</formula1>
    </dataValidation>
    <dataValidation type="list" allowBlank="1" showInputMessage="1" showErrorMessage="1" sqref="B287">
      <formula1>liste_programmes</formula1>
    </dataValidation>
    <dataValidation type="list" allowBlank="1" showInputMessage="1" showErrorMessage="1" sqref="D287">
      <formula1>liste_types</formula1>
    </dataValidation>
    <dataValidation type="list" allowBlank="1" showInputMessage="1" showErrorMessage="1" sqref="F287">
      <formula1>liste_categories</formula1>
    </dataValidation>
    <dataValidation type="list" allowBlank="1" showInputMessage="1" showErrorMessage="1" sqref="G287">
      <formula1>liste_responsables</formula1>
    </dataValidation>
    <dataValidation type="list" allowBlank="1" showInputMessage="1" showErrorMessage="1" sqref="H287">
      <formula1>liste_sites</formula1>
    </dataValidation>
    <dataValidation type="list" allowBlank="1" showInputMessage="1" showErrorMessage="1" sqref="I287">
      <formula1>liste_priorites</formula1>
    </dataValidation>
    <dataValidation type="date" operator="greaterThanOrEqual" allowBlank="1" showInputMessage="1" showErrorMessage="1" sqref="J287">
      <formula1>730120</formula1>
    </dataValidation>
    <dataValidation type="date" operator="greaterThanOrEqual" allowBlank="1" showInputMessage="1" showErrorMessage="1" sqref="K287">
      <formula1>730120</formula1>
    </dataValidation>
    <dataValidation type="date" operator="greaterThanOrEqual" allowBlank="1" showInputMessage="1" showErrorMessage="1" sqref="L287">
      <formula1>730120</formula1>
    </dataValidation>
    <dataValidation type="whole" allowBlank="1" showInputMessage="1" showErrorMessage="1" sqref="P287">
      <formula1>0</formula1>
      <formula2>100</formula2>
    </dataValidation>
    <dataValidation type="decimal" operator="greaterThanOrEqual" allowBlank="1" showInputMessage="1" showErrorMessage="1" sqref="Q287">
      <formula1>0</formula1>
    </dataValidation>
    <dataValidation type="decimal" operator="greaterThanOrEqual" allowBlank="1" showInputMessage="1" showErrorMessage="1" sqref="R287">
      <formula1>0</formula1>
    </dataValidation>
    <dataValidation type="whole" allowBlank="1" showInputMessage="1" showErrorMessage="1" sqref="U287">
      <formula1>1</formula1>
      <formula2>5</formula2>
    </dataValidation>
    <dataValidation type="whole" allowBlank="1" showInputMessage="1" showErrorMessage="1" sqref="V287">
      <formula1>1</formula1>
      <formula2>5</formula2>
    </dataValidation>
    <dataValidation type="whole" allowBlank="1" showInputMessage="1" showErrorMessage="1" sqref="X287">
      <formula1>1</formula1>
      <formula2>5</formula2>
    </dataValidation>
    <dataValidation type="decimal" operator="greaterThanOrEqual" allowBlank="1" showInputMessage="1" showErrorMessage="1" sqref="Y287">
      <formula1>0</formula1>
    </dataValidation>
    <dataValidation type="whole" operator="greaterThanOrEqual" allowBlank="1" showInputMessage="1" showErrorMessage="1" sqref="Z287">
      <formula1>0</formula1>
    </dataValidation>
    <dataValidation type="whole" allowBlank="1" showInputMessage="1" showErrorMessage="1" sqref="AA287">
      <formula1>1</formula1>
      <formula2>5</formula2>
    </dataValidation>
    <dataValidation type="decimal" allowBlank="1" showInputMessage="1" showErrorMessage="1" sqref="AB287">
      <formula1>0</formula1>
      <formula2>1</formula2>
    </dataValidation>
    <dataValidation type="list" allowBlank="1" showInputMessage="1" showErrorMessage="1" sqref="O287">
      <formula1>liste_statuts</formula1>
    </dataValidation>
    <dataValidation type="list" allowBlank="1" showInputMessage="1" showErrorMessage="1" sqref="B288">
      <formula1>liste_programmes</formula1>
    </dataValidation>
    <dataValidation type="list" allowBlank="1" showInputMessage="1" showErrorMessage="1" sqref="D288">
      <formula1>liste_types</formula1>
    </dataValidation>
    <dataValidation type="list" allowBlank="1" showInputMessage="1" showErrorMessage="1" sqref="F288">
      <formula1>liste_categories</formula1>
    </dataValidation>
    <dataValidation type="list" allowBlank="1" showInputMessage="1" showErrorMessage="1" sqref="G288">
      <formula1>liste_responsables</formula1>
    </dataValidation>
    <dataValidation type="list" allowBlank="1" showInputMessage="1" showErrorMessage="1" sqref="H288">
      <formula1>liste_sites</formula1>
    </dataValidation>
    <dataValidation type="list" allowBlank="1" showInputMessage="1" showErrorMessage="1" sqref="I288">
      <formula1>liste_priorites</formula1>
    </dataValidation>
    <dataValidation type="date" operator="greaterThanOrEqual" allowBlank="1" showInputMessage="1" showErrorMessage="1" sqref="J288">
      <formula1>730120</formula1>
    </dataValidation>
    <dataValidation type="date" operator="greaterThanOrEqual" allowBlank="1" showInputMessage="1" showErrorMessage="1" sqref="K288">
      <formula1>730120</formula1>
    </dataValidation>
    <dataValidation type="date" operator="greaterThanOrEqual" allowBlank="1" showInputMessage="1" showErrorMessage="1" sqref="L288">
      <formula1>730120</formula1>
    </dataValidation>
    <dataValidation type="whole" allowBlank="1" showInputMessage="1" showErrorMessage="1" sqref="P288">
      <formula1>0</formula1>
      <formula2>100</formula2>
    </dataValidation>
    <dataValidation type="decimal" operator="greaterThanOrEqual" allowBlank="1" showInputMessage="1" showErrorMessage="1" sqref="Q288">
      <formula1>0</formula1>
    </dataValidation>
    <dataValidation type="decimal" operator="greaterThanOrEqual" allowBlank="1" showInputMessage="1" showErrorMessage="1" sqref="R288">
      <formula1>0</formula1>
    </dataValidation>
    <dataValidation type="whole" allowBlank="1" showInputMessage="1" showErrorMessage="1" sqref="U288">
      <formula1>1</formula1>
      <formula2>5</formula2>
    </dataValidation>
    <dataValidation type="whole" allowBlank="1" showInputMessage="1" showErrorMessage="1" sqref="V288">
      <formula1>1</formula1>
      <formula2>5</formula2>
    </dataValidation>
    <dataValidation type="whole" allowBlank="1" showInputMessage="1" showErrorMessage="1" sqref="X288">
      <formula1>1</formula1>
      <formula2>5</formula2>
    </dataValidation>
    <dataValidation type="decimal" operator="greaterThanOrEqual" allowBlank="1" showInputMessage="1" showErrorMessage="1" sqref="Y288">
      <formula1>0</formula1>
    </dataValidation>
    <dataValidation type="whole" operator="greaterThanOrEqual" allowBlank="1" showInputMessage="1" showErrorMessage="1" sqref="Z288">
      <formula1>0</formula1>
    </dataValidation>
    <dataValidation type="whole" allowBlank="1" showInputMessage="1" showErrorMessage="1" sqref="AA288">
      <formula1>1</formula1>
      <formula2>5</formula2>
    </dataValidation>
    <dataValidation type="decimal" allowBlank="1" showInputMessage="1" showErrorMessage="1" sqref="AB288">
      <formula1>0</formula1>
      <formula2>1</formula2>
    </dataValidation>
    <dataValidation type="list" allowBlank="1" showInputMessage="1" showErrorMessage="1" sqref="O288">
      <formula1>liste_statuts</formula1>
    </dataValidation>
    <dataValidation type="list" allowBlank="1" showInputMessage="1" showErrorMessage="1" sqref="B289">
      <formula1>liste_programmes</formula1>
    </dataValidation>
    <dataValidation type="list" allowBlank="1" showInputMessage="1" showErrorMessage="1" sqref="D289">
      <formula1>liste_types</formula1>
    </dataValidation>
    <dataValidation type="list" allowBlank="1" showInputMessage="1" showErrorMessage="1" sqref="F289">
      <formula1>liste_categories</formula1>
    </dataValidation>
    <dataValidation type="list" allowBlank="1" showInputMessage="1" showErrorMessage="1" sqref="G289">
      <formula1>liste_responsables</formula1>
    </dataValidation>
    <dataValidation type="list" allowBlank="1" showInputMessage="1" showErrorMessage="1" sqref="H289">
      <formula1>liste_sites</formula1>
    </dataValidation>
    <dataValidation type="list" allowBlank="1" showInputMessage="1" showErrorMessage="1" sqref="I289">
      <formula1>liste_priorites</formula1>
    </dataValidation>
    <dataValidation type="date" operator="greaterThanOrEqual" allowBlank="1" showInputMessage="1" showErrorMessage="1" sqref="J289">
      <formula1>730120</formula1>
    </dataValidation>
    <dataValidation type="date" operator="greaterThanOrEqual" allowBlank="1" showInputMessage="1" showErrorMessage="1" sqref="K289">
      <formula1>730120</formula1>
    </dataValidation>
    <dataValidation type="date" operator="greaterThanOrEqual" allowBlank="1" showInputMessage="1" showErrorMessage="1" sqref="L289">
      <formula1>730120</formula1>
    </dataValidation>
    <dataValidation type="whole" allowBlank="1" showInputMessage="1" showErrorMessage="1" sqref="P289">
      <formula1>0</formula1>
      <formula2>100</formula2>
    </dataValidation>
    <dataValidation type="decimal" operator="greaterThanOrEqual" allowBlank="1" showInputMessage="1" showErrorMessage="1" sqref="Q289">
      <formula1>0</formula1>
    </dataValidation>
    <dataValidation type="decimal" operator="greaterThanOrEqual" allowBlank="1" showInputMessage="1" showErrorMessage="1" sqref="R289">
      <formula1>0</formula1>
    </dataValidation>
    <dataValidation type="whole" allowBlank="1" showInputMessage="1" showErrorMessage="1" sqref="U289">
      <formula1>1</formula1>
      <formula2>5</formula2>
    </dataValidation>
    <dataValidation type="whole" allowBlank="1" showInputMessage="1" showErrorMessage="1" sqref="V289">
      <formula1>1</formula1>
      <formula2>5</formula2>
    </dataValidation>
    <dataValidation type="whole" allowBlank="1" showInputMessage="1" showErrorMessage="1" sqref="X289">
      <formula1>1</formula1>
      <formula2>5</formula2>
    </dataValidation>
    <dataValidation type="decimal" operator="greaterThanOrEqual" allowBlank="1" showInputMessage="1" showErrorMessage="1" sqref="Y289">
      <formula1>0</formula1>
    </dataValidation>
    <dataValidation type="whole" operator="greaterThanOrEqual" allowBlank="1" showInputMessage="1" showErrorMessage="1" sqref="Z289">
      <formula1>0</formula1>
    </dataValidation>
    <dataValidation type="whole" allowBlank="1" showInputMessage="1" showErrorMessage="1" sqref="AA289">
      <formula1>1</formula1>
      <formula2>5</formula2>
    </dataValidation>
    <dataValidation type="decimal" allowBlank="1" showInputMessage="1" showErrorMessage="1" sqref="AB289">
      <formula1>0</formula1>
      <formula2>1</formula2>
    </dataValidation>
    <dataValidation type="list" allowBlank="1" showInputMessage="1" showErrorMessage="1" sqref="O289">
      <formula1>liste_statuts</formula1>
    </dataValidation>
    <dataValidation type="list" allowBlank="1" showInputMessage="1" showErrorMessage="1" sqref="B290">
      <formula1>liste_programmes</formula1>
    </dataValidation>
    <dataValidation type="list" allowBlank="1" showInputMessage="1" showErrorMessage="1" sqref="D290">
      <formula1>liste_types</formula1>
    </dataValidation>
    <dataValidation type="list" allowBlank="1" showInputMessage="1" showErrorMessage="1" sqref="F290">
      <formula1>liste_categories</formula1>
    </dataValidation>
    <dataValidation type="list" allowBlank="1" showInputMessage="1" showErrorMessage="1" sqref="G290">
      <formula1>liste_responsables</formula1>
    </dataValidation>
    <dataValidation type="list" allowBlank="1" showInputMessage="1" showErrorMessage="1" sqref="H290">
      <formula1>liste_sites</formula1>
    </dataValidation>
    <dataValidation type="list" allowBlank="1" showInputMessage="1" showErrorMessage="1" sqref="I290">
      <formula1>liste_priorites</formula1>
    </dataValidation>
    <dataValidation type="date" operator="greaterThanOrEqual" allowBlank="1" showInputMessage="1" showErrorMessage="1" sqref="J290">
      <formula1>730120</formula1>
    </dataValidation>
    <dataValidation type="date" operator="greaterThanOrEqual" allowBlank="1" showInputMessage="1" showErrorMessage="1" sqref="K290">
      <formula1>730120</formula1>
    </dataValidation>
    <dataValidation type="date" operator="greaterThanOrEqual" allowBlank="1" showInputMessage="1" showErrorMessage="1" sqref="L290">
      <formula1>730120</formula1>
    </dataValidation>
    <dataValidation type="whole" allowBlank="1" showInputMessage="1" showErrorMessage="1" sqref="P290">
      <formula1>0</formula1>
      <formula2>100</formula2>
    </dataValidation>
    <dataValidation type="decimal" operator="greaterThanOrEqual" allowBlank="1" showInputMessage="1" showErrorMessage="1" sqref="Q290">
      <formula1>0</formula1>
    </dataValidation>
    <dataValidation type="decimal" operator="greaterThanOrEqual" allowBlank="1" showInputMessage="1" showErrorMessage="1" sqref="R290">
      <formula1>0</formula1>
    </dataValidation>
    <dataValidation type="whole" allowBlank="1" showInputMessage="1" showErrorMessage="1" sqref="U290">
      <formula1>1</formula1>
      <formula2>5</formula2>
    </dataValidation>
    <dataValidation type="whole" allowBlank="1" showInputMessage="1" showErrorMessage="1" sqref="V290">
      <formula1>1</formula1>
      <formula2>5</formula2>
    </dataValidation>
    <dataValidation type="whole" allowBlank="1" showInputMessage="1" showErrorMessage="1" sqref="X290">
      <formula1>1</formula1>
      <formula2>5</formula2>
    </dataValidation>
    <dataValidation type="decimal" operator="greaterThanOrEqual" allowBlank="1" showInputMessage="1" showErrorMessage="1" sqref="Y290">
      <formula1>0</formula1>
    </dataValidation>
    <dataValidation type="whole" operator="greaterThanOrEqual" allowBlank="1" showInputMessage="1" showErrorMessage="1" sqref="Z290">
      <formula1>0</formula1>
    </dataValidation>
    <dataValidation type="whole" allowBlank="1" showInputMessage="1" showErrorMessage="1" sqref="AA290">
      <formula1>1</formula1>
      <formula2>5</formula2>
    </dataValidation>
    <dataValidation type="decimal" allowBlank="1" showInputMessage="1" showErrorMessage="1" sqref="AB290">
      <formula1>0</formula1>
      <formula2>1</formula2>
    </dataValidation>
    <dataValidation type="list" allowBlank="1" showInputMessage="1" showErrorMessage="1" sqref="O290">
      <formula1>liste_statuts</formula1>
    </dataValidation>
    <dataValidation type="list" allowBlank="1" showInputMessage="1" showErrorMessage="1" sqref="B291">
      <formula1>liste_programmes</formula1>
    </dataValidation>
    <dataValidation type="list" allowBlank="1" showInputMessage="1" showErrorMessage="1" sqref="D291">
      <formula1>liste_types</formula1>
    </dataValidation>
    <dataValidation type="list" allowBlank="1" showInputMessage="1" showErrorMessage="1" sqref="F291">
      <formula1>liste_categories</formula1>
    </dataValidation>
    <dataValidation type="list" allowBlank="1" showInputMessage="1" showErrorMessage="1" sqref="G291">
      <formula1>liste_responsables</formula1>
    </dataValidation>
    <dataValidation type="list" allowBlank="1" showInputMessage="1" showErrorMessage="1" sqref="H291">
      <formula1>liste_sites</formula1>
    </dataValidation>
    <dataValidation type="list" allowBlank="1" showInputMessage="1" showErrorMessage="1" sqref="I291">
      <formula1>liste_priorites</formula1>
    </dataValidation>
    <dataValidation type="date" operator="greaterThanOrEqual" allowBlank="1" showInputMessage="1" showErrorMessage="1" sqref="J291">
      <formula1>730120</formula1>
    </dataValidation>
    <dataValidation type="date" operator="greaterThanOrEqual" allowBlank="1" showInputMessage="1" showErrorMessage="1" sqref="K291">
      <formula1>730120</formula1>
    </dataValidation>
    <dataValidation type="date" operator="greaterThanOrEqual" allowBlank="1" showInputMessage="1" showErrorMessage="1" sqref="L291">
      <formula1>730120</formula1>
    </dataValidation>
    <dataValidation type="whole" allowBlank="1" showInputMessage="1" showErrorMessage="1" sqref="P291">
      <formula1>0</formula1>
      <formula2>100</formula2>
    </dataValidation>
    <dataValidation type="decimal" operator="greaterThanOrEqual" allowBlank="1" showInputMessage="1" showErrorMessage="1" sqref="Q291">
      <formula1>0</formula1>
    </dataValidation>
    <dataValidation type="decimal" operator="greaterThanOrEqual" allowBlank="1" showInputMessage="1" showErrorMessage="1" sqref="R291">
      <formula1>0</formula1>
    </dataValidation>
    <dataValidation type="whole" allowBlank="1" showInputMessage="1" showErrorMessage="1" sqref="U291">
      <formula1>1</formula1>
      <formula2>5</formula2>
    </dataValidation>
    <dataValidation type="whole" allowBlank="1" showInputMessage="1" showErrorMessage="1" sqref="V291">
      <formula1>1</formula1>
      <formula2>5</formula2>
    </dataValidation>
    <dataValidation type="whole" allowBlank="1" showInputMessage="1" showErrorMessage="1" sqref="X291">
      <formula1>1</formula1>
      <formula2>5</formula2>
    </dataValidation>
    <dataValidation type="decimal" operator="greaterThanOrEqual" allowBlank="1" showInputMessage="1" showErrorMessage="1" sqref="Y291">
      <formula1>0</formula1>
    </dataValidation>
    <dataValidation type="whole" operator="greaterThanOrEqual" allowBlank="1" showInputMessage="1" showErrorMessage="1" sqref="Z291">
      <formula1>0</formula1>
    </dataValidation>
    <dataValidation type="whole" allowBlank="1" showInputMessage="1" showErrorMessage="1" sqref="AA291">
      <formula1>1</formula1>
      <formula2>5</formula2>
    </dataValidation>
    <dataValidation type="decimal" allowBlank="1" showInputMessage="1" showErrorMessage="1" sqref="AB291">
      <formula1>0</formula1>
      <formula2>1</formula2>
    </dataValidation>
    <dataValidation type="list" allowBlank="1" showInputMessage="1" showErrorMessage="1" sqref="O291">
      <formula1>liste_statuts</formula1>
    </dataValidation>
    <dataValidation type="list" allowBlank="1" showInputMessage="1" showErrorMessage="1" sqref="B292">
      <formula1>liste_programmes</formula1>
    </dataValidation>
    <dataValidation type="list" allowBlank="1" showInputMessage="1" showErrorMessage="1" sqref="D292">
      <formula1>liste_types</formula1>
    </dataValidation>
    <dataValidation type="list" allowBlank="1" showInputMessage="1" showErrorMessage="1" sqref="F292">
      <formula1>liste_categories</formula1>
    </dataValidation>
    <dataValidation type="list" allowBlank="1" showInputMessage="1" showErrorMessage="1" sqref="G292">
      <formula1>liste_responsables</formula1>
    </dataValidation>
    <dataValidation type="list" allowBlank="1" showInputMessage="1" showErrorMessage="1" sqref="H292">
      <formula1>liste_sites</formula1>
    </dataValidation>
    <dataValidation type="list" allowBlank="1" showInputMessage="1" showErrorMessage="1" sqref="I292">
      <formula1>liste_priorites</formula1>
    </dataValidation>
    <dataValidation type="date" operator="greaterThanOrEqual" allowBlank="1" showInputMessage="1" showErrorMessage="1" sqref="J292">
      <formula1>730120</formula1>
    </dataValidation>
    <dataValidation type="date" operator="greaterThanOrEqual" allowBlank="1" showInputMessage="1" showErrorMessage="1" sqref="K292">
      <formula1>730120</formula1>
    </dataValidation>
    <dataValidation type="date" operator="greaterThanOrEqual" allowBlank="1" showInputMessage="1" showErrorMessage="1" sqref="L292">
      <formula1>730120</formula1>
    </dataValidation>
    <dataValidation type="whole" allowBlank="1" showInputMessage="1" showErrorMessage="1" sqref="P292">
      <formula1>0</formula1>
      <formula2>100</formula2>
    </dataValidation>
    <dataValidation type="decimal" operator="greaterThanOrEqual" allowBlank="1" showInputMessage="1" showErrorMessage="1" sqref="Q292">
      <formula1>0</formula1>
    </dataValidation>
    <dataValidation type="decimal" operator="greaterThanOrEqual" allowBlank="1" showInputMessage="1" showErrorMessage="1" sqref="R292">
      <formula1>0</formula1>
    </dataValidation>
    <dataValidation type="whole" allowBlank="1" showInputMessage="1" showErrorMessage="1" sqref="U292">
      <formula1>1</formula1>
      <formula2>5</formula2>
    </dataValidation>
    <dataValidation type="whole" allowBlank="1" showInputMessage="1" showErrorMessage="1" sqref="V292">
      <formula1>1</formula1>
      <formula2>5</formula2>
    </dataValidation>
    <dataValidation type="whole" allowBlank="1" showInputMessage="1" showErrorMessage="1" sqref="X292">
      <formula1>1</formula1>
      <formula2>5</formula2>
    </dataValidation>
    <dataValidation type="decimal" operator="greaterThanOrEqual" allowBlank="1" showInputMessage="1" showErrorMessage="1" sqref="Y292">
      <formula1>0</formula1>
    </dataValidation>
    <dataValidation type="whole" operator="greaterThanOrEqual" allowBlank="1" showInputMessage="1" showErrorMessage="1" sqref="Z292">
      <formula1>0</formula1>
    </dataValidation>
    <dataValidation type="whole" allowBlank="1" showInputMessage="1" showErrorMessage="1" sqref="AA292">
      <formula1>1</formula1>
      <formula2>5</formula2>
    </dataValidation>
    <dataValidation type="decimal" allowBlank="1" showInputMessage="1" showErrorMessage="1" sqref="AB292">
      <formula1>0</formula1>
      <formula2>1</formula2>
    </dataValidation>
    <dataValidation type="list" allowBlank="1" showInputMessage="1" showErrorMessage="1" sqref="O292">
      <formula1>liste_statuts</formula1>
    </dataValidation>
    <dataValidation type="list" allowBlank="1" showInputMessage="1" showErrorMessage="1" sqref="B293">
      <formula1>liste_programmes</formula1>
    </dataValidation>
    <dataValidation type="list" allowBlank="1" showInputMessage="1" showErrorMessage="1" sqref="D293">
      <formula1>liste_types</formula1>
    </dataValidation>
    <dataValidation type="list" allowBlank="1" showInputMessage="1" showErrorMessage="1" sqref="F293">
      <formula1>liste_categories</formula1>
    </dataValidation>
    <dataValidation type="list" allowBlank="1" showInputMessage="1" showErrorMessage="1" sqref="G293">
      <formula1>liste_responsables</formula1>
    </dataValidation>
    <dataValidation type="list" allowBlank="1" showInputMessage="1" showErrorMessage="1" sqref="H293">
      <formula1>liste_sites</formula1>
    </dataValidation>
    <dataValidation type="list" allowBlank="1" showInputMessage="1" showErrorMessage="1" sqref="I293">
      <formula1>liste_priorites</formula1>
    </dataValidation>
    <dataValidation type="date" operator="greaterThanOrEqual" allowBlank="1" showInputMessage="1" showErrorMessage="1" sqref="J293">
      <formula1>730120</formula1>
    </dataValidation>
    <dataValidation type="date" operator="greaterThanOrEqual" allowBlank="1" showInputMessage="1" showErrorMessage="1" sqref="K293">
      <formula1>730120</formula1>
    </dataValidation>
    <dataValidation type="date" operator="greaterThanOrEqual" allowBlank="1" showInputMessage="1" showErrorMessage="1" sqref="L293">
      <formula1>730120</formula1>
    </dataValidation>
    <dataValidation type="whole" allowBlank="1" showInputMessage="1" showErrorMessage="1" sqref="P293">
      <formula1>0</formula1>
      <formula2>100</formula2>
    </dataValidation>
    <dataValidation type="decimal" operator="greaterThanOrEqual" allowBlank="1" showInputMessage="1" showErrorMessage="1" sqref="Q293">
      <formula1>0</formula1>
    </dataValidation>
    <dataValidation type="decimal" operator="greaterThanOrEqual" allowBlank="1" showInputMessage="1" showErrorMessage="1" sqref="R293">
      <formula1>0</formula1>
    </dataValidation>
    <dataValidation type="whole" allowBlank="1" showInputMessage="1" showErrorMessage="1" sqref="U293">
      <formula1>1</formula1>
      <formula2>5</formula2>
    </dataValidation>
    <dataValidation type="whole" allowBlank="1" showInputMessage="1" showErrorMessage="1" sqref="V293">
      <formula1>1</formula1>
      <formula2>5</formula2>
    </dataValidation>
    <dataValidation type="whole" allowBlank="1" showInputMessage="1" showErrorMessage="1" sqref="X293">
      <formula1>1</formula1>
      <formula2>5</formula2>
    </dataValidation>
    <dataValidation type="decimal" operator="greaterThanOrEqual" allowBlank="1" showInputMessage="1" showErrorMessage="1" sqref="Y293">
      <formula1>0</formula1>
    </dataValidation>
    <dataValidation type="whole" operator="greaterThanOrEqual" allowBlank="1" showInputMessage="1" showErrorMessage="1" sqref="Z293">
      <formula1>0</formula1>
    </dataValidation>
    <dataValidation type="whole" allowBlank="1" showInputMessage="1" showErrorMessage="1" sqref="AA293">
      <formula1>1</formula1>
      <formula2>5</formula2>
    </dataValidation>
    <dataValidation type="decimal" allowBlank="1" showInputMessage="1" showErrorMessage="1" sqref="AB293">
      <formula1>0</formula1>
      <formula2>1</formula2>
    </dataValidation>
    <dataValidation type="list" allowBlank="1" showInputMessage="1" showErrorMessage="1" sqref="O293">
      <formula1>liste_statuts</formula1>
    </dataValidation>
    <dataValidation type="list" allowBlank="1" showInputMessage="1" showErrorMessage="1" sqref="B294">
      <formula1>liste_programmes</formula1>
    </dataValidation>
    <dataValidation type="list" allowBlank="1" showInputMessage="1" showErrorMessage="1" sqref="D294">
      <formula1>liste_types</formula1>
    </dataValidation>
    <dataValidation type="list" allowBlank="1" showInputMessage="1" showErrorMessage="1" sqref="F294">
      <formula1>liste_categories</formula1>
    </dataValidation>
    <dataValidation type="list" allowBlank="1" showInputMessage="1" showErrorMessage="1" sqref="G294">
      <formula1>liste_responsables</formula1>
    </dataValidation>
    <dataValidation type="list" allowBlank="1" showInputMessage="1" showErrorMessage="1" sqref="H294">
      <formula1>liste_sites</formula1>
    </dataValidation>
    <dataValidation type="list" allowBlank="1" showInputMessage="1" showErrorMessage="1" sqref="I294">
      <formula1>liste_priorites</formula1>
    </dataValidation>
    <dataValidation type="date" operator="greaterThanOrEqual" allowBlank="1" showInputMessage="1" showErrorMessage="1" sqref="J294">
      <formula1>730120</formula1>
    </dataValidation>
    <dataValidation type="date" operator="greaterThanOrEqual" allowBlank="1" showInputMessage="1" showErrorMessage="1" sqref="K294">
      <formula1>730120</formula1>
    </dataValidation>
    <dataValidation type="date" operator="greaterThanOrEqual" allowBlank="1" showInputMessage="1" showErrorMessage="1" sqref="L294">
      <formula1>730120</formula1>
    </dataValidation>
    <dataValidation type="whole" allowBlank="1" showInputMessage="1" showErrorMessage="1" sqref="P294">
      <formula1>0</formula1>
      <formula2>100</formula2>
    </dataValidation>
    <dataValidation type="decimal" operator="greaterThanOrEqual" allowBlank="1" showInputMessage="1" showErrorMessage="1" sqref="Q294">
      <formula1>0</formula1>
    </dataValidation>
    <dataValidation type="decimal" operator="greaterThanOrEqual" allowBlank="1" showInputMessage="1" showErrorMessage="1" sqref="R294">
      <formula1>0</formula1>
    </dataValidation>
    <dataValidation type="whole" allowBlank="1" showInputMessage="1" showErrorMessage="1" sqref="U294">
      <formula1>1</formula1>
      <formula2>5</formula2>
    </dataValidation>
    <dataValidation type="whole" allowBlank="1" showInputMessage="1" showErrorMessage="1" sqref="V294">
      <formula1>1</formula1>
      <formula2>5</formula2>
    </dataValidation>
    <dataValidation type="whole" allowBlank="1" showInputMessage="1" showErrorMessage="1" sqref="X294">
      <formula1>1</formula1>
      <formula2>5</formula2>
    </dataValidation>
    <dataValidation type="decimal" operator="greaterThanOrEqual" allowBlank="1" showInputMessage="1" showErrorMessage="1" sqref="Y294">
      <formula1>0</formula1>
    </dataValidation>
    <dataValidation type="whole" operator="greaterThanOrEqual" allowBlank="1" showInputMessage="1" showErrorMessage="1" sqref="Z294">
      <formula1>0</formula1>
    </dataValidation>
    <dataValidation type="whole" allowBlank="1" showInputMessage="1" showErrorMessage="1" sqref="AA294">
      <formula1>1</formula1>
      <formula2>5</formula2>
    </dataValidation>
    <dataValidation type="decimal" allowBlank="1" showInputMessage="1" showErrorMessage="1" sqref="AB294">
      <formula1>0</formula1>
      <formula2>1</formula2>
    </dataValidation>
    <dataValidation type="list" allowBlank="1" showInputMessage="1" showErrorMessage="1" sqref="O294">
      <formula1>liste_statuts</formula1>
    </dataValidation>
    <dataValidation type="list" allowBlank="1" showInputMessage="1" showErrorMessage="1" sqref="B295">
      <formula1>liste_programmes</formula1>
    </dataValidation>
    <dataValidation type="list" allowBlank="1" showInputMessage="1" showErrorMessage="1" sqref="D295">
      <formula1>liste_types</formula1>
    </dataValidation>
    <dataValidation type="list" allowBlank="1" showInputMessage="1" showErrorMessage="1" sqref="F295">
      <formula1>liste_categories</formula1>
    </dataValidation>
    <dataValidation type="list" allowBlank="1" showInputMessage="1" showErrorMessage="1" sqref="G295">
      <formula1>liste_responsables</formula1>
    </dataValidation>
    <dataValidation type="list" allowBlank="1" showInputMessage="1" showErrorMessage="1" sqref="H295">
      <formula1>liste_sites</formula1>
    </dataValidation>
    <dataValidation type="list" allowBlank="1" showInputMessage="1" showErrorMessage="1" sqref="I295">
      <formula1>liste_priorites</formula1>
    </dataValidation>
    <dataValidation type="date" operator="greaterThanOrEqual" allowBlank="1" showInputMessage="1" showErrorMessage="1" sqref="J295">
      <formula1>730120</formula1>
    </dataValidation>
    <dataValidation type="date" operator="greaterThanOrEqual" allowBlank="1" showInputMessage="1" showErrorMessage="1" sqref="K295">
      <formula1>730120</formula1>
    </dataValidation>
    <dataValidation type="date" operator="greaterThanOrEqual" allowBlank="1" showInputMessage="1" showErrorMessage="1" sqref="L295">
      <formula1>730120</formula1>
    </dataValidation>
    <dataValidation type="whole" allowBlank="1" showInputMessage="1" showErrorMessage="1" sqref="P295">
      <formula1>0</formula1>
      <formula2>100</formula2>
    </dataValidation>
    <dataValidation type="decimal" operator="greaterThanOrEqual" allowBlank="1" showInputMessage="1" showErrorMessage="1" sqref="Q295">
      <formula1>0</formula1>
    </dataValidation>
    <dataValidation type="decimal" operator="greaterThanOrEqual" allowBlank="1" showInputMessage="1" showErrorMessage="1" sqref="R295">
      <formula1>0</formula1>
    </dataValidation>
    <dataValidation type="whole" allowBlank="1" showInputMessage="1" showErrorMessage="1" sqref="U295">
      <formula1>1</formula1>
      <formula2>5</formula2>
    </dataValidation>
    <dataValidation type="whole" allowBlank="1" showInputMessage="1" showErrorMessage="1" sqref="V295">
      <formula1>1</formula1>
      <formula2>5</formula2>
    </dataValidation>
    <dataValidation type="whole" allowBlank="1" showInputMessage="1" showErrorMessage="1" sqref="X295">
      <formula1>1</formula1>
      <formula2>5</formula2>
    </dataValidation>
    <dataValidation type="decimal" operator="greaterThanOrEqual" allowBlank="1" showInputMessage="1" showErrorMessage="1" sqref="Y295">
      <formula1>0</formula1>
    </dataValidation>
    <dataValidation type="whole" operator="greaterThanOrEqual" allowBlank="1" showInputMessage="1" showErrorMessage="1" sqref="Z295">
      <formula1>0</formula1>
    </dataValidation>
    <dataValidation type="whole" allowBlank="1" showInputMessage="1" showErrorMessage="1" sqref="AA295">
      <formula1>1</formula1>
      <formula2>5</formula2>
    </dataValidation>
    <dataValidation type="decimal" allowBlank="1" showInputMessage="1" showErrorMessage="1" sqref="AB295">
      <formula1>0</formula1>
      <formula2>1</formula2>
    </dataValidation>
    <dataValidation type="list" allowBlank="1" showInputMessage="1" showErrorMessage="1" sqref="O295">
      <formula1>liste_statuts</formula1>
    </dataValidation>
    <dataValidation type="list" allowBlank="1" showInputMessage="1" showErrorMessage="1" sqref="B296">
      <formula1>liste_programmes</formula1>
    </dataValidation>
    <dataValidation type="list" allowBlank="1" showInputMessage="1" showErrorMessage="1" sqref="D296">
      <formula1>liste_types</formula1>
    </dataValidation>
    <dataValidation type="list" allowBlank="1" showInputMessage="1" showErrorMessage="1" sqref="F296">
      <formula1>liste_categories</formula1>
    </dataValidation>
    <dataValidation type="list" allowBlank="1" showInputMessage="1" showErrorMessage="1" sqref="G296">
      <formula1>liste_responsables</formula1>
    </dataValidation>
    <dataValidation type="list" allowBlank="1" showInputMessage="1" showErrorMessage="1" sqref="H296">
      <formula1>liste_sites</formula1>
    </dataValidation>
    <dataValidation type="list" allowBlank="1" showInputMessage="1" showErrorMessage="1" sqref="I296">
      <formula1>liste_priorites</formula1>
    </dataValidation>
    <dataValidation type="date" operator="greaterThanOrEqual" allowBlank="1" showInputMessage="1" showErrorMessage="1" sqref="J296">
      <formula1>730120</formula1>
    </dataValidation>
    <dataValidation type="date" operator="greaterThanOrEqual" allowBlank="1" showInputMessage="1" showErrorMessage="1" sqref="K296">
      <formula1>730120</formula1>
    </dataValidation>
    <dataValidation type="date" operator="greaterThanOrEqual" allowBlank="1" showInputMessage="1" showErrorMessage="1" sqref="L296">
      <formula1>730120</formula1>
    </dataValidation>
    <dataValidation type="whole" allowBlank="1" showInputMessage="1" showErrorMessage="1" sqref="P296">
      <formula1>0</formula1>
      <formula2>100</formula2>
    </dataValidation>
    <dataValidation type="decimal" operator="greaterThanOrEqual" allowBlank="1" showInputMessage="1" showErrorMessage="1" sqref="Q296">
      <formula1>0</formula1>
    </dataValidation>
    <dataValidation type="decimal" operator="greaterThanOrEqual" allowBlank="1" showInputMessage="1" showErrorMessage="1" sqref="R296">
      <formula1>0</formula1>
    </dataValidation>
    <dataValidation type="whole" allowBlank="1" showInputMessage="1" showErrorMessage="1" sqref="U296">
      <formula1>1</formula1>
      <formula2>5</formula2>
    </dataValidation>
    <dataValidation type="whole" allowBlank="1" showInputMessage="1" showErrorMessage="1" sqref="V296">
      <formula1>1</formula1>
      <formula2>5</formula2>
    </dataValidation>
    <dataValidation type="whole" allowBlank="1" showInputMessage="1" showErrorMessage="1" sqref="X296">
      <formula1>1</formula1>
      <formula2>5</formula2>
    </dataValidation>
    <dataValidation type="decimal" operator="greaterThanOrEqual" allowBlank="1" showInputMessage="1" showErrorMessage="1" sqref="Y296">
      <formula1>0</formula1>
    </dataValidation>
    <dataValidation type="whole" operator="greaterThanOrEqual" allowBlank="1" showInputMessage="1" showErrorMessage="1" sqref="Z296">
      <formula1>0</formula1>
    </dataValidation>
    <dataValidation type="whole" allowBlank="1" showInputMessage="1" showErrorMessage="1" sqref="AA296">
      <formula1>1</formula1>
      <formula2>5</formula2>
    </dataValidation>
    <dataValidation type="decimal" allowBlank="1" showInputMessage="1" showErrorMessage="1" sqref="AB296">
      <formula1>0</formula1>
      <formula2>1</formula2>
    </dataValidation>
    <dataValidation type="list" allowBlank="1" showInputMessage="1" showErrorMessage="1" sqref="O296">
      <formula1>liste_statuts</formula1>
    </dataValidation>
    <dataValidation type="list" allowBlank="1" showInputMessage="1" showErrorMessage="1" sqref="B297">
      <formula1>liste_programmes</formula1>
    </dataValidation>
    <dataValidation type="list" allowBlank="1" showInputMessage="1" showErrorMessage="1" sqref="D297">
      <formula1>liste_types</formula1>
    </dataValidation>
    <dataValidation type="list" allowBlank="1" showInputMessage="1" showErrorMessage="1" sqref="F297">
      <formula1>liste_categories</formula1>
    </dataValidation>
    <dataValidation type="list" allowBlank="1" showInputMessage="1" showErrorMessage="1" sqref="G297">
      <formula1>liste_responsables</formula1>
    </dataValidation>
    <dataValidation type="list" allowBlank="1" showInputMessage="1" showErrorMessage="1" sqref="H297">
      <formula1>liste_sites</formula1>
    </dataValidation>
    <dataValidation type="list" allowBlank="1" showInputMessage="1" showErrorMessage="1" sqref="I297">
      <formula1>liste_priorites</formula1>
    </dataValidation>
    <dataValidation type="date" operator="greaterThanOrEqual" allowBlank="1" showInputMessage="1" showErrorMessage="1" sqref="J297">
      <formula1>730120</formula1>
    </dataValidation>
    <dataValidation type="date" operator="greaterThanOrEqual" allowBlank="1" showInputMessage="1" showErrorMessage="1" sqref="K297">
      <formula1>730120</formula1>
    </dataValidation>
    <dataValidation type="date" operator="greaterThanOrEqual" allowBlank="1" showInputMessage="1" showErrorMessage="1" sqref="L297">
      <formula1>730120</formula1>
    </dataValidation>
    <dataValidation type="whole" allowBlank="1" showInputMessage="1" showErrorMessage="1" sqref="P297">
      <formula1>0</formula1>
      <formula2>100</formula2>
    </dataValidation>
    <dataValidation type="decimal" operator="greaterThanOrEqual" allowBlank="1" showInputMessage="1" showErrorMessage="1" sqref="Q297">
      <formula1>0</formula1>
    </dataValidation>
    <dataValidation type="decimal" operator="greaterThanOrEqual" allowBlank="1" showInputMessage="1" showErrorMessage="1" sqref="R297">
      <formula1>0</formula1>
    </dataValidation>
    <dataValidation type="whole" allowBlank="1" showInputMessage="1" showErrorMessage="1" sqref="U297">
      <formula1>1</formula1>
      <formula2>5</formula2>
    </dataValidation>
    <dataValidation type="whole" allowBlank="1" showInputMessage="1" showErrorMessage="1" sqref="V297">
      <formula1>1</formula1>
      <formula2>5</formula2>
    </dataValidation>
    <dataValidation type="whole" allowBlank="1" showInputMessage="1" showErrorMessage="1" sqref="X297">
      <formula1>1</formula1>
      <formula2>5</formula2>
    </dataValidation>
    <dataValidation type="decimal" operator="greaterThanOrEqual" allowBlank="1" showInputMessage="1" showErrorMessage="1" sqref="Y297">
      <formula1>0</formula1>
    </dataValidation>
    <dataValidation type="whole" operator="greaterThanOrEqual" allowBlank="1" showInputMessage="1" showErrorMessage="1" sqref="Z297">
      <formula1>0</formula1>
    </dataValidation>
    <dataValidation type="whole" allowBlank="1" showInputMessage="1" showErrorMessage="1" sqref="AA297">
      <formula1>1</formula1>
      <formula2>5</formula2>
    </dataValidation>
    <dataValidation type="decimal" allowBlank="1" showInputMessage="1" showErrorMessage="1" sqref="AB297">
      <formula1>0</formula1>
      <formula2>1</formula2>
    </dataValidation>
    <dataValidation type="list" allowBlank="1" showInputMessage="1" showErrorMessage="1" sqref="O297">
      <formula1>liste_statuts</formula1>
    </dataValidation>
    <dataValidation type="list" allowBlank="1" showInputMessage="1" showErrorMessage="1" sqref="B298">
      <formula1>liste_programmes</formula1>
    </dataValidation>
    <dataValidation type="list" allowBlank="1" showInputMessage="1" showErrorMessage="1" sqref="D298">
      <formula1>liste_types</formula1>
    </dataValidation>
    <dataValidation type="list" allowBlank="1" showInputMessage="1" showErrorMessage="1" sqref="F298">
      <formula1>liste_categories</formula1>
    </dataValidation>
    <dataValidation type="list" allowBlank="1" showInputMessage="1" showErrorMessage="1" sqref="G298">
      <formula1>liste_responsables</formula1>
    </dataValidation>
    <dataValidation type="list" allowBlank="1" showInputMessage="1" showErrorMessage="1" sqref="H298">
      <formula1>liste_sites</formula1>
    </dataValidation>
    <dataValidation type="list" allowBlank="1" showInputMessage="1" showErrorMessage="1" sqref="I298">
      <formula1>liste_priorites</formula1>
    </dataValidation>
    <dataValidation type="date" operator="greaterThanOrEqual" allowBlank="1" showInputMessage="1" showErrorMessage="1" sqref="J298">
      <formula1>730120</formula1>
    </dataValidation>
    <dataValidation type="date" operator="greaterThanOrEqual" allowBlank="1" showInputMessage="1" showErrorMessage="1" sqref="K298">
      <formula1>730120</formula1>
    </dataValidation>
    <dataValidation type="date" operator="greaterThanOrEqual" allowBlank="1" showInputMessage="1" showErrorMessage="1" sqref="L298">
      <formula1>730120</formula1>
    </dataValidation>
    <dataValidation type="whole" allowBlank="1" showInputMessage="1" showErrorMessage="1" sqref="P298">
      <formula1>0</formula1>
      <formula2>100</formula2>
    </dataValidation>
    <dataValidation type="decimal" operator="greaterThanOrEqual" allowBlank="1" showInputMessage="1" showErrorMessage="1" sqref="Q298">
      <formula1>0</formula1>
    </dataValidation>
    <dataValidation type="decimal" operator="greaterThanOrEqual" allowBlank="1" showInputMessage="1" showErrorMessage="1" sqref="R298">
      <formula1>0</formula1>
    </dataValidation>
    <dataValidation type="whole" allowBlank="1" showInputMessage="1" showErrorMessage="1" sqref="U298">
      <formula1>1</formula1>
      <formula2>5</formula2>
    </dataValidation>
    <dataValidation type="whole" allowBlank="1" showInputMessage="1" showErrorMessage="1" sqref="V298">
      <formula1>1</formula1>
      <formula2>5</formula2>
    </dataValidation>
    <dataValidation type="whole" allowBlank="1" showInputMessage="1" showErrorMessage="1" sqref="X298">
      <formula1>1</formula1>
      <formula2>5</formula2>
    </dataValidation>
    <dataValidation type="decimal" operator="greaterThanOrEqual" allowBlank="1" showInputMessage="1" showErrorMessage="1" sqref="Y298">
      <formula1>0</formula1>
    </dataValidation>
    <dataValidation type="whole" operator="greaterThanOrEqual" allowBlank="1" showInputMessage="1" showErrorMessage="1" sqref="Z298">
      <formula1>0</formula1>
    </dataValidation>
    <dataValidation type="whole" allowBlank="1" showInputMessage="1" showErrorMessage="1" sqref="AA298">
      <formula1>1</formula1>
      <formula2>5</formula2>
    </dataValidation>
    <dataValidation type="decimal" allowBlank="1" showInputMessage="1" showErrorMessage="1" sqref="AB298">
      <formula1>0</formula1>
      <formula2>1</formula2>
    </dataValidation>
    <dataValidation type="list" allowBlank="1" showInputMessage="1" showErrorMessage="1" sqref="O298">
      <formula1>liste_statuts</formula1>
    </dataValidation>
    <dataValidation type="list" allowBlank="1" showInputMessage="1" showErrorMessage="1" sqref="B299">
      <formula1>liste_programmes</formula1>
    </dataValidation>
    <dataValidation type="list" allowBlank="1" showInputMessage="1" showErrorMessage="1" sqref="D299">
      <formula1>liste_types</formula1>
    </dataValidation>
    <dataValidation type="list" allowBlank="1" showInputMessage="1" showErrorMessage="1" sqref="F299">
      <formula1>liste_categories</formula1>
    </dataValidation>
    <dataValidation type="list" allowBlank="1" showInputMessage="1" showErrorMessage="1" sqref="G299">
      <formula1>liste_responsables</formula1>
    </dataValidation>
    <dataValidation type="list" allowBlank="1" showInputMessage="1" showErrorMessage="1" sqref="H299">
      <formula1>liste_sites</formula1>
    </dataValidation>
    <dataValidation type="list" allowBlank="1" showInputMessage="1" showErrorMessage="1" sqref="I299">
      <formula1>liste_priorites</formula1>
    </dataValidation>
    <dataValidation type="date" operator="greaterThanOrEqual" allowBlank="1" showInputMessage="1" showErrorMessage="1" sqref="J299">
      <formula1>730120</formula1>
    </dataValidation>
    <dataValidation type="date" operator="greaterThanOrEqual" allowBlank="1" showInputMessage="1" showErrorMessage="1" sqref="K299">
      <formula1>730120</formula1>
    </dataValidation>
    <dataValidation type="date" operator="greaterThanOrEqual" allowBlank="1" showInputMessage="1" showErrorMessage="1" sqref="L299">
      <formula1>730120</formula1>
    </dataValidation>
    <dataValidation type="whole" allowBlank="1" showInputMessage="1" showErrorMessage="1" sqref="P299">
      <formula1>0</formula1>
      <formula2>100</formula2>
    </dataValidation>
    <dataValidation type="decimal" operator="greaterThanOrEqual" allowBlank="1" showInputMessage="1" showErrorMessage="1" sqref="Q299">
      <formula1>0</formula1>
    </dataValidation>
    <dataValidation type="decimal" operator="greaterThanOrEqual" allowBlank="1" showInputMessage="1" showErrorMessage="1" sqref="R299">
      <formula1>0</formula1>
    </dataValidation>
    <dataValidation type="whole" allowBlank="1" showInputMessage="1" showErrorMessage="1" sqref="U299">
      <formula1>1</formula1>
      <formula2>5</formula2>
    </dataValidation>
    <dataValidation type="whole" allowBlank="1" showInputMessage="1" showErrorMessage="1" sqref="V299">
      <formula1>1</formula1>
      <formula2>5</formula2>
    </dataValidation>
    <dataValidation type="whole" allowBlank="1" showInputMessage="1" showErrorMessage="1" sqref="X299">
      <formula1>1</formula1>
      <formula2>5</formula2>
    </dataValidation>
    <dataValidation type="decimal" operator="greaterThanOrEqual" allowBlank="1" showInputMessage="1" showErrorMessage="1" sqref="Y299">
      <formula1>0</formula1>
    </dataValidation>
    <dataValidation type="whole" operator="greaterThanOrEqual" allowBlank="1" showInputMessage="1" showErrorMessage="1" sqref="Z299">
      <formula1>0</formula1>
    </dataValidation>
    <dataValidation type="whole" allowBlank="1" showInputMessage="1" showErrorMessage="1" sqref="AA299">
      <formula1>1</formula1>
      <formula2>5</formula2>
    </dataValidation>
    <dataValidation type="decimal" allowBlank="1" showInputMessage="1" showErrorMessage="1" sqref="AB299">
      <formula1>0</formula1>
      <formula2>1</formula2>
    </dataValidation>
    <dataValidation type="list" allowBlank="1" showInputMessage="1" showErrorMessage="1" sqref="O299">
      <formula1>liste_statuts</formula1>
    </dataValidation>
    <dataValidation type="list" allowBlank="1" showInputMessage="1" showErrorMessage="1" sqref="B300">
      <formula1>liste_programmes</formula1>
    </dataValidation>
    <dataValidation type="list" allowBlank="1" showInputMessage="1" showErrorMessage="1" sqref="D300">
      <formula1>liste_types</formula1>
    </dataValidation>
    <dataValidation type="list" allowBlank="1" showInputMessage="1" showErrorMessage="1" sqref="F300">
      <formula1>liste_categories</formula1>
    </dataValidation>
    <dataValidation type="list" allowBlank="1" showInputMessage="1" showErrorMessage="1" sqref="G300">
      <formula1>liste_responsables</formula1>
    </dataValidation>
    <dataValidation type="list" allowBlank="1" showInputMessage="1" showErrorMessage="1" sqref="H300">
      <formula1>liste_sites</formula1>
    </dataValidation>
    <dataValidation type="list" allowBlank="1" showInputMessage="1" showErrorMessage="1" sqref="I300">
      <formula1>liste_priorites</formula1>
    </dataValidation>
    <dataValidation type="date" operator="greaterThanOrEqual" allowBlank="1" showInputMessage="1" showErrorMessage="1" sqref="J300">
      <formula1>730120</formula1>
    </dataValidation>
    <dataValidation type="date" operator="greaterThanOrEqual" allowBlank="1" showInputMessage="1" showErrorMessage="1" sqref="K300">
      <formula1>730120</formula1>
    </dataValidation>
    <dataValidation type="date" operator="greaterThanOrEqual" allowBlank="1" showInputMessage="1" showErrorMessage="1" sqref="L300">
      <formula1>730120</formula1>
    </dataValidation>
    <dataValidation type="whole" allowBlank="1" showInputMessage="1" showErrorMessage="1" sqref="P300">
      <formula1>0</formula1>
      <formula2>100</formula2>
    </dataValidation>
    <dataValidation type="decimal" operator="greaterThanOrEqual" allowBlank="1" showInputMessage="1" showErrorMessage="1" sqref="Q300">
      <formula1>0</formula1>
    </dataValidation>
    <dataValidation type="decimal" operator="greaterThanOrEqual" allowBlank="1" showInputMessage="1" showErrorMessage="1" sqref="R300">
      <formula1>0</formula1>
    </dataValidation>
    <dataValidation type="whole" allowBlank="1" showInputMessage="1" showErrorMessage="1" sqref="U300">
      <formula1>1</formula1>
      <formula2>5</formula2>
    </dataValidation>
    <dataValidation type="whole" allowBlank="1" showInputMessage="1" showErrorMessage="1" sqref="V300">
      <formula1>1</formula1>
      <formula2>5</formula2>
    </dataValidation>
    <dataValidation type="whole" allowBlank="1" showInputMessage="1" showErrorMessage="1" sqref="X300">
      <formula1>1</formula1>
      <formula2>5</formula2>
    </dataValidation>
    <dataValidation type="decimal" operator="greaterThanOrEqual" allowBlank="1" showInputMessage="1" showErrorMessage="1" sqref="Y300">
      <formula1>0</formula1>
    </dataValidation>
    <dataValidation type="whole" operator="greaterThanOrEqual" allowBlank="1" showInputMessage="1" showErrorMessage="1" sqref="Z300">
      <formula1>0</formula1>
    </dataValidation>
    <dataValidation type="whole" allowBlank="1" showInputMessage="1" showErrorMessage="1" sqref="AA300">
      <formula1>1</formula1>
      <formula2>5</formula2>
    </dataValidation>
    <dataValidation type="decimal" allowBlank="1" showInputMessage="1" showErrorMessage="1" sqref="AB300">
      <formula1>0</formula1>
      <formula2>1</formula2>
    </dataValidation>
    <dataValidation type="list" allowBlank="1" showInputMessage="1" showErrorMessage="1" sqref="O300">
      <formula1>liste_statuts</formula1>
    </dataValidation>
    <dataValidation type="list" allowBlank="1" showInputMessage="1" showErrorMessage="1" sqref="B301">
      <formula1>liste_programmes</formula1>
    </dataValidation>
    <dataValidation type="list" allowBlank="1" showInputMessage="1" showErrorMessage="1" sqref="D301">
      <formula1>liste_types</formula1>
    </dataValidation>
    <dataValidation type="list" allowBlank="1" showInputMessage="1" showErrorMessage="1" sqref="F301">
      <formula1>liste_categories</formula1>
    </dataValidation>
    <dataValidation type="list" allowBlank="1" showInputMessage="1" showErrorMessage="1" sqref="G301">
      <formula1>liste_responsables</formula1>
    </dataValidation>
    <dataValidation type="list" allowBlank="1" showInputMessage="1" showErrorMessage="1" sqref="H301">
      <formula1>liste_sites</formula1>
    </dataValidation>
    <dataValidation type="list" allowBlank="1" showInputMessage="1" showErrorMessage="1" sqref="I301">
      <formula1>liste_priorites</formula1>
    </dataValidation>
    <dataValidation type="date" operator="greaterThanOrEqual" allowBlank="1" showInputMessage="1" showErrorMessage="1" sqref="J301">
      <formula1>730120</formula1>
    </dataValidation>
    <dataValidation type="date" operator="greaterThanOrEqual" allowBlank="1" showInputMessage="1" showErrorMessage="1" sqref="K301">
      <formula1>730120</formula1>
    </dataValidation>
    <dataValidation type="date" operator="greaterThanOrEqual" allowBlank="1" showInputMessage="1" showErrorMessage="1" sqref="L301">
      <formula1>730120</formula1>
    </dataValidation>
    <dataValidation type="whole" allowBlank="1" showInputMessage="1" showErrorMessage="1" sqref="P301">
      <formula1>0</formula1>
      <formula2>100</formula2>
    </dataValidation>
    <dataValidation type="decimal" operator="greaterThanOrEqual" allowBlank="1" showInputMessage="1" showErrorMessage="1" sqref="Q301">
      <formula1>0</formula1>
    </dataValidation>
    <dataValidation type="decimal" operator="greaterThanOrEqual" allowBlank="1" showInputMessage="1" showErrorMessage="1" sqref="R301">
      <formula1>0</formula1>
    </dataValidation>
    <dataValidation type="whole" allowBlank="1" showInputMessage="1" showErrorMessage="1" sqref="U301">
      <formula1>1</formula1>
      <formula2>5</formula2>
    </dataValidation>
    <dataValidation type="whole" allowBlank="1" showInputMessage="1" showErrorMessage="1" sqref="V301">
      <formula1>1</formula1>
      <formula2>5</formula2>
    </dataValidation>
    <dataValidation type="whole" allowBlank="1" showInputMessage="1" showErrorMessage="1" sqref="X301">
      <formula1>1</formula1>
      <formula2>5</formula2>
    </dataValidation>
    <dataValidation type="decimal" operator="greaterThanOrEqual" allowBlank="1" showInputMessage="1" showErrorMessage="1" sqref="Y301">
      <formula1>0</formula1>
    </dataValidation>
    <dataValidation type="whole" operator="greaterThanOrEqual" allowBlank="1" showInputMessage="1" showErrorMessage="1" sqref="Z301">
      <formula1>0</formula1>
    </dataValidation>
    <dataValidation type="whole" allowBlank="1" showInputMessage="1" showErrorMessage="1" sqref="AA301">
      <formula1>1</formula1>
      <formula2>5</formula2>
    </dataValidation>
    <dataValidation type="decimal" allowBlank="1" showInputMessage="1" showErrorMessage="1" sqref="AB301">
      <formula1>0</formula1>
      <formula2>1</formula2>
    </dataValidation>
    <dataValidation type="list" allowBlank="1" showInputMessage="1" showErrorMessage="1" sqref="O301">
      <formula1>liste_statuts</formula1>
    </dataValidation>
    <dataValidation type="list" allowBlank="1" showInputMessage="1" showErrorMessage="1" sqref="B302">
      <formula1>liste_programmes</formula1>
    </dataValidation>
    <dataValidation type="list" allowBlank="1" showInputMessage="1" showErrorMessage="1" sqref="D302">
      <formula1>liste_types</formula1>
    </dataValidation>
    <dataValidation type="list" allowBlank="1" showInputMessage="1" showErrorMessage="1" sqref="F302">
      <formula1>liste_categories</formula1>
    </dataValidation>
    <dataValidation type="list" allowBlank="1" showInputMessage="1" showErrorMessage="1" sqref="G302">
      <formula1>liste_responsables</formula1>
    </dataValidation>
    <dataValidation type="list" allowBlank="1" showInputMessage="1" showErrorMessage="1" sqref="H302">
      <formula1>liste_sites</formula1>
    </dataValidation>
    <dataValidation type="list" allowBlank="1" showInputMessage="1" showErrorMessage="1" sqref="I302">
      <formula1>liste_priorites</formula1>
    </dataValidation>
    <dataValidation type="date" operator="greaterThanOrEqual" allowBlank="1" showInputMessage="1" showErrorMessage="1" sqref="J302">
      <formula1>730120</formula1>
    </dataValidation>
    <dataValidation type="date" operator="greaterThanOrEqual" allowBlank="1" showInputMessage="1" showErrorMessage="1" sqref="K302">
      <formula1>730120</formula1>
    </dataValidation>
    <dataValidation type="date" operator="greaterThanOrEqual" allowBlank="1" showInputMessage="1" showErrorMessage="1" sqref="L302">
      <formula1>730120</formula1>
    </dataValidation>
    <dataValidation type="whole" allowBlank="1" showInputMessage="1" showErrorMessage="1" sqref="P302">
      <formula1>0</formula1>
      <formula2>100</formula2>
    </dataValidation>
    <dataValidation type="decimal" operator="greaterThanOrEqual" allowBlank="1" showInputMessage="1" showErrorMessage="1" sqref="Q302">
      <formula1>0</formula1>
    </dataValidation>
    <dataValidation type="decimal" operator="greaterThanOrEqual" allowBlank="1" showInputMessage="1" showErrorMessage="1" sqref="R302">
      <formula1>0</formula1>
    </dataValidation>
    <dataValidation type="whole" allowBlank="1" showInputMessage="1" showErrorMessage="1" sqref="U302">
      <formula1>1</formula1>
      <formula2>5</formula2>
    </dataValidation>
    <dataValidation type="whole" allowBlank="1" showInputMessage="1" showErrorMessage="1" sqref="V302">
      <formula1>1</formula1>
      <formula2>5</formula2>
    </dataValidation>
    <dataValidation type="whole" allowBlank="1" showInputMessage="1" showErrorMessage="1" sqref="X302">
      <formula1>1</formula1>
      <formula2>5</formula2>
    </dataValidation>
    <dataValidation type="decimal" operator="greaterThanOrEqual" allowBlank="1" showInputMessage="1" showErrorMessage="1" sqref="Y302">
      <formula1>0</formula1>
    </dataValidation>
    <dataValidation type="whole" operator="greaterThanOrEqual" allowBlank="1" showInputMessage="1" showErrorMessage="1" sqref="Z302">
      <formula1>0</formula1>
    </dataValidation>
    <dataValidation type="whole" allowBlank="1" showInputMessage="1" showErrorMessage="1" sqref="AA302">
      <formula1>1</formula1>
      <formula2>5</formula2>
    </dataValidation>
    <dataValidation type="decimal" allowBlank="1" showInputMessage="1" showErrorMessage="1" sqref="AB302">
      <formula1>0</formula1>
      <formula2>1</formula2>
    </dataValidation>
    <dataValidation type="list" allowBlank="1" showInputMessage="1" showErrorMessage="1" sqref="O302">
      <formula1>liste_statuts</formula1>
    </dataValidation>
    <dataValidation type="list" allowBlank="1" showInputMessage="1" showErrorMessage="1" sqref="B303">
      <formula1>liste_programmes</formula1>
    </dataValidation>
    <dataValidation type="list" allowBlank="1" showInputMessage="1" showErrorMessage="1" sqref="D303">
      <formula1>liste_types</formula1>
    </dataValidation>
    <dataValidation type="list" allowBlank="1" showInputMessage="1" showErrorMessage="1" sqref="F303">
      <formula1>liste_categories</formula1>
    </dataValidation>
    <dataValidation type="list" allowBlank="1" showInputMessage="1" showErrorMessage="1" sqref="G303">
      <formula1>liste_responsables</formula1>
    </dataValidation>
    <dataValidation type="list" allowBlank="1" showInputMessage="1" showErrorMessage="1" sqref="H303">
      <formula1>liste_sites</formula1>
    </dataValidation>
    <dataValidation type="list" allowBlank="1" showInputMessage="1" showErrorMessage="1" sqref="I303">
      <formula1>liste_priorites</formula1>
    </dataValidation>
    <dataValidation type="date" operator="greaterThanOrEqual" allowBlank="1" showInputMessage="1" showErrorMessage="1" sqref="J303">
      <formula1>730120</formula1>
    </dataValidation>
    <dataValidation type="date" operator="greaterThanOrEqual" allowBlank="1" showInputMessage="1" showErrorMessage="1" sqref="K303">
      <formula1>730120</formula1>
    </dataValidation>
    <dataValidation type="date" operator="greaterThanOrEqual" allowBlank="1" showInputMessage="1" showErrorMessage="1" sqref="L303">
      <formula1>730120</formula1>
    </dataValidation>
    <dataValidation type="whole" allowBlank="1" showInputMessage="1" showErrorMessage="1" sqref="P303">
      <formula1>0</formula1>
      <formula2>100</formula2>
    </dataValidation>
    <dataValidation type="decimal" operator="greaterThanOrEqual" allowBlank="1" showInputMessage="1" showErrorMessage="1" sqref="Q303">
      <formula1>0</formula1>
    </dataValidation>
    <dataValidation type="decimal" operator="greaterThanOrEqual" allowBlank="1" showInputMessage="1" showErrorMessage="1" sqref="R303">
      <formula1>0</formula1>
    </dataValidation>
    <dataValidation type="whole" allowBlank="1" showInputMessage="1" showErrorMessage="1" sqref="U303">
      <formula1>1</formula1>
      <formula2>5</formula2>
    </dataValidation>
    <dataValidation type="whole" allowBlank="1" showInputMessage="1" showErrorMessage="1" sqref="V303">
      <formula1>1</formula1>
      <formula2>5</formula2>
    </dataValidation>
    <dataValidation type="whole" allowBlank="1" showInputMessage="1" showErrorMessage="1" sqref="X303">
      <formula1>1</formula1>
      <formula2>5</formula2>
    </dataValidation>
    <dataValidation type="decimal" operator="greaterThanOrEqual" allowBlank="1" showInputMessage="1" showErrorMessage="1" sqref="Y303">
      <formula1>0</formula1>
    </dataValidation>
    <dataValidation type="whole" operator="greaterThanOrEqual" allowBlank="1" showInputMessage="1" showErrorMessage="1" sqref="Z303">
      <formula1>0</formula1>
    </dataValidation>
    <dataValidation type="whole" allowBlank="1" showInputMessage="1" showErrorMessage="1" sqref="AA303">
      <formula1>1</formula1>
      <formula2>5</formula2>
    </dataValidation>
    <dataValidation type="decimal" allowBlank="1" showInputMessage="1" showErrorMessage="1" sqref="AB303">
      <formula1>0</formula1>
      <formula2>1</formula2>
    </dataValidation>
    <dataValidation type="list" allowBlank="1" showInputMessage="1" showErrorMessage="1" sqref="O303">
      <formula1>liste_statuts</formula1>
    </dataValidation>
    <dataValidation type="list" allowBlank="1" showInputMessage="1" showErrorMessage="1" sqref="B304">
      <formula1>liste_programmes</formula1>
    </dataValidation>
    <dataValidation type="list" allowBlank="1" showInputMessage="1" showErrorMessage="1" sqref="D304">
      <formula1>liste_types</formula1>
    </dataValidation>
    <dataValidation type="list" allowBlank="1" showInputMessage="1" showErrorMessage="1" sqref="F304">
      <formula1>liste_categories</formula1>
    </dataValidation>
    <dataValidation type="list" allowBlank="1" showInputMessage="1" showErrorMessage="1" sqref="G304">
      <formula1>liste_responsables</formula1>
    </dataValidation>
    <dataValidation type="list" allowBlank="1" showInputMessage="1" showErrorMessage="1" sqref="H304">
      <formula1>liste_sites</formula1>
    </dataValidation>
    <dataValidation type="list" allowBlank="1" showInputMessage="1" showErrorMessage="1" sqref="I304">
      <formula1>liste_priorites</formula1>
    </dataValidation>
    <dataValidation type="date" operator="greaterThanOrEqual" allowBlank="1" showInputMessage="1" showErrorMessage="1" sqref="J304">
      <formula1>730120</formula1>
    </dataValidation>
    <dataValidation type="date" operator="greaterThanOrEqual" allowBlank="1" showInputMessage="1" showErrorMessage="1" sqref="K304">
      <formula1>730120</formula1>
    </dataValidation>
    <dataValidation type="date" operator="greaterThanOrEqual" allowBlank="1" showInputMessage="1" showErrorMessage="1" sqref="L304">
      <formula1>730120</formula1>
    </dataValidation>
    <dataValidation type="whole" allowBlank="1" showInputMessage="1" showErrorMessage="1" sqref="P304">
      <formula1>0</formula1>
      <formula2>100</formula2>
    </dataValidation>
    <dataValidation type="decimal" operator="greaterThanOrEqual" allowBlank="1" showInputMessage="1" showErrorMessage="1" sqref="Q304">
      <formula1>0</formula1>
    </dataValidation>
    <dataValidation type="decimal" operator="greaterThanOrEqual" allowBlank="1" showInputMessage="1" showErrorMessage="1" sqref="R304">
      <formula1>0</formula1>
    </dataValidation>
    <dataValidation type="whole" allowBlank="1" showInputMessage="1" showErrorMessage="1" sqref="U304">
      <formula1>1</formula1>
      <formula2>5</formula2>
    </dataValidation>
    <dataValidation type="whole" allowBlank="1" showInputMessage="1" showErrorMessage="1" sqref="V304">
      <formula1>1</formula1>
      <formula2>5</formula2>
    </dataValidation>
    <dataValidation type="whole" allowBlank="1" showInputMessage="1" showErrorMessage="1" sqref="X304">
      <formula1>1</formula1>
      <formula2>5</formula2>
    </dataValidation>
    <dataValidation type="decimal" operator="greaterThanOrEqual" allowBlank="1" showInputMessage="1" showErrorMessage="1" sqref="Y304">
      <formula1>0</formula1>
    </dataValidation>
    <dataValidation type="whole" operator="greaterThanOrEqual" allowBlank="1" showInputMessage="1" showErrorMessage="1" sqref="Z304">
      <formula1>0</formula1>
    </dataValidation>
    <dataValidation type="whole" allowBlank="1" showInputMessage="1" showErrorMessage="1" sqref="AA304">
      <formula1>1</formula1>
      <formula2>5</formula2>
    </dataValidation>
    <dataValidation type="decimal" allowBlank="1" showInputMessage="1" showErrorMessage="1" sqref="AB304">
      <formula1>0</formula1>
      <formula2>1</formula2>
    </dataValidation>
    <dataValidation type="list" allowBlank="1" showInputMessage="1" showErrorMessage="1" sqref="O304">
      <formula1>liste_statuts</formula1>
    </dataValidation>
    <dataValidation type="list" allowBlank="1" showInputMessage="1" showErrorMessage="1" sqref="B305">
      <formula1>liste_programmes</formula1>
    </dataValidation>
    <dataValidation type="list" allowBlank="1" showInputMessage="1" showErrorMessage="1" sqref="D305">
      <formula1>liste_types</formula1>
    </dataValidation>
    <dataValidation type="list" allowBlank="1" showInputMessage="1" showErrorMessage="1" sqref="F305">
      <formula1>liste_categories</formula1>
    </dataValidation>
    <dataValidation type="list" allowBlank="1" showInputMessage="1" showErrorMessage="1" sqref="G305">
      <formula1>liste_responsables</formula1>
    </dataValidation>
    <dataValidation type="list" allowBlank="1" showInputMessage="1" showErrorMessage="1" sqref="H305">
      <formula1>liste_sites</formula1>
    </dataValidation>
    <dataValidation type="list" allowBlank="1" showInputMessage="1" showErrorMessage="1" sqref="I305">
      <formula1>liste_priorites</formula1>
    </dataValidation>
    <dataValidation type="date" operator="greaterThanOrEqual" allowBlank="1" showInputMessage="1" showErrorMessage="1" sqref="J305">
      <formula1>730120</formula1>
    </dataValidation>
    <dataValidation type="date" operator="greaterThanOrEqual" allowBlank="1" showInputMessage="1" showErrorMessage="1" sqref="K305">
      <formula1>730120</formula1>
    </dataValidation>
    <dataValidation type="date" operator="greaterThanOrEqual" allowBlank="1" showInputMessage="1" showErrorMessage="1" sqref="L305">
      <formula1>730120</formula1>
    </dataValidation>
    <dataValidation type="whole" allowBlank="1" showInputMessage="1" showErrorMessage="1" sqref="P305">
      <formula1>0</formula1>
      <formula2>100</formula2>
    </dataValidation>
    <dataValidation type="decimal" operator="greaterThanOrEqual" allowBlank="1" showInputMessage="1" showErrorMessage="1" sqref="Q305">
      <formula1>0</formula1>
    </dataValidation>
    <dataValidation type="decimal" operator="greaterThanOrEqual" allowBlank="1" showInputMessage="1" showErrorMessage="1" sqref="R305">
      <formula1>0</formula1>
    </dataValidation>
    <dataValidation type="whole" allowBlank="1" showInputMessage="1" showErrorMessage="1" sqref="U305">
      <formula1>1</formula1>
      <formula2>5</formula2>
    </dataValidation>
    <dataValidation type="whole" allowBlank="1" showInputMessage="1" showErrorMessage="1" sqref="V305">
      <formula1>1</formula1>
      <formula2>5</formula2>
    </dataValidation>
    <dataValidation type="whole" allowBlank="1" showInputMessage="1" showErrorMessage="1" sqref="X305">
      <formula1>1</formula1>
      <formula2>5</formula2>
    </dataValidation>
    <dataValidation type="decimal" operator="greaterThanOrEqual" allowBlank="1" showInputMessage="1" showErrorMessage="1" sqref="Y305">
      <formula1>0</formula1>
    </dataValidation>
    <dataValidation type="whole" operator="greaterThanOrEqual" allowBlank="1" showInputMessage="1" showErrorMessage="1" sqref="Z305">
      <formula1>0</formula1>
    </dataValidation>
    <dataValidation type="whole" allowBlank="1" showInputMessage="1" showErrorMessage="1" sqref="AA305">
      <formula1>1</formula1>
      <formula2>5</formula2>
    </dataValidation>
    <dataValidation type="decimal" allowBlank="1" showInputMessage="1" showErrorMessage="1" sqref="AB305">
      <formula1>0</formula1>
      <formula2>1</formula2>
    </dataValidation>
    <dataValidation type="list" allowBlank="1" showInputMessage="1" showErrorMessage="1" sqref="O305">
      <formula1>liste_statuts</formula1>
    </dataValidation>
    <dataValidation type="list" allowBlank="1" showInputMessage="1" showErrorMessage="1" sqref="B306">
      <formula1>liste_programmes</formula1>
    </dataValidation>
    <dataValidation type="list" allowBlank="1" showInputMessage="1" showErrorMessage="1" sqref="D306">
      <formula1>liste_types</formula1>
    </dataValidation>
    <dataValidation type="list" allowBlank="1" showInputMessage="1" showErrorMessage="1" sqref="F306">
      <formula1>liste_categories</formula1>
    </dataValidation>
    <dataValidation type="list" allowBlank="1" showInputMessage="1" showErrorMessage="1" sqref="G306">
      <formula1>liste_responsables</formula1>
    </dataValidation>
    <dataValidation type="list" allowBlank="1" showInputMessage="1" showErrorMessage="1" sqref="H306">
      <formula1>liste_sites</formula1>
    </dataValidation>
    <dataValidation type="list" allowBlank="1" showInputMessage="1" showErrorMessage="1" sqref="I306">
      <formula1>liste_priorites</formula1>
    </dataValidation>
    <dataValidation type="date" operator="greaterThanOrEqual" allowBlank="1" showInputMessage="1" showErrorMessage="1" sqref="J306">
      <formula1>730120</formula1>
    </dataValidation>
    <dataValidation type="date" operator="greaterThanOrEqual" allowBlank="1" showInputMessage="1" showErrorMessage="1" sqref="K306">
      <formula1>730120</formula1>
    </dataValidation>
    <dataValidation type="date" operator="greaterThanOrEqual" allowBlank="1" showInputMessage="1" showErrorMessage="1" sqref="L306">
      <formula1>730120</formula1>
    </dataValidation>
    <dataValidation type="whole" allowBlank="1" showInputMessage="1" showErrorMessage="1" sqref="P306">
      <formula1>0</formula1>
      <formula2>100</formula2>
    </dataValidation>
    <dataValidation type="decimal" operator="greaterThanOrEqual" allowBlank="1" showInputMessage="1" showErrorMessage="1" sqref="Q306">
      <formula1>0</formula1>
    </dataValidation>
    <dataValidation type="decimal" operator="greaterThanOrEqual" allowBlank="1" showInputMessage="1" showErrorMessage="1" sqref="R306">
      <formula1>0</formula1>
    </dataValidation>
    <dataValidation type="whole" allowBlank="1" showInputMessage="1" showErrorMessage="1" sqref="U306">
      <formula1>1</formula1>
      <formula2>5</formula2>
    </dataValidation>
    <dataValidation type="whole" allowBlank="1" showInputMessage="1" showErrorMessage="1" sqref="V306">
      <formula1>1</formula1>
      <formula2>5</formula2>
    </dataValidation>
    <dataValidation type="whole" allowBlank="1" showInputMessage="1" showErrorMessage="1" sqref="X306">
      <formula1>1</formula1>
      <formula2>5</formula2>
    </dataValidation>
    <dataValidation type="decimal" operator="greaterThanOrEqual" allowBlank="1" showInputMessage="1" showErrorMessage="1" sqref="Y306">
      <formula1>0</formula1>
    </dataValidation>
    <dataValidation type="whole" operator="greaterThanOrEqual" allowBlank="1" showInputMessage="1" showErrorMessage="1" sqref="Z306">
      <formula1>0</formula1>
    </dataValidation>
    <dataValidation type="whole" allowBlank="1" showInputMessage="1" showErrorMessage="1" sqref="AA306">
      <formula1>1</formula1>
      <formula2>5</formula2>
    </dataValidation>
    <dataValidation type="decimal" allowBlank="1" showInputMessage="1" showErrorMessage="1" sqref="AB306">
      <formula1>0</formula1>
      <formula2>1</formula2>
    </dataValidation>
    <dataValidation type="list" allowBlank="1" showInputMessage="1" showErrorMessage="1" sqref="O306">
      <formula1>liste_statuts</formula1>
    </dataValidation>
    <dataValidation type="list" allowBlank="1" showInputMessage="1" showErrorMessage="1" sqref="B307">
      <formula1>liste_programmes</formula1>
    </dataValidation>
    <dataValidation type="list" allowBlank="1" showInputMessage="1" showErrorMessage="1" sqref="D307">
      <formula1>liste_types</formula1>
    </dataValidation>
    <dataValidation type="list" allowBlank="1" showInputMessage="1" showErrorMessage="1" sqref="F307">
      <formula1>liste_categories</formula1>
    </dataValidation>
    <dataValidation type="list" allowBlank="1" showInputMessage="1" showErrorMessage="1" sqref="G307">
      <formula1>liste_responsables</formula1>
    </dataValidation>
    <dataValidation type="list" allowBlank="1" showInputMessage="1" showErrorMessage="1" sqref="H307">
      <formula1>liste_sites</formula1>
    </dataValidation>
    <dataValidation type="list" allowBlank="1" showInputMessage="1" showErrorMessage="1" sqref="I307">
      <formula1>liste_priorites</formula1>
    </dataValidation>
    <dataValidation type="date" operator="greaterThanOrEqual" allowBlank="1" showInputMessage="1" showErrorMessage="1" sqref="J307">
      <formula1>730120</formula1>
    </dataValidation>
    <dataValidation type="date" operator="greaterThanOrEqual" allowBlank="1" showInputMessage="1" showErrorMessage="1" sqref="K307">
      <formula1>730120</formula1>
    </dataValidation>
    <dataValidation type="date" operator="greaterThanOrEqual" allowBlank="1" showInputMessage="1" showErrorMessage="1" sqref="L307">
      <formula1>730120</formula1>
    </dataValidation>
    <dataValidation type="whole" allowBlank="1" showInputMessage="1" showErrorMessage="1" sqref="P307">
      <formula1>0</formula1>
      <formula2>100</formula2>
    </dataValidation>
    <dataValidation type="decimal" operator="greaterThanOrEqual" allowBlank="1" showInputMessage="1" showErrorMessage="1" sqref="Q307">
      <formula1>0</formula1>
    </dataValidation>
    <dataValidation type="decimal" operator="greaterThanOrEqual" allowBlank="1" showInputMessage="1" showErrorMessage="1" sqref="R307">
      <formula1>0</formula1>
    </dataValidation>
    <dataValidation type="whole" allowBlank="1" showInputMessage="1" showErrorMessage="1" sqref="U307">
      <formula1>1</formula1>
      <formula2>5</formula2>
    </dataValidation>
    <dataValidation type="whole" allowBlank="1" showInputMessage="1" showErrorMessage="1" sqref="V307">
      <formula1>1</formula1>
      <formula2>5</formula2>
    </dataValidation>
    <dataValidation type="whole" allowBlank="1" showInputMessage="1" showErrorMessage="1" sqref="X307">
      <formula1>1</formula1>
      <formula2>5</formula2>
    </dataValidation>
    <dataValidation type="decimal" operator="greaterThanOrEqual" allowBlank="1" showInputMessage="1" showErrorMessage="1" sqref="Y307">
      <formula1>0</formula1>
    </dataValidation>
    <dataValidation type="whole" operator="greaterThanOrEqual" allowBlank="1" showInputMessage="1" showErrorMessage="1" sqref="Z307">
      <formula1>0</formula1>
    </dataValidation>
    <dataValidation type="whole" allowBlank="1" showInputMessage="1" showErrorMessage="1" sqref="AA307">
      <formula1>1</formula1>
      <formula2>5</formula2>
    </dataValidation>
    <dataValidation type="decimal" allowBlank="1" showInputMessage="1" showErrorMessage="1" sqref="AB307">
      <formula1>0</formula1>
      <formula2>1</formula2>
    </dataValidation>
    <dataValidation type="list" allowBlank="1" showInputMessage="1" showErrorMessage="1" sqref="O307">
      <formula1>liste_statuts</formula1>
    </dataValidation>
    <dataValidation type="list" allowBlank="1" showInputMessage="1" showErrorMessage="1" sqref="B308">
      <formula1>liste_programmes</formula1>
    </dataValidation>
    <dataValidation type="list" allowBlank="1" showInputMessage="1" showErrorMessage="1" sqref="D308">
      <formula1>liste_types</formula1>
    </dataValidation>
    <dataValidation type="list" allowBlank="1" showInputMessage="1" showErrorMessage="1" sqref="F308">
      <formula1>liste_categories</formula1>
    </dataValidation>
    <dataValidation type="list" allowBlank="1" showInputMessage="1" showErrorMessage="1" sqref="G308">
      <formula1>liste_responsables</formula1>
    </dataValidation>
    <dataValidation type="list" allowBlank="1" showInputMessage="1" showErrorMessage="1" sqref="H308">
      <formula1>liste_sites</formula1>
    </dataValidation>
    <dataValidation type="list" allowBlank="1" showInputMessage="1" showErrorMessage="1" sqref="I308">
      <formula1>liste_priorites</formula1>
    </dataValidation>
    <dataValidation type="date" operator="greaterThanOrEqual" allowBlank="1" showInputMessage="1" showErrorMessage="1" sqref="J308">
      <formula1>730120</formula1>
    </dataValidation>
    <dataValidation type="date" operator="greaterThanOrEqual" allowBlank="1" showInputMessage="1" showErrorMessage="1" sqref="K308">
      <formula1>730120</formula1>
    </dataValidation>
    <dataValidation type="date" operator="greaterThanOrEqual" allowBlank="1" showInputMessage="1" showErrorMessage="1" sqref="L308">
      <formula1>730120</formula1>
    </dataValidation>
    <dataValidation type="whole" allowBlank="1" showInputMessage="1" showErrorMessage="1" sqref="P308">
      <formula1>0</formula1>
      <formula2>100</formula2>
    </dataValidation>
    <dataValidation type="decimal" operator="greaterThanOrEqual" allowBlank="1" showInputMessage="1" showErrorMessage="1" sqref="Q308">
      <formula1>0</formula1>
    </dataValidation>
    <dataValidation type="decimal" operator="greaterThanOrEqual" allowBlank="1" showInputMessage="1" showErrorMessage="1" sqref="R308">
      <formula1>0</formula1>
    </dataValidation>
    <dataValidation type="whole" allowBlank="1" showInputMessage="1" showErrorMessage="1" sqref="U308">
      <formula1>1</formula1>
      <formula2>5</formula2>
    </dataValidation>
    <dataValidation type="whole" allowBlank="1" showInputMessage="1" showErrorMessage="1" sqref="V308">
      <formula1>1</formula1>
      <formula2>5</formula2>
    </dataValidation>
    <dataValidation type="whole" allowBlank="1" showInputMessage="1" showErrorMessage="1" sqref="X308">
      <formula1>1</formula1>
      <formula2>5</formula2>
    </dataValidation>
    <dataValidation type="decimal" operator="greaterThanOrEqual" allowBlank="1" showInputMessage="1" showErrorMessage="1" sqref="Y308">
      <formula1>0</formula1>
    </dataValidation>
    <dataValidation type="whole" operator="greaterThanOrEqual" allowBlank="1" showInputMessage="1" showErrorMessage="1" sqref="Z308">
      <formula1>0</formula1>
    </dataValidation>
    <dataValidation type="whole" allowBlank="1" showInputMessage="1" showErrorMessage="1" sqref="AA308">
      <formula1>1</formula1>
      <formula2>5</formula2>
    </dataValidation>
    <dataValidation type="decimal" allowBlank="1" showInputMessage="1" showErrorMessage="1" sqref="AB308">
      <formula1>0</formula1>
      <formula2>1</formula2>
    </dataValidation>
    <dataValidation type="list" allowBlank="1" showInputMessage="1" showErrorMessage="1" sqref="O308">
      <formula1>liste_statuts</formula1>
    </dataValidation>
    <dataValidation type="list" allowBlank="1" showInputMessage="1" showErrorMessage="1" sqref="B309">
      <formula1>liste_programmes</formula1>
    </dataValidation>
    <dataValidation type="list" allowBlank="1" showInputMessage="1" showErrorMessage="1" sqref="D309">
      <formula1>liste_types</formula1>
    </dataValidation>
    <dataValidation type="list" allowBlank="1" showInputMessage="1" showErrorMessage="1" sqref="F309">
      <formula1>liste_categories</formula1>
    </dataValidation>
    <dataValidation type="list" allowBlank="1" showInputMessage="1" showErrorMessage="1" sqref="G309">
      <formula1>liste_responsables</formula1>
    </dataValidation>
    <dataValidation type="list" allowBlank="1" showInputMessage="1" showErrorMessage="1" sqref="H309">
      <formula1>liste_sites</formula1>
    </dataValidation>
    <dataValidation type="list" allowBlank="1" showInputMessage="1" showErrorMessage="1" sqref="I309">
      <formula1>liste_priorites</formula1>
    </dataValidation>
    <dataValidation type="date" operator="greaterThanOrEqual" allowBlank="1" showInputMessage="1" showErrorMessage="1" sqref="J309">
      <formula1>730120</formula1>
    </dataValidation>
    <dataValidation type="date" operator="greaterThanOrEqual" allowBlank="1" showInputMessage="1" showErrorMessage="1" sqref="K309">
      <formula1>730120</formula1>
    </dataValidation>
    <dataValidation type="date" operator="greaterThanOrEqual" allowBlank="1" showInputMessage="1" showErrorMessage="1" sqref="L309">
      <formula1>730120</formula1>
    </dataValidation>
    <dataValidation type="whole" allowBlank="1" showInputMessage="1" showErrorMessage="1" sqref="P309">
      <formula1>0</formula1>
      <formula2>100</formula2>
    </dataValidation>
    <dataValidation type="decimal" operator="greaterThanOrEqual" allowBlank="1" showInputMessage="1" showErrorMessage="1" sqref="Q309">
      <formula1>0</formula1>
    </dataValidation>
    <dataValidation type="decimal" operator="greaterThanOrEqual" allowBlank="1" showInputMessage="1" showErrorMessage="1" sqref="R309">
      <formula1>0</formula1>
    </dataValidation>
    <dataValidation type="whole" allowBlank="1" showInputMessage="1" showErrorMessage="1" sqref="U309">
      <formula1>1</formula1>
      <formula2>5</formula2>
    </dataValidation>
    <dataValidation type="whole" allowBlank="1" showInputMessage="1" showErrorMessage="1" sqref="V309">
      <formula1>1</formula1>
      <formula2>5</formula2>
    </dataValidation>
    <dataValidation type="whole" allowBlank="1" showInputMessage="1" showErrorMessage="1" sqref="X309">
      <formula1>1</formula1>
      <formula2>5</formula2>
    </dataValidation>
    <dataValidation type="decimal" operator="greaterThanOrEqual" allowBlank="1" showInputMessage="1" showErrorMessage="1" sqref="Y309">
      <formula1>0</formula1>
    </dataValidation>
    <dataValidation type="whole" operator="greaterThanOrEqual" allowBlank="1" showInputMessage="1" showErrorMessage="1" sqref="Z309">
      <formula1>0</formula1>
    </dataValidation>
    <dataValidation type="whole" allowBlank="1" showInputMessage="1" showErrorMessage="1" sqref="AA309">
      <formula1>1</formula1>
      <formula2>5</formula2>
    </dataValidation>
    <dataValidation type="decimal" allowBlank="1" showInputMessage="1" showErrorMessage="1" sqref="AB309">
      <formula1>0</formula1>
      <formula2>1</formula2>
    </dataValidation>
    <dataValidation type="list" allowBlank="1" showInputMessage="1" showErrorMessage="1" sqref="O309">
      <formula1>liste_statuts</formula1>
    </dataValidation>
    <dataValidation type="list" allowBlank="1" showInputMessage="1" showErrorMessage="1" sqref="B310">
      <formula1>liste_programmes</formula1>
    </dataValidation>
    <dataValidation type="list" allowBlank="1" showInputMessage="1" showErrorMessage="1" sqref="D310">
      <formula1>liste_types</formula1>
    </dataValidation>
    <dataValidation type="list" allowBlank="1" showInputMessage="1" showErrorMessage="1" sqref="F310">
      <formula1>liste_categories</formula1>
    </dataValidation>
    <dataValidation type="list" allowBlank="1" showInputMessage="1" showErrorMessage="1" sqref="G310">
      <formula1>liste_responsables</formula1>
    </dataValidation>
    <dataValidation type="list" allowBlank="1" showInputMessage="1" showErrorMessage="1" sqref="H310">
      <formula1>liste_sites</formula1>
    </dataValidation>
    <dataValidation type="list" allowBlank="1" showInputMessage="1" showErrorMessage="1" sqref="I310">
      <formula1>liste_priorites</formula1>
    </dataValidation>
    <dataValidation type="date" operator="greaterThanOrEqual" allowBlank="1" showInputMessage="1" showErrorMessage="1" sqref="J310">
      <formula1>730120</formula1>
    </dataValidation>
    <dataValidation type="date" operator="greaterThanOrEqual" allowBlank="1" showInputMessage="1" showErrorMessage="1" sqref="K310">
      <formula1>730120</formula1>
    </dataValidation>
    <dataValidation type="date" operator="greaterThanOrEqual" allowBlank="1" showInputMessage="1" showErrorMessage="1" sqref="L310">
      <formula1>730120</formula1>
    </dataValidation>
    <dataValidation type="whole" allowBlank="1" showInputMessage="1" showErrorMessage="1" sqref="P310">
      <formula1>0</formula1>
      <formula2>100</formula2>
    </dataValidation>
    <dataValidation type="decimal" operator="greaterThanOrEqual" allowBlank="1" showInputMessage="1" showErrorMessage="1" sqref="Q310">
      <formula1>0</formula1>
    </dataValidation>
    <dataValidation type="decimal" operator="greaterThanOrEqual" allowBlank="1" showInputMessage="1" showErrorMessage="1" sqref="R310">
      <formula1>0</formula1>
    </dataValidation>
    <dataValidation type="whole" allowBlank="1" showInputMessage="1" showErrorMessage="1" sqref="U310">
      <formula1>1</formula1>
      <formula2>5</formula2>
    </dataValidation>
    <dataValidation type="whole" allowBlank="1" showInputMessage="1" showErrorMessage="1" sqref="V310">
      <formula1>1</formula1>
      <formula2>5</formula2>
    </dataValidation>
    <dataValidation type="whole" allowBlank="1" showInputMessage="1" showErrorMessage="1" sqref="X310">
      <formula1>1</formula1>
      <formula2>5</formula2>
    </dataValidation>
    <dataValidation type="decimal" operator="greaterThanOrEqual" allowBlank="1" showInputMessage="1" showErrorMessage="1" sqref="Y310">
      <formula1>0</formula1>
    </dataValidation>
    <dataValidation type="whole" operator="greaterThanOrEqual" allowBlank="1" showInputMessage="1" showErrorMessage="1" sqref="Z310">
      <formula1>0</formula1>
    </dataValidation>
    <dataValidation type="whole" allowBlank="1" showInputMessage="1" showErrorMessage="1" sqref="AA310">
      <formula1>1</formula1>
      <formula2>5</formula2>
    </dataValidation>
    <dataValidation type="decimal" allowBlank="1" showInputMessage="1" showErrorMessage="1" sqref="AB310">
      <formula1>0</formula1>
      <formula2>1</formula2>
    </dataValidation>
    <dataValidation type="list" allowBlank="1" showInputMessage="1" showErrorMessage="1" sqref="O310">
      <formula1>liste_statuts</formula1>
    </dataValidation>
    <dataValidation type="list" allowBlank="1" showInputMessage="1" showErrorMessage="1" sqref="B311">
      <formula1>liste_programmes</formula1>
    </dataValidation>
    <dataValidation type="list" allowBlank="1" showInputMessage="1" showErrorMessage="1" sqref="D311">
      <formula1>liste_types</formula1>
    </dataValidation>
    <dataValidation type="list" allowBlank="1" showInputMessage="1" showErrorMessage="1" sqref="F311">
      <formula1>liste_categories</formula1>
    </dataValidation>
    <dataValidation type="list" allowBlank="1" showInputMessage="1" showErrorMessage="1" sqref="G311">
      <formula1>liste_responsables</formula1>
    </dataValidation>
    <dataValidation type="list" allowBlank="1" showInputMessage="1" showErrorMessage="1" sqref="H311">
      <formula1>liste_sites</formula1>
    </dataValidation>
    <dataValidation type="list" allowBlank="1" showInputMessage="1" showErrorMessage="1" sqref="I311">
      <formula1>liste_priorites</formula1>
    </dataValidation>
    <dataValidation type="date" operator="greaterThanOrEqual" allowBlank="1" showInputMessage="1" showErrorMessage="1" sqref="J311">
      <formula1>730120</formula1>
    </dataValidation>
    <dataValidation type="date" operator="greaterThanOrEqual" allowBlank="1" showInputMessage="1" showErrorMessage="1" sqref="K311">
      <formula1>730120</formula1>
    </dataValidation>
    <dataValidation type="date" operator="greaterThanOrEqual" allowBlank="1" showInputMessage="1" showErrorMessage="1" sqref="L311">
      <formula1>730120</formula1>
    </dataValidation>
    <dataValidation type="whole" allowBlank="1" showInputMessage="1" showErrorMessage="1" sqref="P311">
      <formula1>0</formula1>
      <formula2>100</formula2>
    </dataValidation>
    <dataValidation type="decimal" operator="greaterThanOrEqual" allowBlank="1" showInputMessage="1" showErrorMessage="1" sqref="Q311">
      <formula1>0</formula1>
    </dataValidation>
    <dataValidation type="decimal" operator="greaterThanOrEqual" allowBlank="1" showInputMessage="1" showErrorMessage="1" sqref="R311">
      <formula1>0</formula1>
    </dataValidation>
    <dataValidation type="whole" allowBlank="1" showInputMessage="1" showErrorMessage="1" sqref="U311">
      <formula1>1</formula1>
      <formula2>5</formula2>
    </dataValidation>
    <dataValidation type="whole" allowBlank="1" showInputMessage="1" showErrorMessage="1" sqref="V311">
      <formula1>1</formula1>
      <formula2>5</formula2>
    </dataValidation>
    <dataValidation type="whole" allowBlank="1" showInputMessage="1" showErrorMessage="1" sqref="X311">
      <formula1>1</formula1>
      <formula2>5</formula2>
    </dataValidation>
    <dataValidation type="decimal" operator="greaterThanOrEqual" allowBlank="1" showInputMessage="1" showErrorMessage="1" sqref="Y311">
      <formula1>0</formula1>
    </dataValidation>
    <dataValidation type="whole" operator="greaterThanOrEqual" allowBlank="1" showInputMessage="1" showErrorMessage="1" sqref="Z311">
      <formula1>0</formula1>
    </dataValidation>
    <dataValidation type="whole" allowBlank="1" showInputMessage="1" showErrorMessage="1" sqref="AA311">
      <formula1>1</formula1>
      <formula2>5</formula2>
    </dataValidation>
    <dataValidation type="decimal" allowBlank="1" showInputMessage="1" showErrorMessage="1" sqref="AB311">
      <formula1>0</formula1>
      <formula2>1</formula2>
    </dataValidation>
    <dataValidation type="list" allowBlank="1" showInputMessage="1" showErrorMessage="1" sqref="O311">
      <formula1>liste_statuts</formula1>
    </dataValidation>
    <dataValidation type="list" allowBlank="1" showInputMessage="1" showErrorMessage="1" sqref="B312">
      <formula1>liste_programmes</formula1>
    </dataValidation>
    <dataValidation type="list" allowBlank="1" showInputMessage="1" showErrorMessage="1" sqref="D312">
      <formula1>liste_types</formula1>
    </dataValidation>
    <dataValidation type="list" allowBlank="1" showInputMessage="1" showErrorMessage="1" sqref="F312">
      <formula1>liste_categories</formula1>
    </dataValidation>
    <dataValidation type="list" allowBlank="1" showInputMessage="1" showErrorMessage="1" sqref="G312">
      <formula1>liste_responsables</formula1>
    </dataValidation>
    <dataValidation type="list" allowBlank="1" showInputMessage="1" showErrorMessage="1" sqref="H312">
      <formula1>liste_sites</formula1>
    </dataValidation>
    <dataValidation type="list" allowBlank="1" showInputMessage="1" showErrorMessage="1" sqref="I312">
      <formula1>liste_priorites</formula1>
    </dataValidation>
    <dataValidation type="date" operator="greaterThanOrEqual" allowBlank="1" showInputMessage="1" showErrorMessage="1" sqref="J312">
      <formula1>730120</formula1>
    </dataValidation>
    <dataValidation type="date" operator="greaterThanOrEqual" allowBlank="1" showInputMessage="1" showErrorMessage="1" sqref="K312">
      <formula1>730120</formula1>
    </dataValidation>
    <dataValidation type="date" operator="greaterThanOrEqual" allowBlank="1" showInputMessage="1" showErrorMessage="1" sqref="L312">
      <formula1>730120</formula1>
    </dataValidation>
    <dataValidation type="whole" allowBlank="1" showInputMessage="1" showErrorMessage="1" sqref="P312">
      <formula1>0</formula1>
      <formula2>100</formula2>
    </dataValidation>
    <dataValidation type="decimal" operator="greaterThanOrEqual" allowBlank="1" showInputMessage="1" showErrorMessage="1" sqref="Q312">
      <formula1>0</formula1>
    </dataValidation>
    <dataValidation type="decimal" operator="greaterThanOrEqual" allowBlank="1" showInputMessage="1" showErrorMessage="1" sqref="R312">
      <formula1>0</formula1>
    </dataValidation>
    <dataValidation type="whole" allowBlank="1" showInputMessage="1" showErrorMessage="1" sqref="U312">
      <formula1>1</formula1>
      <formula2>5</formula2>
    </dataValidation>
    <dataValidation type="whole" allowBlank="1" showInputMessage="1" showErrorMessage="1" sqref="V312">
      <formula1>1</formula1>
      <formula2>5</formula2>
    </dataValidation>
    <dataValidation type="whole" allowBlank="1" showInputMessage="1" showErrorMessage="1" sqref="X312">
      <formula1>1</formula1>
      <formula2>5</formula2>
    </dataValidation>
    <dataValidation type="decimal" operator="greaterThanOrEqual" allowBlank="1" showInputMessage="1" showErrorMessage="1" sqref="Y312">
      <formula1>0</formula1>
    </dataValidation>
    <dataValidation type="whole" operator="greaterThanOrEqual" allowBlank="1" showInputMessage="1" showErrorMessage="1" sqref="Z312">
      <formula1>0</formula1>
    </dataValidation>
    <dataValidation type="whole" allowBlank="1" showInputMessage="1" showErrorMessage="1" sqref="AA312">
      <formula1>1</formula1>
      <formula2>5</formula2>
    </dataValidation>
    <dataValidation type="decimal" allowBlank="1" showInputMessage="1" showErrorMessage="1" sqref="AB312">
      <formula1>0</formula1>
      <formula2>1</formula2>
    </dataValidation>
    <dataValidation type="list" allowBlank="1" showInputMessage="1" showErrorMessage="1" sqref="O312">
      <formula1>liste_statuts</formula1>
    </dataValidation>
    <dataValidation type="list" allowBlank="1" showInputMessage="1" showErrorMessage="1" sqref="B313">
      <formula1>liste_programmes</formula1>
    </dataValidation>
    <dataValidation type="list" allowBlank="1" showInputMessage="1" showErrorMessage="1" sqref="D313">
      <formula1>liste_types</formula1>
    </dataValidation>
    <dataValidation type="list" allowBlank="1" showInputMessage="1" showErrorMessage="1" sqref="F313">
      <formula1>liste_categories</formula1>
    </dataValidation>
    <dataValidation type="list" allowBlank="1" showInputMessage="1" showErrorMessage="1" sqref="G313">
      <formula1>liste_responsables</formula1>
    </dataValidation>
    <dataValidation type="list" allowBlank="1" showInputMessage="1" showErrorMessage="1" sqref="H313">
      <formula1>liste_sites</formula1>
    </dataValidation>
    <dataValidation type="list" allowBlank="1" showInputMessage="1" showErrorMessage="1" sqref="I313">
      <formula1>liste_priorites</formula1>
    </dataValidation>
    <dataValidation type="date" operator="greaterThanOrEqual" allowBlank="1" showInputMessage="1" showErrorMessage="1" sqref="J313">
      <formula1>730120</formula1>
    </dataValidation>
    <dataValidation type="date" operator="greaterThanOrEqual" allowBlank="1" showInputMessage="1" showErrorMessage="1" sqref="K313">
      <formula1>730120</formula1>
    </dataValidation>
    <dataValidation type="date" operator="greaterThanOrEqual" allowBlank="1" showInputMessage="1" showErrorMessage="1" sqref="L313">
      <formula1>730120</formula1>
    </dataValidation>
    <dataValidation type="whole" allowBlank="1" showInputMessage="1" showErrorMessage="1" sqref="P313">
      <formula1>0</formula1>
      <formula2>100</formula2>
    </dataValidation>
    <dataValidation type="decimal" operator="greaterThanOrEqual" allowBlank="1" showInputMessage="1" showErrorMessage="1" sqref="Q313">
      <formula1>0</formula1>
    </dataValidation>
    <dataValidation type="decimal" operator="greaterThanOrEqual" allowBlank="1" showInputMessage="1" showErrorMessage="1" sqref="R313">
      <formula1>0</formula1>
    </dataValidation>
    <dataValidation type="whole" allowBlank="1" showInputMessage="1" showErrorMessage="1" sqref="U313">
      <formula1>1</formula1>
      <formula2>5</formula2>
    </dataValidation>
    <dataValidation type="whole" allowBlank="1" showInputMessage="1" showErrorMessage="1" sqref="V313">
      <formula1>1</formula1>
      <formula2>5</formula2>
    </dataValidation>
    <dataValidation type="whole" allowBlank="1" showInputMessage="1" showErrorMessage="1" sqref="X313">
      <formula1>1</formula1>
      <formula2>5</formula2>
    </dataValidation>
    <dataValidation type="decimal" operator="greaterThanOrEqual" allowBlank="1" showInputMessage="1" showErrorMessage="1" sqref="Y313">
      <formula1>0</formula1>
    </dataValidation>
    <dataValidation type="whole" operator="greaterThanOrEqual" allowBlank="1" showInputMessage="1" showErrorMessage="1" sqref="Z313">
      <formula1>0</formula1>
    </dataValidation>
    <dataValidation type="whole" allowBlank="1" showInputMessage="1" showErrorMessage="1" sqref="AA313">
      <formula1>1</formula1>
      <formula2>5</formula2>
    </dataValidation>
    <dataValidation type="decimal" allowBlank="1" showInputMessage="1" showErrorMessage="1" sqref="AB313">
      <formula1>0</formula1>
      <formula2>1</formula2>
    </dataValidation>
    <dataValidation type="list" allowBlank="1" showInputMessage="1" showErrorMessage="1" sqref="O313">
      <formula1>liste_statuts</formula1>
    </dataValidation>
    <dataValidation type="list" allowBlank="1" showInputMessage="1" showErrorMessage="1" sqref="B314">
      <formula1>liste_programmes</formula1>
    </dataValidation>
    <dataValidation type="list" allowBlank="1" showInputMessage="1" showErrorMessage="1" sqref="D314">
      <formula1>liste_types</formula1>
    </dataValidation>
    <dataValidation type="list" allowBlank="1" showInputMessage="1" showErrorMessage="1" sqref="F314">
      <formula1>liste_categories</formula1>
    </dataValidation>
    <dataValidation type="list" allowBlank="1" showInputMessage="1" showErrorMessage="1" sqref="G314">
      <formula1>liste_responsables</formula1>
    </dataValidation>
    <dataValidation type="list" allowBlank="1" showInputMessage="1" showErrorMessage="1" sqref="H314">
      <formula1>liste_sites</formula1>
    </dataValidation>
    <dataValidation type="list" allowBlank="1" showInputMessage="1" showErrorMessage="1" sqref="I314">
      <formula1>liste_priorites</formula1>
    </dataValidation>
    <dataValidation type="date" operator="greaterThanOrEqual" allowBlank="1" showInputMessage="1" showErrorMessage="1" sqref="J314">
      <formula1>730120</formula1>
    </dataValidation>
    <dataValidation type="date" operator="greaterThanOrEqual" allowBlank="1" showInputMessage="1" showErrorMessage="1" sqref="K314">
      <formula1>730120</formula1>
    </dataValidation>
    <dataValidation type="date" operator="greaterThanOrEqual" allowBlank="1" showInputMessage="1" showErrorMessage="1" sqref="L314">
      <formula1>730120</formula1>
    </dataValidation>
    <dataValidation type="whole" allowBlank="1" showInputMessage="1" showErrorMessage="1" sqref="P314">
      <formula1>0</formula1>
      <formula2>100</formula2>
    </dataValidation>
    <dataValidation type="decimal" operator="greaterThanOrEqual" allowBlank="1" showInputMessage="1" showErrorMessage="1" sqref="Q314">
      <formula1>0</formula1>
    </dataValidation>
    <dataValidation type="decimal" operator="greaterThanOrEqual" allowBlank="1" showInputMessage="1" showErrorMessage="1" sqref="R314">
      <formula1>0</formula1>
    </dataValidation>
    <dataValidation type="whole" allowBlank="1" showInputMessage="1" showErrorMessage="1" sqref="U314">
      <formula1>1</formula1>
      <formula2>5</formula2>
    </dataValidation>
    <dataValidation type="whole" allowBlank="1" showInputMessage="1" showErrorMessage="1" sqref="V314">
      <formula1>1</formula1>
      <formula2>5</formula2>
    </dataValidation>
    <dataValidation type="whole" allowBlank="1" showInputMessage="1" showErrorMessage="1" sqref="X314">
      <formula1>1</formula1>
      <formula2>5</formula2>
    </dataValidation>
    <dataValidation type="decimal" operator="greaterThanOrEqual" allowBlank="1" showInputMessage="1" showErrorMessage="1" sqref="Y314">
      <formula1>0</formula1>
    </dataValidation>
    <dataValidation type="whole" operator="greaterThanOrEqual" allowBlank="1" showInputMessage="1" showErrorMessage="1" sqref="Z314">
      <formula1>0</formula1>
    </dataValidation>
    <dataValidation type="whole" allowBlank="1" showInputMessage="1" showErrorMessage="1" sqref="AA314">
      <formula1>1</formula1>
      <formula2>5</formula2>
    </dataValidation>
    <dataValidation type="decimal" allowBlank="1" showInputMessage="1" showErrorMessage="1" sqref="AB314">
      <formula1>0</formula1>
      <formula2>1</formula2>
    </dataValidation>
    <dataValidation type="list" allowBlank="1" showInputMessage="1" showErrorMessage="1" sqref="O314">
      <formula1>liste_statuts</formula1>
    </dataValidation>
    <dataValidation type="list" allowBlank="1" showInputMessage="1" showErrorMessage="1" sqref="B315">
      <formula1>liste_programmes</formula1>
    </dataValidation>
    <dataValidation type="list" allowBlank="1" showInputMessage="1" showErrorMessage="1" sqref="D315">
      <formula1>liste_types</formula1>
    </dataValidation>
    <dataValidation type="list" allowBlank="1" showInputMessage="1" showErrorMessage="1" sqref="F315">
      <formula1>liste_categories</formula1>
    </dataValidation>
    <dataValidation type="list" allowBlank="1" showInputMessage="1" showErrorMessage="1" sqref="G315">
      <formula1>liste_responsables</formula1>
    </dataValidation>
    <dataValidation type="list" allowBlank="1" showInputMessage="1" showErrorMessage="1" sqref="H315">
      <formula1>liste_sites</formula1>
    </dataValidation>
    <dataValidation type="list" allowBlank="1" showInputMessage="1" showErrorMessage="1" sqref="I315">
      <formula1>liste_priorites</formula1>
    </dataValidation>
    <dataValidation type="date" operator="greaterThanOrEqual" allowBlank="1" showInputMessage="1" showErrorMessage="1" sqref="J315">
      <formula1>730120</formula1>
    </dataValidation>
    <dataValidation type="date" operator="greaterThanOrEqual" allowBlank="1" showInputMessage="1" showErrorMessage="1" sqref="K315">
      <formula1>730120</formula1>
    </dataValidation>
    <dataValidation type="date" operator="greaterThanOrEqual" allowBlank="1" showInputMessage="1" showErrorMessage="1" sqref="L315">
      <formula1>730120</formula1>
    </dataValidation>
    <dataValidation type="whole" allowBlank="1" showInputMessage="1" showErrorMessage="1" sqref="P315">
      <formula1>0</formula1>
      <formula2>100</formula2>
    </dataValidation>
    <dataValidation type="decimal" operator="greaterThanOrEqual" allowBlank="1" showInputMessage="1" showErrorMessage="1" sqref="Q315">
      <formula1>0</formula1>
    </dataValidation>
    <dataValidation type="decimal" operator="greaterThanOrEqual" allowBlank="1" showInputMessage="1" showErrorMessage="1" sqref="R315">
      <formula1>0</formula1>
    </dataValidation>
    <dataValidation type="whole" allowBlank="1" showInputMessage="1" showErrorMessage="1" sqref="U315">
      <formula1>1</formula1>
      <formula2>5</formula2>
    </dataValidation>
    <dataValidation type="whole" allowBlank="1" showInputMessage="1" showErrorMessage="1" sqref="V315">
      <formula1>1</formula1>
      <formula2>5</formula2>
    </dataValidation>
    <dataValidation type="whole" allowBlank="1" showInputMessage="1" showErrorMessage="1" sqref="X315">
      <formula1>1</formula1>
      <formula2>5</formula2>
    </dataValidation>
    <dataValidation type="decimal" operator="greaterThanOrEqual" allowBlank="1" showInputMessage="1" showErrorMessage="1" sqref="Y315">
      <formula1>0</formula1>
    </dataValidation>
    <dataValidation type="whole" operator="greaterThanOrEqual" allowBlank="1" showInputMessage="1" showErrorMessage="1" sqref="Z315">
      <formula1>0</formula1>
    </dataValidation>
    <dataValidation type="whole" allowBlank="1" showInputMessage="1" showErrorMessage="1" sqref="AA315">
      <formula1>1</formula1>
      <formula2>5</formula2>
    </dataValidation>
    <dataValidation type="decimal" allowBlank="1" showInputMessage="1" showErrorMessage="1" sqref="AB315">
      <formula1>0</formula1>
      <formula2>1</formula2>
    </dataValidation>
    <dataValidation type="list" allowBlank="1" showInputMessage="1" showErrorMessage="1" sqref="O315">
      <formula1>liste_statuts</formula1>
    </dataValidation>
    <dataValidation type="list" allowBlank="1" showInputMessage="1" showErrorMessage="1" sqref="B316">
      <formula1>liste_programmes</formula1>
    </dataValidation>
    <dataValidation type="list" allowBlank="1" showInputMessage="1" showErrorMessage="1" sqref="D316">
      <formula1>liste_types</formula1>
    </dataValidation>
    <dataValidation type="list" allowBlank="1" showInputMessage="1" showErrorMessage="1" sqref="F316">
      <formula1>liste_categories</formula1>
    </dataValidation>
    <dataValidation type="list" allowBlank="1" showInputMessage="1" showErrorMessage="1" sqref="G316">
      <formula1>liste_responsables</formula1>
    </dataValidation>
    <dataValidation type="list" allowBlank="1" showInputMessage="1" showErrorMessage="1" sqref="H316">
      <formula1>liste_sites</formula1>
    </dataValidation>
    <dataValidation type="list" allowBlank="1" showInputMessage="1" showErrorMessage="1" sqref="I316">
      <formula1>liste_priorites</formula1>
    </dataValidation>
    <dataValidation type="date" operator="greaterThanOrEqual" allowBlank="1" showInputMessage="1" showErrorMessage="1" sqref="J316">
      <formula1>730120</formula1>
    </dataValidation>
    <dataValidation type="date" operator="greaterThanOrEqual" allowBlank="1" showInputMessage="1" showErrorMessage="1" sqref="K316">
      <formula1>730120</formula1>
    </dataValidation>
    <dataValidation type="date" operator="greaterThanOrEqual" allowBlank="1" showInputMessage="1" showErrorMessage="1" sqref="L316">
      <formula1>730120</formula1>
    </dataValidation>
    <dataValidation type="whole" allowBlank="1" showInputMessage="1" showErrorMessage="1" sqref="P316">
      <formula1>0</formula1>
      <formula2>100</formula2>
    </dataValidation>
    <dataValidation type="decimal" operator="greaterThanOrEqual" allowBlank="1" showInputMessage="1" showErrorMessage="1" sqref="Q316">
      <formula1>0</formula1>
    </dataValidation>
    <dataValidation type="decimal" operator="greaterThanOrEqual" allowBlank="1" showInputMessage="1" showErrorMessage="1" sqref="R316">
      <formula1>0</formula1>
    </dataValidation>
    <dataValidation type="whole" allowBlank="1" showInputMessage="1" showErrorMessage="1" sqref="U316">
      <formula1>1</formula1>
      <formula2>5</formula2>
    </dataValidation>
    <dataValidation type="whole" allowBlank="1" showInputMessage="1" showErrorMessage="1" sqref="V316">
      <formula1>1</formula1>
      <formula2>5</formula2>
    </dataValidation>
    <dataValidation type="whole" allowBlank="1" showInputMessage="1" showErrorMessage="1" sqref="X316">
      <formula1>1</formula1>
      <formula2>5</formula2>
    </dataValidation>
    <dataValidation type="decimal" operator="greaterThanOrEqual" allowBlank="1" showInputMessage="1" showErrorMessage="1" sqref="Y316">
      <formula1>0</formula1>
    </dataValidation>
    <dataValidation type="whole" operator="greaterThanOrEqual" allowBlank="1" showInputMessage="1" showErrorMessage="1" sqref="Z316">
      <formula1>0</formula1>
    </dataValidation>
    <dataValidation type="whole" allowBlank="1" showInputMessage="1" showErrorMessage="1" sqref="AA316">
      <formula1>1</formula1>
      <formula2>5</formula2>
    </dataValidation>
    <dataValidation type="decimal" allowBlank="1" showInputMessage="1" showErrorMessage="1" sqref="AB316">
      <formula1>0</formula1>
      <formula2>1</formula2>
    </dataValidation>
    <dataValidation type="list" allowBlank="1" showInputMessage="1" showErrorMessage="1" sqref="O316">
      <formula1>liste_statuts</formula1>
    </dataValidation>
    <dataValidation type="list" allowBlank="1" showInputMessage="1" showErrorMessage="1" sqref="B317">
      <formula1>liste_programmes</formula1>
    </dataValidation>
    <dataValidation type="list" allowBlank="1" showInputMessage="1" showErrorMessage="1" sqref="D317">
      <formula1>liste_types</formula1>
    </dataValidation>
    <dataValidation type="list" allowBlank="1" showInputMessage="1" showErrorMessage="1" sqref="F317">
      <formula1>liste_categories</formula1>
    </dataValidation>
    <dataValidation type="list" allowBlank="1" showInputMessage="1" showErrorMessage="1" sqref="G317">
      <formula1>liste_responsables</formula1>
    </dataValidation>
    <dataValidation type="list" allowBlank="1" showInputMessage="1" showErrorMessage="1" sqref="H317">
      <formula1>liste_sites</formula1>
    </dataValidation>
    <dataValidation type="list" allowBlank="1" showInputMessage="1" showErrorMessage="1" sqref="I317">
      <formula1>liste_priorites</formula1>
    </dataValidation>
    <dataValidation type="date" operator="greaterThanOrEqual" allowBlank="1" showInputMessage="1" showErrorMessage="1" sqref="J317">
      <formula1>730120</formula1>
    </dataValidation>
    <dataValidation type="date" operator="greaterThanOrEqual" allowBlank="1" showInputMessage="1" showErrorMessage="1" sqref="K317">
      <formula1>730120</formula1>
    </dataValidation>
    <dataValidation type="date" operator="greaterThanOrEqual" allowBlank="1" showInputMessage="1" showErrorMessage="1" sqref="L317">
      <formula1>730120</formula1>
    </dataValidation>
    <dataValidation type="whole" allowBlank="1" showInputMessage="1" showErrorMessage="1" sqref="P317">
      <formula1>0</formula1>
      <formula2>100</formula2>
    </dataValidation>
    <dataValidation type="decimal" operator="greaterThanOrEqual" allowBlank="1" showInputMessage="1" showErrorMessage="1" sqref="Q317">
      <formula1>0</formula1>
    </dataValidation>
    <dataValidation type="decimal" operator="greaterThanOrEqual" allowBlank="1" showInputMessage="1" showErrorMessage="1" sqref="R317">
      <formula1>0</formula1>
    </dataValidation>
    <dataValidation type="whole" allowBlank="1" showInputMessage="1" showErrorMessage="1" sqref="U317">
      <formula1>1</formula1>
      <formula2>5</formula2>
    </dataValidation>
    <dataValidation type="whole" allowBlank="1" showInputMessage="1" showErrorMessage="1" sqref="V317">
      <formula1>1</formula1>
      <formula2>5</formula2>
    </dataValidation>
    <dataValidation type="whole" allowBlank="1" showInputMessage="1" showErrorMessage="1" sqref="X317">
      <formula1>1</formula1>
      <formula2>5</formula2>
    </dataValidation>
    <dataValidation type="decimal" operator="greaterThanOrEqual" allowBlank="1" showInputMessage="1" showErrorMessage="1" sqref="Y317">
      <formula1>0</formula1>
    </dataValidation>
    <dataValidation type="whole" operator="greaterThanOrEqual" allowBlank="1" showInputMessage="1" showErrorMessage="1" sqref="Z317">
      <formula1>0</formula1>
    </dataValidation>
    <dataValidation type="whole" allowBlank="1" showInputMessage="1" showErrorMessage="1" sqref="AA317">
      <formula1>1</formula1>
      <formula2>5</formula2>
    </dataValidation>
    <dataValidation type="decimal" allowBlank="1" showInputMessage="1" showErrorMessage="1" sqref="AB317">
      <formula1>0</formula1>
      <formula2>1</formula2>
    </dataValidation>
    <dataValidation type="list" allowBlank="1" showInputMessage="1" showErrorMessage="1" sqref="O317">
      <formula1>liste_statuts</formula1>
    </dataValidation>
    <dataValidation type="list" allowBlank="1" showInputMessage="1" showErrorMessage="1" sqref="B318">
      <formula1>liste_programmes</formula1>
    </dataValidation>
    <dataValidation type="list" allowBlank="1" showInputMessage="1" showErrorMessage="1" sqref="D318">
      <formula1>liste_types</formula1>
    </dataValidation>
    <dataValidation type="list" allowBlank="1" showInputMessage="1" showErrorMessage="1" sqref="F318">
      <formula1>liste_categories</formula1>
    </dataValidation>
    <dataValidation type="list" allowBlank="1" showInputMessage="1" showErrorMessage="1" sqref="G318">
      <formula1>liste_responsables</formula1>
    </dataValidation>
    <dataValidation type="list" allowBlank="1" showInputMessage="1" showErrorMessage="1" sqref="H318">
      <formula1>liste_sites</formula1>
    </dataValidation>
    <dataValidation type="list" allowBlank="1" showInputMessage="1" showErrorMessage="1" sqref="I318">
      <formula1>liste_priorites</formula1>
    </dataValidation>
    <dataValidation type="date" operator="greaterThanOrEqual" allowBlank="1" showInputMessage="1" showErrorMessage="1" sqref="J318">
      <formula1>730120</formula1>
    </dataValidation>
    <dataValidation type="date" operator="greaterThanOrEqual" allowBlank="1" showInputMessage="1" showErrorMessage="1" sqref="K318">
      <formula1>730120</formula1>
    </dataValidation>
    <dataValidation type="date" operator="greaterThanOrEqual" allowBlank="1" showInputMessage="1" showErrorMessage="1" sqref="L318">
      <formula1>730120</formula1>
    </dataValidation>
    <dataValidation type="whole" allowBlank="1" showInputMessage="1" showErrorMessage="1" sqref="P318">
      <formula1>0</formula1>
      <formula2>100</formula2>
    </dataValidation>
    <dataValidation type="decimal" operator="greaterThanOrEqual" allowBlank="1" showInputMessage="1" showErrorMessage="1" sqref="Q318">
      <formula1>0</formula1>
    </dataValidation>
    <dataValidation type="decimal" operator="greaterThanOrEqual" allowBlank="1" showInputMessage="1" showErrorMessage="1" sqref="R318">
      <formula1>0</formula1>
    </dataValidation>
    <dataValidation type="whole" allowBlank="1" showInputMessage="1" showErrorMessage="1" sqref="U318">
      <formula1>1</formula1>
      <formula2>5</formula2>
    </dataValidation>
    <dataValidation type="whole" allowBlank="1" showInputMessage="1" showErrorMessage="1" sqref="V318">
      <formula1>1</formula1>
      <formula2>5</formula2>
    </dataValidation>
    <dataValidation type="whole" allowBlank="1" showInputMessage="1" showErrorMessage="1" sqref="X318">
      <formula1>1</formula1>
      <formula2>5</formula2>
    </dataValidation>
    <dataValidation type="decimal" operator="greaterThanOrEqual" allowBlank="1" showInputMessage="1" showErrorMessage="1" sqref="Y318">
      <formula1>0</formula1>
    </dataValidation>
    <dataValidation type="whole" operator="greaterThanOrEqual" allowBlank="1" showInputMessage="1" showErrorMessage="1" sqref="Z318">
      <formula1>0</formula1>
    </dataValidation>
    <dataValidation type="whole" allowBlank="1" showInputMessage="1" showErrorMessage="1" sqref="AA318">
      <formula1>1</formula1>
      <formula2>5</formula2>
    </dataValidation>
    <dataValidation type="decimal" allowBlank="1" showInputMessage="1" showErrorMessage="1" sqref="AB318">
      <formula1>0</formula1>
      <formula2>1</formula2>
    </dataValidation>
    <dataValidation type="list" allowBlank="1" showInputMessage="1" showErrorMessage="1" sqref="O318">
      <formula1>liste_statuts</formula1>
    </dataValidation>
    <dataValidation type="list" allowBlank="1" showInputMessage="1" showErrorMessage="1" sqref="B319">
      <formula1>liste_programmes</formula1>
    </dataValidation>
    <dataValidation type="list" allowBlank="1" showInputMessage="1" showErrorMessage="1" sqref="D319">
      <formula1>liste_types</formula1>
    </dataValidation>
    <dataValidation type="list" allowBlank="1" showInputMessage="1" showErrorMessage="1" sqref="F319">
      <formula1>liste_categories</formula1>
    </dataValidation>
    <dataValidation type="list" allowBlank="1" showInputMessage="1" showErrorMessage="1" sqref="G319">
      <formula1>liste_responsables</formula1>
    </dataValidation>
    <dataValidation type="list" allowBlank="1" showInputMessage="1" showErrorMessage="1" sqref="H319">
      <formula1>liste_sites</formula1>
    </dataValidation>
    <dataValidation type="list" allowBlank="1" showInputMessage="1" showErrorMessage="1" sqref="I319">
      <formula1>liste_priorites</formula1>
    </dataValidation>
    <dataValidation type="date" operator="greaterThanOrEqual" allowBlank="1" showInputMessage="1" showErrorMessage="1" sqref="J319">
      <formula1>730120</formula1>
    </dataValidation>
    <dataValidation type="date" operator="greaterThanOrEqual" allowBlank="1" showInputMessage="1" showErrorMessage="1" sqref="K319">
      <formula1>730120</formula1>
    </dataValidation>
    <dataValidation type="date" operator="greaterThanOrEqual" allowBlank="1" showInputMessage="1" showErrorMessage="1" sqref="L319">
      <formula1>730120</formula1>
    </dataValidation>
    <dataValidation type="whole" allowBlank="1" showInputMessage="1" showErrorMessage="1" sqref="P319">
      <formula1>0</formula1>
      <formula2>100</formula2>
    </dataValidation>
    <dataValidation type="decimal" operator="greaterThanOrEqual" allowBlank="1" showInputMessage="1" showErrorMessage="1" sqref="Q319">
      <formula1>0</formula1>
    </dataValidation>
    <dataValidation type="decimal" operator="greaterThanOrEqual" allowBlank="1" showInputMessage="1" showErrorMessage="1" sqref="R319">
      <formula1>0</formula1>
    </dataValidation>
    <dataValidation type="whole" allowBlank="1" showInputMessage="1" showErrorMessage="1" sqref="U319">
      <formula1>1</formula1>
      <formula2>5</formula2>
    </dataValidation>
    <dataValidation type="whole" allowBlank="1" showInputMessage="1" showErrorMessage="1" sqref="V319">
      <formula1>1</formula1>
      <formula2>5</formula2>
    </dataValidation>
    <dataValidation type="whole" allowBlank="1" showInputMessage="1" showErrorMessage="1" sqref="X319">
      <formula1>1</formula1>
      <formula2>5</formula2>
    </dataValidation>
    <dataValidation type="decimal" operator="greaterThanOrEqual" allowBlank="1" showInputMessage="1" showErrorMessage="1" sqref="Y319">
      <formula1>0</formula1>
    </dataValidation>
    <dataValidation type="whole" operator="greaterThanOrEqual" allowBlank="1" showInputMessage="1" showErrorMessage="1" sqref="Z319">
      <formula1>0</formula1>
    </dataValidation>
    <dataValidation type="whole" allowBlank="1" showInputMessage="1" showErrorMessage="1" sqref="AA319">
      <formula1>1</formula1>
      <formula2>5</formula2>
    </dataValidation>
    <dataValidation type="decimal" allowBlank="1" showInputMessage="1" showErrorMessage="1" sqref="AB319">
      <formula1>0</formula1>
      <formula2>1</formula2>
    </dataValidation>
    <dataValidation type="list" allowBlank="1" showInputMessage="1" showErrorMessage="1" sqref="O319">
      <formula1>liste_statuts</formula1>
    </dataValidation>
    <dataValidation type="list" allowBlank="1" showInputMessage="1" showErrorMessage="1" sqref="B320">
      <formula1>liste_programmes</formula1>
    </dataValidation>
    <dataValidation type="list" allowBlank="1" showInputMessage="1" showErrorMessage="1" sqref="D320">
      <formula1>liste_types</formula1>
    </dataValidation>
    <dataValidation type="list" allowBlank="1" showInputMessage="1" showErrorMessage="1" sqref="F320">
      <formula1>liste_categories</formula1>
    </dataValidation>
    <dataValidation type="list" allowBlank="1" showInputMessage="1" showErrorMessage="1" sqref="G320">
      <formula1>liste_responsables</formula1>
    </dataValidation>
    <dataValidation type="list" allowBlank="1" showInputMessage="1" showErrorMessage="1" sqref="H320">
      <formula1>liste_sites</formula1>
    </dataValidation>
    <dataValidation type="list" allowBlank="1" showInputMessage="1" showErrorMessage="1" sqref="I320">
      <formula1>liste_priorites</formula1>
    </dataValidation>
    <dataValidation type="date" operator="greaterThanOrEqual" allowBlank="1" showInputMessage="1" showErrorMessage="1" sqref="J320">
      <formula1>730120</formula1>
    </dataValidation>
    <dataValidation type="date" operator="greaterThanOrEqual" allowBlank="1" showInputMessage="1" showErrorMessage="1" sqref="K320">
      <formula1>730120</formula1>
    </dataValidation>
    <dataValidation type="date" operator="greaterThanOrEqual" allowBlank="1" showInputMessage="1" showErrorMessage="1" sqref="L320">
      <formula1>730120</formula1>
    </dataValidation>
    <dataValidation type="whole" allowBlank="1" showInputMessage="1" showErrorMessage="1" sqref="P320">
      <formula1>0</formula1>
      <formula2>100</formula2>
    </dataValidation>
    <dataValidation type="decimal" operator="greaterThanOrEqual" allowBlank="1" showInputMessage="1" showErrorMessage="1" sqref="Q320">
      <formula1>0</formula1>
    </dataValidation>
    <dataValidation type="decimal" operator="greaterThanOrEqual" allowBlank="1" showInputMessage="1" showErrorMessage="1" sqref="R320">
      <formula1>0</formula1>
    </dataValidation>
    <dataValidation type="whole" allowBlank="1" showInputMessage="1" showErrorMessage="1" sqref="U320">
      <formula1>1</formula1>
      <formula2>5</formula2>
    </dataValidation>
    <dataValidation type="whole" allowBlank="1" showInputMessage="1" showErrorMessage="1" sqref="V320">
      <formula1>1</formula1>
      <formula2>5</formula2>
    </dataValidation>
    <dataValidation type="whole" allowBlank="1" showInputMessage="1" showErrorMessage="1" sqref="X320">
      <formula1>1</formula1>
      <formula2>5</formula2>
    </dataValidation>
    <dataValidation type="decimal" operator="greaterThanOrEqual" allowBlank="1" showInputMessage="1" showErrorMessage="1" sqref="Y320">
      <formula1>0</formula1>
    </dataValidation>
    <dataValidation type="whole" operator="greaterThanOrEqual" allowBlank="1" showInputMessage="1" showErrorMessage="1" sqref="Z320">
      <formula1>0</formula1>
    </dataValidation>
    <dataValidation type="whole" allowBlank="1" showInputMessage="1" showErrorMessage="1" sqref="AA320">
      <formula1>1</formula1>
      <formula2>5</formula2>
    </dataValidation>
    <dataValidation type="decimal" allowBlank="1" showInputMessage="1" showErrorMessage="1" sqref="AB320">
      <formula1>0</formula1>
      <formula2>1</formula2>
    </dataValidation>
    <dataValidation type="list" allowBlank="1" showInputMessage="1" showErrorMessage="1" sqref="O320">
      <formula1>liste_statuts</formula1>
    </dataValidation>
    <dataValidation type="list" allowBlank="1" showInputMessage="1" showErrorMessage="1" sqref="B321">
      <formula1>liste_programmes</formula1>
    </dataValidation>
    <dataValidation type="list" allowBlank="1" showInputMessage="1" showErrorMessage="1" sqref="D321">
      <formula1>liste_types</formula1>
    </dataValidation>
    <dataValidation type="list" allowBlank="1" showInputMessage="1" showErrorMessage="1" sqref="F321">
      <formula1>liste_categories</formula1>
    </dataValidation>
    <dataValidation type="list" allowBlank="1" showInputMessage="1" showErrorMessage="1" sqref="G321">
      <formula1>liste_responsables</formula1>
    </dataValidation>
    <dataValidation type="list" allowBlank="1" showInputMessage="1" showErrorMessage="1" sqref="H321">
      <formula1>liste_sites</formula1>
    </dataValidation>
    <dataValidation type="list" allowBlank="1" showInputMessage="1" showErrorMessage="1" sqref="I321">
      <formula1>liste_priorites</formula1>
    </dataValidation>
    <dataValidation type="date" operator="greaterThanOrEqual" allowBlank="1" showInputMessage="1" showErrorMessage="1" sqref="J321">
      <formula1>730120</formula1>
    </dataValidation>
    <dataValidation type="date" operator="greaterThanOrEqual" allowBlank="1" showInputMessage="1" showErrorMessage="1" sqref="K321">
      <formula1>730120</formula1>
    </dataValidation>
    <dataValidation type="date" operator="greaterThanOrEqual" allowBlank="1" showInputMessage="1" showErrorMessage="1" sqref="L321">
      <formula1>730120</formula1>
    </dataValidation>
    <dataValidation type="whole" allowBlank="1" showInputMessage="1" showErrorMessage="1" sqref="P321">
      <formula1>0</formula1>
      <formula2>100</formula2>
    </dataValidation>
    <dataValidation type="decimal" operator="greaterThanOrEqual" allowBlank="1" showInputMessage="1" showErrorMessage="1" sqref="Q321">
      <formula1>0</formula1>
    </dataValidation>
    <dataValidation type="decimal" operator="greaterThanOrEqual" allowBlank="1" showInputMessage="1" showErrorMessage="1" sqref="R321">
      <formula1>0</formula1>
    </dataValidation>
    <dataValidation type="whole" allowBlank="1" showInputMessage="1" showErrorMessage="1" sqref="U321">
      <formula1>1</formula1>
      <formula2>5</formula2>
    </dataValidation>
    <dataValidation type="whole" allowBlank="1" showInputMessage="1" showErrorMessage="1" sqref="V321">
      <formula1>1</formula1>
      <formula2>5</formula2>
    </dataValidation>
    <dataValidation type="whole" allowBlank="1" showInputMessage="1" showErrorMessage="1" sqref="X321">
      <formula1>1</formula1>
      <formula2>5</formula2>
    </dataValidation>
    <dataValidation type="decimal" operator="greaterThanOrEqual" allowBlank="1" showInputMessage="1" showErrorMessage="1" sqref="Y321">
      <formula1>0</formula1>
    </dataValidation>
    <dataValidation type="whole" operator="greaterThanOrEqual" allowBlank="1" showInputMessage="1" showErrorMessage="1" sqref="Z321">
      <formula1>0</formula1>
    </dataValidation>
    <dataValidation type="whole" allowBlank="1" showInputMessage="1" showErrorMessage="1" sqref="AA321">
      <formula1>1</formula1>
      <formula2>5</formula2>
    </dataValidation>
    <dataValidation type="decimal" allowBlank="1" showInputMessage="1" showErrorMessage="1" sqref="AB321">
      <formula1>0</formula1>
      <formula2>1</formula2>
    </dataValidation>
    <dataValidation type="list" allowBlank="1" showInputMessage="1" showErrorMessage="1" sqref="O321">
      <formula1>liste_statuts</formula1>
    </dataValidation>
    <dataValidation type="list" allowBlank="1" showInputMessage="1" showErrorMessage="1" sqref="B322">
      <formula1>liste_programmes</formula1>
    </dataValidation>
    <dataValidation type="list" allowBlank="1" showInputMessage="1" showErrorMessage="1" sqref="D322">
      <formula1>liste_types</formula1>
    </dataValidation>
    <dataValidation type="list" allowBlank="1" showInputMessage="1" showErrorMessage="1" sqref="F322">
      <formula1>liste_categories</formula1>
    </dataValidation>
    <dataValidation type="list" allowBlank="1" showInputMessage="1" showErrorMessage="1" sqref="G322">
      <formula1>liste_responsables</formula1>
    </dataValidation>
    <dataValidation type="list" allowBlank="1" showInputMessage="1" showErrorMessage="1" sqref="H322">
      <formula1>liste_sites</formula1>
    </dataValidation>
    <dataValidation type="list" allowBlank="1" showInputMessage="1" showErrorMessage="1" sqref="I322">
      <formula1>liste_priorites</formula1>
    </dataValidation>
    <dataValidation type="date" operator="greaterThanOrEqual" allowBlank="1" showInputMessage="1" showErrorMessage="1" sqref="J322">
      <formula1>730120</formula1>
    </dataValidation>
    <dataValidation type="date" operator="greaterThanOrEqual" allowBlank="1" showInputMessage="1" showErrorMessage="1" sqref="K322">
      <formula1>730120</formula1>
    </dataValidation>
    <dataValidation type="date" operator="greaterThanOrEqual" allowBlank="1" showInputMessage="1" showErrorMessage="1" sqref="L322">
      <formula1>730120</formula1>
    </dataValidation>
    <dataValidation type="whole" allowBlank="1" showInputMessage="1" showErrorMessage="1" sqref="P322">
      <formula1>0</formula1>
      <formula2>100</formula2>
    </dataValidation>
    <dataValidation type="decimal" operator="greaterThanOrEqual" allowBlank="1" showInputMessage="1" showErrorMessage="1" sqref="Q322">
      <formula1>0</formula1>
    </dataValidation>
    <dataValidation type="decimal" operator="greaterThanOrEqual" allowBlank="1" showInputMessage="1" showErrorMessage="1" sqref="R322">
      <formula1>0</formula1>
    </dataValidation>
    <dataValidation type="whole" allowBlank="1" showInputMessage="1" showErrorMessage="1" sqref="U322">
      <formula1>1</formula1>
      <formula2>5</formula2>
    </dataValidation>
    <dataValidation type="whole" allowBlank="1" showInputMessage="1" showErrorMessage="1" sqref="V322">
      <formula1>1</formula1>
      <formula2>5</formula2>
    </dataValidation>
    <dataValidation type="whole" allowBlank="1" showInputMessage="1" showErrorMessage="1" sqref="X322">
      <formula1>1</formula1>
      <formula2>5</formula2>
    </dataValidation>
    <dataValidation type="decimal" operator="greaterThanOrEqual" allowBlank="1" showInputMessage="1" showErrorMessage="1" sqref="Y322">
      <formula1>0</formula1>
    </dataValidation>
    <dataValidation type="whole" operator="greaterThanOrEqual" allowBlank="1" showInputMessage="1" showErrorMessage="1" sqref="Z322">
      <formula1>0</formula1>
    </dataValidation>
    <dataValidation type="whole" allowBlank="1" showInputMessage="1" showErrorMessage="1" sqref="AA322">
      <formula1>1</formula1>
      <formula2>5</formula2>
    </dataValidation>
    <dataValidation type="decimal" allowBlank="1" showInputMessage="1" showErrorMessage="1" sqref="AB322">
      <formula1>0</formula1>
      <formula2>1</formula2>
    </dataValidation>
    <dataValidation type="list" allowBlank="1" showInputMessage="1" showErrorMessage="1" sqref="O322">
      <formula1>liste_statuts</formula1>
    </dataValidation>
    <dataValidation type="list" allowBlank="1" showInputMessage="1" showErrorMessage="1" sqref="B323">
      <formula1>liste_programmes</formula1>
    </dataValidation>
    <dataValidation type="list" allowBlank="1" showInputMessage="1" showErrorMessage="1" sqref="D323">
      <formula1>liste_types</formula1>
    </dataValidation>
    <dataValidation type="list" allowBlank="1" showInputMessage="1" showErrorMessage="1" sqref="F323">
      <formula1>liste_categories</formula1>
    </dataValidation>
    <dataValidation type="list" allowBlank="1" showInputMessage="1" showErrorMessage="1" sqref="G323">
      <formula1>liste_responsables</formula1>
    </dataValidation>
    <dataValidation type="list" allowBlank="1" showInputMessage="1" showErrorMessage="1" sqref="H323">
      <formula1>liste_sites</formula1>
    </dataValidation>
    <dataValidation type="list" allowBlank="1" showInputMessage="1" showErrorMessage="1" sqref="I323">
      <formula1>liste_priorites</formula1>
    </dataValidation>
    <dataValidation type="date" operator="greaterThanOrEqual" allowBlank="1" showInputMessage="1" showErrorMessage="1" sqref="J323">
      <formula1>730120</formula1>
    </dataValidation>
    <dataValidation type="date" operator="greaterThanOrEqual" allowBlank="1" showInputMessage="1" showErrorMessage="1" sqref="K323">
      <formula1>730120</formula1>
    </dataValidation>
    <dataValidation type="date" operator="greaterThanOrEqual" allowBlank="1" showInputMessage="1" showErrorMessage="1" sqref="L323">
      <formula1>730120</formula1>
    </dataValidation>
    <dataValidation type="whole" allowBlank="1" showInputMessage="1" showErrorMessage="1" sqref="P323">
      <formula1>0</formula1>
      <formula2>100</formula2>
    </dataValidation>
    <dataValidation type="decimal" operator="greaterThanOrEqual" allowBlank="1" showInputMessage="1" showErrorMessage="1" sqref="Q323">
      <formula1>0</formula1>
    </dataValidation>
    <dataValidation type="decimal" operator="greaterThanOrEqual" allowBlank="1" showInputMessage="1" showErrorMessage="1" sqref="R323">
      <formula1>0</formula1>
    </dataValidation>
    <dataValidation type="whole" allowBlank="1" showInputMessage="1" showErrorMessage="1" sqref="U323">
      <formula1>1</formula1>
      <formula2>5</formula2>
    </dataValidation>
    <dataValidation type="whole" allowBlank="1" showInputMessage="1" showErrorMessage="1" sqref="V323">
      <formula1>1</formula1>
      <formula2>5</formula2>
    </dataValidation>
    <dataValidation type="whole" allowBlank="1" showInputMessage="1" showErrorMessage="1" sqref="X323">
      <formula1>1</formula1>
      <formula2>5</formula2>
    </dataValidation>
    <dataValidation type="decimal" operator="greaterThanOrEqual" allowBlank="1" showInputMessage="1" showErrorMessage="1" sqref="Y323">
      <formula1>0</formula1>
    </dataValidation>
    <dataValidation type="whole" operator="greaterThanOrEqual" allowBlank="1" showInputMessage="1" showErrorMessage="1" sqref="Z323">
      <formula1>0</formula1>
    </dataValidation>
    <dataValidation type="whole" allowBlank="1" showInputMessage="1" showErrorMessage="1" sqref="AA323">
      <formula1>1</formula1>
      <formula2>5</formula2>
    </dataValidation>
    <dataValidation type="decimal" allowBlank="1" showInputMessage="1" showErrorMessage="1" sqref="AB323">
      <formula1>0</formula1>
      <formula2>1</formula2>
    </dataValidation>
    <dataValidation type="list" allowBlank="1" showInputMessage="1" showErrorMessage="1" sqref="O323">
      <formula1>liste_statuts</formula1>
    </dataValidation>
    <dataValidation type="list" allowBlank="1" showInputMessage="1" showErrorMessage="1" sqref="B324">
      <formula1>liste_programmes</formula1>
    </dataValidation>
    <dataValidation type="list" allowBlank="1" showInputMessage="1" showErrorMessage="1" sqref="D324">
      <formula1>liste_types</formula1>
    </dataValidation>
    <dataValidation type="list" allowBlank="1" showInputMessage="1" showErrorMessage="1" sqref="F324">
      <formula1>liste_categories</formula1>
    </dataValidation>
    <dataValidation type="list" allowBlank="1" showInputMessage="1" showErrorMessage="1" sqref="G324">
      <formula1>liste_responsables</formula1>
    </dataValidation>
    <dataValidation type="list" allowBlank="1" showInputMessage="1" showErrorMessage="1" sqref="H324">
      <formula1>liste_sites</formula1>
    </dataValidation>
    <dataValidation type="list" allowBlank="1" showInputMessage="1" showErrorMessage="1" sqref="I324">
      <formula1>liste_priorites</formula1>
    </dataValidation>
    <dataValidation type="date" operator="greaterThanOrEqual" allowBlank="1" showInputMessage="1" showErrorMessage="1" sqref="J324">
      <formula1>730120</formula1>
    </dataValidation>
    <dataValidation type="date" operator="greaterThanOrEqual" allowBlank="1" showInputMessage="1" showErrorMessage="1" sqref="K324">
      <formula1>730120</formula1>
    </dataValidation>
    <dataValidation type="date" operator="greaterThanOrEqual" allowBlank="1" showInputMessage="1" showErrorMessage="1" sqref="L324">
      <formula1>730120</formula1>
    </dataValidation>
    <dataValidation type="whole" allowBlank="1" showInputMessage="1" showErrorMessage="1" sqref="P324">
      <formula1>0</formula1>
      <formula2>100</formula2>
    </dataValidation>
    <dataValidation type="decimal" operator="greaterThanOrEqual" allowBlank="1" showInputMessage="1" showErrorMessage="1" sqref="Q324">
      <formula1>0</formula1>
    </dataValidation>
    <dataValidation type="decimal" operator="greaterThanOrEqual" allowBlank="1" showInputMessage="1" showErrorMessage="1" sqref="R324">
      <formula1>0</formula1>
    </dataValidation>
    <dataValidation type="whole" allowBlank="1" showInputMessage="1" showErrorMessage="1" sqref="U324">
      <formula1>1</formula1>
      <formula2>5</formula2>
    </dataValidation>
    <dataValidation type="whole" allowBlank="1" showInputMessage="1" showErrorMessage="1" sqref="V324">
      <formula1>1</formula1>
      <formula2>5</formula2>
    </dataValidation>
    <dataValidation type="whole" allowBlank="1" showInputMessage="1" showErrorMessage="1" sqref="X324">
      <formula1>1</formula1>
      <formula2>5</formula2>
    </dataValidation>
    <dataValidation type="decimal" operator="greaterThanOrEqual" allowBlank="1" showInputMessage="1" showErrorMessage="1" sqref="Y324">
      <formula1>0</formula1>
    </dataValidation>
    <dataValidation type="whole" operator="greaterThanOrEqual" allowBlank="1" showInputMessage="1" showErrorMessage="1" sqref="Z324">
      <formula1>0</formula1>
    </dataValidation>
    <dataValidation type="whole" allowBlank="1" showInputMessage="1" showErrorMessage="1" sqref="AA324">
      <formula1>1</formula1>
      <formula2>5</formula2>
    </dataValidation>
    <dataValidation type="decimal" allowBlank="1" showInputMessage="1" showErrorMessage="1" sqref="AB324">
      <formula1>0</formula1>
      <formula2>1</formula2>
    </dataValidation>
    <dataValidation type="list" allowBlank="1" showInputMessage="1" showErrorMessage="1" sqref="O324">
      <formula1>liste_statuts</formula1>
    </dataValidation>
    <dataValidation type="list" allowBlank="1" showInputMessage="1" showErrorMessage="1" sqref="B325">
      <formula1>liste_programmes</formula1>
    </dataValidation>
    <dataValidation type="list" allowBlank="1" showInputMessage="1" showErrorMessage="1" sqref="D325">
      <formula1>liste_types</formula1>
    </dataValidation>
    <dataValidation type="list" allowBlank="1" showInputMessage="1" showErrorMessage="1" sqref="F325">
      <formula1>liste_categories</formula1>
    </dataValidation>
    <dataValidation type="list" allowBlank="1" showInputMessage="1" showErrorMessage="1" sqref="G325">
      <formula1>liste_responsables</formula1>
    </dataValidation>
    <dataValidation type="list" allowBlank="1" showInputMessage="1" showErrorMessage="1" sqref="H325">
      <formula1>liste_sites</formula1>
    </dataValidation>
    <dataValidation type="list" allowBlank="1" showInputMessage="1" showErrorMessage="1" sqref="I325">
      <formula1>liste_priorites</formula1>
    </dataValidation>
    <dataValidation type="date" operator="greaterThanOrEqual" allowBlank="1" showInputMessage="1" showErrorMessage="1" sqref="J325">
      <formula1>730120</formula1>
    </dataValidation>
    <dataValidation type="date" operator="greaterThanOrEqual" allowBlank="1" showInputMessage="1" showErrorMessage="1" sqref="K325">
      <formula1>730120</formula1>
    </dataValidation>
    <dataValidation type="date" operator="greaterThanOrEqual" allowBlank="1" showInputMessage="1" showErrorMessage="1" sqref="L325">
      <formula1>730120</formula1>
    </dataValidation>
    <dataValidation type="whole" allowBlank="1" showInputMessage="1" showErrorMessage="1" sqref="P325">
      <formula1>0</formula1>
      <formula2>100</formula2>
    </dataValidation>
    <dataValidation type="decimal" operator="greaterThanOrEqual" allowBlank="1" showInputMessage="1" showErrorMessage="1" sqref="Q325">
      <formula1>0</formula1>
    </dataValidation>
    <dataValidation type="decimal" operator="greaterThanOrEqual" allowBlank="1" showInputMessage="1" showErrorMessage="1" sqref="R325">
      <formula1>0</formula1>
    </dataValidation>
    <dataValidation type="whole" allowBlank="1" showInputMessage="1" showErrorMessage="1" sqref="U325">
      <formula1>1</formula1>
      <formula2>5</formula2>
    </dataValidation>
    <dataValidation type="whole" allowBlank="1" showInputMessage="1" showErrorMessage="1" sqref="V325">
      <formula1>1</formula1>
      <formula2>5</formula2>
    </dataValidation>
    <dataValidation type="whole" allowBlank="1" showInputMessage="1" showErrorMessage="1" sqref="X325">
      <formula1>1</formula1>
      <formula2>5</formula2>
    </dataValidation>
    <dataValidation type="decimal" operator="greaterThanOrEqual" allowBlank="1" showInputMessage="1" showErrorMessage="1" sqref="Y325">
      <formula1>0</formula1>
    </dataValidation>
    <dataValidation type="whole" operator="greaterThanOrEqual" allowBlank="1" showInputMessage="1" showErrorMessage="1" sqref="Z325">
      <formula1>0</formula1>
    </dataValidation>
    <dataValidation type="whole" allowBlank="1" showInputMessage="1" showErrorMessage="1" sqref="AA325">
      <formula1>1</formula1>
      <formula2>5</formula2>
    </dataValidation>
    <dataValidation type="decimal" allowBlank="1" showInputMessage="1" showErrorMessage="1" sqref="AB325">
      <formula1>0</formula1>
      <formula2>1</formula2>
    </dataValidation>
    <dataValidation type="list" allowBlank="1" showInputMessage="1" showErrorMessage="1" sqref="O325">
      <formula1>liste_statuts</formula1>
    </dataValidation>
    <dataValidation type="list" allowBlank="1" showInputMessage="1" showErrorMessage="1" sqref="B326">
      <formula1>liste_programmes</formula1>
    </dataValidation>
    <dataValidation type="list" allowBlank="1" showInputMessage="1" showErrorMessage="1" sqref="D326">
      <formula1>liste_types</formula1>
    </dataValidation>
    <dataValidation type="list" allowBlank="1" showInputMessage="1" showErrorMessage="1" sqref="F326">
      <formula1>liste_categories</formula1>
    </dataValidation>
    <dataValidation type="list" allowBlank="1" showInputMessage="1" showErrorMessage="1" sqref="G326">
      <formula1>liste_responsables</formula1>
    </dataValidation>
    <dataValidation type="list" allowBlank="1" showInputMessage="1" showErrorMessage="1" sqref="H326">
      <formula1>liste_sites</formula1>
    </dataValidation>
    <dataValidation type="list" allowBlank="1" showInputMessage="1" showErrorMessage="1" sqref="I326">
      <formula1>liste_priorites</formula1>
    </dataValidation>
    <dataValidation type="date" operator="greaterThanOrEqual" allowBlank="1" showInputMessage="1" showErrorMessage="1" sqref="J326">
      <formula1>730120</formula1>
    </dataValidation>
    <dataValidation type="date" operator="greaterThanOrEqual" allowBlank="1" showInputMessage="1" showErrorMessage="1" sqref="K326">
      <formula1>730120</formula1>
    </dataValidation>
    <dataValidation type="date" operator="greaterThanOrEqual" allowBlank="1" showInputMessage="1" showErrorMessage="1" sqref="L326">
      <formula1>730120</formula1>
    </dataValidation>
    <dataValidation type="whole" allowBlank="1" showInputMessage="1" showErrorMessage="1" sqref="P326">
      <formula1>0</formula1>
      <formula2>100</formula2>
    </dataValidation>
    <dataValidation type="decimal" operator="greaterThanOrEqual" allowBlank="1" showInputMessage="1" showErrorMessage="1" sqref="Q326">
      <formula1>0</formula1>
    </dataValidation>
    <dataValidation type="decimal" operator="greaterThanOrEqual" allowBlank="1" showInputMessage="1" showErrorMessage="1" sqref="R326">
      <formula1>0</formula1>
    </dataValidation>
    <dataValidation type="whole" allowBlank="1" showInputMessage="1" showErrorMessage="1" sqref="U326">
      <formula1>1</formula1>
      <formula2>5</formula2>
    </dataValidation>
    <dataValidation type="whole" allowBlank="1" showInputMessage="1" showErrorMessage="1" sqref="V326">
      <formula1>1</formula1>
      <formula2>5</formula2>
    </dataValidation>
    <dataValidation type="whole" allowBlank="1" showInputMessage="1" showErrorMessage="1" sqref="X326">
      <formula1>1</formula1>
      <formula2>5</formula2>
    </dataValidation>
    <dataValidation type="decimal" operator="greaterThanOrEqual" allowBlank="1" showInputMessage="1" showErrorMessage="1" sqref="Y326">
      <formula1>0</formula1>
    </dataValidation>
    <dataValidation type="whole" operator="greaterThanOrEqual" allowBlank="1" showInputMessage="1" showErrorMessage="1" sqref="Z326">
      <formula1>0</formula1>
    </dataValidation>
    <dataValidation type="whole" allowBlank="1" showInputMessage="1" showErrorMessage="1" sqref="AA326">
      <formula1>1</formula1>
      <formula2>5</formula2>
    </dataValidation>
    <dataValidation type="decimal" allowBlank="1" showInputMessage="1" showErrorMessage="1" sqref="AB326">
      <formula1>0</formula1>
      <formula2>1</formula2>
    </dataValidation>
    <dataValidation type="list" allowBlank="1" showInputMessage="1" showErrorMessage="1" sqref="O326">
      <formula1>liste_statuts</formula1>
    </dataValidation>
    <dataValidation type="list" allowBlank="1" showInputMessage="1" showErrorMessage="1" sqref="B327">
      <formula1>liste_programmes</formula1>
    </dataValidation>
    <dataValidation type="list" allowBlank="1" showInputMessage="1" showErrorMessage="1" sqref="D327">
      <formula1>liste_types</formula1>
    </dataValidation>
    <dataValidation type="list" allowBlank="1" showInputMessage="1" showErrorMessage="1" sqref="F327">
      <formula1>liste_categories</formula1>
    </dataValidation>
    <dataValidation type="list" allowBlank="1" showInputMessage="1" showErrorMessage="1" sqref="G327">
      <formula1>liste_responsables</formula1>
    </dataValidation>
    <dataValidation type="list" allowBlank="1" showInputMessage="1" showErrorMessage="1" sqref="H327">
      <formula1>liste_sites</formula1>
    </dataValidation>
    <dataValidation type="list" allowBlank="1" showInputMessage="1" showErrorMessage="1" sqref="I327">
      <formula1>liste_priorites</formula1>
    </dataValidation>
    <dataValidation type="date" operator="greaterThanOrEqual" allowBlank="1" showInputMessage="1" showErrorMessage="1" sqref="J327">
      <formula1>730120</formula1>
    </dataValidation>
    <dataValidation type="date" operator="greaterThanOrEqual" allowBlank="1" showInputMessage="1" showErrorMessage="1" sqref="K327">
      <formula1>730120</formula1>
    </dataValidation>
    <dataValidation type="date" operator="greaterThanOrEqual" allowBlank="1" showInputMessage="1" showErrorMessage="1" sqref="L327">
      <formula1>730120</formula1>
    </dataValidation>
    <dataValidation type="whole" allowBlank="1" showInputMessage="1" showErrorMessage="1" sqref="P327">
      <formula1>0</formula1>
      <formula2>100</formula2>
    </dataValidation>
    <dataValidation type="decimal" operator="greaterThanOrEqual" allowBlank="1" showInputMessage="1" showErrorMessage="1" sqref="Q327">
      <formula1>0</formula1>
    </dataValidation>
    <dataValidation type="decimal" operator="greaterThanOrEqual" allowBlank="1" showInputMessage="1" showErrorMessage="1" sqref="R327">
      <formula1>0</formula1>
    </dataValidation>
    <dataValidation type="whole" allowBlank="1" showInputMessage="1" showErrorMessage="1" sqref="U327">
      <formula1>1</formula1>
      <formula2>5</formula2>
    </dataValidation>
    <dataValidation type="whole" allowBlank="1" showInputMessage="1" showErrorMessage="1" sqref="V327">
      <formula1>1</formula1>
      <formula2>5</formula2>
    </dataValidation>
    <dataValidation type="whole" allowBlank="1" showInputMessage="1" showErrorMessage="1" sqref="X327">
      <formula1>1</formula1>
      <formula2>5</formula2>
    </dataValidation>
    <dataValidation type="decimal" operator="greaterThanOrEqual" allowBlank="1" showInputMessage="1" showErrorMessage="1" sqref="Y327">
      <formula1>0</formula1>
    </dataValidation>
    <dataValidation type="whole" operator="greaterThanOrEqual" allowBlank="1" showInputMessage="1" showErrorMessage="1" sqref="Z327">
      <formula1>0</formula1>
    </dataValidation>
    <dataValidation type="whole" allowBlank="1" showInputMessage="1" showErrorMessage="1" sqref="AA327">
      <formula1>1</formula1>
      <formula2>5</formula2>
    </dataValidation>
    <dataValidation type="decimal" allowBlank="1" showInputMessage="1" showErrorMessage="1" sqref="AB327">
      <formula1>0</formula1>
      <formula2>1</formula2>
    </dataValidation>
    <dataValidation type="list" allowBlank="1" showInputMessage="1" showErrorMessage="1" sqref="O327">
      <formula1>liste_statuts</formula1>
    </dataValidation>
    <dataValidation type="list" allowBlank="1" showInputMessage="1" showErrorMessage="1" sqref="B328">
      <formula1>liste_programmes</formula1>
    </dataValidation>
    <dataValidation type="list" allowBlank="1" showInputMessage="1" showErrorMessage="1" sqref="D328">
      <formula1>liste_types</formula1>
    </dataValidation>
    <dataValidation type="list" allowBlank="1" showInputMessage="1" showErrorMessage="1" sqref="F328">
      <formula1>liste_categories</formula1>
    </dataValidation>
    <dataValidation type="list" allowBlank="1" showInputMessage="1" showErrorMessage="1" sqref="G328">
      <formula1>liste_responsables</formula1>
    </dataValidation>
    <dataValidation type="list" allowBlank="1" showInputMessage="1" showErrorMessage="1" sqref="H328">
      <formula1>liste_sites</formula1>
    </dataValidation>
    <dataValidation type="list" allowBlank="1" showInputMessage="1" showErrorMessage="1" sqref="I328">
      <formula1>liste_priorites</formula1>
    </dataValidation>
    <dataValidation type="date" operator="greaterThanOrEqual" allowBlank="1" showInputMessage="1" showErrorMessage="1" sqref="J328">
      <formula1>730120</formula1>
    </dataValidation>
    <dataValidation type="date" operator="greaterThanOrEqual" allowBlank="1" showInputMessage="1" showErrorMessage="1" sqref="K328">
      <formula1>730120</formula1>
    </dataValidation>
    <dataValidation type="date" operator="greaterThanOrEqual" allowBlank="1" showInputMessage="1" showErrorMessage="1" sqref="L328">
      <formula1>730120</formula1>
    </dataValidation>
    <dataValidation type="whole" allowBlank="1" showInputMessage="1" showErrorMessage="1" sqref="P328">
      <formula1>0</formula1>
      <formula2>100</formula2>
    </dataValidation>
    <dataValidation type="decimal" operator="greaterThanOrEqual" allowBlank="1" showInputMessage="1" showErrorMessage="1" sqref="Q328">
      <formula1>0</formula1>
    </dataValidation>
    <dataValidation type="decimal" operator="greaterThanOrEqual" allowBlank="1" showInputMessage="1" showErrorMessage="1" sqref="R328">
      <formula1>0</formula1>
    </dataValidation>
    <dataValidation type="whole" allowBlank="1" showInputMessage="1" showErrorMessage="1" sqref="U328">
      <formula1>1</formula1>
      <formula2>5</formula2>
    </dataValidation>
    <dataValidation type="whole" allowBlank="1" showInputMessage="1" showErrorMessage="1" sqref="V328">
      <formula1>1</formula1>
      <formula2>5</formula2>
    </dataValidation>
    <dataValidation type="whole" allowBlank="1" showInputMessage="1" showErrorMessage="1" sqref="X328">
      <formula1>1</formula1>
      <formula2>5</formula2>
    </dataValidation>
    <dataValidation type="decimal" operator="greaterThanOrEqual" allowBlank="1" showInputMessage="1" showErrorMessage="1" sqref="Y328">
      <formula1>0</formula1>
    </dataValidation>
    <dataValidation type="whole" operator="greaterThanOrEqual" allowBlank="1" showInputMessage="1" showErrorMessage="1" sqref="Z328">
      <formula1>0</formula1>
    </dataValidation>
    <dataValidation type="whole" allowBlank="1" showInputMessage="1" showErrorMessage="1" sqref="AA328">
      <formula1>1</formula1>
      <formula2>5</formula2>
    </dataValidation>
    <dataValidation type="decimal" allowBlank="1" showInputMessage="1" showErrorMessage="1" sqref="AB328">
      <formula1>0</formula1>
      <formula2>1</formula2>
    </dataValidation>
    <dataValidation type="list" allowBlank="1" showInputMessage="1" showErrorMessage="1" sqref="O328">
      <formula1>liste_statuts</formula1>
    </dataValidation>
    <dataValidation type="list" allowBlank="1" showInputMessage="1" showErrorMessage="1" sqref="B329">
      <formula1>liste_programmes</formula1>
    </dataValidation>
    <dataValidation type="list" allowBlank="1" showInputMessage="1" showErrorMessage="1" sqref="D329">
      <formula1>liste_types</formula1>
    </dataValidation>
    <dataValidation type="list" allowBlank="1" showInputMessage="1" showErrorMessage="1" sqref="F329">
      <formula1>liste_categories</formula1>
    </dataValidation>
    <dataValidation type="list" allowBlank="1" showInputMessage="1" showErrorMessage="1" sqref="G329">
      <formula1>liste_responsables</formula1>
    </dataValidation>
    <dataValidation type="list" allowBlank="1" showInputMessage="1" showErrorMessage="1" sqref="H329">
      <formula1>liste_sites</formula1>
    </dataValidation>
    <dataValidation type="list" allowBlank="1" showInputMessage="1" showErrorMessage="1" sqref="I329">
      <formula1>liste_priorites</formula1>
    </dataValidation>
    <dataValidation type="date" operator="greaterThanOrEqual" allowBlank="1" showInputMessage="1" showErrorMessage="1" sqref="J329">
      <formula1>730120</formula1>
    </dataValidation>
    <dataValidation type="date" operator="greaterThanOrEqual" allowBlank="1" showInputMessage="1" showErrorMessage="1" sqref="K329">
      <formula1>730120</formula1>
    </dataValidation>
    <dataValidation type="date" operator="greaterThanOrEqual" allowBlank="1" showInputMessage="1" showErrorMessage="1" sqref="L329">
      <formula1>730120</formula1>
    </dataValidation>
    <dataValidation type="whole" allowBlank="1" showInputMessage="1" showErrorMessage="1" sqref="P329">
      <formula1>0</formula1>
      <formula2>100</formula2>
    </dataValidation>
    <dataValidation type="decimal" operator="greaterThanOrEqual" allowBlank="1" showInputMessage="1" showErrorMessage="1" sqref="Q329">
      <formula1>0</formula1>
    </dataValidation>
    <dataValidation type="decimal" operator="greaterThanOrEqual" allowBlank="1" showInputMessage="1" showErrorMessage="1" sqref="R329">
      <formula1>0</formula1>
    </dataValidation>
    <dataValidation type="whole" allowBlank="1" showInputMessage="1" showErrorMessage="1" sqref="U329">
      <formula1>1</formula1>
      <formula2>5</formula2>
    </dataValidation>
    <dataValidation type="whole" allowBlank="1" showInputMessage="1" showErrorMessage="1" sqref="V329">
      <formula1>1</formula1>
      <formula2>5</formula2>
    </dataValidation>
    <dataValidation type="whole" allowBlank="1" showInputMessage="1" showErrorMessage="1" sqref="X329">
      <formula1>1</formula1>
      <formula2>5</formula2>
    </dataValidation>
    <dataValidation type="decimal" operator="greaterThanOrEqual" allowBlank="1" showInputMessage="1" showErrorMessage="1" sqref="Y329">
      <formula1>0</formula1>
    </dataValidation>
    <dataValidation type="whole" operator="greaterThanOrEqual" allowBlank="1" showInputMessage="1" showErrorMessage="1" sqref="Z329">
      <formula1>0</formula1>
    </dataValidation>
    <dataValidation type="whole" allowBlank="1" showInputMessage="1" showErrorMessage="1" sqref="AA329">
      <formula1>1</formula1>
      <formula2>5</formula2>
    </dataValidation>
    <dataValidation type="decimal" allowBlank="1" showInputMessage="1" showErrorMessage="1" sqref="AB329">
      <formula1>0</formula1>
      <formula2>1</formula2>
    </dataValidation>
    <dataValidation type="list" allowBlank="1" showInputMessage="1" showErrorMessage="1" sqref="O329">
      <formula1>liste_statuts</formula1>
    </dataValidation>
    <dataValidation type="list" allowBlank="1" showInputMessage="1" showErrorMessage="1" sqref="B330">
      <formula1>liste_programmes</formula1>
    </dataValidation>
    <dataValidation type="list" allowBlank="1" showInputMessage="1" showErrorMessage="1" sqref="D330">
      <formula1>liste_types</formula1>
    </dataValidation>
    <dataValidation type="list" allowBlank="1" showInputMessage="1" showErrorMessage="1" sqref="F330">
      <formula1>liste_categories</formula1>
    </dataValidation>
    <dataValidation type="list" allowBlank="1" showInputMessage="1" showErrorMessage="1" sqref="G330">
      <formula1>liste_responsables</formula1>
    </dataValidation>
    <dataValidation type="list" allowBlank="1" showInputMessage="1" showErrorMessage="1" sqref="H330">
      <formula1>liste_sites</formula1>
    </dataValidation>
    <dataValidation type="list" allowBlank="1" showInputMessage="1" showErrorMessage="1" sqref="I330">
      <formula1>liste_priorites</formula1>
    </dataValidation>
    <dataValidation type="date" operator="greaterThanOrEqual" allowBlank="1" showInputMessage="1" showErrorMessage="1" sqref="J330">
      <formula1>730120</formula1>
    </dataValidation>
    <dataValidation type="date" operator="greaterThanOrEqual" allowBlank="1" showInputMessage="1" showErrorMessage="1" sqref="K330">
      <formula1>730120</formula1>
    </dataValidation>
    <dataValidation type="date" operator="greaterThanOrEqual" allowBlank="1" showInputMessage="1" showErrorMessage="1" sqref="L330">
      <formula1>730120</formula1>
    </dataValidation>
    <dataValidation type="whole" allowBlank="1" showInputMessage="1" showErrorMessage="1" sqref="P330">
      <formula1>0</formula1>
      <formula2>100</formula2>
    </dataValidation>
    <dataValidation type="decimal" operator="greaterThanOrEqual" allowBlank="1" showInputMessage="1" showErrorMessage="1" sqref="Q330">
      <formula1>0</formula1>
    </dataValidation>
    <dataValidation type="decimal" operator="greaterThanOrEqual" allowBlank="1" showInputMessage="1" showErrorMessage="1" sqref="R330">
      <formula1>0</formula1>
    </dataValidation>
    <dataValidation type="whole" allowBlank="1" showInputMessage="1" showErrorMessage="1" sqref="U330">
      <formula1>1</formula1>
      <formula2>5</formula2>
    </dataValidation>
    <dataValidation type="whole" allowBlank="1" showInputMessage="1" showErrorMessage="1" sqref="V330">
      <formula1>1</formula1>
      <formula2>5</formula2>
    </dataValidation>
    <dataValidation type="whole" allowBlank="1" showInputMessage="1" showErrorMessage="1" sqref="X330">
      <formula1>1</formula1>
      <formula2>5</formula2>
    </dataValidation>
    <dataValidation type="decimal" operator="greaterThanOrEqual" allowBlank="1" showInputMessage="1" showErrorMessage="1" sqref="Y330">
      <formula1>0</formula1>
    </dataValidation>
    <dataValidation type="whole" operator="greaterThanOrEqual" allowBlank="1" showInputMessage="1" showErrorMessage="1" sqref="Z330">
      <formula1>0</formula1>
    </dataValidation>
    <dataValidation type="whole" allowBlank="1" showInputMessage="1" showErrorMessage="1" sqref="AA330">
      <formula1>1</formula1>
      <formula2>5</formula2>
    </dataValidation>
    <dataValidation type="decimal" allowBlank="1" showInputMessage="1" showErrorMessage="1" sqref="AB330">
      <formula1>0</formula1>
      <formula2>1</formula2>
    </dataValidation>
    <dataValidation type="list" allowBlank="1" showInputMessage="1" showErrorMessage="1" sqref="O330">
      <formula1>liste_statuts</formula1>
    </dataValidation>
    <dataValidation type="list" allowBlank="1" showInputMessage="1" showErrorMessage="1" sqref="B331">
      <formula1>liste_programmes</formula1>
    </dataValidation>
    <dataValidation type="list" allowBlank="1" showInputMessage="1" showErrorMessage="1" sqref="D331">
      <formula1>liste_types</formula1>
    </dataValidation>
    <dataValidation type="list" allowBlank="1" showInputMessage="1" showErrorMessage="1" sqref="F331">
      <formula1>liste_categories</formula1>
    </dataValidation>
    <dataValidation type="list" allowBlank="1" showInputMessage="1" showErrorMessage="1" sqref="G331">
      <formula1>liste_responsables</formula1>
    </dataValidation>
    <dataValidation type="list" allowBlank="1" showInputMessage="1" showErrorMessage="1" sqref="H331">
      <formula1>liste_sites</formula1>
    </dataValidation>
    <dataValidation type="list" allowBlank="1" showInputMessage="1" showErrorMessage="1" sqref="I331">
      <formula1>liste_priorites</formula1>
    </dataValidation>
    <dataValidation type="date" operator="greaterThanOrEqual" allowBlank="1" showInputMessage="1" showErrorMessage="1" sqref="J331">
      <formula1>730120</formula1>
    </dataValidation>
    <dataValidation type="date" operator="greaterThanOrEqual" allowBlank="1" showInputMessage="1" showErrorMessage="1" sqref="K331">
      <formula1>730120</formula1>
    </dataValidation>
    <dataValidation type="date" operator="greaterThanOrEqual" allowBlank="1" showInputMessage="1" showErrorMessage="1" sqref="L331">
      <formula1>730120</formula1>
    </dataValidation>
    <dataValidation type="whole" allowBlank="1" showInputMessage="1" showErrorMessage="1" sqref="P331">
      <formula1>0</formula1>
      <formula2>100</formula2>
    </dataValidation>
    <dataValidation type="decimal" operator="greaterThanOrEqual" allowBlank="1" showInputMessage="1" showErrorMessage="1" sqref="Q331">
      <formula1>0</formula1>
    </dataValidation>
    <dataValidation type="decimal" operator="greaterThanOrEqual" allowBlank="1" showInputMessage="1" showErrorMessage="1" sqref="R331">
      <formula1>0</formula1>
    </dataValidation>
    <dataValidation type="whole" allowBlank="1" showInputMessage="1" showErrorMessage="1" sqref="U331">
      <formula1>1</formula1>
      <formula2>5</formula2>
    </dataValidation>
    <dataValidation type="whole" allowBlank="1" showInputMessage="1" showErrorMessage="1" sqref="V331">
      <formula1>1</formula1>
      <formula2>5</formula2>
    </dataValidation>
    <dataValidation type="whole" allowBlank="1" showInputMessage="1" showErrorMessage="1" sqref="X331">
      <formula1>1</formula1>
      <formula2>5</formula2>
    </dataValidation>
    <dataValidation type="decimal" operator="greaterThanOrEqual" allowBlank="1" showInputMessage="1" showErrorMessage="1" sqref="Y331">
      <formula1>0</formula1>
    </dataValidation>
    <dataValidation type="whole" operator="greaterThanOrEqual" allowBlank="1" showInputMessage="1" showErrorMessage="1" sqref="Z331">
      <formula1>0</formula1>
    </dataValidation>
    <dataValidation type="whole" allowBlank="1" showInputMessage="1" showErrorMessage="1" sqref="AA331">
      <formula1>1</formula1>
      <formula2>5</formula2>
    </dataValidation>
    <dataValidation type="decimal" allowBlank="1" showInputMessage="1" showErrorMessage="1" sqref="AB331">
      <formula1>0</formula1>
      <formula2>1</formula2>
    </dataValidation>
    <dataValidation type="list" allowBlank="1" showInputMessage="1" showErrorMessage="1" sqref="O331">
      <formula1>liste_statuts</formula1>
    </dataValidation>
    <dataValidation type="list" allowBlank="1" showInputMessage="1" showErrorMessage="1" sqref="B332">
      <formula1>liste_programmes</formula1>
    </dataValidation>
    <dataValidation type="list" allowBlank="1" showInputMessage="1" showErrorMessage="1" sqref="D332">
      <formula1>liste_types</formula1>
    </dataValidation>
    <dataValidation type="list" allowBlank="1" showInputMessage="1" showErrorMessage="1" sqref="F332">
      <formula1>liste_categories</formula1>
    </dataValidation>
    <dataValidation type="list" allowBlank="1" showInputMessage="1" showErrorMessage="1" sqref="G332">
      <formula1>liste_responsables</formula1>
    </dataValidation>
    <dataValidation type="list" allowBlank="1" showInputMessage="1" showErrorMessage="1" sqref="H332">
      <formula1>liste_sites</formula1>
    </dataValidation>
    <dataValidation type="list" allowBlank="1" showInputMessage="1" showErrorMessage="1" sqref="I332">
      <formula1>liste_priorites</formula1>
    </dataValidation>
    <dataValidation type="date" operator="greaterThanOrEqual" allowBlank="1" showInputMessage="1" showErrorMessage="1" sqref="J332">
      <formula1>730120</formula1>
    </dataValidation>
    <dataValidation type="date" operator="greaterThanOrEqual" allowBlank="1" showInputMessage="1" showErrorMessage="1" sqref="K332">
      <formula1>730120</formula1>
    </dataValidation>
    <dataValidation type="date" operator="greaterThanOrEqual" allowBlank="1" showInputMessage="1" showErrorMessage="1" sqref="L332">
      <formula1>730120</formula1>
    </dataValidation>
    <dataValidation type="whole" allowBlank="1" showInputMessage="1" showErrorMessage="1" sqref="P332">
      <formula1>0</formula1>
      <formula2>100</formula2>
    </dataValidation>
    <dataValidation type="decimal" operator="greaterThanOrEqual" allowBlank="1" showInputMessage="1" showErrorMessage="1" sqref="Q332">
      <formula1>0</formula1>
    </dataValidation>
    <dataValidation type="decimal" operator="greaterThanOrEqual" allowBlank="1" showInputMessage="1" showErrorMessage="1" sqref="R332">
      <formula1>0</formula1>
    </dataValidation>
    <dataValidation type="whole" allowBlank="1" showInputMessage="1" showErrorMessage="1" sqref="U332">
      <formula1>1</formula1>
      <formula2>5</formula2>
    </dataValidation>
    <dataValidation type="whole" allowBlank="1" showInputMessage="1" showErrorMessage="1" sqref="V332">
      <formula1>1</formula1>
      <formula2>5</formula2>
    </dataValidation>
    <dataValidation type="whole" allowBlank="1" showInputMessage="1" showErrorMessage="1" sqref="X332">
      <formula1>1</formula1>
      <formula2>5</formula2>
    </dataValidation>
    <dataValidation type="decimal" operator="greaterThanOrEqual" allowBlank="1" showInputMessage="1" showErrorMessage="1" sqref="Y332">
      <formula1>0</formula1>
    </dataValidation>
    <dataValidation type="whole" operator="greaterThanOrEqual" allowBlank="1" showInputMessage="1" showErrorMessage="1" sqref="Z332">
      <formula1>0</formula1>
    </dataValidation>
    <dataValidation type="whole" allowBlank="1" showInputMessage="1" showErrorMessage="1" sqref="AA332">
      <formula1>1</formula1>
      <formula2>5</formula2>
    </dataValidation>
    <dataValidation type="decimal" allowBlank="1" showInputMessage="1" showErrorMessage="1" sqref="AB332">
      <formula1>0</formula1>
      <formula2>1</formula2>
    </dataValidation>
    <dataValidation type="list" allowBlank="1" showInputMessage="1" showErrorMessage="1" sqref="O332">
      <formula1>liste_statuts</formula1>
    </dataValidation>
    <dataValidation type="list" allowBlank="1" showInputMessage="1" showErrorMessage="1" sqref="B333">
      <formula1>liste_programmes</formula1>
    </dataValidation>
    <dataValidation type="list" allowBlank="1" showInputMessage="1" showErrorMessage="1" sqref="D333">
      <formula1>liste_types</formula1>
    </dataValidation>
    <dataValidation type="list" allowBlank="1" showInputMessage="1" showErrorMessage="1" sqref="F333">
      <formula1>liste_categories</formula1>
    </dataValidation>
    <dataValidation type="list" allowBlank="1" showInputMessage="1" showErrorMessage="1" sqref="G333">
      <formula1>liste_responsables</formula1>
    </dataValidation>
    <dataValidation type="list" allowBlank="1" showInputMessage="1" showErrorMessage="1" sqref="H333">
      <formula1>liste_sites</formula1>
    </dataValidation>
    <dataValidation type="list" allowBlank="1" showInputMessage="1" showErrorMessage="1" sqref="I333">
      <formula1>liste_priorites</formula1>
    </dataValidation>
    <dataValidation type="date" operator="greaterThanOrEqual" allowBlank="1" showInputMessage="1" showErrorMessage="1" sqref="J333">
      <formula1>730120</formula1>
    </dataValidation>
    <dataValidation type="date" operator="greaterThanOrEqual" allowBlank="1" showInputMessage="1" showErrorMessage="1" sqref="K333">
      <formula1>730120</formula1>
    </dataValidation>
    <dataValidation type="date" operator="greaterThanOrEqual" allowBlank="1" showInputMessage="1" showErrorMessage="1" sqref="L333">
      <formula1>730120</formula1>
    </dataValidation>
    <dataValidation type="whole" allowBlank="1" showInputMessage="1" showErrorMessage="1" sqref="P333">
      <formula1>0</formula1>
      <formula2>100</formula2>
    </dataValidation>
    <dataValidation type="decimal" operator="greaterThanOrEqual" allowBlank="1" showInputMessage="1" showErrorMessage="1" sqref="Q333">
      <formula1>0</formula1>
    </dataValidation>
    <dataValidation type="decimal" operator="greaterThanOrEqual" allowBlank="1" showInputMessage="1" showErrorMessage="1" sqref="R333">
      <formula1>0</formula1>
    </dataValidation>
    <dataValidation type="whole" allowBlank="1" showInputMessage="1" showErrorMessage="1" sqref="U333">
      <formula1>1</formula1>
      <formula2>5</formula2>
    </dataValidation>
    <dataValidation type="whole" allowBlank="1" showInputMessage="1" showErrorMessage="1" sqref="V333">
      <formula1>1</formula1>
      <formula2>5</formula2>
    </dataValidation>
    <dataValidation type="whole" allowBlank="1" showInputMessage="1" showErrorMessage="1" sqref="X333">
      <formula1>1</formula1>
      <formula2>5</formula2>
    </dataValidation>
    <dataValidation type="decimal" operator="greaterThanOrEqual" allowBlank="1" showInputMessage="1" showErrorMessage="1" sqref="Y333">
      <formula1>0</formula1>
    </dataValidation>
    <dataValidation type="whole" operator="greaterThanOrEqual" allowBlank="1" showInputMessage="1" showErrorMessage="1" sqref="Z333">
      <formula1>0</formula1>
    </dataValidation>
    <dataValidation type="whole" allowBlank="1" showInputMessage="1" showErrorMessage="1" sqref="AA333">
      <formula1>1</formula1>
      <formula2>5</formula2>
    </dataValidation>
    <dataValidation type="decimal" allowBlank="1" showInputMessage="1" showErrorMessage="1" sqref="AB333">
      <formula1>0</formula1>
      <formula2>1</formula2>
    </dataValidation>
    <dataValidation type="list" allowBlank="1" showInputMessage="1" showErrorMessage="1" sqref="O333">
      <formula1>liste_statuts</formula1>
    </dataValidation>
    <dataValidation type="list" allowBlank="1" showInputMessage="1" showErrorMessage="1" sqref="B334">
      <formula1>liste_programmes</formula1>
    </dataValidation>
    <dataValidation type="list" allowBlank="1" showInputMessage="1" showErrorMessage="1" sqref="D334">
      <formula1>liste_types</formula1>
    </dataValidation>
    <dataValidation type="list" allowBlank="1" showInputMessage="1" showErrorMessage="1" sqref="F334">
      <formula1>liste_categories</formula1>
    </dataValidation>
    <dataValidation type="list" allowBlank="1" showInputMessage="1" showErrorMessage="1" sqref="G334">
      <formula1>liste_responsables</formula1>
    </dataValidation>
    <dataValidation type="list" allowBlank="1" showInputMessage="1" showErrorMessage="1" sqref="H334">
      <formula1>liste_sites</formula1>
    </dataValidation>
    <dataValidation type="list" allowBlank="1" showInputMessage="1" showErrorMessage="1" sqref="I334">
      <formula1>liste_priorites</formula1>
    </dataValidation>
    <dataValidation type="date" operator="greaterThanOrEqual" allowBlank="1" showInputMessage="1" showErrorMessage="1" sqref="J334">
      <formula1>730120</formula1>
    </dataValidation>
    <dataValidation type="date" operator="greaterThanOrEqual" allowBlank="1" showInputMessage="1" showErrorMessage="1" sqref="K334">
      <formula1>730120</formula1>
    </dataValidation>
    <dataValidation type="date" operator="greaterThanOrEqual" allowBlank="1" showInputMessage="1" showErrorMessage="1" sqref="L334">
      <formula1>730120</formula1>
    </dataValidation>
    <dataValidation type="whole" allowBlank="1" showInputMessage="1" showErrorMessage="1" sqref="P334">
      <formula1>0</formula1>
      <formula2>100</formula2>
    </dataValidation>
    <dataValidation type="decimal" operator="greaterThanOrEqual" allowBlank="1" showInputMessage="1" showErrorMessage="1" sqref="Q334">
      <formula1>0</formula1>
    </dataValidation>
    <dataValidation type="decimal" operator="greaterThanOrEqual" allowBlank="1" showInputMessage="1" showErrorMessage="1" sqref="R334">
      <formula1>0</formula1>
    </dataValidation>
    <dataValidation type="whole" allowBlank="1" showInputMessage="1" showErrorMessage="1" sqref="U334">
      <formula1>1</formula1>
      <formula2>5</formula2>
    </dataValidation>
    <dataValidation type="whole" allowBlank="1" showInputMessage="1" showErrorMessage="1" sqref="V334">
      <formula1>1</formula1>
      <formula2>5</formula2>
    </dataValidation>
    <dataValidation type="whole" allowBlank="1" showInputMessage="1" showErrorMessage="1" sqref="X334">
      <formula1>1</formula1>
      <formula2>5</formula2>
    </dataValidation>
    <dataValidation type="decimal" operator="greaterThanOrEqual" allowBlank="1" showInputMessage="1" showErrorMessage="1" sqref="Y334">
      <formula1>0</formula1>
    </dataValidation>
    <dataValidation type="whole" operator="greaterThanOrEqual" allowBlank="1" showInputMessage="1" showErrorMessage="1" sqref="Z334">
      <formula1>0</formula1>
    </dataValidation>
    <dataValidation type="whole" allowBlank="1" showInputMessage="1" showErrorMessage="1" sqref="AA334">
      <formula1>1</formula1>
      <formula2>5</formula2>
    </dataValidation>
    <dataValidation type="decimal" allowBlank="1" showInputMessage="1" showErrorMessage="1" sqref="AB334">
      <formula1>0</formula1>
      <formula2>1</formula2>
    </dataValidation>
    <dataValidation type="list" allowBlank="1" showInputMessage="1" showErrorMessage="1" sqref="O334">
      <formula1>liste_statuts</formula1>
    </dataValidation>
    <dataValidation type="list" allowBlank="1" showInputMessage="1" showErrorMessage="1" sqref="B335">
      <formula1>liste_programmes</formula1>
    </dataValidation>
    <dataValidation type="list" allowBlank="1" showInputMessage="1" showErrorMessage="1" sqref="D335">
      <formula1>liste_types</formula1>
    </dataValidation>
    <dataValidation type="list" allowBlank="1" showInputMessage="1" showErrorMessage="1" sqref="F335">
      <formula1>liste_categories</formula1>
    </dataValidation>
    <dataValidation type="list" allowBlank="1" showInputMessage="1" showErrorMessage="1" sqref="G335">
      <formula1>liste_responsables</formula1>
    </dataValidation>
    <dataValidation type="list" allowBlank="1" showInputMessage="1" showErrorMessage="1" sqref="H335">
      <formula1>liste_sites</formula1>
    </dataValidation>
    <dataValidation type="list" allowBlank="1" showInputMessage="1" showErrorMessage="1" sqref="I335">
      <formula1>liste_priorites</formula1>
    </dataValidation>
    <dataValidation type="date" operator="greaterThanOrEqual" allowBlank="1" showInputMessage="1" showErrorMessage="1" sqref="J335">
      <formula1>730120</formula1>
    </dataValidation>
    <dataValidation type="date" operator="greaterThanOrEqual" allowBlank="1" showInputMessage="1" showErrorMessage="1" sqref="K335">
      <formula1>730120</formula1>
    </dataValidation>
    <dataValidation type="date" operator="greaterThanOrEqual" allowBlank="1" showInputMessage="1" showErrorMessage="1" sqref="L335">
      <formula1>730120</formula1>
    </dataValidation>
    <dataValidation type="whole" allowBlank="1" showInputMessage="1" showErrorMessage="1" sqref="P335">
      <formula1>0</formula1>
      <formula2>100</formula2>
    </dataValidation>
    <dataValidation type="decimal" operator="greaterThanOrEqual" allowBlank="1" showInputMessage="1" showErrorMessage="1" sqref="Q335">
      <formula1>0</formula1>
    </dataValidation>
    <dataValidation type="decimal" operator="greaterThanOrEqual" allowBlank="1" showInputMessage="1" showErrorMessage="1" sqref="R335">
      <formula1>0</formula1>
    </dataValidation>
    <dataValidation type="whole" allowBlank="1" showInputMessage="1" showErrorMessage="1" sqref="U335">
      <formula1>1</formula1>
      <formula2>5</formula2>
    </dataValidation>
    <dataValidation type="whole" allowBlank="1" showInputMessage="1" showErrorMessage="1" sqref="V335">
      <formula1>1</formula1>
      <formula2>5</formula2>
    </dataValidation>
    <dataValidation type="whole" allowBlank="1" showInputMessage="1" showErrorMessage="1" sqref="X335">
      <formula1>1</formula1>
      <formula2>5</formula2>
    </dataValidation>
    <dataValidation type="decimal" operator="greaterThanOrEqual" allowBlank="1" showInputMessage="1" showErrorMessage="1" sqref="Y335">
      <formula1>0</formula1>
    </dataValidation>
    <dataValidation type="whole" operator="greaterThanOrEqual" allowBlank="1" showInputMessage="1" showErrorMessage="1" sqref="Z335">
      <formula1>0</formula1>
    </dataValidation>
    <dataValidation type="whole" allowBlank="1" showInputMessage="1" showErrorMessage="1" sqref="AA335">
      <formula1>1</formula1>
      <formula2>5</formula2>
    </dataValidation>
    <dataValidation type="decimal" allowBlank="1" showInputMessage="1" showErrorMessage="1" sqref="AB335">
      <formula1>0</formula1>
      <formula2>1</formula2>
    </dataValidation>
    <dataValidation type="list" allowBlank="1" showInputMessage="1" showErrorMessage="1" sqref="O335">
      <formula1>liste_statuts</formula1>
    </dataValidation>
    <dataValidation type="list" allowBlank="1" showInputMessage="1" showErrorMessage="1" sqref="B336">
      <formula1>liste_programmes</formula1>
    </dataValidation>
    <dataValidation type="list" allowBlank="1" showInputMessage="1" showErrorMessage="1" sqref="D336">
      <formula1>liste_types</formula1>
    </dataValidation>
    <dataValidation type="list" allowBlank="1" showInputMessage="1" showErrorMessage="1" sqref="F336">
      <formula1>liste_categories</formula1>
    </dataValidation>
    <dataValidation type="list" allowBlank="1" showInputMessage="1" showErrorMessage="1" sqref="G336">
      <formula1>liste_responsables</formula1>
    </dataValidation>
    <dataValidation type="list" allowBlank="1" showInputMessage="1" showErrorMessage="1" sqref="H336">
      <formula1>liste_sites</formula1>
    </dataValidation>
    <dataValidation type="list" allowBlank="1" showInputMessage="1" showErrorMessage="1" sqref="I336">
      <formula1>liste_priorites</formula1>
    </dataValidation>
    <dataValidation type="date" operator="greaterThanOrEqual" allowBlank="1" showInputMessage="1" showErrorMessage="1" sqref="J336">
      <formula1>730120</formula1>
    </dataValidation>
    <dataValidation type="date" operator="greaterThanOrEqual" allowBlank="1" showInputMessage="1" showErrorMessage="1" sqref="K336">
      <formula1>730120</formula1>
    </dataValidation>
    <dataValidation type="date" operator="greaterThanOrEqual" allowBlank="1" showInputMessage="1" showErrorMessage="1" sqref="L336">
      <formula1>730120</formula1>
    </dataValidation>
    <dataValidation type="whole" allowBlank="1" showInputMessage="1" showErrorMessage="1" sqref="P336">
      <formula1>0</formula1>
      <formula2>100</formula2>
    </dataValidation>
    <dataValidation type="decimal" operator="greaterThanOrEqual" allowBlank="1" showInputMessage="1" showErrorMessage="1" sqref="Q336">
      <formula1>0</formula1>
    </dataValidation>
    <dataValidation type="decimal" operator="greaterThanOrEqual" allowBlank="1" showInputMessage="1" showErrorMessage="1" sqref="R336">
      <formula1>0</formula1>
    </dataValidation>
    <dataValidation type="whole" allowBlank="1" showInputMessage="1" showErrorMessage="1" sqref="U336">
      <formula1>1</formula1>
      <formula2>5</formula2>
    </dataValidation>
    <dataValidation type="whole" allowBlank="1" showInputMessage="1" showErrorMessage="1" sqref="V336">
      <formula1>1</formula1>
      <formula2>5</formula2>
    </dataValidation>
    <dataValidation type="whole" allowBlank="1" showInputMessage="1" showErrorMessage="1" sqref="X336">
      <formula1>1</formula1>
      <formula2>5</formula2>
    </dataValidation>
    <dataValidation type="decimal" operator="greaterThanOrEqual" allowBlank="1" showInputMessage="1" showErrorMessage="1" sqref="Y336">
      <formula1>0</formula1>
    </dataValidation>
    <dataValidation type="whole" operator="greaterThanOrEqual" allowBlank="1" showInputMessage="1" showErrorMessage="1" sqref="Z336">
      <formula1>0</formula1>
    </dataValidation>
    <dataValidation type="whole" allowBlank="1" showInputMessage="1" showErrorMessage="1" sqref="AA336">
      <formula1>1</formula1>
      <formula2>5</formula2>
    </dataValidation>
    <dataValidation type="decimal" allowBlank="1" showInputMessage="1" showErrorMessage="1" sqref="AB336">
      <formula1>0</formula1>
      <formula2>1</formula2>
    </dataValidation>
    <dataValidation type="list" allowBlank="1" showInputMessage="1" showErrorMessage="1" sqref="O336">
      <formula1>liste_statuts</formula1>
    </dataValidation>
    <dataValidation type="list" allowBlank="1" showInputMessage="1" showErrorMessage="1" sqref="B337">
      <formula1>liste_programmes</formula1>
    </dataValidation>
    <dataValidation type="list" allowBlank="1" showInputMessage="1" showErrorMessage="1" sqref="D337">
      <formula1>liste_types</formula1>
    </dataValidation>
    <dataValidation type="list" allowBlank="1" showInputMessage="1" showErrorMessage="1" sqref="F337">
      <formula1>liste_categories</formula1>
    </dataValidation>
    <dataValidation type="list" allowBlank="1" showInputMessage="1" showErrorMessage="1" sqref="G337">
      <formula1>liste_responsables</formula1>
    </dataValidation>
    <dataValidation type="list" allowBlank="1" showInputMessage="1" showErrorMessage="1" sqref="H337">
      <formula1>liste_sites</formula1>
    </dataValidation>
    <dataValidation type="list" allowBlank="1" showInputMessage="1" showErrorMessage="1" sqref="I337">
      <formula1>liste_priorites</formula1>
    </dataValidation>
    <dataValidation type="date" operator="greaterThanOrEqual" allowBlank="1" showInputMessage="1" showErrorMessage="1" sqref="J337">
      <formula1>730120</formula1>
    </dataValidation>
    <dataValidation type="date" operator="greaterThanOrEqual" allowBlank="1" showInputMessage="1" showErrorMessage="1" sqref="K337">
      <formula1>730120</formula1>
    </dataValidation>
    <dataValidation type="date" operator="greaterThanOrEqual" allowBlank="1" showInputMessage="1" showErrorMessage="1" sqref="L337">
      <formula1>730120</formula1>
    </dataValidation>
    <dataValidation type="whole" allowBlank="1" showInputMessage="1" showErrorMessage="1" sqref="P337">
      <formula1>0</formula1>
      <formula2>100</formula2>
    </dataValidation>
    <dataValidation type="decimal" operator="greaterThanOrEqual" allowBlank="1" showInputMessage="1" showErrorMessage="1" sqref="Q337">
      <formula1>0</formula1>
    </dataValidation>
    <dataValidation type="decimal" operator="greaterThanOrEqual" allowBlank="1" showInputMessage="1" showErrorMessage="1" sqref="R337">
      <formula1>0</formula1>
    </dataValidation>
    <dataValidation type="whole" allowBlank="1" showInputMessage="1" showErrorMessage="1" sqref="U337">
      <formula1>1</formula1>
      <formula2>5</formula2>
    </dataValidation>
    <dataValidation type="whole" allowBlank="1" showInputMessage="1" showErrorMessage="1" sqref="V337">
      <formula1>1</formula1>
      <formula2>5</formula2>
    </dataValidation>
    <dataValidation type="whole" allowBlank="1" showInputMessage="1" showErrorMessage="1" sqref="X337">
      <formula1>1</formula1>
      <formula2>5</formula2>
    </dataValidation>
    <dataValidation type="decimal" operator="greaterThanOrEqual" allowBlank="1" showInputMessage="1" showErrorMessage="1" sqref="Y337">
      <formula1>0</formula1>
    </dataValidation>
    <dataValidation type="whole" operator="greaterThanOrEqual" allowBlank="1" showInputMessage="1" showErrorMessage="1" sqref="Z337">
      <formula1>0</formula1>
    </dataValidation>
    <dataValidation type="whole" allowBlank="1" showInputMessage="1" showErrorMessage="1" sqref="AA337">
      <formula1>1</formula1>
      <formula2>5</formula2>
    </dataValidation>
    <dataValidation type="decimal" allowBlank="1" showInputMessage="1" showErrorMessage="1" sqref="AB337">
      <formula1>0</formula1>
      <formula2>1</formula2>
    </dataValidation>
    <dataValidation type="list" allowBlank="1" showInputMessage="1" showErrorMessage="1" sqref="O337">
      <formula1>liste_statuts</formula1>
    </dataValidation>
    <dataValidation type="list" allowBlank="1" showInputMessage="1" showErrorMessage="1" sqref="B338">
      <formula1>liste_programmes</formula1>
    </dataValidation>
    <dataValidation type="list" allowBlank="1" showInputMessage="1" showErrorMessage="1" sqref="D338">
      <formula1>liste_types</formula1>
    </dataValidation>
    <dataValidation type="list" allowBlank="1" showInputMessage="1" showErrorMessage="1" sqref="F338">
      <formula1>liste_categories</formula1>
    </dataValidation>
    <dataValidation type="list" allowBlank="1" showInputMessage="1" showErrorMessage="1" sqref="G338">
      <formula1>liste_responsables</formula1>
    </dataValidation>
    <dataValidation type="list" allowBlank="1" showInputMessage="1" showErrorMessage="1" sqref="H338">
      <formula1>liste_sites</formula1>
    </dataValidation>
    <dataValidation type="list" allowBlank="1" showInputMessage="1" showErrorMessage="1" sqref="I338">
      <formula1>liste_priorites</formula1>
    </dataValidation>
    <dataValidation type="date" operator="greaterThanOrEqual" allowBlank="1" showInputMessage="1" showErrorMessage="1" sqref="J338">
      <formula1>730120</formula1>
    </dataValidation>
    <dataValidation type="date" operator="greaterThanOrEqual" allowBlank="1" showInputMessage="1" showErrorMessage="1" sqref="K338">
      <formula1>730120</formula1>
    </dataValidation>
    <dataValidation type="date" operator="greaterThanOrEqual" allowBlank="1" showInputMessage="1" showErrorMessage="1" sqref="L338">
      <formula1>730120</formula1>
    </dataValidation>
    <dataValidation type="whole" allowBlank="1" showInputMessage="1" showErrorMessage="1" sqref="P338">
      <formula1>0</formula1>
      <formula2>100</formula2>
    </dataValidation>
    <dataValidation type="decimal" operator="greaterThanOrEqual" allowBlank="1" showInputMessage="1" showErrorMessage="1" sqref="Q338">
      <formula1>0</formula1>
    </dataValidation>
    <dataValidation type="decimal" operator="greaterThanOrEqual" allowBlank="1" showInputMessage="1" showErrorMessage="1" sqref="R338">
      <formula1>0</formula1>
    </dataValidation>
    <dataValidation type="whole" allowBlank="1" showInputMessage="1" showErrorMessage="1" sqref="U338">
      <formula1>1</formula1>
      <formula2>5</formula2>
    </dataValidation>
    <dataValidation type="whole" allowBlank="1" showInputMessage="1" showErrorMessage="1" sqref="V338">
      <formula1>1</formula1>
      <formula2>5</formula2>
    </dataValidation>
    <dataValidation type="whole" allowBlank="1" showInputMessage="1" showErrorMessage="1" sqref="X338">
      <formula1>1</formula1>
      <formula2>5</formula2>
    </dataValidation>
    <dataValidation type="decimal" operator="greaterThanOrEqual" allowBlank="1" showInputMessage="1" showErrorMessage="1" sqref="Y338">
      <formula1>0</formula1>
    </dataValidation>
    <dataValidation type="whole" operator="greaterThanOrEqual" allowBlank="1" showInputMessage="1" showErrorMessage="1" sqref="Z338">
      <formula1>0</formula1>
    </dataValidation>
    <dataValidation type="whole" allowBlank="1" showInputMessage="1" showErrorMessage="1" sqref="AA338">
      <formula1>1</formula1>
      <formula2>5</formula2>
    </dataValidation>
    <dataValidation type="decimal" allowBlank="1" showInputMessage="1" showErrorMessage="1" sqref="AB338">
      <formula1>0</formula1>
      <formula2>1</formula2>
    </dataValidation>
    <dataValidation type="list" allowBlank="1" showInputMessage="1" showErrorMessage="1" sqref="O338">
      <formula1>liste_statuts</formula1>
    </dataValidation>
    <dataValidation type="list" allowBlank="1" showInputMessage="1" showErrorMessage="1" sqref="B339">
      <formula1>liste_programmes</formula1>
    </dataValidation>
    <dataValidation type="list" allowBlank="1" showInputMessage="1" showErrorMessage="1" sqref="D339">
      <formula1>liste_types</formula1>
    </dataValidation>
    <dataValidation type="list" allowBlank="1" showInputMessage="1" showErrorMessage="1" sqref="F339">
      <formula1>liste_categories</formula1>
    </dataValidation>
    <dataValidation type="list" allowBlank="1" showInputMessage="1" showErrorMessage="1" sqref="G339">
      <formula1>liste_responsables</formula1>
    </dataValidation>
    <dataValidation type="list" allowBlank="1" showInputMessage="1" showErrorMessage="1" sqref="H339">
      <formula1>liste_sites</formula1>
    </dataValidation>
    <dataValidation type="list" allowBlank="1" showInputMessage="1" showErrorMessage="1" sqref="I339">
      <formula1>liste_priorites</formula1>
    </dataValidation>
    <dataValidation type="date" operator="greaterThanOrEqual" allowBlank="1" showInputMessage="1" showErrorMessage="1" sqref="J339">
      <formula1>730120</formula1>
    </dataValidation>
    <dataValidation type="date" operator="greaterThanOrEqual" allowBlank="1" showInputMessage="1" showErrorMessage="1" sqref="K339">
      <formula1>730120</formula1>
    </dataValidation>
    <dataValidation type="date" operator="greaterThanOrEqual" allowBlank="1" showInputMessage="1" showErrorMessage="1" sqref="L339">
      <formula1>730120</formula1>
    </dataValidation>
    <dataValidation type="whole" allowBlank="1" showInputMessage="1" showErrorMessage="1" sqref="P339">
      <formula1>0</formula1>
      <formula2>100</formula2>
    </dataValidation>
    <dataValidation type="decimal" operator="greaterThanOrEqual" allowBlank="1" showInputMessage="1" showErrorMessage="1" sqref="Q339">
      <formula1>0</formula1>
    </dataValidation>
    <dataValidation type="decimal" operator="greaterThanOrEqual" allowBlank="1" showInputMessage="1" showErrorMessage="1" sqref="R339">
      <formula1>0</formula1>
    </dataValidation>
    <dataValidation type="whole" allowBlank="1" showInputMessage="1" showErrorMessage="1" sqref="U339">
      <formula1>1</formula1>
      <formula2>5</formula2>
    </dataValidation>
    <dataValidation type="whole" allowBlank="1" showInputMessage="1" showErrorMessage="1" sqref="V339">
      <formula1>1</formula1>
      <formula2>5</formula2>
    </dataValidation>
    <dataValidation type="whole" allowBlank="1" showInputMessage="1" showErrorMessage="1" sqref="X339">
      <formula1>1</formula1>
      <formula2>5</formula2>
    </dataValidation>
    <dataValidation type="decimal" operator="greaterThanOrEqual" allowBlank="1" showInputMessage="1" showErrorMessage="1" sqref="Y339">
      <formula1>0</formula1>
    </dataValidation>
    <dataValidation type="whole" operator="greaterThanOrEqual" allowBlank="1" showInputMessage="1" showErrorMessage="1" sqref="Z339">
      <formula1>0</formula1>
    </dataValidation>
    <dataValidation type="whole" allowBlank="1" showInputMessage="1" showErrorMessage="1" sqref="AA339">
      <formula1>1</formula1>
      <formula2>5</formula2>
    </dataValidation>
    <dataValidation type="decimal" allowBlank="1" showInputMessage="1" showErrorMessage="1" sqref="AB339">
      <formula1>0</formula1>
      <formula2>1</formula2>
    </dataValidation>
    <dataValidation type="list" allowBlank="1" showInputMessage="1" showErrorMessage="1" sqref="O339">
      <formula1>liste_statuts</formula1>
    </dataValidation>
    <dataValidation type="list" allowBlank="1" showInputMessage="1" showErrorMessage="1" sqref="B340">
      <formula1>liste_programmes</formula1>
    </dataValidation>
    <dataValidation type="list" allowBlank="1" showInputMessage="1" showErrorMessage="1" sqref="D340">
      <formula1>liste_types</formula1>
    </dataValidation>
    <dataValidation type="list" allowBlank="1" showInputMessage="1" showErrorMessage="1" sqref="F340">
      <formula1>liste_categories</formula1>
    </dataValidation>
    <dataValidation type="list" allowBlank="1" showInputMessage="1" showErrorMessage="1" sqref="G340">
      <formula1>liste_responsables</formula1>
    </dataValidation>
    <dataValidation type="list" allowBlank="1" showInputMessage="1" showErrorMessage="1" sqref="H340">
      <formula1>liste_sites</formula1>
    </dataValidation>
    <dataValidation type="list" allowBlank="1" showInputMessage="1" showErrorMessage="1" sqref="I340">
      <formula1>liste_priorites</formula1>
    </dataValidation>
    <dataValidation type="date" operator="greaterThanOrEqual" allowBlank="1" showInputMessage="1" showErrorMessage="1" sqref="J340">
      <formula1>730120</formula1>
    </dataValidation>
    <dataValidation type="date" operator="greaterThanOrEqual" allowBlank="1" showInputMessage="1" showErrorMessage="1" sqref="K340">
      <formula1>730120</formula1>
    </dataValidation>
    <dataValidation type="date" operator="greaterThanOrEqual" allowBlank="1" showInputMessage="1" showErrorMessage="1" sqref="L340">
      <formula1>730120</formula1>
    </dataValidation>
    <dataValidation type="whole" allowBlank="1" showInputMessage="1" showErrorMessage="1" sqref="P340">
      <formula1>0</formula1>
      <formula2>100</formula2>
    </dataValidation>
    <dataValidation type="decimal" operator="greaterThanOrEqual" allowBlank="1" showInputMessage="1" showErrorMessage="1" sqref="Q340">
      <formula1>0</formula1>
    </dataValidation>
    <dataValidation type="decimal" operator="greaterThanOrEqual" allowBlank="1" showInputMessage="1" showErrorMessage="1" sqref="R340">
      <formula1>0</formula1>
    </dataValidation>
    <dataValidation type="whole" allowBlank="1" showInputMessage="1" showErrorMessage="1" sqref="U340">
      <formula1>1</formula1>
      <formula2>5</formula2>
    </dataValidation>
    <dataValidation type="whole" allowBlank="1" showInputMessage="1" showErrorMessage="1" sqref="V340">
      <formula1>1</formula1>
      <formula2>5</formula2>
    </dataValidation>
    <dataValidation type="whole" allowBlank="1" showInputMessage="1" showErrorMessage="1" sqref="X340">
      <formula1>1</formula1>
      <formula2>5</formula2>
    </dataValidation>
    <dataValidation type="decimal" operator="greaterThanOrEqual" allowBlank="1" showInputMessage="1" showErrorMessage="1" sqref="Y340">
      <formula1>0</formula1>
    </dataValidation>
    <dataValidation type="whole" operator="greaterThanOrEqual" allowBlank="1" showInputMessage="1" showErrorMessage="1" sqref="Z340">
      <formula1>0</formula1>
    </dataValidation>
    <dataValidation type="whole" allowBlank="1" showInputMessage="1" showErrorMessage="1" sqref="AA340">
      <formula1>1</formula1>
      <formula2>5</formula2>
    </dataValidation>
    <dataValidation type="decimal" allowBlank="1" showInputMessage="1" showErrorMessage="1" sqref="AB340">
      <formula1>0</formula1>
      <formula2>1</formula2>
    </dataValidation>
    <dataValidation type="list" allowBlank="1" showInputMessage="1" showErrorMessage="1" sqref="O340">
      <formula1>liste_statuts</formula1>
    </dataValidation>
    <dataValidation type="list" allowBlank="1" showInputMessage="1" showErrorMessage="1" sqref="B341">
      <formula1>liste_programmes</formula1>
    </dataValidation>
    <dataValidation type="list" allowBlank="1" showInputMessage="1" showErrorMessage="1" sqref="D341">
      <formula1>liste_types</formula1>
    </dataValidation>
    <dataValidation type="list" allowBlank="1" showInputMessage="1" showErrorMessage="1" sqref="F341">
      <formula1>liste_categories</formula1>
    </dataValidation>
    <dataValidation type="list" allowBlank="1" showInputMessage="1" showErrorMessage="1" sqref="G341">
      <formula1>liste_responsables</formula1>
    </dataValidation>
    <dataValidation type="list" allowBlank="1" showInputMessage="1" showErrorMessage="1" sqref="H341">
      <formula1>liste_sites</formula1>
    </dataValidation>
    <dataValidation type="list" allowBlank="1" showInputMessage="1" showErrorMessage="1" sqref="I341">
      <formula1>liste_priorites</formula1>
    </dataValidation>
    <dataValidation type="date" operator="greaterThanOrEqual" allowBlank="1" showInputMessage="1" showErrorMessage="1" sqref="J341">
      <formula1>730120</formula1>
    </dataValidation>
    <dataValidation type="date" operator="greaterThanOrEqual" allowBlank="1" showInputMessage="1" showErrorMessage="1" sqref="K341">
      <formula1>730120</formula1>
    </dataValidation>
    <dataValidation type="date" operator="greaterThanOrEqual" allowBlank="1" showInputMessage="1" showErrorMessage="1" sqref="L341">
      <formula1>730120</formula1>
    </dataValidation>
    <dataValidation type="whole" allowBlank="1" showInputMessage="1" showErrorMessage="1" sqref="P341">
      <formula1>0</formula1>
      <formula2>100</formula2>
    </dataValidation>
    <dataValidation type="decimal" operator="greaterThanOrEqual" allowBlank="1" showInputMessage="1" showErrorMessage="1" sqref="Q341">
      <formula1>0</formula1>
    </dataValidation>
    <dataValidation type="decimal" operator="greaterThanOrEqual" allowBlank="1" showInputMessage="1" showErrorMessage="1" sqref="R341">
      <formula1>0</formula1>
    </dataValidation>
    <dataValidation type="whole" allowBlank="1" showInputMessage="1" showErrorMessage="1" sqref="U341">
      <formula1>1</formula1>
      <formula2>5</formula2>
    </dataValidation>
    <dataValidation type="whole" allowBlank="1" showInputMessage="1" showErrorMessage="1" sqref="V341">
      <formula1>1</formula1>
      <formula2>5</formula2>
    </dataValidation>
    <dataValidation type="whole" allowBlank="1" showInputMessage="1" showErrorMessage="1" sqref="X341">
      <formula1>1</formula1>
      <formula2>5</formula2>
    </dataValidation>
    <dataValidation type="decimal" operator="greaterThanOrEqual" allowBlank="1" showInputMessage="1" showErrorMessage="1" sqref="Y341">
      <formula1>0</formula1>
    </dataValidation>
    <dataValidation type="whole" operator="greaterThanOrEqual" allowBlank="1" showInputMessage="1" showErrorMessage="1" sqref="Z341">
      <formula1>0</formula1>
    </dataValidation>
    <dataValidation type="whole" allowBlank="1" showInputMessage="1" showErrorMessage="1" sqref="AA341">
      <formula1>1</formula1>
      <formula2>5</formula2>
    </dataValidation>
    <dataValidation type="decimal" allowBlank="1" showInputMessage="1" showErrorMessage="1" sqref="AB341">
      <formula1>0</formula1>
      <formula2>1</formula2>
    </dataValidation>
    <dataValidation type="list" allowBlank="1" showInputMessage="1" showErrorMessage="1" sqref="O341">
      <formula1>liste_statuts</formula1>
    </dataValidation>
    <dataValidation type="list" allowBlank="1" showInputMessage="1" showErrorMessage="1" sqref="B342">
      <formula1>liste_programmes</formula1>
    </dataValidation>
    <dataValidation type="list" allowBlank="1" showInputMessage="1" showErrorMessage="1" sqref="D342">
      <formula1>liste_types</formula1>
    </dataValidation>
    <dataValidation type="list" allowBlank="1" showInputMessage="1" showErrorMessage="1" sqref="F342">
      <formula1>liste_categories</formula1>
    </dataValidation>
    <dataValidation type="list" allowBlank="1" showInputMessage="1" showErrorMessage="1" sqref="G342">
      <formula1>liste_responsables</formula1>
    </dataValidation>
    <dataValidation type="list" allowBlank="1" showInputMessage="1" showErrorMessage="1" sqref="H342">
      <formula1>liste_sites</formula1>
    </dataValidation>
    <dataValidation type="list" allowBlank="1" showInputMessage="1" showErrorMessage="1" sqref="I342">
      <formula1>liste_priorites</formula1>
    </dataValidation>
    <dataValidation type="date" operator="greaterThanOrEqual" allowBlank="1" showInputMessage="1" showErrorMessage="1" sqref="J342">
      <formula1>730120</formula1>
    </dataValidation>
    <dataValidation type="date" operator="greaterThanOrEqual" allowBlank="1" showInputMessage="1" showErrorMessage="1" sqref="K342">
      <formula1>730120</formula1>
    </dataValidation>
    <dataValidation type="date" operator="greaterThanOrEqual" allowBlank="1" showInputMessage="1" showErrorMessage="1" sqref="L342">
      <formula1>730120</formula1>
    </dataValidation>
    <dataValidation type="whole" allowBlank="1" showInputMessage="1" showErrorMessage="1" sqref="P342">
      <formula1>0</formula1>
      <formula2>100</formula2>
    </dataValidation>
    <dataValidation type="decimal" operator="greaterThanOrEqual" allowBlank="1" showInputMessage="1" showErrorMessage="1" sqref="Q342">
      <formula1>0</formula1>
    </dataValidation>
    <dataValidation type="decimal" operator="greaterThanOrEqual" allowBlank="1" showInputMessage="1" showErrorMessage="1" sqref="R342">
      <formula1>0</formula1>
    </dataValidation>
    <dataValidation type="whole" allowBlank="1" showInputMessage="1" showErrorMessage="1" sqref="U342">
      <formula1>1</formula1>
      <formula2>5</formula2>
    </dataValidation>
    <dataValidation type="whole" allowBlank="1" showInputMessage="1" showErrorMessage="1" sqref="V342">
      <formula1>1</formula1>
      <formula2>5</formula2>
    </dataValidation>
    <dataValidation type="whole" allowBlank="1" showInputMessage="1" showErrorMessage="1" sqref="X342">
      <formula1>1</formula1>
      <formula2>5</formula2>
    </dataValidation>
    <dataValidation type="decimal" operator="greaterThanOrEqual" allowBlank="1" showInputMessage="1" showErrorMessage="1" sqref="Y342">
      <formula1>0</formula1>
    </dataValidation>
    <dataValidation type="whole" operator="greaterThanOrEqual" allowBlank="1" showInputMessage="1" showErrorMessage="1" sqref="Z342">
      <formula1>0</formula1>
    </dataValidation>
    <dataValidation type="whole" allowBlank="1" showInputMessage="1" showErrorMessage="1" sqref="AA342">
      <formula1>1</formula1>
      <formula2>5</formula2>
    </dataValidation>
    <dataValidation type="decimal" allowBlank="1" showInputMessage="1" showErrorMessage="1" sqref="AB342">
      <formula1>0</formula1>
      <formula2>1</formula2>
    </dataValidation>
    <dataValidation type="list" allowBlank="1" showInputMessage="1" showErrorMessage="1" sqref="O342">
      <formula1>liste_statuts</formula1>
    </dataValidation>
    <dataValidation type="list" allowBlank="1" showInputMessage="1" showErrorMessage="1" sqref="B343">
      <formula1>liste_programmes</formula1>
    </dataValidation>
    <dataValidation type="list" allowBlank="1" showInputMessage="1" showErrorMessage="1" sqref="D343">
      <formula1>liste_types</formula1>
    </dataValidation>
    <dataValidation type="list" allowBlank="1" showInputMessage="1" showErrorMessage="1" sqref="F343">
      <formula1>liste_categories</formula1>
    </dataValidation>
    <dataValidation type="list" allowBlank="1" showInputMessage="1" showErrorMessage="1" sqref="G343">
      <formula1>liste_responsables</formula1>
    </dataValidation>
    <dataValidation type="list" allowBlank="1" showInputMessage="1" showErrorMessage="1" sqref="H343">
      <formula1>liste_sites</formula1>
    </dataValidation>
    <dataValidation type="list" allowBlank="1" showInputMessage="1" showErrorMessage="1" sqref="I343">
      <formula1>liste_priorites</formula1>
    </dataValidation>
    <dataValidation type="date" operator="greaterThanOrEqual" allowBlank="1" showInputMessage="1" showErrorMessage="1" sqref="J343">
      <formula1>730120</formula1>
    </dataValidation>
    <dataValidation type="date" operator="greaterThanOrEqual" allowBlank="1" showInputMessage="1" showErrorMessage="1" sqref="K343">
      <formula1>730120</formula1>
    </dataValidation>
    <dataValidation type="date" operator="greaterThanOrEqual" allowBlank="1" showInputMessage="1" showErrorMessage="1" sqref="L343">
      <formula1>730120</formula1>
    </dataValidation>
    <dataValidation type="whole" allowBlank="1" showInputMessage="1" showErrorMessage="1" sqref="P343">
      <formula1>0</formula1>
      <formula2>100</formula2>
    </dataValidation>
    <dataValidation type="decimal" operator="greaterThanOrEqual" allowBlank="1" showInputMessage="1" showErrorMessage="1" sqref="Q343">
      <formula1>0</formula1>
    </dataValidation>
    <dataValidation type="decimal" operator="greaterThanOrEqual" allowBlank="1" showInputMessage="1" showErrorMessage="1" sqref="R343">
      <formula1>0</formula1>
    </dataValidation>
    <dataValidation type="whole" allowBlank="1" showInputMessage="1" showErrorMessage="1" sqref="U343">
      <formula1>1</formula1>
      <formula2>5</formula2>
    </dataValidation>
    <dataValidation type="whole" allowBlank="1" showInputMessage="1" showErrorMessage="1" sqref="V343">
      <formula1>1</formula1>
      <formula2>5</formula2>
    </dataValidation>
    <dataValidation type="whole" allowBlank="1" showInputMessage="1" showErrorMessage="1" sqref="X343">
      <formula1>1</formula1>
      <formula2>5</formula2>
    </dataValidation>
    <dataValidation type="decimal" operator="greaterThanOrEqual" allowBlank="1" showInputMessage="1" showErrorMessage="1" sqref="Y343">
      <formula1>0</formula1>
    </dataValidation>
    <dataValidation type="whole" operator="greaterThanOrEqual" allowBlank="1" showInputMessage="1" showErrorMessage="1" sqref="Z343">
      <formula1>0</formula1>
    </dataValidation>
    <dataValidation type="whole" allowBlank="1" showInputMessage="1" showErrorMessage="1" sqref="AA343">
      <formula1>1</formula1>
      <formula2>5</formula2>
    </dataValidation>
    <dataValidation type="decimal" allowBlank="1" showInputMessage="1" showErrorMessage="1" sqref="AB343">
      <formula1>0</formula1>
      <formula2>1</formula2>
    </dataValidation>
    <dataValidation type="list" allowBlank="1" showInputMessage="1" showErrorMessage="1" sqref="O343">
      <formula1>liste_statuts</formula1>
    </dataValidation>
    <dataValidation type="list" allowBlank="1" showInputMessage="1" showErrorMessage="1" sqref="B344">
      <formula1>liste_programmes</formula1>
    </dataValidation>
    <dataValidation type="list" allowBlank="1" showInputMessage="1" showErrorMessage="1" sqref="D344">
      <formula1>liste_types</formula1>
    </dataValidation>
    <dataValidation type="list" allowBlank="1" showInputMessage="1" showErrorMessage="1" sqref="F344">
      <formula1>liste_categories</formula1>
    </dataValidation>
    <dataValidation type="list" allowBlank="1" showInputMessage="1" showErrorMessage="1" sqref="G344">
      <formula1>liste_responsables</formula1>
    </dataValidation>
    <dataValidation type="list" allowBlank="1" showInputMessage="1" showErrorMessage="1" sqref="H344">
      <formula1>liste_sites</formula1>
    </dataValidation>
    <dataValidation type="list" allowBlank="1" showInputMessage="1" showErrorMessage="1" sqref="I344">
      <formula1>liste_priorites</formula1>
    </dataValidation>
    <dataValidation type="date" operator="greaterThanOrEqual" allowBlank="1" showInputMessage="1" showErrorMessage="1" sqref="J344">
      <formula1>730120</formula1>
    </dataValidation>
    <dataValidation type="date" operator="greaterThanOrEqual" allowBlank="1" showInputMessage="1" showErrorMessage="1" sqref="K344">
      <formula1>730120</formula1>
    </dataValidation>
    <dataValidation type="date" operator="greaterThanOrEqual" allowBlank="1" showInputMessage="1" showErrorMessage="1" sqref="L344">
      <formula1>730120</formula1>
    </dataValidation>
    <dataValidation type="whole" allowBlank="1" showInputMessage="1" showErrorMessage="1" sqref="P344">
      <formula1>0</formula1>
      <formula2>100</formula2>
    </dataValidation>
    <dataValidation type="decimal" operator="greaterThanOrEqual" allowBlank="1" showInputMessage="1" showErrorMessage="1" sqref="Q344">
      <formula1>0</formula1>
    </dataValidation>
    <dataValidation type="decimal" operator="greaterThanOrEqual" allowBlank="1" showInputMessage="1" showErrorMessage="1" sqref="R344">
      <formula1>0</formula1>
    </dataValidation>
    <dataValidation type="whole" allowBlank="1" showInputMessage="1" showErrorMessage="1" sqref="U344">
      <formula1>1</formula1>
      <formula2>5</formula2>
    </dataValidation>
    <dataValidation type="whole" allowBlank="1" showInputMessage="1" showErrorMessage="1" sqref="V344">
      <formula1>1</formula1>
      <formula2>5</formula2>
    </dataValidation>
    <dataValidation type="whole" allowBlank="1" showInputMessage="1" showErrorMessage="1" sqref="X344">
      <formula1>1</formula1>
      <formula2>5</formula2>
    </dataValidation>
    <dataValidation type="decimal" operator="greaterThanOrEqual" allowBlank="1" showInputMessage="1" showErrorMessage="1" sqref="Y344">
      <formula1>0</formula1>
    </dataValidation>
    <dataValidation type="whole" operator="greaterThanOrEqual" allowBlank="1" showInputMessage="1" showErrorMessage="1" sqref="Z344">
      <formula1>0</formula1>
    </dataValidation>
    <dataValidation type="whole" allowBlank="1" showInputMessage="1" showErrorMessage="1" sqref="AA344">
      <formula1>1</formula1>
      <formula2>5</formula2>
    </dataValidation>
    <dataValidation type="decimal" allowBlank="1" showInputMessage="1" showErrorMessage="1" sqref="AB344">
      <formula1>0</formula1>
      <formula2>1</formula2>
    </dataValidation>
    <dataValidation type="list" allowBlank="1" showInputMessage="1" showErrorMessage="1" sqref="O344">
      <formula1>liste_statuts</formula1>
    </dataValidation>
    <dataValidation type="list" allowBlank="1" showInputMessage="1" showErrorMessage="1" sqref="B345">
      <formula1>liste_programmes</formula1>
    </dataValidation>
    <dataValidation type="list" allowBlank="1" showInputMessage="1" showErrorMessage="1" sqref="D345">
      <formula1>liste_types</formula1>
    </dataValidation>
    <dataValidation type="list" allowBlank="1" showInputMessage="1" showErrorMessage="1" sqref="F345">
      <formula1>liste_categories</formula1>
    </dataValidation>
    <dataValidation type="list" allowBlank="1" showInputMessage="1" showErrorMessage="1" sqref="G345">
      <formula1>liste_responsables</formula1>
    </dataValidation>
    <dataValidation type="list" allowBlank="1" showInputMessage="1" showErrorMessage="1" sqref="H345">
      <formula1>liste_sites</formula1>
    </dataValidation>
    <dataValidation type="list" allowBlank="1" showInputMessage="1" showErrorMessage="1" sqref="I345">
      <formula1>liste_priorites</formula1>
    </dataValidation>
    <dataValidation type="date" operator="greaterThanOrEqual" allowBlank="1" showInputMessage="1" showErrorMessage="1" sqref="J345">
      <formula1>730120</formula1>
    </dataValidation>
    <dataValidation type="date" operator="greaterThanOrEqual" allowBlank="1" showInputMessage="1" showErrorMessage="1" sqref="K345">
      <formula1>730120</formula1>
    </dataValidation>
    <dataValidation type="date" operator="greaterThanOrEqual" allowBlank="1" showInputMessage="1" showErrorMessage="1" sqref="L345">
      <formula1>730120</formula1>
    </dataValidation>
    <dataValidation type="whole" allowBlank="1" showInputMessage="1" showErrorMessage="1" sqref="P345">
      <formula1>0</formula1>
      <formula2>100</formula2>
    </dataValidation>
    <dataValidation type="decimal" operator="greaterThanOrEqual" allowBlank="1" showInputMessage="1" showErrorMessage="1" sqref="Q345">
      <formula1>0</formula1>
    </dataValidation>
    <dataValidation type="decimal" operator="greaterThanOrEqual" allowBlank="1" showInputMessage="1" showErrorMessage="1" sqref="R345">
      <formula1>0</formula1>
    </dataValidation>
    <dataValidation type="whole" allowBlank="1" showInputMessage="1" showErrorMessage="1" sqref="U345">
      <formula1>1</formula1>
      <formula2>5</formula2>
    </dataValidation>
    <dataValidation type="whole" allowBlank="1" showInputMessage="1" showErrorMessage="1" sqref="V345">
      <formula1>1</formula1>
      <formula2>5</formula2>
    </dataValidation>
    <dataValidation type="whole" allowBlank="1" showInputMessage="1" showErrorMessage="1" sqref="X345">
      <formula1>1</formula1>
      <formula2>5</formula2>
    </dataValidation>
    <dataValidation type="decimal" operator="greaterThanOrEqual" allowBlank="1" showInputMessage="1" showErrorMessage="1" sqref="Y345">
      <formula1>0</formula1>
    </dataValidation>
    <dataValidation type="whole" operator="greaterThanOrEqual" allowBlank="1" showInputMessage="1" showErrorMessage="1" sqref="Z345">
      <formula1>0</formula1>
    </dataValidation>
    <dataValidation type="whole" allowBlank="1" showInputMessage="1" showErrorMessage="1" sqref="AA345">
      <formula1>1</formula1>
      <formula2>5</formula2>
    </dataValidation>
    <dataValidation type="decimal" allowBlank="1" showInputMessage="1" showErrorMessage="1" sqref="AB345">
      <formula1>0</formula1>
      <formula2>1</formula2>
    </dataValidation>
    <dataValidation type="list" allowBlank="1" showInputMessage="1" showErrorMessage="1" sqref="O345">
      <formula1>liste_statuts</formula1>
    </dataValidation>
    <dataValidation type="list" allowBlank="1" showInputMessage="1" showErrorMessage="1" sqref="B346">
      <formula1>liste_programmes</formula1>
    </dataValidation>
    <dataValidation type="list" allowBlank="1" showInputMessage="1" showErrorMessage="1" sqref="D346">
      <formula1>liste_types</formula1>
    </dataValidation>
    <dataValidation type="list" allowBlank="1" showInputMessage="1" showErrorMessage="1" sqref="F346">
      <formula1>liste_categories</formula1>
    </dataValidation>
    <dataValidation type="list" allowBlank="1" showInputMessage="1" showErrorMessage="1" sqref="G346">
      <formula1>liste_responsables</formula1>
    </dataValidation>
    <dataValidation type="list" allowBlank="1" showInputMessage="1" showErrorMessage="1" sqref="H346">
      <formula1>liste_sites</formula1>
    </dataValidation>
    <dataValidation type="list" allowBlank="1" showInputMessage="1" showErrorMessage="1" sqref="I346">
      <formula1>liste_priorites</formula1>
    </dataValidation>
    <dataValidation type="date" operator="greaterThanOrEqual" allowBlank="1" showInputMessage="1" showErrorMessage="1" sqref="J346">
      <formula1>730120</formula1>
    </dataValidation>
    <dataValidation type="date" operator="greaterThanOrEqual" allowBlank="1" showInputMessage="1" showErrorMessage="1" sqref="K346">
      <formula1>730120</formula1>
    </dataValidation>
    <dataValidation type="date" operator="greaterThanOrEqual" allowBlank="1" showInputMessage="1" showErrorMessage="1" sqref="L346">
      <formula1>730120</formula1>
    </dataValidation>
    <dataValidation type="whole" allowBlank="1" showInputMessage="1" showErrorMessage="1" sqref="P346">
      <formula1>0</formula1>
      <formula2>100</formula2>
    </dataValidation>
    <dataValidation type="decimal" operator="greaterThanOrEqual" allowBlank="1" showInputMessage="1" showErrorMessage="1" sqref="Q346">
      <formula1>0</formula1>
    </dataValidation>
    <dataValidation type="decimal" operator="greaterThanOrEqual" allowBlank="1" showInputMessage="1" showErrorMessage="1" sqref="R346">
      <formula1>0</formula1>
    </dataValidation>
    <dataValidation type="whole" allowBlank="1" showInputMessage="1" showErrorMessage="1" sqref="U346">
      <formula1>1</formula1>
      <formula2>5</formula2>
    </dataValidation>
    <dataValidation type="whole" allowBlank="1" showInputMessage="1" showErrorMessage="1" sqref="V346">
      <formula1>1</formula1>
      <formula2>5</formula2>
    </dataValidation>
    <dataValidation type="whole" allowBlank="1" showInputMessage="1" showErrorMessage="1" sqref="X346">
      <formula1>1</formula1>
      <formula2>5</formula2>
    </dataValidation>
    <dataValidation type="decimal" operator="greaterThanOrEqual" allowBlank="1" showInputMessage="1" showErrorMessage="1" sqref="Y346">
      <formula1>0</formula1>
    </dataValidation>
    <dataValidation type="whole" operator="greaterThanOrEqual" allowBlank="1" showInputMessage="1" showErrorMessage="1" sqref="Z346">
      <formula1>0</formula1>
    </dataValidation>
    <dataValidation type="whole" allowBlank="1" showInputMessage="1" showErrorMessage="1" sqref="AA346">
      <formula1>1</formula1>
      <formula2>5</formula2>
    </dataValidation>
    <dataValidation type="decimal" allowBlank="1" showInputMessage="1" showErrorMessage="1" sqref="AB346">
      <formula1>0</formula1>
      <formula2>1</formula2>
    </dataValidation>
    <dataValidation type="list" allowBlank="1" showInputMessage="1" showErrorMessage="1" sqref="O346">
      <formula1>liste_statuts</formula1>
    </dataValidation>
    <dataValidation type="list" allowBlank="1" showInputMessage="1" showErrorMessage="1" sqref="B347">
      <formula1>liste_programmes</formula1>
    </dataValidation>
    <dataValidation type="list" allowBlank="1" showInputMessage="1" showErrorMessage="1" sqref="D347">
      <formula1>liste_types</formula1>
    </dataValidation>
    <dataValidation type="list" allowBlank="1" showInputMessage="1" showErrorMessage="1" sqref="F347">
      <formula1>liste_categories</formula1>
    </dataValidation>
    <dataValidation type="list" allowBlank="1" showInputMessage="1" showErrorMessage="1" sqref="G347">
      <formula1>liste_responsables</formula1>
    </dataValidation>
    <dataValidation type="list" allowBlank="1" showInputMessage="1" showErrorMessage="1" sqref="H347">
      <formula1>liste_sites</formula1>
    </dataValidation>
    <dataValidation type="list" allowBlank="1" showInputMessage="1" showErrorMessage="1" sqref="I347">
      <formula1>liste_priorites</formula1>
    </dataValidation>
    <dataValidation type="date" operator="greaterThanOrEqual" allowBlank="1" showInputMessage="1" showErrorMessage="1" sqref="J347">
      <formula1>730120</formula1>
    </dataValidation>
    <dataValidation type="date" operator="greaterThanOrEqual" allowBlank="1" showInputMessage="1" showErrorMessage="1" sqref="K347">
      <formula1>730120</formula1>
    </dataValidation>
    <dataValidation type="date" operator="greaterThanOrEqual" allowBlank="1" showInputMessage="1" showErrorMessage="1" sqref="L347">
      <formula1>730120</formula1>
    </dataValidation>
    <dataValidation type="whole" allowBlank="1" showInputMessage="1" showErrorMessage="1" sqref="P347">
      <formula1>0</formula1>
      <formula2>100</formula2>
    </dataValidation>
    <dataValidation type="decimal" operator="greaterThanOrEqual" allowBlank="1" showInputMessage="1" showErrorMessage="1" sqref="Q347">
      <formula1>0</formula1>
    </dataValidation>
    <dataValidation type="decimal" operator="greaterThanOrEqual" allowBlank="1" showInputMessage="1" showErrorMessage="1" sqref="R347">
      <formula1>0</formula1>
    </dataValidation>
    <dataValidation type="whole" allowBlank="1" showInputMessage="1" showErrorMessage="1" sqref="U347">
      <formula1>1</formula1>
      <formula2>5</formula2>
    </dataValidation>
    <dataValidation type="whole" allowBlank="1" showInputMessage="1" showErrorMessage="1" sqref="V347">
      <formula1>1</formula1>
      <formula2>5</formula2>
    </dataValidation>
    <dataValidation type="whole" allowBlank="1" showInputMessage="1" showErrorMessage="1" sqref="X347">
      <formula1>1</formula1>
      <formula2>5</formula2>
    </dataValidation>
    <dataValidation type="decimal" operator="greaterThanOrEqual" allowBlank="1" showInputMessage="1" showErrorMessage="1" sqref="Y347">
      <formula1>0</formula1>
    </dataValidation>
    <dataValidation type="whole" operator="greaterThanOrEqual" allowBlank="1" showInputMessage="1" showErrorMessage="1" sqref="Z347">
      <formula1>0</formula1>
    </dataValidation>
    <dataValidation type="whole" allowBlank="1" showInputMessage="1" showErrorMessage="1" sqref="AA347">
      <formula1>1</formula1>
      <formula2>5</formula2>
    </dataValidation>
    <dataValidation type="decimal" allowBlank="1" showInputMessage="1" showErrorMessage="1" sqref="AB347">
      <formula1>0</formula1>
      <formula2>1</formula2>
    </dataValidation>
    <dataValidation type="list" allowBlank="1" showInputMessage="1" showErrorMessage="1" sqref="O347">
      <formula1>liste_statuts</formula1>
    </dataValidation>
    <dataValidation type="list" allowBlank="1" showInputMessage="1" showErrorMessage="1" sqref="B348">
      <formula1>liste_programmes</formula1>
    </dataValidation>
    <dataValidation type="list" allowBlank="1" showInputMessage="1" showErrorMessage="1" sqref="D348">
      <formula1>liste_types</formula1>
    </dataValidation>
    <dataValidation type="list" allowBlank="1" showInputMessage="1" showErrorMessage="1" sqref="F348">
      <formula1>liste_categories</formula1>
    </dataValidation>
    <dataValidation type="list" allowBlank="1" showInputMessage="1" showErrorMessage="1" sqref="G348">
      <formula1>liste_responsables</formula1>
    </dataValidation>
    <dataValidation type="list" allowBlank="1" showInputMessage="1" showErrorMessage="1" sqref="H348">
      <formula1>liste_sites</formula1>
    </dataValidation>
    <dataValidation type="list" allowBlank="1" showInputMessage="1" showErrorMessage="1" sqref="I348">
      <formula1>liste_priorites</formula1>
    </dataValidation>
    <dataValidation type="date" operator="greaterThanOrEqual" allowBlank="1" showInputMessage="1" showErrorMessage="1" sqref="J348">
      <formula1>730120</formula1>
    </dataValidation>
    <dataValidation type="date" operator="greaterThanOrEqual" allowBlank="1" showInputMessage="1" showErrorMessage="1" sqref="K348">
      <formula1>730120</formula1>
    </dataValidation>
    <dataValidation type="date" operator="greaterThanOrEqual" allowBlank="1" showInputMessage="1" showErrorMessage="1" sqref="L348">
      <formula1>730120</formula1>
    </dataValidation>
    <dataValidation type="whole" allowBlank="1" showInputMessage="1" showErrorMessage="1" sqref="P348">
      <formula1>0</formula1>
      <formula2>100</formula2>
    </dataValidation>
    <dataValidation type="decimal" operator="greaterThanOrEqual" allowBlank="1" showInputMessage="1" showErrorMessage="1" sqref="Q348">
      <formula1>0</formula1>
    </dataValidation>
    <dataValidation type="decimal" operator="greaterThanOrEqual" allowBlank="1" showInputMessage="1" showErrorMessage="1" sqref="R348">
      <formula1>0</formula1>
    </dataValidation>
    <dataValidation type="whole" allowBlank="1" showInputMessage="1" showErrorMessage="1" sqref="U348">
      <formula1>1</formula1>
      <formula2>5</formula2>
    </dataValidation>
    <dataValidation type="whole" allowBlank="1" showInputMessage="1" showErrorMessage="1" sqref="V348">
      <formula1>1</formula1>
      <formula2>5</formula2>
    </dataValidation>
    <dataValidation type="whole" allowBlank="1" showInputMessage="1" showErrorMessage="1" sqref="X348">
      <formula1>1</formula1>
      <formula2>5</formula2>
    </dataValidation>
    <dataValidation type="decimal" operator="greaterThanOrEqual" allowBlank="1" showInputMessage="1" showErrorMessage="1" sqref="Y348">
      <formula1>0</formula1>
    </dataValidation>
    <dataValidation type="whole" operator="greaterThanOrEqual" allowBlank="1" showInputMessage="1" showErrorMessage="1" sqref="Z348">
      <formula1>0</formula1>
    </dataValidation>
    <dataValidation type="whole" allowBlank="1" showInputMessage="1" showErrorMessage="1" sqref="AA348">
      <formula1>1</formula1>
      <formula2>5</formula2>
    </dataValidation>
    <dataValidation type="decimal" allowBlank="1" showInputMessage="1" showErrorMessage="1" sqref="AB348">
      <formula1>0</formula1>
      <formula2>1</formula2>
    </dataValidation>
    <dataValidation type="list" allowBlank="1" showInputMessage="1" showErrorMessage="1" sqref="O348">
      <formula1>liste_statuts</formula1>
    </dataValidation>
    <dataValidation type="list" allowBlank="1" showInputMessage="1" showErrorMessage="1" sqref="B349">
      <formula1>liste_programmes</formula1>
    </dataValidation>
    <dataValidation type="list" allowBlank="1" showInputMessage="1" showErrorMessage="1" sqref="D349">
      <formula1>liste_types</formula1>
    </dataValidation>
    <dataValidation type="list" allowBlank="1" showInputMessage="1" showErrorMessage="1" sqref="F349">
      <formula1>liste_categories</formula1>
    </dataValidation>
    <dataValidation type="list" allowBlank="1" showInputMessage="1" showErrorMessage="1" sqref="G349">
      <formula1>liste_responsables</formula1>
    </dataValidation>
    <dataValidation type="list" allowBlank="1" showInputMessage="1" showErrorMessage="1" sqref="H349">
      <formula1>liste_sites</formula1>
    </dataValidation>
    <dataValidation type="list" allowBlank="1" showInputMessage="1" showErrorMessage="1" sqref="I349">
      <formula1>liste_priorites</formula1>
    </dataValidation>
    <dataValidation type="date" operator="greaterThanOrEqual" allowBlank="1" showInputMessage="1" showErrorMessage="1" sqref="J349">
      <formula1>730120</formula1>
    </dataValidation>
    <dataValidation type="date" operator="greaterThanOrEqual" allowBlank="1" showInputMessage="1" showErrorMessage="1" sqref="K349">
      <formula1>730120</formula1>
    </dataValidation>
    <dataValidation type="date" operator="greaterThanOrEqual" allowBlank="1" showInputMessage="1" showErrorMessage="1" sqref="L349">
      <formula1>730120</formula1>
    </dataValidation>
    <dataValidation type="whole" allowBlank="1" showInputMessage="1" showErrorMessage="1" sqref="P349">
      <formula1>0</formula1>
      <formula2>100</formula2>
    </dataValidation>
    <dataValidation type="decimal" operator="greaterThanOrEqual" allowBlank="1" showInputMessage="1" showErrorMessage="1" sqref="Q349">
      <formula1>0</formula1>
    </dataValidation>
    <dataValidation type="decimal" operator="greaterThanOrEqual" allowBlank="1" showInputMessage="1" showErrorMessage="1" sqref="R349">
      <formula1>0</formula1>
    </dataValidation>
    <dataValidation type="whole" allowBlank="1" showInputMessage="1" showErrorMessage="1" sqref="U349">
      <formula1>1</formula1>
      <formula2>5</formula2>
    </dataValidation>
    <dataValidation type="whole" allowBlank="1" showInputMessage="1" showErrorMessage="1" sqref="V349">
      <formula1>1</formula1>
      <formula2>5</formula2>
    </dataValidation>
    <dataValidation type="whole" allowBlank="1" showInputMessage="1" showErrorMessage="1" sqref="X349">
      <formula1>1</formula1>
      <formula2>5</formula2>
    </dataValidation>
    <dataValidation type="decimal" operator="greaterThanOrEqual" allowBlank="1" showInputMessage="1" showErrorMessage="1" sqref="Y349">
      <formula1>0</formula1>
    </dataValidation>
    <dataValidation type="whole" operator="greaterThanOrEqual" allowBlank="1" showInputMessage="1" showErrorMessage="1" sqref="Z349">
      <formula1>0</formula1>
    </dataValidation>
    <dataValidation type="whole" allowBlank="1" showInputMessage="1" showErrorMessage="1" sqref="AA349">
      <formula1>1</formula1>
      <formula2>5</formula2>
    </dataValidation>
    <dataValidation type="decimal" allowBlank="1" showInputMessage="1" showErrorMessage="1" sqref="AB349">
      <formula1>0</formula1>
      <formula2>1</formula2>
    </dataValidation>
    <dataValidation type="list" allowBlank="1" showInputMessage="1" showErrorMessage="1" sqref="O349">
      <formula1>liste_statuts</formula1>
    </dataValidation>
    <dataValidation type="list" allowBlank="1" showInputMessage="1" showErrorMessage="1" sqref="B350">
      <formula1>liste_programmes</formula1>
    </dataValidation>
    <dataValidation type="list" allowBlank="1" showInputMessage="1" showErrorMessage="1" sqref="D350">
      <formula1>liste_types</formula1>
    </dataValidation>
    <dataValidation type="list" allowBlank="1" showInputMessage="1" showErrorMessage="1" sqref="F350">
      <formula1>liste_categories</formula1>
    </dataValidation>
    <dataValidation type="list" allowBlank="1" showInputMessage="1" showErrorMessage="1" sqref="G350">
      <formula1>liste_responsables</formula1>
    </dataValidation>
    <dataValidation type="list" allowBlank="1" showInputMessage="1" showErrorMessage="1" sqref="H350">
      <formula1>liste_sites</formula1>
    </dataValidation>
    <dataValidation type="list" allowBlank="1" showInputMessage="1" showErrorMessage="1" sqref="I350">
      <formula1>liste_priorites</formula1>
    </dataValidation>
    <dataValidation type="date" operator="greaterThanOrEqual" allowBlank="1" showInputMessage="1" showErrorMessage="1" sqref="J350">
      <formula1>730120</formula1>
    </dataValidation>
    <dataValidation type="date" operator="greaterThanOrEqual" allowBlank="1" showInputMessage="1" showErrorMessage="1" sqref="K350">
      <formula1>730120</formula1>
    </dataValidation>
    <dataValidation type="date" operator="greaterThanOrEqual" allowBlank="1" showInputMessage="1" showErrorMessage="1" sqref="L350">
      <formula1>730120</formula1>
    </dataValidation>
    <dataValidation type="whole" allowBlank="1" showInputMessage="1" showErrorMessage="1" sqref="P350">
      <formula1>0</formula1>
      <formula2>100</formula2>
    </dataValidation>
    <dataValidation type="decimal" operator="greaterThanOrEqual" allowBlank="1" showInputMessage="1" showErrorMessage="1" sqref="Q350">
      <formula1>0</formula1>
    </dataValidation>
    <dataValidation type="decimal" operator="greaterThanOrEqual" allowBlank="1" showInputMessage="1" showErrorMessage="1" sqref="R350">
      <formula1>0</formula1>
    </dataValidation>
    <dataValidation type="whole" allowBlank="1" showInputMessage="1" showErrorMessage="1" sqref="U350">
      <formula1>1</formula1>
      <formula2>5</formula2>
    </dataValidation>
    <dataValidation type="whole" allowBlank="1" showInputMessage="1" showErrorMessage="1" sqref="V350">
      <formula1>1</formula1>
      <formula2>5</formula2>
    </dataValidation>
    <dataValidation type="whole" allowBlank="1" showInputMessage="1" showErrorMessage="1" sqref="X350">
      <formula1>1</formula1>
      <formula2>5</formula2>
    </dataValidation>
    <dataValidation type="decimal" operator="greaterThanOrEqual" allowBlank="1" showInputMessage="1" showErrorMessage="1" sqref="Y350">
      <formula1>0</formula1>
    </dataValidation>
    <dataValidation type="whole" operator="greaterThanOrEqual" allowBlank="1" showInputMessage="1" showErrorMessage="1" sqref="Z350">
      <formula1>0</formula1>
    </dataValidation>
    <dataValidation type="whole" allowBlank="1" showInputMessage="1" showErrorMessage="1" sqref="AA350">
      <formula1>1</formula1>
      <formula2>5</formula2>
    </dataValidation>
    <dataValidation type="decimal" allowBlank="1" showInputMessage="1" showErrorMessage="1" sqref="AB350">
      <formula1>0</formula1>
      <formula2>1</formula2>
    </dataValidation>
    <dataValidation type="list" allowBlank="1" showInputMessage="1" showErrorMessage="1" sqref="O350">
      <formula1>liste_statuts</formula1>
    </dataValidation>
    <dataValidation type="list" allowBlank="1" showInputMessage="1" showErrorMessage="1" sqref="B351">
      <formula1>liste_programmes</formula1>
    </dataValidation>
    <dataValidation type="list" allowBlank="1" showInputMessage="1" showErrorMessage="1" sqref="D351">
      <formula1>liste_types</formula1>
    </dataValidation>
    <dataValidation type="list" allowBlank="1" showInputMessage="1" showErrorMessage="1" sqref="F351">
      <formula1>liste_categories</formula1>
    </dataValidation>
    <dataValidation type="list" allowBlank="1" showInputMessage="1" showErrorMessage="1" sqref="G351">
      <formula1>liste_responsables</formula1>
    </dataValidation>
    <dataValidation type="list" allowBlank="1" showInputMessage="1" showErrorMessage="1" sqref="H351">
      <formula1>liste_sites</formula1>
    </dataValidation>
    <dataValidation type="list" allowBlank="1" showInputMessage="1" showErrorMessage="1" sqref="I351">
      <formula1>liste_priorites</formula1>
    </dataValidation>
    <dataValidation type="date" operator="greaterThanOrEqual" allowBlank="1" showInputMessage="1" showErrorMessage="1" sqref="J351">
      <formula1>730120</formula1>
    </dataValidation>
    <dataValidation type="date" operator="greaterThanOrEqual" allowBlank="1" showInputMessage="1" showErrorMessage="1" sqref="K351">
      <formula1>730120</formula1>
    </dataValidation>
    <dataValidation type="date" operator="greaterThanOrEqual" allowBlank="1" showInputMessage="1" showErrorMessage="1" sqref="L351">
      <formula1>730120</formula1>
    </dataValidation>
    <dataValidation type="whole" allowBlank="1" showInputMessage="1" showErrorMessage="1" sqref="P351">
      <formula1>0</formula1>
      <formula2>100</formula2>
    </dataValidation>
    <dataValidation type="decimal" operator="greaterThanOrEqual" allowBlank="1" showInputMessage="1" showErrorMessage="1" sqref="Q351">
      <formula1>0</formula1>
    </dataValidation>
    <dataValidation type="decimal" operator="greaterThanOrEqual" allowBlank="1" showInputMessage="1" showErrorMessage="1" sqref="R351">
      <formula1>0</formula1>
    </dataValidation>
    <dataValidation type="whole" allowBlank="1" showInputMessage="1" showErrorMessage="1" sqref="U351">
      <formula1>1</formula1>
      <formula2>5</formula2>
    </dataValidation>
    <dataValidation type="whole" allowBlank="1" showInputMessage="1" showErrorMessage="1" sqref="V351">
      <formula1>1</formula1>
      <formula2>5</formula2>
    </dataValidation>
    <dataValidation type="whole" allowBlank="1" showInputMessage="1" showErrorMessage="1" sqref="X351">
      <formula1>1</formula1>
      <formula2>5</formula2>
    </dataValidation>
    <dataValidation type="decimal" operator="greaterThanOrEqual" allowBlank="1" showInputMessage="1" showErrorMessage="1" sqref="Y351">
      <formula1>0</formula1>
    </dataValidation>
    <dataValidation type="whole" operator="greaterThanOrEqual" allowBlank="1" showInputMessage="1" showErrorMessage="1" sqref="Z351">
      <formula1>0</formula1>
    </dataValidation>
    <dataValidation type="whole" allowBlank="1" showInputMessage="1" showErrorMessage="1" sqref="AA351">
      <formula1>1</formula1>
      <formula2>5</formula2>
    </dataValidation>
    <dataValidation type="decimal" allowBlank="1" showInputMessage="1" showErrorMessage="1" sqref="AB351">
      <formula1>0</formula1>
      <formula2>1</formula2>
    </dataValidation>
    <dataValidation type="list" allowBlank="1" showInputMessage="1" showErrorMessage="1" sqref="O351">
      <formula1>liste_statuts</formula1>
    </dataValidation>
    <dataValidation type="list" allowBlank="1" showInputMessage="1" showErrorMessage="1" sqref="B352">
      <formula1>liste_programmes</formula1>
    </dataValidation>
    <dataValidation type="list" allowBlank="1" showInputMessage="1" showErrorMessage="1" sqref="D352">
      <formula1>liste_types</formula1>
    </dataValidation>
    <dataValidation type="list" allowBlank="1" showInputMessage="1" showErrorMessage="1" sqref="F352">
      <formula1>liste_categories</formula1>
    </dataValidation>
    <dataValidation type="list" allowBlank="1" showInputMessage="1" showErrorMessage="1" sqref="G352">
      <formula1>liste_responsables</formula1>
    </dataValidation>
    <dataValidation type="list" allowBlank="1" showInputMessage="1" showErrorMessage="1" sqref="H352">
      <formula1>liste_sites</formula1>
    </dataValidation>
    <dataValidation type="list" allowBlank="1" showInputMessage="1" showErrorMessage="1" sqref="I352">
      <formula1>liste_priorites</formula1>
    </dataValidation>
    <dataValidation type="date" operator="greaterThanOrEqual" allowBlank="1" showInputMessage="1" showErrorMessage="1" sqref="J352">
      <formula1>730120</formula1>
    </dataValidation>
    <dataValidation type="date" operator="greaterThanOrEqual" allowBlank="1" showInputMessage="1" showErrorMessage="1" sqref="K352">
      <formula1>730120</formula1>
    </dataValidation>
    <dataValidation type="date" operator="greaterThanOrEqual" allowBlank="1" showInputMessage="1" showErrorMessage="1" sqref="L352">
      <formula1>730120</formula1>
    </dataValidation>
    <dataValidation type="whole" allowBlank="1" showInputMessage="1" showErrorMessage="1" sqref="P352">
      <formula1>0</formula1>
      <formula2>100</formula2>
    </dataValidation>
    <dataValidation type="decimal" operator="greaterThanOrEqual" allowBlank="1" showInputMessage="1" showErrorMessage="1" sqref="Q352">
      <formula1>0</formula1>
    </dataValidation>
    <dataValidation type="decimal" operator="greaterThanOrEqual" allowBlank="1" showInputMessage="1" showErrorMessage="1" sqref="R352">
      <formula1>0</formula1>
    </dataValidation>
    <dataValidation type="whole" allowBlank="1" showInputMessage="1" showErrorMessage="1" sqref="U352">
      <formula1>1</formula1>
      <formula2>5</formula2>
    </dataValidation>
    <dataValidation type="whole" allowBlank="1" showInputMessage="1" showErrorMessage="1" sqref="V352">
      <formula1>1</formula1>
      <formula2>5</formula2>
    </dataValidation>
    <dataValidation type="whole" allowBlank="1" showInputMessage="1" showErrorMessage="1" sqref="X352">
      <formula1>1</formula1>
      <formula2>5</formula2>
    </dataValidation>
    <dataValidation type="decimal" operator="greaterThanOrEqual" allowBlank="1" showInputMessage="1" showErrorMessage="1" sqref="Y352">
      <formula1>0</formula1>
    </dataValidation>
    <dataValidation type="whole" operator="greaterThanOrEqual" allowBlank="1" showInputMessage="1" showErrorMessage="1" sqref="Z352">
      <formula1>0</formula1>
    </dataValidation>
    <dataValidation type="whole" allowBlank="1" showInputMessage="1" showErrorMessage="1" sqref="AA352">
      <formula1>1</formula1>
      <formula2>5</formula2>
    </dataValidation>
    <dataValidation type="decimal" allowBlank="1" showInputMessage="1" showErrorMessage="1" sqref="AB352">
      <formula1>0</formula1>
      <formula2>1</formula2>
    </dataValidation>
    <dataValidation type="list" allowBlank="1" showInputMessage="1" showErrorMessage="1" sqref="O352">
      <formula1>liste_statuts</formula1>
    </dataValidation>
    <dataValidation type="list" allowBlank="1" showInputMessage="1" showErrorMessage="1" sqref="B353">
      <formula1>liste_programmes</formula1>
    </dataValidation>
    <dataValidation type="list" allowBlank="1" showInputMessage="1" showErrorMessage="1" sqref="D353">
      <formula1>liste_types</formula1>
    </dataValidation>
    <dataValidation type="list" allowBlank="1" showInputMessage="1" showErrorMessage="1" sqref="F353">
      <formula1>liste_categories</formula1>
    </dataValidation>
    <dataValidation type="list" allowBlank="1" showInputMessage="1" showErrorMessage="1" sqref="G353">
      <formula1>liste_responsables</formula1>
    </dataValidation>
    <dataValidation type="list" allowBlank="1" showInputMessage="1" showErrorMessage="1" sqref="H353">
      <formula1>liste_sites</formula1>
    </dataValidation>
    <dataValidation type="list" allowBlank="1" showInputMessage="1" showErrorMessage="1" sqref="I353">
      <formula1>liste_priorites</formula1>
    </dataValidation>
    <dataValidation type="date" operator="greaterThanOrEqual" allowBlank="1" showInputMessage="1" showErrorMessage="1" sqref="J353">
      <formula1>730120</formula1>
    </dataValidation>
    <dataValidation type="date" operator="greaterThanOrEqual" allowBlank="1" showInputMessage="1" showErrorMessage="1" sqref="K353">
      <formula1>730120</formula1>
    </dataValidation>
    <dataValidation type="date" operator="greaterThanOrEqual" allowBlank="1" showInputMessage="1" showErrorMessage="1" sqref="L353">
      <formula1>730120</formula1>
    </dataValidation>
    <dataValidation type="whole" allowBlank="1" showInputMessage="1" showErrorMessage="1" sqref="P353">
      <formula1>0</formula1>
      <formula2>100</formula2>
    </dataValidation>
    <dataValidation type="decimal" operator="greaterThanOrEqual" allowBlank="1" showInputMessage="1" showErrorMessage="1" sqref="Q353">
      <formula1>0</formula1>
    </dataValidation>
    <dataValidation type="decimal" operator="greaterThanOrEqual" allowBlank="1" showInputMessage="1" showErrorMessage="1" sqref="R353">
      <formula1>0</formula1>
    </dataValidation>
    <dataValidation type="whole" allowBlank="1" showInputMessage="1" showErrorMessage="1" sqref="U353">
      <formula1>1</formula1>
      <formula2>5</formula2>
    </dataValidation>
    <dataValidation type="whole" allowBlank="1" showInputMessage="1" showErrorMessage="1" sqref="V353">
      <formula1>1</formula1>
      <formula2>5</formula2>
    </dataValidation>
    <dataValidation type="whole" allowBlank="1" showInputMessage="1" showErrorMessage="1" sqref="X353">
      <formula1>1</formula1>
      <formula2>5</formula2>
    </dataValidation>
    <dataValidation type="decimal" operator="greaterThanOrEqual" allowBlank="1" showInputMessage="1" showErrorMessage="1" sqref="Y353">
      <formula1>0</formula1>
    </dataValidation>
    <dataValidation type="whole" operator="greaterThanOrEqual" allowBlank="1" showInputMessage="1" showErrorMessage="1" sqref="Z353">
      <formula1>0</formula1>
    </dataValidation>
    <dataValidation type="whole" allowBlank="1" showInputMessage="1" showErrorMessage="1" sqref="AA353">
      <formula1>1</formula1>
      <formula2>5</formula2>
    </dataValidation>
    <dataValidation type="decimal" allowBlank="1" showInputMessage="1" showErrorMessage="1" sqref="AB353">
      <formula1>0</formula1>
      <formula2>1</formula2>
    </dataValidation>
    <dataValidation type="list" allowBlank="1" showInputMessage="1" showErrorMessage="1" sqref="O353">
      <formula1>liste_statuts</formula1>
    </dataValidation>
    <dataValidation type="list" allowBlank="1" showInputMessage="1" showErrorMessage="1" sqref="B354">
      <formula1>liste_programmes</formula1>
    </dataValidation>
    <dataValidation type="list" allowBlank="1" showInputMessage="1" showErrorMessage="1" sqref="D354">
      <formula1>liste_types</formula1>
    </dataValidation>
    <dataValidation type="list" allowBlank="1" showInputMessage="1" showErrorMessage="1" sqref="F354">
      <formula1>liste_categories</formula1>
    </dataValidation>
    <dataValidation type="list" allowBlank="1" showInputMessage="1" showErrorMessage="1" sqref="G354">
      <formula1>liste_responsables</formula1>
    </dataValidation>
    <dataValidation type="list" allowBlank="1" showInputMessage="1" showErrorMessage="1" sqref="H354">
      <formula1>liste_sites</formula1>
    </dataValidation>
    <dataValidation type="list" allowBlank="1" showInputMessage="1" showErrorMessage="1" sqref="I354">
      <formula1>liste_priorites</formula1>
    </dataValidation>
    <dataValidation type="date" operator="greaterThanOrEqual" allowBlank="1" showInputMessage="1" showErrorMessage="1" sqref="J354">
      <formula1>730120</formula1>
    </dataValidation>
    <dataValidation type="date" operator="greaterThanOrEqual" allowBlank="1" showInputMessage="1" showErrorMessage="1" sqref="K354">
      <formula1>730120</formula1>
    </dataValidation>
    <dataValidation type="date" operator="greaterThanOrEqual" allowBlank="1" showInputMessage="1" showErrorMessage="1" sqref="L354">
      <formula1>730120</formula1>
    </dataValidation>
    <dataValidation type="whole" allowBlank="1" showInputMessage="1" showErrorMessage="1" sqref="P354">
      <formula1>0</formula1>
      <formula2>100</formula2>
    </dataValidation>
    <dataValidation type="decimal" operator="greaterThanOrEqual" allowBlank="1" showInputMessage="1" showErrorMessage="1" sqref="Q354">
      <formula1>0</formula1>
    </dataValidation>
    <dataValidation type="decimal" operator="greaterThanOrEqual" allowBlank="1" showInputMessage="1" showErrorMessage="1" sqref="R354">
      <formula1>0</formula1>
    </dataValidation>
    <dataValidation type="whole" allowBlank="1" showInputMessage="1" showErrorMessage="1" sqref="U354">
      <formula1>1</formula1>
      <formula2>5</formula2>
    </dataValidation>
    <dataValidation type="whole" allowBlank="1" showInputMessage="1" showErrorMessage="1" sqref="V354">
      <formula1>1</formula1>
      <formula2>5</formula2>
    </dataValidation>
    <dataValidation type="whole" allowBlank="1" showInputMessage="1" showErrorMessage="1" sqref="X354">
      <formula1>1</formula1>
      <formula2>5</formula2>
    </dataValidation>
    <dataValidation type="decimal" operator="greaterThanOrEqual" allowBlank="1" showInputMessage="1" showErrorMessage="1" sqref="Y354">
      <formula1>0</formula1>
    </dataValidation>
    <dataValidation type="whole" operator="greaterThanOrEqual" allowBlank="1" showInputMessage="1" showErrorMessage="1" sqref="Z354">
      <formula1>0</formula1>
    </dataValidation>
    <dataValidation type="whole" allowBlank="1" showInputMessage="1" showErrorMessage="1" sqref="AA354">
      <formula1>1</formula1>
      <formula2>5</formula2>
    </dataValidation>
    <dataValidation type="decimal" allowBlank="1" showInputMessage="1" showErrorMessage="1" sqref="AB354">
      <formula1>0</formula1>
      <formula2>1</formula2>
    </dataValidation>
    <dataValidation type="list" allowBlank="1" showInputMessage="1" showErrorMessage="1" sqref="O354">
      <formula1>liste_statuts</formula1>
    </dataValidation>
    <dataValidation type="list" allowBlank="1" showInputMessage="1" showErrorMessage="1" sqref="B355">
      <formula1>liste_programmes</formula1>
    </dataValidation>
    <dataValidation type="list" allowBlank="1" showInputMessage="1" showErrorMessage="1" sqref="D355">
      <formula1>liste_types</formula1>
    </dataValidation>
    <dataValidation type="list" allowBlank="1" showInputMessage="1" showErrorMessage="1" sqref="F355">
      <formula1>liste_categories</formula1>
    </dataValidation>
    <dataValidation type="list" allowBlank="1" showInputMessage="1" showErrorMessage="1" sqref="G355">
      <formula1>liste_responsables</formula1>
    </dataValidation>
    <dataValidation type="list" allowBlank="1" showInputMessage="1" showErrorMessage="1" sqref="H355">
      <formula1>liste_sites</formula1>
    </dataValidation>
    <dataValidation type="list" allowBlank="1" showInputMessage="1" showErrorMessage="1" sqref="I355">
      <formula1>liste_priorites</formula1>
    </dataValidation>
    <dataValidation type="date" operator="greaterThanOrEqual" allowBlank="1" showInputMessage="1" showErrorMessage="1" sqref="J355">
      <formula1>730120</formula1>
    </dataValidation>
    <dataValidation type="date" operator="greaterThanOrEqual" allowBlank="1" showInputMessage="1" showErrorMessage="1" sqref="K355">
      <formula1>730120</formula1>
    </dataValidation>
    <dataValidation type="date" operator="greaterThanOrEqual" allowBlank="1" showInputMessage="1" showErrorMessage="1" sqref="L355">
      <formula1>730120</formula1>
    </dataValidation>
    <dataValidation type="whole" allowBlank="1" showInputMessage="1" showErrorMessage="1" sqref="P355">
      <formula1>0</formula1>
      <formula2>100</formula2>
    </dataValidation>
    <dataValidation type="decimal" operator="greaterThanOrEqual" allowBlank="1" showInputMessage="1" showErrorMessage="1" sqref="Q355">
      <formula1>0</formula1>
    </dataValidation>
    <dataValidation type="decimal" operator="greaterThanOrEqual" allowBlank="1" showInputMessage="1" showErrorMessage="1" sqref="R355">
      <formula1>0</formula1>
    </dataValidation>
    <dataValidation type="whole" allowBlank="1" showInputMessage="1" showErrorMessage="1" sqref="U355">
      <formula1>1</formula1>
      <formula2>5</formula2>
    </dataValidation>
    <dataValidation type="whole" allowBlank="1" showInputMessage="1" showErrorMessage="1" sqref="V355">
      <formula1>1</formula1>
      <formula2>5</formula2>
    </dataValidation>
    <dataValidation type="whole" allowBlank="1" showInputMessage="1" showErrorMessage="1" sqref="X355">
      <formula1>1</formula1>
      <formula2>5</formula2>
    </dataValidation>
    <dataValidation type="decimal" operator="greaterThanOrEqual" allowBlank="1" showInputMessage="1" showErrorMessage="1" sqref="Y355">
      <formula1>0</formula1>
    </dataValidation>
    <dataValidation type="whole" operator="greaterThanOrEqual" allowBlank="1" showInputMessage="1" showErrorMessage="1" sqref="Z355">
      <formula1>0</formula1>
    </dataValidation>
    <dataValidation type="whole" allowBlank="1" showInputMessage="1" showErrorMessage="1" sqref="AA355">
      <formula1>1</formula1>
      <formula2>5</formula2>
    </dataValidation>
    <dataValidation type="decimal" allowBlank="1" showInputMessage="1" showErrorMessage="1" sqref="AB355">
      <formula1>0</formula1>
      <formula2>1</formula2>
    </dataValidation>
    <dataValidation type="list" allowBlank="1" showInputMessage="1" showErrorMessage="1" sqref="O355">
      <formula1>liste_statuts</formula1>
    </dataValidation>
    <dataValidation type="list" allowBlank="1" showInputMessage="1" showErrorMessage="1" sqref="B356">
      <formula1>liste_programmes</formula1>
    </dataValidation>
    <dataValidation type="list" allowBlank="1" showInputMessage="1" showErrorMessage="1" sqref="D356">
      <formula1>liste_types</formula1>
    </dataValidation>
    <dataValidation type="list" allowBlank="1" showInputMessage="1" showErrorMessage="1" sqref="F356">
      <formula1>liste_categories</formula1>
    </dataValidation>
    <dataValidation type="list" allowBlank="1" showInputMessage="1" showErrorMessage="1" sqref="G356">
      <formula1>liste_responsables</formula1>
    </dataValidation>
    <dataValidation type="list" allowBlank="1" showInputMessage="1" showErrorMessage="1" sqref="H356">
      <formula1>liste_sites</formula1>
    </dataValidation>
    <dataValidation type="list" allowBlank="1" showInputMessage="1" showErrorMessage="1" sqref="I356">
      <formula1>liste_priorites</formula1>
    </dataValidation>
    <dataValidation type="date" operator="greaterThanOrEqual" allowBlank="1" showInputMessage="1" showErrorMessage="1" sqref="J356">
      <formula1>730120</formula1>
    </dataValidation>
    <dataValidation type="date" operator="greaterThanOrEqual" allowBlank="1" showInputMessage="1" showErrorMessage="1" sqref="K356">
      <formula1>730120</formula1>
    </dataValidation>
    <dataValidation type="date" operator="greaterThanOrEqual" allowBlank="1" showInputMessage="1" showErrorMessage="1" sqref="L356">
      <formula1>730120</formula1>
    </dataValidation>
    <dataValidation type="whole" allowBlank="1" showInputMessage="1" showErrorMessage="1" sqref="P356">
      <formula1>0</formula1>
      <formula2>100</formula2>
    </dataValidation>
    <dataValidation type="decimal" operator="greaterThanOrEqual" allowBlank="1" showInputMessage="1" showErrorMessage="1" sqref="Q356">
      <formula1>0</formula1>
    </dataValidation>
    <dataValidation type="decimal" operator="greaterThanOrEqual" allowBlank="1" showInputMessage="1" showErrorMessage="1" sqref="R356">
      <formula1>0</formula1>
    </dataValidation>
    <dataValidation type="whole" allowBlank="1" showInputMessage="1" showErrorMessage="1" sqref="U356">
      <formula1>1</formula1>
      <formula2>5</formula2>
    </dataValidation>
    <dataValidation type="whole" allowBlank="1" showInputMessage="1" showErrorMessage="1" sqref="V356">
      <formula1>1</formula1>
      <formula2>5</formula2>
    </dataValidation>
    <dataValidation type="whole" allowBlank="1" showInputMessage="1" showErrorMessage="1" sqref="X356">
      <formula1>1</formula1>
      <formula2>5</formula2>
    </dataValidation>
    <dataValidation type="decimal" operator="greaterThanOrEqual" allowBlank="1" showInputMessage="1" showErrorMessage="1" sqref="Y356">
      <formula1>0</formula1>
    </dataValidation>
    <dataValidation type="whole" operator="greaterThanOrEqual" allowBlank="1" showInputMessage="1" showErrorMessage="1" sqref="Z356">
      <formula1>0</formula1>
    </dataValidation>
    <dataValidation type="whole" allowBlank="1" showInputMessage="1" showErrorMessage="1" sqref="AA356">
      <formula1>1</formula1>
      <formula2>5</formula2>
    </dataValidation>
    <dataValidation type="decimal" allowBlank="1" showInputMessage="1" showErrorMessage="1" sqref="AB356">
      <formula1>0</formula1>
      <formula2>1</formula2>
    </dataValidation>
    <dataValidation type="list" allowBlank="1" showInputMessage="1" showErrorMessage="1" sqref="O356">
      <formula1>liste_statuts</formula1>
    </dataValidation>
    <dataValidation type="list" allowBlank="1" showInputMessage="1" showErrorMessage="1" sqref="B357">
      <formula1>liste_programmes</formula1>
    </dataValidation>
    <dataValidation type="list" allowBlank="1" showInputMessage="1" showErrorMessage="1" sqref="D357">
      <formula1>liste_types</formula1>
    </dataValidation>
    <dataValidation type="list" allowBlank="1" showInputMessage="1" showErrorMessage="1" sqref="F357">
      <formula1>liste_categories</formula1>
    </dataValidation>
    <dataValidation type="list" allowBlank="1" showInputMessage="1" showErrorMessage="1" sqref="G357">
      <formula1>liste_responsables</formula1>
    </dataValidation>
    <dataValidation type="list" allowBlank="1" showInputMessage="1" showErrorMessage="1" sqref="H357">
      <formula1>liste_sites</formula1>
    </dataValidation>
    <dataValidation type="list" allowBlank="1" showInputMessage="1" showErrorMessage="1" sqref="I357">
      <formula1>liste_priorites</formula1>
    </dataValidation>
    <dataValidation type="date" operator="greaterThanOrEqual" allowBlank="1" showInputMessage="1" showErrorMessage="1" sqref="J357">
      <formula1>730120</formula1>
    </dataValidation>
    <dataValidation type="date" operator="greaterThanOrEqual" allowBlank="1" showInputMessage="1" showErrorMessage="1" sqref="K357">
      <formula1>730120</formula1>
    </dataValidation>
    <dataValidation type="date" operator="greaterThanOrEqual" allowBlank="1" showInputMessage="1" showErrorMessage="1" sqref="L357">
      <formula1>730120</formula1>
    </dataValidation>
    <dataValidation type="whole" allowBlank="1" showInputMessage="1" showErrorMessage="1" sqref="P357">
      <formula1>0</formula1>
      <formula2>100</formula2>
    </dataValidation>
    <dataValidation type="decimal" operator="greaterThanOrEqual" allowBlank="1" showInputMessage="1" showErrorMessage="1" sqref="Q357">
      <formula1>0</formula1>
    </dataValidation>
    <dataValidation type="decimal" operator="greaterThanOrEqual" allowBlank="1" showInputMessage="1" showErrorMessage="1" sqref="R357">
      <formula1>0</formula1>
    </dataValidation>
    <dataValidation type="whole" allowBlank="1" showInputMessage="1" showErrorMessage="1" sqref="U357">
      <formula1>1</formula1>
      <formula2>5</formula2>
    </dataValidation>
    <dataValidation type="whole" allowBlank="1" showInputMessage="1" showErrorMessage="1" sqref="V357">
      <formula1>1</formula1>
      <formula2>5</formula2>
    </dataValidation>
    <dataValidation type="whole" allowBlank="1" showInputMessage="1" showErrorMessage="1" sqref="X357">
      <formula1>1</formula1>
      <formula2>5</formula2>
    </dataValidation>
    <dataValidation type="decimal" operator="greaterThanOrEqual" allowBlank="1" showInputMessage="1" showErrorMessage="1" sqref="Y357">
      <formula1>0</formula1>
    </dataValidation>
    <dataValidation type="whole" operator="greaterThanOrEqual" allowBlank="1" showInputMessage="1" showErrorMessage="1" sqref="Z357">
      <formula1>0</formula1>
    </dataValidation>
    <dataValidation type="whole" allowBlank="1" showInputMessage="1" showErrorMessage="1" sqref="AA357">
      <formula1>1</formula1>
      <formula2>5</formula2>
    </dataValidation>
    <dataValidation type="decimal" allowBlank="1" showInputMessage="1" showErrorMessage="1" sqref="AB357">
      <formula1>0</formula1>
      <formula2>1</formula2>
    </dataValidation>
    <dataValidation type="list" allowBlank="1" showInputMessage="1" showErrorMessage="1" sqref="O357">
      <formula1>liste_statuts</formula1>
    </dataValidation>
    <dataValidation type="list" allowBlank="1" showInputMessage="1" showErrorMessage="1" sqref="B358">
      <formula1>liste_programmes</formula1>
    </dataValidation>
    <dataValidation type="list" allowBlank="1" showInputMessage="1" showErrorMessage="1" sqref="D358">
      <formula1>liste_types</formula1>
    </dataValidation>
    <dataValidation type="list" allowBlank="1" showInputMessage="1" showErrorMessage="1" sqref="F358">
      <formula1>liste_categories</formula1>
    </dataValidation>
    <dataValidation type="list" allowBlank="1" showInputMessage="1" showErrorMessage="1" sqref="G358">
      <formula1>liste_responsables</formula1>
    </dataValidation>
    <dataValidation type="list" allowBlank="1" showInputMessage="1" showErrorMessage="1" sqref="H358">
      <formula1>liste_sites</formula1>
    </dataValidation>
    <dataValidation type="list" allowBlank="1" showInputMessage="1" showErrorMessage="1" sqref="I358">
      <formula1>liste_priorites</formula1>
    </dataValidation>
    <dataValidation type="date" operator="greaterThanOrEqual" allowBlank="1" showInputMessage="1" showErrorMessage="1" sqref="J358">
      <formula1>730120</formula1>
    </dataValidation>
    <dataValidation type="date" operator="greaterThanOrEqual" allowBlank="1" showInputMessage="1" showErrorMessage="1" sqref="K358">
      <formula1>730120</formula1>
    </dataValidation>
    <dataValidation type="date" operator="greaterThanOrEqual" allowBlank="1" showInputMessage="1" showErrorMessage="1" sqref="L358">
      <formula1>730120</formula1>
    </dataValidation>
    <dataValidation type="whole" allowBlank="1" showInputMessage="1" showErrorMessage="1" sqref="P358">
      <formula1>0</formula1>
      <formula2>100</formula2>
    </dataValidation>
    <dataValidation type="decimal" operator="greaterThanOrEqual" allowBlank="1" showInputMessage="1" showErrorMessage="1" sqref="Q358">
      <formula1>0</formula1>
    </dataValidation>
    <dataValidation type="decimal" operator="greaterThanOrEqual" allowBlank="1" showInputMessage="1" showErrorMessage="1" sqref="R358">
      <formula1>0</formula1>
    </dataValidation>
    <dataValidation type="whole" allowBlank="1" showInputMessage="1" showErrorMessage="1" sqref="U358">
      <formula1>1</formula1>
      <formula2>5</formula2>
    </dataValidation>
    <dataValidation type="whole" allowBlank="1" showInputMessage="1" showErrorMessage="1" sqref="V358">
      <formula1>1</formula1>
      <formula2>5</formula2>
    </dataValidation>
    <dataValidation type="whole" allowBlank="1" showInputMessage="1" showErrorMessage="1" sqref="X358">
      <formula1>1</formula1>
      <formula2>5</formula2>
    </dataValidation>
    <dataValidation type="decimal" operator="greaterThanOrEqual" allowBlank="1" showInputMessage="1" showErrorMessage="1" sqref="Y358">
      <formula1>0</formula1>
    </dataValidation>
    <dataValidation type="whole" operator="greaterThanOrEqual" allowBlank="1" showInputMessage="1" showErrorMessage="1" sqref="Z358">
      <formula1>0</formula1>
    </dataValidation>
    <dataValidation type="whole" allowBlank="1" showInputMessage="1" showErrorMessage="1" sqref="AA358">
      <formula1>1</formula1>
      <formula2>5</formula2>
    </dataValidation>
    <dataValidation type="decimal" allowBlank="1" showInputMessage="1" showErrorMessage="1" sqref="AB358">
      <formula1>0</formula1>
      <formula2>1</formula2>
    </dataValidation>
    <dataValidation type="list" allowBlank="1" showInputMessage="1" showErrorMessage="1" sqref="O358">
      <formula1>liste_statuts</formula1>
    </dataValidation>
    <dataValidation type="list" allowBlank="1" showInputMessage="1" showErrorMessage="1" sqref="B359">
      <formula1>liste_programmes</formula1>
    </dataValidation>
    <dataValidation type="list" allowBlank="1" showInputMessage="1" showErrorMessage="1" sqref="D359">
      <formula1>liste_types</formula1>
    </dataValidation>
    <dataValidation type="list" allowBlank="1" showInputMessage="1" showErrorMessage="1" sqref="F359">
      <formula1>liste_categories</formula1>
    </dataValidation>
    <dataValidation type="list" allowBlank="1" showInputMessage="1" showErrorMessage="1" sqref="G359">
      <formula1>liste_responsables</formula1>
    </dataValidation>
    <dataValidation type="list" allowBlank="1" showInputMessage="1" showErrorMessage="1" sqref="H359">
      <formula1>liste_sites</formula1>
    </dataValidation>
    <dataValidation type="list" allowBlank="1" showInputMessage="1" showErrorMessage="1" sqref="I359">
      <formula1>liste_priorites</formula1>
    </dataValidation>
    <dataValidation type="date" operator="greaterThanOrEqual" allowBlank="1" showInputMessage="1" showErrorMessage="1" sqref="J359">
      <formula1>730120</formula1>
    </dataValidation>
    <dataValidation type="date" operator="greaterThanOrEqual" allowBlank="1" showInputMessage="1" showErrorMessage="1" sqref="K359">
      <formula1>730120</formula1>
    </dataValidation>
    <dataValidation type="date" operator="greaterThanOrEqual" allowBlank="1" showInputMessage="1" showErrorMessage="1" sqref="L359">
      <formula1>730120</formula1>
    </dataValidation>
    <dataValidation type="whole" allowBlank="1" showInputMessage="1" showErrorMessage="1" sqref="P359">
      <formula1>0</formula1>
      <formula2>100</formula2>
    </dataValidation>
    <dataValidation type="decimal" operator="greaterThanOrEqual" allowBlank="1" showInputMessage="1" showErrorMessage="1" sqref="Q359">
      <formula1>0</formula1>
    </dataValidation>
    <dataValidation type="decimal" operator="greaterThanOrEqual" allowBlank="1" showInputMessage="1" showErrorMessage="1" sqref="R359">
      <formula1>0</formula1>
    </dataValidation>
    <dataValidation type="whole" allowBlank="1" showInputMessage="1" showErrorMessage="1" sqref="U359">
      <formula1>1</formula1>
      <formula2>5</formula2>
    </dataValidation>
    <dataValidation type="whole" allowBlank="1" showInputMessage="1" showErrorMessage="1" sqref="V359">
      <formula1>1</formula1>
      <formula2>5</formula2>
    </dataValidation>
    <dataValidation type="whole" allowBlank="1" showInputMessage="1" showErrorMessage="1" sqref="X359">
      <formula1>1</formula1>
      <formula2>5</formula2>
    </dataValidation>
    <dataValidation type="decimal" operator="greaterThanOrEqual" allowBlank="1" showInputMessage="1" showErrorMessage="1" sqref="Y359">
      <formula1>0</formula1>
    </dataValidation>
    <dataValidation type="whole" operator="greaterThanOrEqual" allowBlank="1" showInputMessage="1" showErrorMessage="1" sqref="Z359">
      <formula1>0</formula1>
    </dataValidation>
    <dataValidation type="whole" allowBlank="1" showInputMessage="1" showErrorMessage="1" sqref="AA359">
      <formula1>1</formula1>
      <formula2>5</formula2>
    </dataValidation>
    <dataValidation type="decimal" allowBlank="1" showInputMessage="1" showErrorMessage="1" sqref="AB359">
      <formula1>0</formula1>
      <formula2>1</formula2>
    </dataValidation>
    <dataValidation type="list" allowBlank="1" showInputMessage="1" showErrorMessage="1" sqref="O359">
      <formula1>liste_statuts</formula1>
    </dataValidation>
    <dataValidation type="list" allowBlank="1" showInputMessage="1" showErrorMessage="1" sqref="B360">
      <formula1>liste_programmes</formula1>
    </dataValidation>
    <dataValidation type="list" allowBlank="1" showInputMessage="1" showErrorMessage="1" sqref="D360">
      <formula1>liste_types</formula1>
    </dataValidation>
    <dataValidation type="list" allowBlank="1" showInputMessage="1" showErrorMessage="1" sqref="F360">
      <formula1>liste_categories</formula1>
    </dataValidation>
    <dataValidation type="list" allowBlank="1" showInputMessage="1" showErrorMessage="1" sqref="G360">
      <formula1>liste_responsables</formula1>
    </dataValidation>
    <dataValidation type="list" allowBlank="1" showInputMessage="1" showErrorMessage="1" sqref="H360">
      <formula1>liste_sites</formula1>
    </dataValidation>
    <dataValidation type="list" allowBlank="1" showInputMessage="1" showErrorMessage="1" sqref="I360">
      <formula1>liste_priorites</formula1>
    </dataValidation>
    <dataValidation type="date" operator="greaterThanOrEqual" allowBlank="1" showInputMessage="1" showErrorMessage="1" sqref="J360">
      <formula1>730120</formula1>
    </dataValidation>
    <dataValidation type="date" operator="greaterThanOrEqual" allowBlank="1" showInputMessage="1" showErrorMessage="1" sqref="K360">
      <formula1>730120</formula1>
    </dataValidation>
    <dataValidation type="date" operator="greaterThanOrEqual" allowBlank="1" showInputMessage="1" showErrorMessage="1" sqref="L360">
      <formula1>730120</formula1>
    </dataValidation>
    <dataValidation type="whole" allowBlank="1" showInputMessage="1" showErrorMessage="1" sqref="P360">
      <formula1>0</formula1>
      <formula2>100</formula2>
    </dataValidation>
    <dataValidation type="decimal" operator="greaterThanOrEqual" allowBlank="1" showInputMessage="1" showErrorMessage="1" sqref="Q360">
      <formula1>0</formula1>
    </dataValidation>
    <dataValidation type="decimal" operator="greaterThanOrEqual" allowBlank="1" showInputMessage="1" showErrorMessage="1" sqref="R360">
      <formula1>0</formula1>
    </dataValidation>
    <dataValidation type="whole" allowBlank="1" showInputMessage="1" showErrorMessage="1" sqref="U360">
      <formula1>1</formula1>
      <formula2>5</formula2>
    </dataValidation>
    <dataValidation type="whole" allowBlank="1" showInputMessage="1" showErrorMessage="1" sqref="V360">
      <formula1>1</formula1>
      <formula2>5</formula2>
    </dataValidation>
    <dataValidation type="whole" allowBlank="1" showInputMessage="1" showErrorMessage="1" sqref="X360">
      <formula1>1</formula1>
      <formula2>5</formula2>
    </dataValidation>
    <dataValidation type="decimal" operator="greaterThanOrEqual" allowBlank="1" showInputMessage="1" showErrorMessage="1" sqref="Y360">
      <formula1>0</formula1>
    </dataValidation>
    <dataValidation type="whole" operator="greaterThanOrEqual" allowBlank="1" showInputMessage="1" showErrorMessage="1" sqref="Z360">
      <formula1>0</formula1>
    </dataValidation>
    <dataValidation type="whole" allowBlank="1" showInputMessage="1" showErrorMessage="1" sqref="AA360">
      <formula1>1</formula1>
      <formula2>5</formula2>
    </dataValidation>
    <dataValidation type="decimal" allowBlank="1" showInputMessage="1" showErrorMessage="1" sqref="AB360">
      <formula1>0</formula1>
      <formula2>1</formula2>
    </dataValidation>
    <dataValidation type="list" allowBlank="1" showInputMessage="1" showErrorMessage="1" sqref="O360">
      <formula1>liste_statuts</formula1>
    </dataValidation>
    <dataValidation type="list" allowBlank="1" showInputMessage="1" showErrorMessage="1" sqref="B361">
      <formula1>liste_programmes</formula1>
    </dataValidation>
    <dataValidation type="list" allowBlank="1" showInputMessage="1" showErrorMessage="1" sqref="D361">
      <formula1>liste_types</formula1>
    </dataValidation>
    <dataValidation type="list" allowBlank="1" showInputMessage="1" showErrorMessage="1" sqref="F361">
      <formula1>liste_categories</formula1>
    </dataValidation>
    <dataValidation type="list" allowBlank="1" showInputMessage="1" showErrorMessage="1" sqref="G361">
      <formula1>liste_responsables</formula1>
    </dataValidation>
    <dataValidation type="list" allowBlank="1" showInputMessage="1" showErrorMessage="1" sqref="H361">
      <formula1>liste_sites</formula1>
    </dataValidation>
    <dataValidation type="list" allowBlank="1" showInputMessage="1" showErrorMessage="1" sqref="I361">
      <formula1>liste_priorites</formula1>
    </dataValidation>
    <dataValidation type="date" operator="greaterThanOrEqual" allowBlank="1" showInputMessage="1" showErrorMessage="1" sqref="J361">
      <formula1>730120</formula1>
    </dataValidation>
    <dataValidation type="date" operator="greaterThanOrEqual" allowBlank="1" showInputMessage="1" showErrorMessage="1" sqref="K361">
      <formula1>730120</formula1>
    </dataValidation>
    <dataValidation type="date" operator="greaterThanOrEqual" allowBlank="1" showInputMessage="1" showErrorMessage="1" sqref="L361">
      <formula1>730120</formula1>
    </dataValidation>
    <dataValidation type="whole" allowBlank="1" showInputMessage="1" showErrorMessage="1" sqref="P361">
      <formula1>0</formula1>
      <formula2>100</formula2>
    </dataValidation>
    <dataValidation type="decimal" operator="greaterThanOrEqual" allowBlank="1" showInputMessage="1" showErrorMessage="1" sqref="Q361">
      <formula1>0</formula1>
    </dataValidation>
    <dataValidation type="decimal" operator="greaterThanOrEqual" allowBlank="1" showInputMessage="1" showErrorMessage="1" sqref="R361">
      <formula1>0</formula1>
    </dataValidation>
    <dataValidation type="whole" allowBlank="1" showInputMessage="1" showErrorMessage="1" sqref="U361">
      <formula1>1</formula1>
      <formula2>5</formula2>
    </dataValidation>
    <dataValidation type="whole" allowBlank="1" showInputMessage="1" showErrorMessage="1" sqref="V361">
      <formula1>1</formula1>
      <formula2>5</formula2>
    </dataValidation>
    <dataValidation type="whole" allowBlank="1" showInputMessage="1" showErrorMessage="1" sqref="X361">
      <formula1>1</formula1>
      <formula2>5</formula2>
    </dataValidation>
    <dataValidation type="decimal" operator="greaterThanOrEqual" allowBlank="1" showInputMessage="1" showErrorMessage="1" sqref="Y361">
      <formula1>0</formula1>
    </dataValidation>
    <dataValidation type="whole" operator="greaterThanOrEqual" allowBlank="1" showInputMessage="1" showErrorMessage="1" sqref="Z361">
      <formula1>0</formula1>
    </dataValidation>
    <dataValidation type="whole" allowBlank="1" showInputMessage="1" showErrorMessage="1" sqref="AA361">
      <formula1>1</formula1>
      <formula2>5</formula2>
    </dataValidation>
    <dataValidation type="decimal" allowBlank="1" showInputMessage="1" showErrorMessage="1" sqref="AB361">
      <formula1>0</formula1>
      <formula2>1</formula2>
    </dataValidation>
    <dataValidation type="list" allowBlank="1" showInputMessage="1" showErrorMessage="1" sqref="O361">
      <formula1>liste_statuts</formula1>
    </dataValidation>
    <dataValidation type="list" allowBlank="1" showInputMessage="1" showErrorMessage="1" sqref="B362">
      <formula1>liste_programmes</formula1>
    </dataValidation>
    <dataValidation type="list" allowBlank="1" showInputMessage="1" showErrorMessage="1" sqref="D362">
      <formula1>liste_types</formula1>
    </dataValidation>
    <dataValidation type="list" allowBlank="1" showInputMessage="1" showErrorMessage="1" sqref="F362">
      <formula1>liste_categories</formula1>
    </dataValidation>
    <dataValidation type="list" allowBlank="1" showInputMessage="1" showErrorMessage="1" sqref="G362">
      <formula1>liste_responsables</formula1>
    </dataValidation>
    <dataValidation type="list" allowBlank="1" showInputMessage="1" showErrorMessage="1" sqref="H362">
      <formula1>liste_sites</formula1>
    </dataValidation>
    <dataValidation type="list" allowBlank="1" showInputMessage="1" showErrorMessage="1" sqref="I362">
      <formula1>liste_priorites</formula1>
    </dataValidation>
    <dataValidation type="date" operator="greaterThanOrEqual" allowBlank="1" showInputMessage="1" showErrorMessage="1" sqref="J362">
      <formula1>730120</formula1>
    </dataValidation>
    <dataValidation type="date" operator="greaterThanOrEqual" allowBlank="1" showInputMessage="1" showErrorMessage="1" sqref="K362">
      <formula1>730120</formula1>
    </dataValidation>
    <dataValidation type="date" operator="greaterThanOrEqual" allowBlank="1" showInputMessage="1" showErrorMessage="1" sqref="L362">
      <formula1>730120</formula1>
    </dataValidation>
    <dataValidation type="whole" allowBlank="1" showInputMessage="1" showErrorMessage="1" sqref="P362">
      <formula1>0</formula1>
      <formula2>100</formula2>
    </dataValidation>
    <dataValidation type="decimal" operator="greaterThanOrEqual" allowBlank="1" showInputMessage="1" showErrorMessage="1" sqref="Q362">
      <formula1>0</formula1>
    </dataValidation>
    <dataValidation type="decimal" operator="greaterThanOrEqual" allowBlank="1" showInputMessage="1" showErrorMessage="1" sqref="R362">
      <formula1>0</formula1>
    </dataValidation>
    <dataValidation type="whole" allowBlank="1" showInputMessage="1" showErrorMessage="1" sqref="U362">
      <formula1>1</formula1>
      <formula2>5</formula2>
    </dataValidation>
    <dataValidation type="whole" allowBlank="1" showInputMessage="1" showErrorMessage="1" sqref="V362">
      <formula1>1</formula1>
      <formula2>5</formula2>
    </dataValidation>
    <dataValidation type="whole" allowBlank="1" showInputMessage="1" showErrorMessage="1" sqref="X362">
      <formula1>1</formula1>
      <formula2>5</formula2>
    </dataValidation>
    <dataValidation type="decimal" operator="greaterThanOrEqual" allowBlank="1" showInputMessage="1" showErrorMessage="1" sqref="Y362">
      <formula1>0</formula1>
    </dataValidation>
    <dataValidation type="whole" operator="greaterThanOrEqual" allowBlank="1" showInputMessage="1" showErrorMessage="1" sqref="Z362">
      <formula1>0</formula1>
    </dataValidation>
    <dataValidation type="whole" allowBlank="1" showInputMessage="1" showErrorMessage="1" sqref="AA362">
      <formula1>1</formula1>
      <formula2>5</formula2>
    </dataValidation>
    <dataValidation type="decimal" allowBlank="1" showInputMessage="1" showErrorMessage="1" sqref="AB362">
      <formula1>0</formula1>
      <formula2>1</formula2>
    </dataValidation>
    <dataValidation type="list" allowBlank="1" showInputMessage="1" showErrorMessage="1" sqref="O362">
      <formula1>liste_statuts</formula1>
    </dataValidation>
    <dataValidation type="list" allowBlank="1" showInputMessage="1" showErrorMessage="1" sqref="B363">
      <formula1>liste_programmes</formula1>
    </dataValidation>
    <dataValidation type="list" allowBlank="1" showInputMessage="1" showErrorMessage="1" sqref="D363">
      <formula1>liste_types</formula1>
    </dataValidation>
    <dataValidation type="list" allowBlank="1" showInputMessage="1" showErrorMessage="1" sqref="F363">
      <formula1>liste_categories</formula1>
    </dataValidation>
    <dataValidation type="list" allowBlank="1" showInputMessage="1" showErrorMessage="1" sqref="G363">
      <formula1>liste_responsables</formula1>
    </dataValidation>
    <dataValidation type="list" allowBlank="1" showInputMessage="1" showErrorMessage="1" sqref="H363">
      <formula1>liste_sites</formula1>
    </dataValidation>
    <dataValidation type="list" allowBlank="1" showInputMessage="1" showErrorMessage="1" sqref="I363">
      <formula1>liste_priorites</formula1>
    </dataValidation>
    <dataValidation type="date" operator="greaterThanOrEqual" allowBlank="1" showInputMessage="1" showErrorMessage="1" sqref="J363">
      <formula1>730120</formula1>
    </dataValidation>
    <dataValidation type="date" operator="greaterThanOrEqual" allowBlank="1" showInputMessage="1" showErrorMessage="1" sqref="K363">
      <formula1>730120</formula1>
    </dataValidation>
    <dataValidation type="date" operator="greaterThanOrEqual" allowBlank="1" showInputMessage="1" showErrorMessage="1" sqref="L363">
      <formula1>730120</formula1>
    </dataValidation>
    <dataValidation type="whole" allowBlank="1" showInputMessage="1" showErrorMessage="1" sqref="P363">
      <formula1>0</formula1>
      <formula2>100</formula2>
    </dataValidation>
    <dataValidation type="decimal" operator="greaterThanOrEqual" allowBlank="1" showInputMessage="1" showErrorMessage="1" sqref="Q363">
      <formula1>0</formula1>
    </dataValidation>
    <dataValidation type="decimal" operator="greaterThanOrEqual" allowBlank="1" showInputMessage="1" showErrorMessage="1" sqref="R363">
      <formula1>0</formula1>
    </dataValidation>
    <dataValidation type="whole" allowBlank="1" showInputMessage="1" showErrorMessage="1" sqref="U363">
      <formula1>1</formula1>
      <formula2>5</formula2>
    </dataValidation>
    <dataValidation type="whole" allowBlank="1" showInputMessage="1" showErrorMessage="1" sqref="V363">
      <formula1>1</formula1>
      <formula2>5</formula2>
    </dataValidation>
    <dataValidation type="whole" allowBlank="1" showInputMessage="1" showErrorMessage="1" sqref="X363">
      <formula1>1</formula1>
      <formula2>5</formula2>
    </dataValidation>
    <dataValidation type="decimal" operator="greaterThanOrEqual" allowBlank="1" showInputMessage="1" showErrorMessage="1" sqref="Y363">
      <formula1>0</formula1>
    </dataValidation>
    <dataValidation type="whole" operator="greaterThanOrEqual" allowBlank="1" showInputMessage="1" showErrorMessage="1" sqref="Z363">
      <formula1>0</formula1>
    </dataValidation>
    <dataValidation type="whole" allowBlank="1" showInputMessage="1" showErrorMessage="1" sqref="AA363">
      <formula1>1</formula1>
      <formula2>5</formula2>
    </dataValidation>
    <dataValidation type="decimal" allowBlank="1" showInputMessage="1" showErrorMessage="1" sqref="AB363">
      <formula1>0</formula1>
      <formula2>1</formula2>
    </dataValidation>
    <dataValidation type="list" allowBlank="1" showInputMessage="1" showErrorMessage="1" sqref="O363">
      <formula1>liste_statuts</formula1>
    </dataValidation>
    <dataValidation type="list" allowBlank="1" showInputMessage="1" showErrorMessage="1" sqref="B364">
      <formula1>liste_programmes</formula1>
    </dataValidation>
    <dataValidation type="list" allowBlank="1" showInputMessage="1" showErrorMessage="1" sqref="D364">
      <formula1>liste_types</formula1>
    </dataValidation>
    <dataValidation type="list" allowBlank="1" showInputMessage="1" showErrorMessage="1" sqref="F364">
      <formula1>liste_categories</formula1>
    </dataValidation>
    <dataValidation type="list" allowBlank="1" showInputMessage="1" showErrorMessage="1" sqref="G364">
      <formula1>liste_responsables</formula1>
    </dataValidation>
    <dataValidation type="list" allowBlank="1" showInputMessage="1" showErrorMessage="1" sqref="H364">
      <formula1>liste_sites</formula1>
    </dataValidation>
    <dataValidation type="list" allowBlank="1" showInputMessage="1" showErrorMessage="1" sqref="I364">
      <formula1>liste_priorites</formula1>
    </dataValidation>
    <dataValidation type="date" operator="greaterThanOrEqual" allowBlank="1" showInputMessage="1" showErrorMessage="1" sqref="J364">
      <formula1>730120</formula1>
    </dataValidation>
    <dataValidation type="date" operator="greaterThanOrEqual" allowBlank="1" showInputMessage="1" showErrorMessage="1" sqref="K364">
      <formula1>730120</formula1>
    </dataValidation>
    <dataValidation type="date" operator="greaterThanOrEqual" allowBlank="1" showInputMessage="1" showErrorMessage="1" sqref="L364">
      <formula1>730120</formula1>
    </dataValidation>
    <dataValidation type="whole" allowBlank="1" showInputMessage="1" showErrorMessage="1" sqref="P364">
      <formula1>0</formula1>
      <formula2>100</formula2>
    </dataValidation>
    <dataValidation type="decimal" operator="greaterThanOrEqual" allowBlank="1" showInputMessage="1" showErrorMessage="1" sqref="Q364">
      <formula1>0</formula1>
    </dataValidation>
    <dataValidation type="decimal" operator="greaterThanOrEqual" allowBlank="1" showInputMessage="1" showErrorMessage="1" sqref="R364">
      <formula1>0</formula1>
    </dataValidation>
    <dataValidation type="whole" allowBlank="1" showInputMessage="1" showErrorMessage="1" sqref="U364">
      <formula1>1</formula1>
      <formula2>5</formula2>
    </dataValidation>
    <dataValidation type="whole" allowBlank="1" showInputMessage="1" showErrorMessage="1" sqref="V364">
      <formula1>1</formula1>
      <formula2>5</formula2>
    </dataValidation>
    <dataValidation type="whole" allowBlank="1" showInputMessage="1" showErrorMessage="1" sqref="X364">
      <formula1>1</formula1>
      <formula2>5</formula2>
    </dataValidation>
    <dataValidation type="decimal" operator="greaterThanOrEqual" allowBlank="1" showInputMessage="1" showErrorMessage="1" sqref="Y364">
      <formula1>0</formula1>
    </dataValidation>
    <dataValidation type="whole" operator="greaterThanOrEqual" allowBlank="1" showInputMessage="1" showErrorMessage="1" sqref="Z364">
      <formula1>0</formula1>
    </dataValidation>
    <dataValidation type="whole" allowBlank="1" showInputMessage="1" showErrorMessage="1" sqref="AA364">
      <formula1>1</formula1>
      <formula2>5</formula2>
    </dataValidation>
    <dataValidation type="decimal" allowBlank="1" showInputMessage="1" showErrorMessage="1" sqref="AB364">
      <formula1>0</formula1>
      <formula2>1</formula2>
    </dataValidation>
    <dataValidation type="list" allowBlank="1" showInputMessage="1" showErrorMessage="1" sqref="O364">
      <formula1>liste_statuts</formula1>
    </dataValidation>
    <dataValidation type="list" allowBlank="1" showInputMessage="1" showErrorMessage="1" sqref="B365">
      <formula1>liste_programmes</formula1>
    </dataValidation>
    <dataValidation type="list" allowBlank="1" showInputMessage="1" showErrorMessage="1" sqref="D365">
      <formula1>liste_types</formula1>
    </dataValidation>
    <dataValidation type="list" allowBlank="1" showInputMessage="1" showErrorMessage="1" sqref="F365">
      <formula1>liste_categories</formula1>
    </dataValidation>
    <dataValidation type="list" allowBlank="1" showInputMessage="1" showErrorMessage="1" sqref="G365">
      <formula1>liste_responsables</formula1>
    </dataValidation>
    <dataValidation type="list" allowBlank="1" showInputMessage="1" showErrorMessage="1" sqref="H365">
      <formula1>liste_sites</formula1>
    </dataValidation>
    <dataValidation type="list" allowBlank="1" showInputMessage="1" showErrorMessage="1" sqref="I365">
      <formula1>liste_priorites</formula1>
    </dataValidation>
    <dataValidation type="date" operator="greaterThanOrEqual" allowBlank="1" showInputMessage="1" showErrorMessage="1" sqref="J365">
      <formula1>730120</formula1>
    </dataValidation>
    <dataValidation type="date" operator="greaterThanOrEqual" allowBlank="1" showInputMessage="1" showErrorMessage="1" sqref="K365">
      <formula1>730120</formula1>
    </dataValidation>
    <dataValidation type="date" operator="greaterThanOrEqual" allowBlank="1" showInputMessage="1" showErrorMessage="1" sqref="L365">
      <formula1>730120</formula1>
    </dataValidation>
    <dataValidation type="whole" allowBlank="1" showInputMessage="1" showErrorMessage="1" sqref="P365">
      <formula1>0</formula1>
      <formula2>100</formula2>
    </dataValidation>
    <dataValidation type="decimal" operator="greaterThanOrEqual" allowBlank="1" showInputMessage="1" showErrorMessage="1" sqref="Q365">
      <formula1>0</formula1>
    </dataValidation>
    <dataValidation type="decimal" operator="greaterThanOrEqual" allowBlank="1" showInputMessage="1" showErrorMessage="1" sqref="R365">
      <formula1>0</formula1>
    </dataValidation>
    <dataValidation type="whole" allowBlank="1" showInputMessage="1" showErrorMessage="1" sqref="U365">
      <formula1>1</formula1>
      <formula2>5</formula2>
    </dataValidation>
    <dataValidation type="whole" allowBlank="1" showInputMessage="1" showErrorMessage="1" sqref="V365">
      <formula1>1</formula1>
      <formula2>5</formula2>
    </dataValidation>
    <dataValidation type="whole" allowBlank="1" showInputMessage="1" showErrorMessage="1" sqref="X365">
      <formula1>1</formula1>
      <formula2>5</formula2>
    </dataValidation>
    <dataValidation type="decimal" operator="greaterThanOrEqual" allowBlank="1" showInputMessage="1" showErrorMessage="1" sqref="Y365">
      <formula1>0</formula1>
    </dataValidation>
    <dataValidation type="whole" operator="greaterThanOrEqual" allowBlank="1" showInputMessage="1" showErrorMessage="1" sqref="Z365">
      <formula1>0</formula1>
    </dataValidation>
    <dataValidation type="whole" allowBlank="1" showInputMessage="1" showErrorMessage="1" sqref="AA365">
      <formula1>1</formula1>
      <formula2>5</formula2>
    </dataValidation>
    <dataValidation type="decimal" allowBlank="1" showInputMessage="1" showErrorMessage="1" sqref="AB365">
      <formula1>0</formula1>
      <formula2>1</formula2>
    </dataValidation>
    <dataValidation type="list" allowBlank="1" showInputMessage="1" showErrorMessage="1" sqref="O365">
      <formula1>liste_statuts</formula1>
    </dataValidation>
    <dataValidation type="list" allowBlank="1" showInputMessage="1" showErrorMessage="1" sqref="B366">
      <formula1>liste_programmes</formula1>
    </dataValidation>
    <dataValidation type="list" allowBlank="1" showInputMessage="1" showErrorMessage="1" sqref="D366">
      <formula1>liste_types</formula1>
    </dataValidation>
    <dataValidation type="list" allowBlank="1" showInputMessage="1" showErrorMessage="1" sqref="F366">
      <formula1>liste_categories</formula1>
    </dataValidation>
    <dataValidation type="list" allowBlank="1" showInputMessage="1" showErrorMessage="1" sqref="G366">
      <formula1>liste_responsables</formula1>
    </dataValidation>
    <dataValidation type="list" allowBlank="1" showInputMessage="1" showErrorMessage="1" sqref="H366">
      <formula1>liste_sites</formula1>
    </dataValidation>
    <dataValidation type="list" allowBlank="1" showInputMessage="1" showErrorMessage="1" sqref="I366">
      <formula1>liste_priorites</formula1>
    </dataValidation>
    <dataValidation type="date" operator="greaterThanOrEqual" allowBlank="1" showInputMessage="1" showErrorMessage="1" sqref="J366">
      <formula1>730120</formula1>
    </dataValidation>
    <dataValidation type="date" operator="greaterThanOrEqual" allowBlank="1" showInputMessage="1" showErrorMessage="1" sqref="K366">
      <formula1>730120</formula1>
    </dataValidation>
    <dataValidation type="date" operator="greaterThanOrEqual" allowBlank="1" showInputMessage="1" showErrorMessage="1" sqref="L366">
      <formula1>730120</formula1>
    </dataValidation>
    <dataValidation type="whole" allowBlank="1" showInputMessage="1" showErrorMessage="1" sqref="P366">
      <formula1>0</formula1>
      <formula2>100</formula2>
    </dataValidation>
    <dataValidation type="decimal" operator="greaterThanOrEqual" allowBlank="1" showInputMessage="1" showErrorMessage="1" sqref="Q366">
      <formula1>0</formula1>
    </dataValidation>
    <dataValidation type="decimal" operator="greaterThanOrEqual" allowBlank="1" showInputMessage="1" showErrorMessage="1" sqref="R366">
      <formula1>0</formula1>
    </dataValidation>
    <dataValidation type="whole" allowBlank="1" showInputMessage="1" showErrorMessage="1" sqref="U366">
      <formula1>1</formula1>
      <formula2>5</formula2>
    </dataValidation>
    <dataValidation type="whole" allowBlank="1" showInputMessage="1" showErrorMessage="1" sqref="V366">
      <formula1>1</formula1>
      <formula2>5</formula2>
    </dataValidation>
    <dataValidation type="whole" allowBlank="1" showInputMessage="1" showErrorMessage="1" sqref="X366">
      <formula1>1</formula1>
      <formula2>5</formula2>
    </dataValidation>
    <dataValidation type="decimal" operator="greaterThanOrEqual" allowBlank="1" showInputMessage="1" showErrorMessage="1" sqref="Y366">
      <formula1>0</formula1>
    </dataValidation>
    <dataValidation type="whole" operator="greaterThanOrEqual" allowBlank="1" showInputMessage="1" showErrorMessage="1" sqref="Z366">
      <formula1>0</formula1>
    </dataValidation>
    <dataValidation type="whole" allowBlank="1" showInputMessage="1" showErrorMessage="1" sqref="AA366">
      <formula1>1</formula1>
      <formula2>5</formula2>
    </dataValidation>
    <dataValidation type="decimal" allowBlank="1" showInputMessage="1" showErrorMessage="1" sqref="AB366">
      <formula1>0</formula1>
      <formula2>1</formula2>
    </dataValidation>
    <dataValidation type="list" allowBlank="1" showInputMessage="1" showErrorMessage="1" sqref="O366">
      <formula1>liste_statuts</formula1>
    </dataValidation>
    <dataValidation type="list" allowBlank="1" showInputMessage="1" showErrorMessage="1" sqref="B367">
      <formula1>liste_programmes</formula1>
    </dataValidation>
    <dataValidation type="list" allowBlank="1" showInputMessage="1" showErrorMessage="1" sqref="D367">
      <formula1>liste_types</formula1>
    </dataValidation>
    <dataValidation type="list" allowBlank="1" showInputMessage="1" showErrorMessage="1" sqref="F367">
      <formula1>liste_categories</formula1>
    </dataValidation>
    <dataValidation type="list" allowBlank="1" showInputMessage="1" showErrorMessage="1" sqref="G367">
      <formula1>liste_responsables</formula1>
    </dataValidation>
    <dataValidation type="list" allowBlank="1" showInputMessage="1" showErrorMessage="1" sqref="H367">
      <formula1>liste_sites</formula1>
    </dataValidation>
    <dataValidation type="list" allowBlank="1" showInputMessage="1" showErrorMessage="1" sqref="I367">
      <formula1>liste_priorites</formula1>
    </dataValidation>
    <dataValidation type="date" operator="greaterThanOrEqual" allowBlank="1" showInputMessage="1" showErrorMessage="1" sqref="J367">
      <formula1>730120</formula1>
    </dataValidation>
    <dataValidation type="date" operator="greaterThanOrEqual" allowBlank="1" showInputMessage="1" showErrorMessage="1" sqref="K367">
      <formula1>730120</formula1>
    </dataValidation>
    <dataValidation type="date" operator="greaterThanOrEqual" allowBlank="1" showInputMessage="1" showErrorMessage="1" sqref="L367">
      <formula1>730120</formula1>
    </dataValidation>
    <dataValidation type="whole" allowBlank="1" showInputMessage="1" showErrorMessage="1" sqref="P367">
      <formula1>0</formula1>
      <formula2>100</formula2>
    </dataValidation>
    <dataValidation type="decimal" operator="greaterThanOrEqual" allowBlank="1" showInputMessage="1" showErrorMessage="1" sqref="Q367">
      <formula1>0</formula1>
    </dataValidation>
    <dataValidation type="decimal" operator="greaterThanOrEqual" allowBlank="1" showInputMessage="1" showErrorMessage="1" sqref="R367">
      <formula1>0</formula1>
    </dataValidation>
    <dataValidation type="whole" allowBlank="1" showInputMessage="1" showErrorMessage="1" sqref="U367">
      <formula1>1</formula1>
      <formula2>5</formula2>
    </dataValidation>
    <dataValidation type="whole" allowBlank="1" showInputMessage="1" showErrorMessage="1" sqref="V367">
      <formula1>1</formula1>
      <formula2>5</formula2>
    </dataValidation>
    <dataValidation type="whole" allowBlank="1" showInputMessage="1" showErrorMessage="1" sqref="X367">
      <formula1>1</formula1>
      <formula2>5</formula2>
    </dataValidation>
    <dataValidation type="decimal" operator="greaterThanOrEqual" allowBlank="1" showInputMessage="1" showErrorMessage="1" sqref="Y367">
      <formula1>0</formula1>
    </dataValidation>
    <dataValidation type="whole" operator="greaterThanOrEqual" allowBlank="1" showInputMessage="1" showErrorMessage="1" sqref="Z367">
      <formula1>0</formula1>
    </dataValidation>
    <dataValidation type="whole" allowBlank="1" showInputMessage="1" showErrorMessage="1" sqref="AA367">
      <formula1>1</formula1>
      <formula2>5</formula2>
    </dataValidation>
    <dataValidation type="decimal" allowBlank="1" showInputMessage="1" showErrorMessage="1" sqref="AB367">
      <formula1>0</formula1>
      <formula2>1</formula2>
    </dataValidation>
    <dataValidation type="list" allowBlank="1" showInputMessage="1" showErrorMessage="1" sqref="O367">
      <formula1>liste_statuts</formula1>
    </dataValidation>
    <dataValidation type="list" allowBlank="1" showInputMessage="1" showErrorMessage="1" sqref="B368">
      <formula1>liste_programmes</formula1>
    </dataValidation>
    <dataValidation type="list" allowBlank="1" showInputMessage="1" showErrorMessage="1" sqref="D368">
      <formula1>liste_types</formula1>
    </dataValidation>
    <dataValidation type="list" allowBlank="1" showInputMessage="1" showErrorMessage="1" sqref="F368">
      <formula1>liste_categories</formula1>
    </dataValidation>
    <dataValidation type="list" allowBlank="1" showInputMessage="1" showErrorMessage="1" sqref="G368">
      <formula1>liste_responsables</formula1>
    </dataValidation>
    <dataValidation type="list" allowBlank="1" showInputMessage="1" showErrorMessage="1" sqref="H368">
      <formula1>liste_sites</formula1>
    </dataValidation>
    <dataValidation type="list" allowBlank="1" showInputMessage="1" showErrorMessage="1" sqref="I368">
      <formula1>liste_priorites</formula1>
    </dataValidation>
    <dataValidation type="date" operator="greaterThanOrEqual" allowBlank="1" showInputMessage="1" showErrorMessage="1" sqref="J368">
      <formula1>730120</formula1>
    </dataValidation>
    <dataValidation type="date" operator="greaterThanOrEqual" allowBlank="1" showInputMessage="1" showErrorMessage="1" sqref="K368">
      <formula1>730120</formula1>
    </dataValidation>
    <dataValidation type="date" operator="greaterThanOrEqual" allowBlank="1" showInputMessage="1" showErrorMessage="1" sqref="L368">
      <formula1>730120</formula1>
    </dataValidation>
    <dataValidation type="whole" allowBlank="1" showInputMessage="1" showErrorMessage="1" sqref="P368">
      <formula1>0</formula1>
      <formula2>100</formula2>
    </dataValidation>
    <dataValidation type="decimal" operator="greaterThanOrEqual" allowBlank="1" showInputMessage="1" showErrorMessage="1" sqref="Q368">
      <formula1>0</formula1>
    </dataValidation>
    <dataValidation type="decimal" operator="greaterThanOrEqual" allowBlank="1" showInputMessage="1" showErrorMessage="1" sqref="R368">
      <formula1>0</formula1>
    </dataValidation>
    <dataValidation type="whole" allowBlank="1" showInputMessage="1" showErrorMessage="1" sqref="U368">
      <formula1>1</formula1>
      <formula2>5</formula2>
    </dataValidation>
    <dataValidation type="whole" allowBlank="1" showInputMessage="1" showErrorMessage="1" sqref="V368">
      <formula1>1</formula1>
      <formula2>5</formula2>
    </dataValidation>
    <dataValidation type="whole" allowBlank="1" showInputMessage="1" showErrorMessage="1" sqref="X368">
      <formula1>1</formula1>
      <formula2>5</formula2>
    </dataValidation>
    <dataValidation type="decimal" operator="greaterThanOrEqual" allowBlank="1" showInputMessage="1" showErrorMessage="1" sqref="Y368">
      <formula1>0</formula1>
    </dataValidation>
    <dataValidation type="whole" operator="greaterThanOrEqual" allowBlank="1" showInputMessage="1" showErrorMessage="1" sqref="Z368">
      <formula1>0</formula1>
    </dataValidation>
    <dataValidation type="whole" allowBlank="1" showInputMessage="1" showErrorMessage="1" sqref="AA368">
      <formula1>1</formula1>
      <formula2>5</formula2>
    </dataValidation>
    <dataValidation type="decimal" allowBlank="1" showInputMessage="1" showErrorMessage="1" sqref="AB368">
      <formula1>0</formula1>
      <formula2>1</formula2>
    </dataValidation>
    <dataValidation type="list" allowBlank="1" showInputMessage="1" showErrorMessage="1" sqref="O368">
      <formula1>liste_statuts</formula1>
    </dataValidation>
    <dataValidation type="list" allowBlank="1" showInputMessage="1" showErrorMessage="1" sqref="B369">
      <formula1>liste_programmes</formula1>
    </dataValidation>
    <dataValidation type="list" allowBlank="1" showInputMessage="1" showErrorMessage="1" sqref="D369">
      <formula1>liste_types</formula1>
    </dataValidation>
    <dataValidation type="list" allowBlank="1" showInputMessage="1" showErrorMessage="1" sqref="F369">
      <formula1>liste_categories</formula1>
    </dataValidation>
    <dataValidation type="list" allowBlank="1" showInputMessage="1" showErrorMessage="1" sqref="G369">
      <formula1>liste_responsables</formula1>
    </dataValidation>
    <dataValidation type="list" allowBlank="1" showInputMessage="1" showErrorMessage="1" sqref="H369">
      <formula1>liste_sites</formula1>
    </dataValidation>
    <dataValidation type="list" allowBlank="1" showInputMessage="1" showErrorMessage="1" sqref="I369">
      <formula1>liste_priorites</formula1>
    </dataValidation>
    <dataValidation type="date" operator="greaterThanOrEqual" allowBlank="1" showInputMessage="1" showErrorMessage="1" sqref="J369">
      <formula1>730120</formula1>
    </dataValidation>
    <dataValidation type="date" operator="greaterThanOrEqual" allowBlank="1" showInputMessage="1" showErrorMessage="1" sqref="K369">
      <formula1>730120</formula1>
    </dataValidation>
    <dataValidation type="date" operator="greaterThanOrEqual" allowBlank="1" showInputMessage="1" showErrorMessage="1" sqref="L369">
      <formula1>730120</formula1>
    </dataValidation>
    <dataValidation type="whole" allowBlank="1" showInputMessage="1" showErrorMessage="1" sqref="P369">
      <formula1>0</formula1>
      <formula2>100</formula2>
    </dataValidation>
    <dataValidation type="decimal" operator="greaterThanOrEqual" allowBlank="1" showInputMessage="1" showErrorMessage="1" sqref="Q369">
      <formula1>0</formula1>
    </dataValidation>
    <dataValidation type="decimal" operator="greaterThanOrEqual" allowBlank="1" showInputMessage="1" showErrorMessage="1" sqref="R369">
      <formula1>0</formula1>
    </dataValidation>
    <dataValidation type="whole" allowBlank="1" showInputMessage="1" showErrorMessage="1" sqref="U369">
      <formula1>1</formula1>
      <formula2>5</formula2>
    </dataValidation>
    <dataValidation type="whole" allowBlank="1" showInputMessage="1" showErrorMessage="1" sqref="V369">
      <formula1>1</formula1>
      <formula2>5</formula2>
    </dataValidation>
    <dataValidation type="whole" allowBlank="1" showInputMessage="1" showErrorMessage="1" sqref="X369">
      <formula1>1</formula1>
      <formula2>5</formula2>
    </dataValidation>
    <dataValidation type="decimal" operator="greaterThanOrEqual" allowBlank="1" showInputMessage="1" showErrorMessage="1" sqref="Y369">
      <formula1>0</formula1>
    </dataValidation>
    <dataValidation type="whole" operator="greaterThanOrEqual" allowBlank="1" showInputMessage="1" showErrorMessage="1" sqref="Z369">
      <formula1>0</formula1>
    </dataValidation>
    <dataValidation type="whole" allowBlank="1" showInputMessage="1" showErrorMessage="1" sqref="AA369">
      <formula1>1</formula1>
      <formula2>5</formula2>
    </dataValidation>
    <dataValidation type="decimal" allowBlank="1" showInputMessage="1" showErrorMessage="1" sqref="AB369">
      <formula1>0</formula1>
      <formula2>1</formula2>
    </dataValidation>
    <dataValidation type="list" allowBlank="1" showInputMessage="1" showErrorMessage="1" sqref="O369">
      <formula1>liste_statuts</formula1>
    </dataValidation>
    <dataValidation type="list" allowBlank="1" showInputMessage="1" showErrorMessage="1" sqref="B370">
      <formula1>liste_programmes</formula1>
    </dataValidation>
    <dataValidation type="list" allowBlank="1" showInputMessage="1" showErrorMessage="1" sqref="D370">
      <formula1>liste_types</formula1>
    </dataValidation>
    <dataValidation type="list" allowBlank="1" showInputMessage="1" showErrorMessage="1" sqref="F370">
      <formula1>liste_categories</formula1>
    </dataValidation>
    <dataValidation type="list" allowBlank="1" showInputMessage="1" showErrorMessage="1" sqref="G370">
      <formula1>liste_responsables</formula1>
    </dataValidation>
    <dataValidation type="list" allowBlank="1" showInputMessage="1" showErrorMessage="1" sqref="H370">
      <formula1>liste_sites</formula1>
    </dataValidation>
    <dataValidation type="list" allowBlank="1" showInputMessage="1" showErrorMessage="1" sqref="I370">
      <formula1>liste_priorites</formula1>
    </dataValidation>
    <dataValidation type="date" operator="greaterThanOrEqual" allowBlank="1" showInputMessage="1" showErrorMessage="1" sqref="J370">
      <formula1>730120</formula1>
    </dataValidation>
    <dataValidation type="date" operator="greaterThanOrEqual" allowBlank="1" showInputMessage="1" showErrorMessage="1" sqref="K370">
      <formula1>730120</formula1>
    </dataValidation>
    <dataValidation type="date" operator="greaterThanOrEqual" allowBlank="1" showInputMessage="1" showErrorMessage="1" sqref="L370">
      <formula1>730120</formula1>
    </dataValidation>
    <dataValidation type="whole" allowBlank="1" showInputMessage="1" showErrorMessage="1" sqref="P370">
      <formula1>0</formula1>
      <formula2>100</formula2>
    </dataValidation>
    <dataValidation type="decimal" operator="greaterThanOrEqual" allowBlank="1" showInputMessage="1" showErrorMessage="1" sqref="Q370">
      <formula1>0</formula1>
    </dataValidation>
    <dataValidation type="decimal" operator="greaterThanOrEqual" allowBlank="1" showInputMessage="1" showErrorMessage="1" sqref="R370">
      <formula1>0</formula1>
    </dataValidation>
    <dataValidation type="whole" allowBlank="1" showInputMessage="1" showErrorMessage="1" sqref="U370">
      <formula1>1</formula1>
      <formula2>5</formula2>
    </dataValidation>
    <dataValidation type="whole" allowBlank="1" showInputMessage="1" showErrorMessage="1" sqref="V370">
      <formula1>1</formula1>
      <formula2>5</formula2>
    </dataValidation>
    <dataValidation type="whole" allowBlank="1" showInputMessage="1" showErrorMessage="1" sqref="X370">
      <formula1>1</formula1>
      <formula2>5</formula2>
    </dataValidation>
    <dataValidation type="decimal" operator="greaterThanOrEqual" allowBlank="1" showInputMessage="1" showErrorMessage="1" sqref="Y370">
      <formula1>0</formula1>
    </dataValidation>
    <dataValidation type="whole" operator="greaterThanOrEqual" allowBlank="1" showInputMessage="1" showErrorMessage="1" sqref="Z370">
      <formula1>0</formula1>
    </dataValidation>
    <dataValidation type="whole" allowBlank="1" showInputMessage="1" showErrorMessage="1" sqref="AA370">
      <formula1>1</formula1>
      <formula2>5</formula2>
    </dataValidation>
    <dataValidation type="decimal" allowBlank="1" showInputMessage="1" showErrorMessage="1" sqref="AB370">
      <formula1>0</formula1>
      <formula2>1</formula2>
    </dataValidation>
    <dataValidation type="list" allowBlank="1" showInputMessage="1" showErrorMessage="1" sqref="O370">
      <formula1>liste_statuts</formula1>
    </dataValidation>
    <dataValidation type="list" allowBlank="1" showInputMessage="1" showErrorMessage="1" sqref="B371">
      <formula1>liste_programmes</formula1>
    </dataValidation>
    <dataValidation type="list" allowBlank="1" showInputMessage="1" showErrorMessage="1" sqref="D371">
      <formula1>liste_types</formula1>
    </dataValidation>
    <dataValidation type="list" allowBlank="1" showInputMessage="1" showErrorMessage="1" sqref="F371">
      <formula1>liste_categories</formula1>
    </dataValidation>
    <dataValidation type="list" allowBlank="1" showInputMessage="1" showErrorMessage="1" sqref="G371">
      <formula1>liste_responsables</formula1>
    </dataValidation>
    <dataValidation type="list" allowBlank="1" showInputMessage="1" showErrorMessage="1" sqref="H371">
      <formula1>liste_sites</formula1>
    </dataValidation>
    <dataValidation type="list" allowBlank="1" showInputMessage="1" showErrorMessage="1" sqref="I371">
      <formula1>liste_priorites</formula1>
    </dataValidation>
    <dataValidation type="date" operator="greaterThanOrEqual" allowBlank="1" showInputMessage="1" showErrorMessage="1" sqref="J371">
      <formula1>730120</formula1>
    </dataValidation>
    <dataValidation type="date" operator="greaterThanOrEqual" allowBlank="1" showInputMessage="1" showErrorMessage="1" sqref="K371">
      <formula1>730120</formula1>
    </dataValidation>
    <dataValidation type="date" operator="greaterThanOrEqual" allowBlank="1" showInputMessage="1" showErrorMessage="1" sqref="L371">
      <formula1>730120</formula1>
    </dataValidation>
    <dataValidation type="whole" allowBlank="1" showInputMessage="1" showErrorMessage="1" sqref="P371">
      <formula1>0</formula1>
      <formula2>100</formula2>
    </dataValidation>
    <dataValidation type="decimal" operator="greaterThanOrEqual" allowBlank="1" showInputMessage="1" showErrorMessage="1" sqref="Q371">
      <formula1>0</formula1>
    </dataValidation>
    <dataValidation type="decimal" operator="greaterThanOrEqual" allowBlank="1" showInputMessage="1" showErrorMessage="1" sqref="R371">
      <formula1>0</formula1>
    </dataValidation>
    <dataValidation type="whole" allowBlank="1" showInputMessage="1" showErrorMessage="1" sqref="U371">
      <formula1>1</formula1>
      <formula2>5</formula2>
    </dataValidation>
    <dataValidation type="whole" allowBlank="1" showInputMessage="1" showErrorMessage="1" sqref="V371">
      <formula1>1</formula1>
      <formula2>5</formula2>
    </dataValidation>
    <dataValidation type="whole" allowBlank="1" showInputMessage="1" showErrorMessage="1" sqref="X371">
      <formula1>1</formula1>
      <formula2>5</formula2>
    </dataValidation>
    <dataValidation type="decimal" operator="greaterThanOrEqual" allowBlank="1" showInputMessage="1" showErrorMessage="1" sqref="Y371">
      <formula1>0</formula1>
    </dataValidation>
    <dataValidation type="whole" operator="greaterThanOrEqual" allowBlank="1" showInputMessage="1" showErrorMessage="1" sqref="Z371">
      <formula1>0</formula1>
    </dataValidation>
    <dataValidation type="whole" allowBlank="1" showInputMessage="1" showErrorMessage="1" sqref="AA371">
      <formula1>1</formula1>
      <formula2>5</formula2>
    </dataValidation>
    <dataValidation type="decimal" allowBlank="1" showInputMessage="1" showErrorMessage="1" sqref="AB371">
      <formula1>0</formula1>
      <formula2>1</formula2>
    </dataValidation>
    <dataValidation type="list" allowBlank="1" showInputMessage="1" showErrorMessage="1" sqref="O371">
      <formula1>liste_statuts</formula1>
    </dataValidation>
    <dataValidation type="list" allowBlank="1" showInputMessage="1" showErrorMessage="1" sqref="B372">
      <formula1>liste_programmes</formula1>
    </dataValidation>
    <dataValidation type="list" allowBlank="1" showInputMessage="1" showErrorMessage="1" sqref="D372">
      <formula1>liste_types</formula1>
    </dataValidation>
    <dataValidation type="list" allowBlank="1" showInputMessage="1" showErrorMessage="1" sqref="F372">
      <formula1>liste_categories</formula1>
    </dataValidation>
    <dataValidation type="list" allowBlank="1" showInputMessage="1" showErrorMessage="1" sqref="G372">
      <formula1>liste_responsables</formula1>
    </dataValidation>
    <dataValidation type="list" allowBlank="1" showInputMessage="1" showErrorMessage="1" sqref="H372">
      <formula1>liste_sites</formula1>
    </dataValidation>
    <dataValidation type="list" allowBlank="1" showInputMessage="1" showErrorMessage="1" sqref="I372">
      <formula1>liste_priorites</formula1>
    </dataValidation>
    <dataValidation type="date" operator="greaterThanOrEqual" allowBlank="1" showInputMessage="1" showErrorMessage="1" sqref="J372">
      <formula1>730120</formula1>
    </dataValidation>
    <dataValidation type="date" operator="greaterThanOrEqual" allowBlank="1" showInputMessage="1" showErrorMessage="1" sqref="K372">
      <formula1>730120</formula1>
    </dataValidation>
    <dataValidation type="date" operator="greaterThanOrEqual" allowBlank="1" showInputMessage="1" showErrorMessage="1" sqref="L372">
      <formula1>730120</formula1>
    </dataValidation>
    <dataValidation type="whole" allowBlank="1" showInputMessage="1" showErrorMessage="1" sqref="P372">
      <formula1>0</formula1>
      <formula2>100</formula2>
    </dataValidation>
    <dataValidation type="decimal" operator="greaterThanOrEqual" allowBlank="1" showInputMessage="1" showErrorMessage="1" sqref="Q372">
      <formula1>0</formula1>
    </dataValidation>
    <dataValidation type="decimal" operator="greaterThanOrEqual" allowBlank="1" showInputMessage="1" showErrorMessage="1" sqref="R372">
      <formula1>0</formula1>
    </dataValidation>
    <dataValidation type="whole" allowBlank="1" showInputMessage="1" showErrorMessage="1" sqref="U372">
      <formula1>1</formula1>
      <formula2>5</formula2>
    </dataValidation>
    <dataValidation type="whole" allowBlank="1" showInputMessage="1" showErrorMessage="1" sqref="V372">
      <formula1>1</formula1>
      <formula2>5</formula2>
    </dataValidation>
    <dataValidation type="whole" allowBlank="1" showInputMessage="1" showErrorMessage="1" sqref="X372">
      <formula1>1</formula1>
      <formula2>5</formula2>
    </dataValidation>
    <dataValidation type="decimal" operator="greaterThanOrEqual" allowBlank="1" showInputMessage="1" showErrorMessage="1" sqref="Y372">
      <formula1>0</formula1>
    </dataValidation>
    <dataValidation type="whole" operator="greaterThanOrEqual" allowBlank="1" showInputMessage="1" showErrorMessage="1" sqref="Z372">
      <formula1>0</formula1>
    </dataValidation>
    <dataValidation type="whole" allowBlank="1" showInputMessage="1" showErrorMessage="1" sqref="AA372">
      <formula1>1</formula1>
      <formula2>5</formula2>
    </dataValidation>
    <dataValidation type="decimal" allowBlank="1" showInputMessage="1" showErrorMessage="1" sqref="AB372">
      <formula1>0</formula1>
      <formula2>1</formula2>
    </dataValidation>
    <dataValidation type="list" allowBlank="1" showInputMessage="1" showErrorMessage="1" sqref="O372">
      <formula1>liste_statuts</formula1>
    </dataValidation>
    <dataValidation type="list" allowBlank="1" showInputMessage="1" showErrorMessage="1" sqref="B373">
      <formula1>liste_programmes</formula1>
    </dataValidation>
    <dataValidation type="list" allowBlank="1" showInputMessage="1" showErrorMessage="1" sqref="D373">
      <formula1>liste_types</formula1>
    </dataValidation>
    <dataValidation type="list" allowBlank="1" showInputMessage="1" showErrorMessage="1" sqref="F373">
      <formula1>liste_categories</formula1>
    </dataValidation>
    <dataValidation type="list" allowBlank="1" showInputMessage="1" showErrorMessage="1" sqref="G373">
      <formula1>liste_responsables</formula1>
    </dataValidation>
    <dataValidation type="list" allowBlank="1" showInputMessage="1" showErrorMessage="1" sqref="H373">
      <formula1>liste_sites</formula1>
    </dataValidation>
    <dataValidation type="list" allowBlank="1" showInputMessage="1" showErrorMessage="1" sqref="I373">
      <formula1>liste_priorites</formula1>
    </dataValidation>
    <dataValidation type="date" operator="greaterThanOrEqual" allowBlank="1" showInputMessage="1" showErrorMessage="1" sqref="J373">
      <formula1>730120</formula1>
    </dataValidation>
    <dataValidation type="date" operator="greaterThanOrEqual" allowBlank="1" showInputMessage="1" showErrorMessage="1" sqref="K373">
      <formula1>730120</formula1>
    </dataValidation>
    <dataValidation type="date" operator="greaterThanOrEqual" allowBlank="1" showInputMessage="1" showErrorMessage="1" sqref="L373">
      <formula1>730120</formula1>
    </dataValidation>
    <dataValidation type="whole" allowBlank="1" showInputMessage="1" showErrorMessage="1" sqref="P373">
      <formula1>0</formula1>
      <formula2>100</formula2>
    </dataValidation>
    <dataValidation type="decimal" operator="greaterThanOrEqual" allowBlank="1" showInputMessage="1" showErrorMessage="1" sqref="Q373">
      <formula1>0</formula1>
    </dataValidation>
    <dataValidation type="decimal" operator="greaterThanOrEqual" allowBlank="1" showInputMessage="1" showErrorMessage="1" sqref="R373">
      <formula1>0</formula1>
    </dataValidation>
    <dataValidation type="whole" allowBlank="1" showInputMessage="1" showErrorMessage="1" sqref="U373">
      <formula1>1</formula1>
      <formula2>5</formula2>
    </dataValidation>
    <dataValidation type="whole" allowBlank="1" showInputMessage="1" showErrorMessage="1" sqref="V373">
      <formula1>1</formula1>
      <formula2>5</formula2>
    </dataValidation>
    <dataValidation type="whole" allowBlank="1" showInputMessage="1" showErrorMessage="1" sqref="X373">
      <formula1>1</formula1>
      <formula2>5</formula2>
    </dataValidation>
    <dataValidation type="decimal" operator="greaterThanOrEqual" allowBlank="1" showInputMessage="1" showErrorMessage="1" sqref="Y373">
      <formula1>0</formula1>
    </dataValidation>
    <dataValidation type="whole" operator="greaterThanOrEqual" allowBlank="1" showInputMessage="1" showErrorMessage="1" sqref="Z373">
      <formula1>0</formula1>
    </dataValidation>
    <dataValidation type="whole" allowBlank="1" showInputMessage="1" showErrorMessage="1" sqref="AA373">
      <formula1>1</formula1>
      <formula2>5</formula2>
    </dataValidation>
    <dataValidation type="decimal" allowBlank="1" showInputMessage="1" showErrorMessage="1" sqref="AB373">
      <formula1>0</formula1>
      <formula2>1</formula2>
    </dataValidation>
    <dataValidation type="list" allowBlank="1" showInputMessage="1" showErrorMessage="1" sqref="O373">
      <formula1>liste_statuts</formula1>
    </dataValidation>
    <dataValidation type="list" allowBlank="1" showInputMessage="1" showErrorMessage="1" sqref="B374">
      <formula1>liste_programmes</formula1>
    </dataValidation>
    <dataValidation type="list" allowBlank="1" showInputMessage="1" showErrorMessage="1" sqref="D374">
      <formula1>liste_types</formula1>
    </dataValidation>
    <dataValidation type="list" allowBlank="1" showInputMessage="1" showErrorMessage="1" sqref="F374">
      <formula1>liste_categories</formula1>
    </dataValidation>
    <dataValidation type="list" allowBlank="1" showInputMessage="1" showErrorMessage="1" sqref="G374">
      <formula1>liste_responsables</formula1>
    </dataValidation>
    <dataValidation type="list" allowBlank="1" showInputMessage="1" showErrorMessage="1" sqref="H374">
      <formula1>liste_sites</formula1>
    </dataValidation>
    <dataValidation type="list" allowBlank="1" showInputMessage="1" showErrorMessage="1" sqref="I374">
      <formula1>liste_priorites</formula1>
    </dataValidation>
    <dataValidation type="date" operator="greaterThanOrEqual" allowBlank="1" showInputMessage="1" showErrorMessage="1" sqref="J374">
      <formula1>730120</formula1>
    </dataValidation>
    <dataValidation type="date" operator="greaterThanOrEqual" allowBlank="1" showInputMessage="1" showErrorMessage="1" sqref="K374">
      <formula1>730120</formula1>
    </dataValidation>
    <dataValidation type="date" operator="greaterThanOrEqual" allowBlank="1" showInputMessage="1" showErrorMessage="1" sqref="L374">
      <formula1>730120</formula1>
    </dataValidation>
    <dataValidation type="whole" allowBlank="1" showInputMessage="1" showErrorMessage="1" sqref="P374">
      <formula1>0</formula1>
      <formula2>100</formula2>
    </dataValidation>
    <dataValidation type="decimal" operator="greaterThanOrEqual" allowBlank="1" showInputMessage="1" showErrorMessage="1" sqref="Q374">
      <formula1>0</formula1>
    </dataValidation>
    <dataValidation type="decimal" operator="greaterThanOrEqual" allowBlank="1" showInputMessage="1" showErrorMessage="1" sqref="R374">
      <formula1>0</formula1>
    </dataValidation>
    <dataValidation type="whole" allowBlank="1" showInputMessage="1" showErrorMessage="1" sqref="U374">
      <formula1>1</formula1>
      <formula2>5</formula2>
    </dataValidation>
    <dataValidation type="whole" allowBlank="1" showInputMessage="1" showErrorMessage="1" sqref="V374">
      <formula1>1</formula1>
      <formula2>5</formula2>
    </dataValidation>
    <dataValidation type="whole" allowBlank="1" showInputMessage="1" showErrorMessage="1" sqref="X374">
      <formula1>1</formula1>
      <formula2>5</formula2>
    </dataValidation>
    <dataValidation type="decimal" operator="greaterThanOrEqual" allowBlank="1" showInputMessage="1" showErrorMessage="1" sqref="Y374">
      <formula1>0</formula1>
    </dataValidation>
    <dataValidation type="whole" operator="greaterThanOrEqual" allowBlank="1" showInputMessage="1" showErrorMessage="1" sqref="Z374">
      <formula1>0</formula1>
    </dataValidation>
    <dataValidation type="whole" allowBlank="1" showInputMessage="1" showErrorMessage="1" sqref="AA374">
      <formula1>1</formula1>
      <formula2>5</formula2>
    </dataValidation>
    <dataValidation type="decimal" allowBlank="1" showInputMessage="1" showErrorMessage="1" sqref="AB374">
      <formula1>0</formula1>
      <formula2>1</formula2>
    </dataValidation>
    <dataValidation type="list" allowBlank="1" showInputMessage="1" showErrorMessage="1" sqref="O374">
      <formula1>liste_statuts</formula1>
    </dataValidation>
    <dataValidation type="list" allowBlank="1" showInputMessage="1" showErrorMessage="1" sqref="B375">
      <formula1>liste_programmes</formula1>
    </dataValidation>
    <dataValidation type="list" allowBlank="1" showInputMessage="1" showErrorMessage="1" sqref="D375">
      <formula1>liste_types</formula1>
    </dataValidation>
    <dataValidation type="list" allowBlank="1" showInputMessage="1" showErrorMessage="1" sqref="F375">
      <formula1>liste_categories</formula1>
    </dataValidation>
    <dataValidation type="list" allowBlank="1" showInputMessage="1" showErrorMessage="1" sqref="G375">
      <formula1>liste_responsables</formula1>
    </dataValidation>
    <dataValidation type="list" allowBlank="1" showInputMessage="1" showErrorMessage="1" sqref="H375">
      <formula1>liste_sites</formula1>
    </dataValidation>
    <dataValidation type="list" allowBlank="1" showInputMessage="1" showErrorMessage="1" sqref="I375">
      <formula1>liste_priorites</formula1>
    </dataValidation>
    <dataValidation type="date" operator="greaterThanOrEqual" allowBlank="1" showInputMessage="1" showErrorMessage="1" sqref="J375">
      <formula1>730120</formula1>
    </dataValidation>
    <dataValidation type="date" operator="greaterThanOrEqual" allowBlank="1" showInputMessage="1" showErrorMessage="1" sqref="K375">
      <formula1>730120</formula1>
    </dataValidation>
    <dataValidation type="date" operator="greaterThanOrEqual" allowBlank="1" showInputMessage="1" showErrorMessage="1" sqref="L375">
      <formula1>730120</formula1>
    </dataValidation>
    <dataValidation type="whole" allowBlank="1" showInputMessage="1" showErrorMessage="1" sqref="P375">
      <formula1>0</formula1>
      <formula2>100</formula2>
    </dataValidation>
    <dataValidation type="decimal" operator="greaterThanOrEqual" allowBlank="1" showInputMessage="1" showErrorMessage="1" sqref="Q375">
      <formula1>0</formula1>
    </dataValidation>
    <dataValidation type="decimal" operator="greaterThanOrEqual" allowBlank="1" showInputMessage="1" showErrorMessage="1" sqref="R375">
      <formula1>0</formula1>
    </dataValidation>
    <dataValidation type="whole" allowBlank="1" showInputMessage="1" showErrorMessage="1" sqref="U375">
      <formula1>1</formula1>
      <formula2>5</formula2>
    </dataValidation>
    <dataValidation type="whole" allowBlank="1" showInputMessage="1" showErrorMessage="1" sqref="V375">
      <formula1>1</formula1>
      <formula2>5</formula2>
    </dataValidation>
    <dataValidation type="whole" allowBlank="1" showInputMessage="1" showErrorMessage="1" sqref="X375">
      <formula1>1</formula1>
      <formula2>5</formula2>
    </dataValidation>
    <dataValidation type="decimal" operator="greaterThanOrEqual" allowBlank="1" showInputMessage="1" showErrorMessage="1" sqref="Y375">
      <formula1>0</formula1>
    </dataValidation>
    <dataValidation type="whole" operator="greaterThanOrEqual" allowBlank="1" showInputMessage="1" showErrorMessage="1" sqref="Z375">
      <formula1>0</formula1>
    </dataValidation>
    <dataValidation type="whole" allowBlank="1" showInputMessage="1" showErrorMessage="1" sqref="AA375">
      <formula1>1</formula1>
      <formula2>5</formula2>
    </dataValidation>
    <dataValidation type="decimal" allowBlank="1" showInputMessage="1" showErrorMessage="1" sqref="AB375">
      <formula1>0</formula1>
      <formula2>1</formula2>
    </dataValidation>
    <dataValidation type="list" allowBlank="1" showInputMessage="1" showErrorMessage="1" sqref="O375">
      <formula1>liste_statuts</formula1>
    </dataValidation>
    <dataValidation type="list" allowBlank="1" showInputMessage="1" showErrorMessage="1" sqref="B376">
      <formula1>liste_programmes</formula1>
    </dataValidation>
    <dataValidation type="list" allowBlank="1" showInputMessage="1" showErrorMessage="1" sqref="D376">
      <formula1>liste_types</formula1>
    </dataValidation>
    <dataValidation type="list" allowBlank="1" showInputMessage="1" showErrorMessage="1" sqref="F376">
      <formula1>liste_categories</formula1>
    </dataValidation>
    <dataValidation type="list" allowBlank="1" showInputMessage="1" showErrorMessage="1" sqref="G376">
      <formula1>liste_responsables</formula1>
    </dataValidation>
    <dataValidation type="list" allowBlank="1" showInputMessage="1" showErrorMessage="1" sqref="H376">
      <formula1>liste_sites</formula1>
    </dataValidation>
    <dataValidation type="list" allowBlank="1" showInputMessage="1" showErrorMessage="1" sqref="I376">
      <formula1>liste_priorites</formula1>
    </dataValidation>
    <dataValidation type="date" operator="greaterThanOrEqual" allowBlank="1" showInputMessage="1" showErrorMessage="1" sqref="J376">
      <formula1>730120</formula1>
    </dataValidation>
    <dataValidation type="date" operator="greaterThanOrEqual" allowBlank="1" showInputMessage="1" showErrorMessage="1" sqref="K376">
      <formula1>730120</formula1>
    </dataValidation>
    <dataValidation type="date" operator="greaterThanOrEqual" allowBlank="1" showInputMessage="1" showErrorMessage="1" sqref="L376">
      <formula1>730120</formula1>
    </dataValidation>
    <dataValidation type="whole" allowBlank="1" showInputMessage="1" showErrorMessage="1" sqref="P376">
      <formula1>0</formula1>
      <formula2>100</formula2>
    </dataValidation>
    <dataValidation type="decimal" operator="greaterThanOrEqual" allowBlank="1" showInputMessage="1" showErrorMessage="1" sqref="Q376">
      <formula1>0</formula1>
    </dataValidation>
    <dataValidation type="decimal" operator="greaterThanOrEqual" allowBlank="1" showInputMessage="1" showErrorMessage="1" sqref="R376">
      <formula1>0</formula1>
    </dataValidation>
    <dataValidation type="whole" allowBlank="1" showInputMessage="1" showErrorMessage="1" sqref="U376">
      <formula1>1</formula1>
      <formula2>5</formula2>
    </dataValidation>
    <dataValidation type="whole" allowBlank="1" showInputMessage="1" showErrorMessage="1" sqref="V376">
      <formula1>1</formula1>
      <formula2>5</formula2>
    </dataValidation>
    <dataValidation type="whole" allowBlank="1" showInputMessage="1" showErrorMessage="1" sqref="X376">
      <formula1>1</formula1>
      <formula2>5</formula2>
    </dataValidation>
    <dataValidation type="decimal" operator="greaterThanOrEqual" allowBlank="1" showInputMessage="1" showErrorMessage="1" sqref="Y376">
      <formula1>0</formula1>
    </dataValidation>
    <dataValidation type="whole" operator="greaterThanOrEqual" allowBlank="1" showInputMessage="1" showErrorMessage="1" sqref="Z376">
      <formula1>0</formula1>
    </dataValidation>
    <dataValidation type="whole" allowBlank="1" showInputMessage="1" showErrorMessage="1" sqref="AA376">
      <formula1>1</formula1>
      <formula2>5</formula2>
    </dataValidation>
    <dataValidation type="decimal" allowBlank="1" showInputMessage="1" showErrorMessage="1" sqref="AB376">
      <formula1>0</formula1>
      <formula2>1</formula2>
    </dataValidation>
    <dataValidation type="list" allowBlank="1" showInputMessage="1" showErrorMessage="1" sqref="O376">
      <formula1>liste_statuts</formula1>
    </dataValidation>
    <dataValidation type="list" allowBlank="1" showInputMessage="1" showErrorMessage="1" sqref="B377">
      <formula1>liste_programmes</formula1>
    </dataValidation>
    <dataValidation type="list" allowBlank="1" showInputMessage="1" showErrorMessage="1" sqref="D377">
      <formula1>liste_types</formula1>
    </dataValidation>
    <dataValidation type="list" allowBlank="1" showInputMessage="1" showErrorMessage="1" sqref="F377">
      <formula1>liste_categories</formula1>
    </dataValidation>
    <dataValidation type="list" allowBlank="1" showInputMessage="1" showErrorMessage="1" sqref="G377">
      <formula1>liste_responsables</formula1>
    </dataValidation>
    <dataValidation type="list" allowBlank="1" showInputMessage="1" showErrorMessage="1" sqref="H377">
      <formula1>liste_sites</formula1>
    </dataValidation>
    <dataValidation type="list" allowBlank="1" showInputMessage="1" showErrorMessage="1" sqref="I377">
      <formula1>liste_priorites</formula1>
    </dataValidation>
    <dataValidation type="date" operator="greaterThanOrEqual" allowBlank="1" showInputMessage="1" showErrorMessage="1" sqref="J377">
      <formula1>730120</formula1>
    </dataValidation>
    <dataValidation type="date" operator="greaterThanOrEqual" allowBlank="1" showInputMessage="1" showErrorMessage="1" sqref="K377">
      <formula1>730120</formula1>
    </dataValidation>
    <dataValidation type="date" operator="greaterThanOrEqual" allowBlank="1" showInputMessage="1" showErrorMessage="1" sqref="L377">
      <formula1>730120</formula1>
    </dataValidation>
    <dataValidation type="whole" allowBlank="1" showInputMessage="1" showErrorMessage="1" sqref="P377">
      <formula1>0</formula1>
      <formula2>100</formula2>
    </dataValidation>
    <dataValidation type="decimal" operator="greaterThanOrEqual" allowBlank="1" showInputMessage="1" showErrorMessage="1" sqref="Q377">
      <formula1>0</formula1>
    </dataValidation>
    <dataValidation type="decimal" operator="greaterThanOrEqual" allowBlank="1" showInputMessage="1" showErrorMessage="1" sqref="R377">
      <formula1>0</formula1>
    </dataValidation>
    <dataValidation type="whole" allowBlank="1" showInputMessage="1" showErrorMessage="1" sqref="U377">
      <formula1>1</formula1>
      <formula2>5</formula2>
    </dataValidation>
    <dataValidation type="whole" allowBlank="1" showInputMessage="1" showErrorMessage="1" sqref="V377">
      <formula1>1</formula1>
      <formula2>5</formula2>
    </dataValidation>
    <dataValidation type="whole" allowBlank="1" showInputMessage="1" showErrorMessage="1" sqref="X377">
      <formula1>1</formula1>
      <formula2>5</formula2>
    </dataValidation>
    <dataValidation type="decimal" operator="greaterThanOrEqual" allowBlank="1" showInputMessage="1" showErrorMessage="1" sqref="Y377">
      <formula1>0</formula1>
    </dataValidation>
    <dataValidation type="whole" operator="greaterThanOrEqual" allowBlank="1" showInputMessage="1" showErrorMessage="1" sqref="Z377">
      <formula1>0</formula1>
    </dataValidation>
    <dataValidation type="whole" allowBlank="1" showInputMessage="1" showErrorMessage="1" sqref="AA377">
      <formula1>1</formula1>
      <formula2>5</formula2>
    </dataValidation>
    <dataValidation type="decimal" allowBlank="1" showInputMessage="1" showErrorMessage="1" sqref="AB377">
      <formula1>0</formula1>
      <formula2>1</formula2>
    </dataValidation>
    <dataValidation type="list" allowBlank="1" showInputMessage="1" showErrorMessage="1" sqref="O377">
      <formula1>liste_statuts</formula1>
    </dataValidation>
    <dataValidation type="list" allowBlank="1" showInputMessage="1" showErrorMessage="1" sqref="B378">
      <formula1>liste_programmes</formula1>
    </dataValidation>
    <dataValidation type="list" allowBlank="1" showInputMessage="1" showErrorMessage="1" sqref="D378">
      <formula1>liste_types</formula1>
    </dataValidation>
    <dataValidation type="list" allowBlank="1" showInputMessage="1" showErrorMessage="1" sqref="F378">
      <formula1>liste_categories</formula1>
    </dataValidation>
    <dataValidation type="list" allowBlank="1" showInputMessage="1" showErrorMessage="1" sqref="G378">
      <formula1>liste_responsables</formula1>
    </dataValidation>
    <dataValidation type="list" allowBlank="1" showInputMessage="1" showErrorMessage="1" sqref="H378">
      <formula1>liste_sites</formula1>
    </dataValidation>
    <dataValidation type="list" allowBlank="1" showInputMessage="1" showErrorMessage="1" sqref="I378">
      <formula1>liste_priorites</formula1>
    </dataValidation>
    <dataValidation type="date" operator="greaterThanOrEqual" allowBlank="1" showInputMessage="1" showErrorMessage="1" sqref="J378">
      <formula1>730120</formula1>
    </dataValidation>
    <dataValidation type="date" operator="greaterThanOrEqual" allowBlank="1" showInputMessage="1" showErrorMessage="1" sqref="K378">
      <formula1>730120</formula1>
    </dataValidation>
    <dataValidation type="date" operator="greaterThanOrEqual" allowBlank="1" showInputMessage="1" showErrorMessage="1" sqref="L378">
      <formula1>730120</formula1>
    </dataValidation>
    <dataValidation type="whole" allowBlank="1" showInputMessage="1" showErrorMessage="1" sqref="P378">
      <formula1>0</formula1>
      <formula2>100</formula2>
    </dataValidation>
    <dataValidation type="decimal" operator="greaterThanOrEqual" allowBlank="1" showInputMessage="1" showErrorMessage="1" sqref="Q378">
      <formula1>0</formula1>
    </dataValidation>
    <dataValidation type="decimal" operator="greaterThanOrEqual" allowBlank="1" showInputMessage="1" showErrorMessage="1" sqref="R378">
      <formula1>0</formula1>
    </dataValidation>
    <dataValidation type="whole" allowBlank="1" showInputMessage="1" showErrorMessage="1" sqref="U378">
      <formula1>1</formula1>
      <formula2>5</formula2>
    </dataValidation>
    <dataValidation type="whole" allowBlank="1" showInputMessage="1" showErrorMessage="1" sqref="V378">
      <formula1>1</formula1>
      <formula2>5</formula2>
    </dataValidation>
    <dataValidation type="whole" allowBlank="1" showInputMessage="1" showErrorMessage="1" sqref="X378">
      <formula1>1</formula1>
      <formula2>5</formula2>
    </dataValidation>
    <dataValidation type="decimal" operator="greaterThanOrEqual" allowBlank="1" showInputMessage="1" showErrorMessage="1" sqref="Y378">
      <formula1>0</formula1>
    </dataValidation>
    <dataValidation type="whole" operator="greaterThanOrEqual" allowBlank="1" showInputMessage="1" showErrorMessage="1" sqref="Z378">
      <formula1>0</formula1>
    </dataValidation>
    <dataValidation type="whole" allowBlank="1" showInputMessage="1" showErrorMessage="1" sqref="AA378">
      <formula1>1</formula1>
      <formula2>5</formula2>
    </dataValidation>
    <dataValidation type="decimal" allowBlank="1" showInputMessage="1" showErrorMessage="1" sqref="AB378">
      <formula1>0</formula1>
      <formula2>1</formula2>
    </dataValidation>
    <dataValidation type="list" allowBlank="1" showInputMessage="1" showErrorMessage="1" sqref="O378">
      <formula1>liste_statuts</formula1>
    </dataValidation>
    <dataValidation type="list" allowBlank="1" showInputMessage="1" showErrorMessage="1" sqref="B379">
      <formula1>liste_programmes</formula1>
    </dataValidation>
    <dataValidation type="list" allowBlank="1" showInputMessage="1" showErrorMessage="1" sqref="D379">
      <formula1>liste_types</formula1>
    </dataValidation>
    <dataValidation type="list" allowBlank="1" showInputMessage="1" showErrorMessage="1" sqref="F379">
      <formula1>liste_categories</formula1>
    </dataValidation>
    <dataValidation type="list" allowBlank="1" showInputMessage="1" showErrorMessage="1" sqref="G379">
      <formula1>liste_responsables</formula1>
    </dataValidation>
    <dataValidation type="list" allowBlank="1" showInputMessage="1" showErrorMessage="1" sqref="H379">
      <formula1>liste_sites</formula1>
    </dataValidation>
    <dataValidation type="list" allowBlank="1" showInputMessage="1" showErrorMessage="1" sqref="I379">
      <formula1>liste_priorites</formula1>
    </dataValidation>
    <dataValidation type="date" operator="greaterThanOrEqual" allowBlank="1" showInputMessage="1" showErrorMessage="1" sqref="J379">
      <formula1>730120</formula1>
    </dataValidation>
    <dataValidation type="date" operator="greaterThanOrEqual" allowBlank="1" showInputMessage="1" showErrorMessage="1" sqref="K379">
      <formula1>730120</formula1>
    </dataValidation>
    <dataValidation type="date" operator="greaterThanOrEqual" allowBlank="1" showInputMessage="1" showErrorMessage="1" sqref="L379">
      <formula1>730120</formula1>
    </dataValidation>
    <dataValidation type="whole" allowBlank="1" showInputMessage="1" showErrorMessage="1" sqref="P379">
      <formula1>0</formula1>
      <formula2>100</formula2>
    </dataValidation>
    <dataValidation type="decimal" operator="greaterThanOrEqual" allowBlank="1" showInputMessage="1" showErrorMessage="1" sqref="Q379">
      <formula1>0</formula1>
    </dataValidation>
    <dataValidation type="decimal" operator="greaterThanOrEqual" allowBlank="1" showInputMessage="1" showErrorMessage="1" sqref="R379">
      <formula1>0</formula1>
    </dataValidation>
    <dataValidation type="whole" allowBlank="1" showInputMessage="1" showErrorMessage="1" sqref="U379">
      <formula1>1</formula1>
      <formula2>5</formula2>
    </dataValidation>
    <dataValidation type="whole" allowBlank="1" showInputMessage="1" showErrorMessage="1" sqref="V379">
      <formula1>1</formula1>
      <formula2>5</formula2>
    </dataValidation>
    <dataValidation type="whole" allowBlank="1" showInputMessage="1" showErrorMessage="1" sqref="X379">
      <formula1>1</formula1>
      <formula2>5</formula2>
    </dataValidation>
    <dataValidation type="decimal" operator="greaterThanOrEqual" allowBlank="1" showInputMessage="1" showErrorMessage="1" sqref="Y379">
      <formula1>0</formula1>
    </dataValidation>
    <dataValidation type="whole" operator="greaterThanOrEqual" allowBlank="1" showInputMessage="1" showErrorMessage="1" sqref="Z379">
      <formula1>0</formula1>
    </dataValidation>
    <dataValidation type="whole" allowBlank="1" showInputMessage="1" showErrorMessage="1" sqref="AA379">
      <formula1>1</formula1>
      <formula2>5</formula2>
    </dataValidation>
    <dataValidation type="decimal" allowBlank="1" showInputMessage="1" showErrorMessage="1" sqref="AB379">
      <formula1>0</formula1>
      <formula2>1</formula2>
    </dataValidation>
    <dataValidation type="list" allowBlank="1" showInputMessage="1" showErrorMessage="1" sqref="O379">
      <formula1>liste_statuts</formula1>
    </dataValidation>
    <dataValidation type="list" allowBlank="1" showInputMessage="1" showErrorMessage="1" sqref="B380">
      <formula1>liste_programmes</formula1>
    </dataValidation>
    <dataValidation type="list" allowBlank="1" showInputMessage="1" showErrorMessage="1" sqref="D380">
      <formula1>liste_types</formula1>
    </dataValidation>
    <dataValidation type="list" allowBlank="1" showInputMessage="1" showErrorMessage="1" sqref="F380">
      <formula1>liste_categories</formula1>
    </dataValidation>
    <dataValidation type="list" allowBlank="1" showInputMessage="1" showErrorMessage="1" sqref="G380">
      <formula1>liste_responsables</formula1>
    </dataValidation>
    <dataValidation type="list" allowBlank="1" showInputMessage="1" showErrorMessage="1" sqref="H380">
      <formula1>liste_sites</formula1>
    </dataValidation>
    <dataValidation type="list" allowBlank="1" showInputMessage="1" showErrorMessage="1" sqref="I380">
      <formula1>liste_priorites</formula1>
    </dataValidation>
    <dataValidation type="date" operator="greaterThanOrEqual" allowBlank="1" showInputMessage="1" showErrorMessage="1" sqref="J380">
      <formula1>730120</formula1>
    </dataValidation>
    <dataValidation type="date" operator="greaterThanOrEqual" allowBlank="1" showInputMessage="1" showErrorMessage="1" sqref="K380">
      <formula1>730120</formula1>
    </dataValidation>
    <dataValidation type="date" operator="greaterThanOrEqual" allowBlank="1" showInputMessage="1" showErrorMessage="1" sqref="L380">
      <formula1>730120</formula1>
    </dataValidation>
    <dataValidation type="whole" allowBlank="1" showInputMessage="1" showErrorMessage="1" sqref="P380">
      <formula1>0</formula1>
      <formula2>100</formula2>
    </dataValidation>
    <dataValidation type="decimal" operator="greaterThanOrEqual" allowBlank="1" showInputMessage="1" showErrorMessage="1" sqref="Q380">
      <formula1>0</formula1>
    </dataValidation>
    <dataValidation type="decimal" operator="greaterThanOrEqual" allowBlank="1" showInputMessage="1" showErrorMessage="1" sqref="R380">
      <formula1>0</formula1>
    </dataValidation>
    <dataValidation type="whole" allowBlank="1" showInputMessage="1" showErrorMessage="1" sqref="U380">
      <formula1>1</formula1>
      <formula2>5</formula2>
    </dataValidation>
    <dataValidation type="whole" allowBlank="1" showInputMessage="1" showErrorMessage="1" sqref="V380">
      <formula1>1</formula1>
      <formula2>5</formula2>
    </dataValidation>
    <dataValidation type="whole" allowBlank="1" showInputMessage="1" showErrorMessage="1" sqref="X380">
      <formula1>1</formula1>
      <formula2>5</formula2>
    </dataValidation>
    <dataValidation type="decimal" operator="greaterThanOrEqual" allowBlank="1" showInputMessage="1" showErrorMessage="1" sqref="Y380">
      <formula1>0</formula1>
    </dataValidation>
    <dataValidation type="whole" operator="greaterThanOrEqual" allowBlank="1" showInputMessage="1" showErrorMessage="1" sqref="Z380">
      <formula1>0</formula1>
    </dataValidation>
    <dataValidation type="whole" allowBlank="1" showInputMessage="1" showErrorMessage="1" sqref="AA380">
      <formula1>1</formula1>
      <formula2>5</formula2>
    </dataValidation>
    <dataValidation type="decimal" allowBlank="1" showInputMessage="1" showErrorMessage="1" sqref="AB380">
      <formula1>0</formula1>
      <formula2>1</formula2>
    </dataValidation>
    <dataValidation type="list" allowBlank="1" showInputMessage="1" showErrorMessage="1" sqref="O380">
      <formula1>liste_statuts</formula1>
    </dataValidation>
    <dataValidation type="list" allowBlank="1" showInputMessage="1" showErrorMessage="1" sqref="B381">
      <formula1>liste_programmes</formula1>
    </dataValidation>
    <dataValidation type="list" allowBlank="1" showInputMessage="1" showErrorMessage="1" sqref="D381">
      <formula1>liste_types</formula1>
    </dataValidation>
    <dataValidation type="list" allowBlank="1" showInputMessage="1" showErrorMessage="1" sqref="F381">
      <formula1>liste_categories</formula1>
    </dataValidation>
    <dataValidation type="list" allowBlank="1" showInputMessage="1" showErrorMessage="1" sqref="G381">
      <formula1>liste_responsables</formula1>
    </dataValidation>
    <dataValidation type="list" allowBlank="1" showInputMessage="1" showErrorMessage="1" sqref="H381">
      <formula1>liste_sites</formula1>
    </dataValidation>
    <dataValidation type="list" allowBlank="1" showInputMessage="1" showErrorMessage="1" sqref="I381">
      <formula1>liste_priorites</formula1>
    </dataValidation>
    <dataValidation type="date" operator="greaterThanOrEqual" allowBlank="1" showInputMessage="1" showErrorMessage="1" sqref="J381">
      <formula1>730120</formula1>
    </dataValidation>
    <dataValidation type="date" operator="greaterThanOrEqual" allowBlank="1" showInputMessage="1" showErrorMessage="1" sqref="K381">
      <formula1>730120</formula1>
    </dataValidation>
    <dataValidation type="date" operator="greaterThanOrEqual" allowBlank="1" showInputMessage="1" showErrorMessage="1" sqref="L381">
      <formula1>730120</formula1>
    </dataValidation>
    <dataValidation type="whole" allowBlank="1" showInputMessage="1" showErrorMessage="1" sqref="P381">
      <formula1>0</formula1>
      <formula2>100</formula2>
    </dataValidation>
    <dataValidation type="decimal" operator="greaterThanOrEqual" allowBlank="1" showInputMessage="1" showErrorMessage="1" sqref="Q381">
      <formula1>0</formula1>
    </dataValidation>
    <dataValidation type="decimal" operator="greaterThanOrEqual" allowBlank="1" showInputMessage="1" showErrorMessage="1" sqref="R381">
      <formula1>0</formula1>
    </dataValidation>
    <dataValidation type="whole" allowBlank="1" showInputMessage="1" showErrorMessage="1" sqref="U381">
      <formula1>1</formula1>
      <formula2>5</formula2>
    </dataValidation>
    <dataValidation type="whole" allowBlank="1" showInputMessage="1" showErrorMessage="1" sqref="V381">
      <formula1>1</formula1>
      <formula2>5</formula2>
    </dataValidation>
    <dataValidation type="whole" allowBlank="1" showInputMessage="1" showErrorMessage="1" sqref="X381">
      <formula1>1</formula1>
      <formula2>5</formula2>
    </dataValidation>
    <dataValidation type="decimal" operator="greaterThanOrEqual" allowBlank="1" showInputMessage="1" showErrorMessage="1" sqref="Y381">
      <formula1>0</formula1>
    </dataValidation>
    <dataValidation type="whole" operator="greaterThanOrEqual" allowBlank="1" showInputMessage="1" showErrorMessage="1" sqref="Z381">
      <formula1>0</formula1>
    </dataValidation>
    <dataValidation type="whole" allowBlank="1" showInputMessage="1" showErrorMessage="1" sqref="AA381">
      <formula1>1</formula1>
      <formula2>5</formula2>
    </dataValidation>
    <dataValidation type="decimal" allowBlank="1" showInputMessage="1" showErrorMessage="1" sqref="AB381">
      <formula1>0</formula1>
      <formula2>1</formula2>
    </dataValidation>
    <dataValidation type="list" allowBlank="1" showInputMessage="1" showErrorMessage="1" sqref="O381">
      <formula1>liste_statuts</formula1>
    </dataValidation>
    <dataValidation type="list" allowBlank="1" showInputMessage="1" showErrorMessage="1" sqref="B382">
      <formula1>liste_programmes</formula1>
    </dataValidation>
    <dataValidation type="list" allowBlank="1" showInputMessage="1" showErrorMessage="1" sqref="D382">
      <formula1>liste_types</formula1>
    </dataValidation>
    <dataValidation type="list" allowBlank="1" showInputMessage="1" showErrorMessage="1" sqref="F382">
      <formula1>liste_categories</formula1>
    </dataValidation>
    <dataValidation type="list" allowBlank="1" showInputMessage="1" showErrorMessage="1" sqref="G382">
      <formula1>liste_responsables</formula1>
    </dataValidation>
    <dataValidation type="list" allowBlank="1" showInputMessage="1" showErrorMessage="1" sqref="H382">
      <formula1>liste_sites</formula1>
    </dataValidation>
    <dataValidation type="list" allowBlank="1" showInputMessage="1" showErrorMessage="1" sqref="I382">
      <formula1>liste_priorites</formula1>
    </dataValidation>
    <dataValidation type="date" operator="greaterThanOrEqual" allowBlank="1" showInputMessage="1" showErrorMessage="1" sqref="J382">
      <formula1>730120</formula1>
    </dataValidation>
    <dataValidation type="date" operator="greaterThanOrEqual" allowBlank="1" showInputMessage="1" showErrorMessage="1" sqref="K382">
      <formula1>730120</formula1>
    </dataValidation>
    <dataValidation type="date" operator="greaterThanOrEqual" allowBlank="1" showInputMessage="1" showErrorMessage="1" sqref="L382">
      <formula1>730120</formula1>
    </dataValidation>
    <dataValidation type="whole" allowBlank="1" showInputMessage="1" showErrorMessage="1" sqref="P382">
      <formula1>0</formula1>
      <formula2>100</formula2>
    </dataValidation>
    <dataValidation type="decimal" operator="greaterThanOrEqual" allowBlank="1" showInputMessage="1" showErrorMessage="1" sqref="Q382">
      <formula1>0</formula1>
    </dataValidation>
    <dataValidation type="decimal" operator="greaterThanOrEqual" allowBlank="1" showInputMessage="1" showErrorMessage="1" sqref="R382">
      <formula1>0</formula1>
    </dataValidation>
    <dataValidation type="whole" allowBlank="1" showInputMessage="1" showErrorMessage="1" sqref="U382">
      <formula1>1</formula1>
      <formula2>5</formula2>
    </dataValidation>
    <dataValidation type="whole" allowBlank="1" showInputMessage="1" showErrorMessage="1" sqref="V382">
      <formula1>1</formula1>
      <formula2>5</formula2>
    </dataValidation>
    <dataValidation type="whole" allowBlank="1" showInputMessage="1" showErrorMessage="1" sqref="X382">
      <formula1>1</formula1>
      <formula2>5</formula2>
    </dataValidation>
    <dataValidation type="decimal" operator="greaterThanOrEqual" allowBlank="1" showInputMessage="1" showErrorMessage="1" sqref="Y382">
      <formula1>0</formula1>
    </dataValidation>
    <dataValidation type="whole" operator="greaterThanOrEqual" allowBlank="1" showInputMessage="1" showErrorMessage="1" sqref="Z382">
      <formula1>0</formula1>
    </dataValidation>
    <dataValidation type="whole" allowBlank="1" showInputMessage="1" showErrorMessage="1" sqref="AA382">
      <formula1>1</formula1>
      <formula2>5</formula2>
    </dataValidation>
    <dataValidation type="decimal" allowBlank="1" showInputMessage="1" showErrorMessage="1" sqref="AB382">
      <formula1>0</formula1>
      <formula2>1</formula2>
    </dataValidation>
    <dataValidation type="list" allowBlank="1" showInputMessage="1" showErrorMessage="1" sqref="O382">
      <formula1>liste_statuts</formula1>
    </dataValidation>
    <dataValidation type="list" allowBlank="1" showInputMessage="1" showErrorMessage="1" sqref="B383">
      <formula1>liste_programmes</formula1>
    </dataValidation>
    <dataValidation type="list" allowBlank="1" showInputMessage="1" showErrorMessage="1" sqref="D383">
      <formula1>liste_types</formula1>
    </dataValidation>
    <dataValidation type="list" allowBlank="1" showInputMessage="1" showErrorMessage="1" sqref="F383">
      <formula1>liste_categories</formula1>
    </dataValidation>
    <dataValidation type="list" allowBlank="1" showInputMessage="1" showErrorMessage="1" sqref="G383">
      <formula1>liste_responsables</formula1>
    </dataValidation>
    <dataValidation type="list" allowBlank="1" showInputMessage="1" showErrorMessage="1" sqref="H383">
      <formula1>liste_sites</formula1>
    </dataValidation>
    <dataValidation type="list" allowBlank="1" showInputMessage="1" showErrorMessage="1" sqref="I383">
      <formula1>liste_priorites</formula1>
    </dataValidation>
    <dataValidation type="date" operator="greaterThanOrEqual" allowBlank="1" showInputMessage="1" showErrorMessage="1" sqref="J383">
      <formula1>730120</formula1>
    </dataValidation>
    <dataValidation type="date" operator="greaterThanOrEqual" allowBlank="1" showInputMessage="1" showErrorMessage="1" sqref="K383">
      <formula1>730120</formula1>
    </dataValidation>
    <dataValidation type="date" operator="greaterThanOrEqual" allowBlank="1" showInputMessage="1" showErrorMessage="1" sqref="L383">
      <formula1>730120</formula1>
    </dataValidation>
    <dataValidation type="whole" allowBlank="1" showInputMessage="1" showErrorMessage="1" sqref="P383">
      <formula1>0</formula1>
      <formula2>100</formula2>
    </dataValidation>
    <dataValidation type="decimal" operator="greaterThanOrEqual" allowBlank="1" showInputMessage="1" showErrorMessage="1" sqref="Q383">
      <formula1>0</formula1>
    </dataValidation>
    <dataValidation type="decimal" operator="greaterThanOrEqual" allowBlank="1" showInputMessage="1" showErrorMessage="1" sqref="R383">
      <formula1>0</formula1>
    </dataValidation>
    <dataValidation type="whole" allowBlank="1" showInputMessage="1" showErrorMessage="1" sqref="U383">
      <formula1>1</formula1>
      <formula2>5</formula2>
    </dataValidation>
    <dataValidation type="whole" allowBlank="1" showInputMessage="1" showErrorMessage="1" sqref="V383">
      <formula1>1</formula1>
      <formula2>5</formula2>
    </dataValidation>
    <dataValidation type="whole" allowBlank="1" showInputMessage="1" showErrorMessage="1" sqref="X383">
      <formula1>1</formula1>
      <formula2>5</formula2>
    </dataValidation>
    <dataValidation type="decimal" operator="greaterThanOrEqual" allowBlank="1" showInputMessage="1" showErrorMessage="1" sqref="Y383">
      <formula1>0</formula1>
    </dataValidation>
    <dataValidation type="whole" operator="greaterThanOrEqual" allowBlank="1" showInputMessage="1" showErrorMessage="1" sqref="Z383">
      <formula1>0</formula1>
    </dataValidation>
    <dataValidation type="whole" allowBlank="1" showInputMessage="1" showErrorMessage="1" sqref="AA383">
      <formula1>1</formula1>
      <formula2>5</formula2>
    </dataValidation>
    <dataValidation type="decimal" allowBlank="1" showInputMessage="1" showErrorMessage="1" sqref="AB383">
      <formula1>0</formula1>
      <formula2>1</formula2>
    </dataValidation>
    <dataValidation type="list" allowBlank="1" showInputMessage="1" showErrorMessage="1" sqref="O383">
      <formula1>liste_statuts</formula1>
    </dataValidation>
    <dataValidation type="list" allowBlank="1" showInputMessage="1" showErrorMessage="1" sqref="B384">
      <formula1>liste_programmes</formula1>
    </dataValidation>
    <dataValidation type="list" allowBlank="1" showInputMessage="1" showErrorMessage="1" sqref="D384">
      <formula1>liste_types</formula1>
    </dataValidation>
    <dataValidation type="list" allowBlank="1" showInputMessage="1" showErrorMessage="1" sqref="F384">
      <formula1>liste_categories</formula1>
    </dataValidation>
    <dataValidation type="list" allowBlank="1" showInputMessage="1" showErrorMessage="1" sqref="G384">
      <formula1>liste_responsables</formula1>
    </dataValidation>
    <dataValidation type="list" allowBlank="1" showInputMessage="1" showErrorMessage="1" sqref="H384">
      <formula1>liste_sites</formula1>
    </dataValidation>
    <dataValidation type="list" allowBlank="1" showInputMessage="1" showErrorMessage="1" sqref="I384">
      <formula1>liste_priorites</formula1>
    </dataValidation>
    <dataValidation type="date" operator="greaterThanOrEqual" allowBlank="1" showInputMessage="1" showErrorMessage="1" sqref="J384">
      <formula1>730120</formula1>
    </dataValidation>
    <dataValidation type="date" operator="greaterThanOrEqual" allowBlank="1" showInputMessage="1" showErrorMessage="1" sqref="K384">
      <formula1>730120</formula1>
    </dataValidation>
    <dataValidation type="date" operator="greaterThanOrEqual" allowBlank="1" showInputMessage="1" showErrorMessage="1" sqref="L384">
      <formula1>730120</formula1>
    </dataValidation>
    <dataValidation type="whole" allowBlank="1" showInputMessage="1" showErrorMessage="1" sqref="P384">
      <formula1>0</formula1>
      <formula2>100</formula2>
    </dataValidation>
    <dataValidation type="decimal" operator="greaterThanOrEqual" allowBlank="1" showInputMessage="1" showErrorMessage="1" sqref="Q384">
      <formula1>0</formula1>
    </dataValidation>
    <dataValidation type="decimal" operator="greaterThanOrEqual" allowBlank="1" showInputMessage="1" showErrorMessage="1" sqref="R384">
      <formula1>0</formula1>
    </dataValidation>
    <dataValidation type="whole" allowBlank="1" showInputMessage="1" showErrorMessage="1" sqref="U384">
      <formula1>1</formula1>
      <formula2>5</formula2>
    </dataValidation>
    <dataValidation type="whole" allowBlank="1" showInputMessage="1" showErrorMessage="1" sqref="V384">
      <formula1>1</formula1>
      <formula2>5</formula2>
    </dataValidation>
    <dataValidation type="whole" allowBlank="1" showInputMessage="1" showErrorMessage="1" sqref="X384">
      <formula1>1</formula1>
      <formula2>5</formula2>
    </dataValidation>
    <dataValidation type="decimal" operator="greaterThanOrEqual" allowBlank="1" showInputMessage="1" showErrorMessage="1" sqref="Y384">
      <formula1>0</formula1>
    </dataValidation>
    <dataValidation type="whole" operator="greaterThanOrEqual" allowBlank="1" showInputMessage="1" showErrorMessage="1" sqref="Z384">
      <formula1>0</formula1>
    </dataValidation>
    <dataValidation type="whole" allowBlank="1" showInputMessage="1" showErrorMessage="1" sqref="AA384">
      <formula1>1</formula1>
      <formula2>5</formula2>
    </dataValidation>
    <dataValidation type="decimal" allowBlank="1" showInputMessage="1" showErrorMessage="1" sqref="AB384">
      <formula1>0</formula1>
      <formula2>1</formula2>
    </dataValidation>
    <dataValidation type="list" allowBlank="1" showInputMessage="1" showErrorMessage="1" sqref="O384">
      <formula1>liste_statuts</formula1>
    </dataValidation>
    <dataValidation type="list" allowBlank="1" showInputMessage="1" showErrorMessage="1" sqref="B385">
      <formula1>liste_programmes</formula1>
    </dataValidation>
    <dataValidation type="list" allowBlank="1" showInputMessage="1" showErrorMessage="1" sqref="D385">
      <formula1>liste_types</formula1>
    </dataValidation>
    <dataValidation type="list" allowBlank="1" showInputMessage="1" showErrorMessage="1" sqref="F385">
      <formula1>liste_categories</formula1>
    </dataValidation>
    <dataValidation type="list" allowBlank="1" showInputMessage="1" showErrorMessage="1" sqref="G385">
      <formula1>liste_responsables</formula1>
    </dataValidation>
    <dataValidation type="list" allowBlank="1" showInputMessage="1" showErrorMessage="1" sqref="H385">
      <formula1>liste_sites</formula1>
    </dataValidation>
    <dataValidation type="list" allowBlank="1" showInputMessage="1" showErrorMessage="1" sqref="I385">
      <formula1>liste_priorites</formula1>
    </dataValidation>
    <dataValidation type="date" operator="greaterThanOrEqual" allowBlank="1" showInputMessage="1" showErrorMessage="1" sqref="J385">
      <formula1>730120</formula1>
    </dataValidation>
    <dataValidation type="date" operator="greaterThanOrEqual" allowBlank="1" showInputMessage="1" showErrorMessage="1" sqref="K385">
      <formula1>730120</formula1>
    </dataValidation>
    <dataValidation type="date" operator="greaterThanOrEqual" allowBlank="1" showInputMessage="1" showErrorMessage="1" sqref="L385">
      <formula1>730120</formula1>
    </dataValidation>
    <dataValidation type="whole" allowBlank="1" showInputMessage="1" showErrorMessage="1" sqref="P385">
      <formula1>0</formula1>
      <formula2>100</formula2>
    </dataValidation>
    <dataValidation type="decimal" operator="greaterThanOrEqual" allowBlank="1" showInputMessage="1" showErrorMessage="1" sqref="Q385">
      <formula1>0</formula1>
    </dataValidation>
    <dataValidation type="decimal" operator="greaterThanOrEqual" allowBlank="1" showInputMessage="1" showErrorMessage="1" sqref="R385">
      <formula1>0</formula1>
    </dataValidation>
    <dataValidation type="whole" allowBlank="1" showInputMessage="1" showErrorMessage="1" sqref="U385">
      <formula1>1</formula1>
      <formula2>5</formula2>
    </dataValidation>
    <dataValidation type="whole" allowBlank="1" showInputMessage="1" showErrorMessage="1" sqref="V385">
      <formula1>1</formula1>
      <formula2>5</formula2>
    </dataValidation>
    <dataValidation type="whole" allowBlank="1" showInputMessage="1" showErrorMessage="1" sqref="X385">
      <formula1>1</formula1>
      <formula2>5</formula2>
    </dataValidation>
    <dataValidation type="decimal" operator="greaterThanOrEqual" allowBlank="1" showInputMessage="1" showErrorMessage="1" sqref="Y385">
      <formula1>0</formula1>
    </dataValidation>
    <dataValidation type="whole" operator="greaterThanOrEqual" allowBlank="1" showInputMessage="1" showErrorMessage="1" sqref="Z385">
      <formula1>0</formula1>
    </dataValidation>
    <dataValidation type="whole" allowBlank="1" showInputMessage="1" showErrorMessage="1" sqref="AA385">
      <formula1>1</formula1>
      <formula2>5</formula2>
    </dataValidation>
    <dataValidation type="decimal" allowBlank="1" showInputMessage="1" showErrorMessage="1" sqref="AB385">
      <formula1>0</formula1>
      <formula2>1</formula2>
    </dataValidation>
    <dataValidation type="list" allowBlank="1" showInputMessage="1" showErrorMessage="1" sqref="O385">
      <formula1>liste_statuts</formula1>
    </dataValidation>
    <dataValidation type="list" allowBlank="1" showInputMessage="1" showErrorMessage="1" sqref="B386">
      <formula1>liste_programmes</formula1>
    </dataValidation>
    <dataValidation type="list" allowBlank="1" showInputMessage="1" showErrorMessage="1" sqref="D386">
      <formula1>liste_types</formula1>
    </dataValidation>
    <dataValidation type="list" allowBlank="1" showInputMessage="1" showErrorMessage="1" sqref="F386">
      <formula1>liste_categories</formula1>
    </dataValidation>
    <dataValidation type="list" allowBlank="1" showInputMessage="1" showErrorMessage="1" sqref="G386">
      <formula1>liste_responsables</formula1>
    </dataValidation>
    <dataValidation type="list" allowBlank="1" showInputMessage="1" showErrorMessage="1" sqref="H386">
      <formula1>liste_sites</formula1>
    </dataValidation>
    <dataValidation type="list" allowBlank="1" showInputMessage="1" showErrorMessage="1" sqref="I386">
      <formula1>liste_priorites</formula1>
    </dataValidation>
    <dataValidation type="date" operator="greaterThanOrEqual" allowBlank="1" showInputMessage="1" showErrorMessage="1" sqref="J386">
      <formula1>730120</formula1>
    </dataValidation>
    <dataValidation type="date" operator="greaterThanOrEqual" allowBlank="1" showInputMessage="1" showErrorMessage="1" sqref="K386">
      <formula1>730120</formula1>
    </dataValidation>
    <dataValidation type="date" operator="greaterThanOrEqual" allowBlank="1" showInputMessage="1" showErrorMessage="1" sqref="L386">
      <formula1>730120</formula1>
    </dataValidation>
    <dataValidation type="whole" allowBlank="1" showInputMessage="1" showErrorMessage="1" sqref="P386">
      <formula1>0</formula1>
      <formula2>100</formula2>
    </dataValidation>
    <dataValidation type="decimal" operator="greaterThanOrEqual" allowBlank="1" showInputMessage="1" showErrorMessage="1" sqref="Q386">
      <formula1>0</formula1>
    </dataValidation>
    <dataValidation type="decimal" operator="greaterThanOrEqual" allowBlank="1" showInputMessage="1" showErrorMessage="1" sqref="R386">
      <formula1>0</formula1>
    </dataValidation>
    <dataValidation type="whole" allowBlank="1" showInputMessage="1" showErrorMessage="1" sqref="U386">
      <formula1>1</formula1>
      <formula2>5</formula2>
    </dataValidation>
    <dataValidation type="whole" allowBlank="1" showInputMessage="1" showErrorMessage="1" sqref="V386">
      <formula1>1</formula1>
      <formula2>5</formula2>
    </dataValidation>
    <dataValidation type="whole" allowBlank="1" showInputMessage="1" showErrorMessage="1" sqref="X386">
      <formula1>1</formula1>
      <formula2>5</formula2>
    </dataValidation>
    <dataValidation type="decimal" operator="greaterThanOrEqual" allowBlank="1" showInputMessage="1" showErrorMessage="1" sqref="Y386">
      <formula1>0</formula1>
    </dataValidation>
    <dataValidation type="whole" operator="greaterThanOrEqual" allowBlank="1" showInputMessage="1" showErrorMessage="1" sqref="Z386">
      <formula1>0</formula1>
    </dataValidation>
    <dataValidation type="whole" allowBlank="1" showInputMessage="1" showErrorMessage="1" sqref="AA386">
      <formula1>1</formula1>
      <formula2>5</formula2>
    </dataValidation>
    <dataValidation type="decimal" allowBlank="1" showInputMessage="1" showErrorMessage="1" sqref="AB386">
      <formula1>0</formula1>
      <formula2>1</formula2>
    </dataValidation>
    <dataValidation type="list" allowBlank="1" showInputMessage="1" showErrorMessage="1" sqref="O386">
      <formula1>liste_statuts</formula1>
    </dataValidation>
    <dataValidation type="list" allowBlank="1" showInputMessage="1" showErrorMessage="1" sqref="B387">
      <formula1>liste_programmes</formula1>
    </dataValidation>
    <dataValidation type="list" allowBlank="1" showInputMessage="1" showErrorMessage="1" sqref="D387">
      <formula1>liste_types</formula1>
    </dataValidation>
    <dataValidation type="list" allowBlank="1" showInputMessage="1" showErrorMessage="1" sqref="F387">
      <formula1>liste_categories</formula1>
    </dataValidation>
    <dataValidation type="list" allowBlank="1" showInputMessage="1" showErrorMessage="1" sqref="G387">
      <formula1>liste_responsables</formula1>
    </dataValidation>
    <dataValidation type="list" allowBlank="1" showInputMessage="1" showErrorMessage="1" sqref="H387">
      <formula1>liste_sites</formula1>
    </dataValidation>
    <dataValidation type="list" allowBlank="1" showInputMessage="1" showErrorMessage="1" sqref="I387">
      <formula1>liste_priorites</formula1>
    </dataValidation>
    <dataValidation type="date" operator="greaterThanOrEqual" allowBlank="1" showInputMessage="1" showErrorMessage="1" sqref="J387">
      <formula1>730120</formula1>
    </dataValidation>
    <dataValidation type="date" operator="greaterThanOrEqual" allowBlank="1" showInputMessage="1" showErrorMessage="1" sqref="K387">
      <formula1>730120</formula1>
    </dataValidation>
    <dataValidation type="date" operator="greaterThanOrEqual" allowBlank="1" showInputMessage="1" showErrorMessage="1" sqref="L387">
      <formula1>730120</formula1>
    </dataValidation>
    <dataValidation type="whole" allowBlank="1" showInputMessage="1" showErrorMessage="1" sqref="P387">
      <formula1>0</formula1>
      <formula2>100</formula2>
    </dataValidation>
    <dataValidation type="decimal" operator="greaterThanOrEqual" allowBlank="1" showInputMessage="1" showErrorMessage="1" sqref="Q387">
      <formula1>0</formula1>
    </dataValidation>
    <dataValidation type="decimal" operator="greaterThanOrEqual" allowBlank="1" showInputMessage="1" showErrorMessage="1" sqref="R387">
      <formula1>0</formula1>
    </dataValidation>
    <dataValidation type="whole" allowBlank="1" showInputMessage="1" showErrorMessage="1" sqref="U387">
      <formula1>1</formula1>
      <formula2>5</formula2>
    </dataValidation>
    <dataValidation type="whole" allowBlank="1" showInputMessage="1" showErrorMessage="1" sqref="V387">
      <formula1>1</formula1>
      <formula2>5</formula2>
    </dataValidation>
    <dataValidation type="whole" allowBlank="1" showInputMessage="1" showErrorMessage="1" sqref="X387">
      <formula1>1</formula1>
      <formula2>5</formula2>
    </dataValidation>
    <dataValidation type="decimal" operator="greaterThanOrEqual" allowBlank="1" showInputMessage="1" showErrorMessage="1" sqref="Y387">
      <formula1>0</formula1>
    </dataValidation>
    <dataValidation type="whole" operator="greaterThanOrEqual" allowBlank="1" showInputMessage="1" showErrorMessage="1" sqref="Z387">
      <formula1>0</formula1>
    </dataValidation>
    <dataValidation type="whole" allowBlank="1" showInputMessage="1" showErrorMessage="1" sqref="AA387">
      <formula1>1</formula1>
      <formula2>5</formula2>
    </dataValidation>
    <dataValidation type="decimal" allowBlank="1" showInputMessage="1" showErrorMessage="1" sqref="AB387">
      <formula1>0</formula1>
      <formula2>1</formula2>
    </dataValidation>
    <dataValidation type="list" allowBlank="1" showInputMessage="1" showErrorMessage="1" sqref="O387">
      <formula1>liste_statuts</formula1>
    </dataValidation>
    <dataValidation type="list" allowBlank="1" showInputMessage="1" showErrorMessage="1" sqref="B388">
      <formula1>liste_programmes</formula1>
    </dataValidation>
    <dataValidation type="list" allowBlank="1" showInputMessage="1" showErrorMessage="1" sqref="D388">
      <formula1>liste_types</formula1>
    </dataValidation>
    <dataValidation type="list" allowBlank="1" showInputMessage="1" showErrorMessage="1" sqref="F388">
      <formula1>liste_categories</formula1>
    </dataValidation>
    <dataValidation type="list" allowBlank="1" showInputMessage="1" showErrorMessage="1" sqref="G388">
      <formula1>liste_responsables</formula1>
    </dataValidation>
    <dataValidation type="list" allowBlank="1" showInputMessage="1" showErrorMessage="1" sqref="H388">
      <formula1>liste_sites</formula1>
    </dataValidation>
    <dataValidation type="list" allowBlank="1" showInputMessage="1" showErrorMessage="1" sqref="I388">
      <formula1>liste_priorites</formula1>
    </dataValidation>
    <dataValidation type="date" operator="greaterThanOrEqual" allowBlank="1" showInputMessage="1" showErrorMessage="1" sqref="J388">
      <formula1>730120</formula1>
    </dataValidation>
    <dataValidation type="date" operator="greaterThanOrEqual" allowBlank="1" showInputMessage="1" showErrorMessage="1" sqref="K388">
      <formula1>730120</formula1>
    </dataValidation>
    <dataValidation type="date" operator="greaterThanOrEqual" allowBlank="1" showInputMessage="1" showErrorMessage="1" sqref="L388">
      <formula1>730120</formula1>
    </dataValidation>
    <dataValidation type="whole" allowBlank="1" showInputMessage="1" showErrorMessage="1" sqref="P388">
      <formula1>0</formula1>
      <formula2>100</formula2>
    </dataValidation>
    <dataValidation type="decimal" operator="greaterThanOrEqual" allowBlank="1" showInputMessage="1" showErrorMessage="1" sqref="Q388">
      <formula1>0</formula1>
    </dataValidation>
    <dataValidation type="decimal" operator="greaterThanOrEqual" allowBlank="1" showInputMessage="1" showErrorMessage="1" sqref="R388">
      <formula1>0</formula1>
    </dataValidation>
    <dataValidation type="whole" allowBlank="1" showInputMessage="1" showErrorMessage="1" sqref="U388">
      <formula1>1</formula1>
      <formula2>5</formula2>
    </dataValidation>
    <dataValidation type="whole" allowBlank="1" showInputMessage="1" showErrorMessage="1" sqref="V388">
      <formula1>1</formula1>
      <formula2>5</formula2>
    </dataValidation>
    <dataValidation type="whole" allowBlank="1" showInputMessage="1" showErrorMessage="1" sqref="X388">
      <formula1>1</formula1>
      <formula2>5</formula2>
    </dataValidation>
    <dataValidation type="decimal" operator="greaterThanOrEqual" allowBlank="1" showInputMessage="1" showErrorMessage="1" sqref="Y388">
      <formula1>0</formula1>
    </dataValidation>
    <dataValidation type="whole" operator="greaterThanOrEqual" allowBlank="1" showInputMessage="1" showErrorMessage="1" sqref="Z388">
      <formula1>0</formula1>
    </dataValidation>
    <dataValidation type="whole" allowBlank="1" showInputMessage="1" showErrorMessage="1" sqref="AA388">
      <formula1>1</formula1>
      <formula2>5</formula2>
    </dataValidation>
    <dataValidation type="decimal" allowBlank="1" showInputMessage="1" showErrorMessage="1" sqref="AB388">
      <formula1>0</formula1>
      <formula2>1</formula2>
    </dataValidation>
    <dataValidation type="list" allowBlank="1" showInputMessage="1" showErrorMessage="1" sqref="O388">
      <formula1>liste_statuts</formula1>
    </dataValidation>
    <dataValidation type="list" allowBlank="1" showInputMessage="1" showErrorMessage="1" sqref="B389">
      <formula1>liste_programmes</formula1>
    </dataValidation>
    <dataValidation type="list" allowBlank="1" showInputMessage="1" showErrorMessage="1" sqref="D389">
      <formula1>liste_types</formula1>
    </dataValidation>
    <dataValidation type="list" allowBlank="1" showInputMessage="1" showErrorMessage="1" sqref="F389">
      <formula1>liste_categories</formula1>
    </dataValidation>
    <dataValidation type="list" allowBlank="1" showInputMessage="1" showErrorMessage="1" sqref="G389">
      <formula1>liste_responsables</formula1>
    </dataValidation>
    <dataValidation type="list" allowBlank="1" showInputMessage="1" showErrorMessage="1" sqref="H389">
      <formula1>liste_sites</formula1>
    </dataValidation>
    <dataValidation type="list" allowBlank="1" showInputMessage="1" showErrorMessage="1" sqref="I389">
      <formula1>liste_priorites</formula1>
    </dataValidation>
    <dataValidation type="date" operator="greaterThanOrEqual" allowBlank="1" showInputMessage="1" showErrorMessage="1" sqref="J389">
      <formula1>730120</formula1>
    </dataValidation>
    <dataValidation type="date" operator="greaterThanOrEqual" allowBlank="1" showInputMessage="1" showErrorMessage="1" sqref="K389">
      <formula1>730120</formula1>
    </dataValidation>
    <dataValidation type="date" operator="greaterThanOrEqual" allowBlank="1" showInputMessage="1" showErrorMessage="1" sqref="L389">
      <formula1>730120</formula1>
    </dataValidation>
    <dataValidation type="whole" allowBlank="1" showInputMessage="1" showErrorMessage="1" sqref="P389">
      <formula1>0</formula1>
      <formula2>100</formula2>
    </dataValidation>
    <dataValidation type="decimal" operator="greaterThanOrEqual" allowBlank="1" showInputMessage="1" showErrorMessage="1" sqref="Q389">
      <formula1>0</formula1>
    </dataValidation>
    <dataValidation type="decimal" operator="greaterThanOrEqual" allowBlank="1" showInputMessage="1" showErrorMessage="1" sqref="R389">
      <formula1>0</formula1>
    </dataValidation>
    <dataValidation type="whole" allowBlank="1" showInputMessage="1" showErrorMessage="1" sqref="U389">
      <formula1>1</formula1>
      <formula2>5</formula2>
    </dataValidation>
    <dataValidation type="whole" allowBlank="1" showInputMessage="1" showErrorMessage="1" sqref="V389">
      <formula1>1</formula1>
      <formula2>5</formula2>
    </dataValidation>
    <dataValidation type="whole" allowBlank="1" showInputMessage="1" showErrorMessage="1" sqref="X389">
      <formula1>1</formula1>
      <formula2>5</formula2>
    </dataValidation>
    <dataValidation type="decimal" operator="greaterThanOrEqual" allowBlank="1" showInputMessage="1" showErrorMessage="1" sqref="Y389">
      <formula1>0</formula1>
    </dataValidation>
    <dataValidation type="whole" operator="greaterThanOrEqual" allowBlank="1" showInputMessage="1" showErrorMessage="1" sqref="Z389">
      <formula1>0</formula1>
    </dataValidation>
    <dataValidation type="whole" allowBlank="1" showInputMessage="1" showErrorMessage="1" sqref="AA389">
      <formula1>1</formula1>
      <formula2>5</formula2>
    </dataValidation>
    <dataValidation type="decimal" allowBlank="1" showInputMessage="1" showErrorMessage="1" sqref="AB389">
      <formula1>0</formula1>
      <formula2>1</formula2>
    </dataValidation>
    <dataValidation type="list" allowBlank="1" showInputMessage="1" showErrorMessage="1" sqref="O389">
      <formula1>liste_statuts</formula1>
    </dataValidation>
    <dataValidation type="list" allowBlank="1" showInputMessage="1" showErrorMessage="1" sqref="B390">
      <formula1>liste_programmes</formula1>
    </dataValidation>
    <dataValidation type="list" allowBlank="1" showInputMessage="1" showErrorMessage="1" sqref="D390">
      <formula1>liste_types</formula1>
    </dataValidation>
    <dataValidation type="list" allowBlank="1" showInputMessage="1" showErrorMessage="1" sqref="F390">
      <formula1>liste_categories</formula1>
    </dataValidation>
    <dataValidation type="list" allowBlank="1" showInputMessage="1" showErrorMessage="1" sqref="G390">
      <formula1>liste_responsables</formula1>
    </dataValidation>
    <dataValidation type="list" allowBlank="1" showInputMessage="1" showErrorMessage="1" sqref="H390">
      <formula1>liste_sites</formula1>
    </dataValidation>
    <dataValidation type="list" allowBlank="1" showInputMessage="1" showErrorMessage="1" sqref="I390">
      <formula1>liste_priorites</formula1>
    </dataValidation>
    <dataValidation type="date" operator="greaterThanOrEqual" allowBlank="1" showInputMessage="1" showErrorMessage="1" sqref="J390">
      <formula1>730120</formula1>
    </dataValidation>
    <dataValidation type="date" operator="greaterThanOrEqual" allowBlank="1" showInputMessage="1" showErrorMessage="1" sqref="K390">
      <formula1>730120</formula1>
    </dataValidation>
    <dataValidation type="date" operator="greaterThanOrEqual" allowBlank="1" showInputMessage="1" showErrorMessage="1" sqref="L390">
      <formula1>730120</formula1>
    </dataValidation>
    <dataValidation type="whole" allowBlank="1" showInputMessage="1" showErrorMessage="1" sqref="P390">
      <formula1>0</formula1>
      <formula2>100</formula2>
    </dataValidation>
    <dataValidation type="decimal" operator="greaterThanOrEqual" allowBlank="1" showInputMessage="1" showErrorMessage="1" sqref="Q390">
      <formula1>0</formula1>
    </dataValidation>
    <dataValidation type="decimal" operator="greaterThanOrEqual" allowBlank="1" showInputMessage="1" showErrorMessage="1" sqref="R390">
      <formula1>0</formula1>
    </dataValidation>
    <dataValidation type="whole" allowBlank="1" showInputMessage="1" showErrorMessage="1" sqref="U390">
      <formula1>1</formula1>
      <formula2>5</formula2>
    </dataValidation>
    <dataValidation type="whole" allowBlank="1" showInputMessage="1" showErrorMessage="1" sqref="V390">
      <formula1>1</formula1>
      <formula2>5</formula2>
    </dataValidation>
    <dataValidation type="whole" allowBlank="1" showInputMessage="1" showErrorMessage="1" sqref="X390">
      <formula1>1</formula1>
      <formula2>5</formula2>
    </dataValidation>
    <dataValidation type="decimal" operator="greaterThanOrEqual" allowBlank="1" showInputMessage="1" showErrorMessage="1" sqref="Y390">
      <formula1>0</formula1>
    </dataValidation>
    <dataValidation type="whole" operator="greaterThanOrEqual" allowBlank="1" showInputMessage="1" showErrorMessage="1" sqref="Z390">
      <formula1>0</formula1>
    </dataValidation>
    <dataValidation type="whole" allowBlank="1" showInputMessage="1" showErrorMessage="1" sqref="AA390">
      <formula1>1</formula1>
      <formula2>5</formula2>
    </dataValidation>
    <dataValidation type="decimal" allowBlank="1" showInputMessage="1" showErrorMessage="1" sqref="AB390">
      <formula1>0</formula1>
      <formula2>1</formula2>
    </dataValidation>
    <dataValidation type="list" allowBlank="1" showInputMessage="1" showErrorMessage="1" sqref="O390">
      <formula1>liste_statuts</formula1>
    </dataValidation>
    <dataValidation type="list" allowBlank="1" showInputMessage="1" showErrorMessage="1" sqref="B391">
      <formula1>liste_programmes</formula1>
    </dataValidation>
    <dataValidation type="list" allowBlank="1" showInputMessage="1" showErrorMessage="1" sqref="D391">
      <formula1>liste_types</formula1>
    </dataValidation>
    <dataValidation type="list" allowBlank="1" showInputMessage="1" showErrorMessage="1" sqref="F391">
      <formula1>liste_categories</formula1>
    </dataValidation>
    <dataValidation type="list" allowBlank="1" showInputMessage="1" showErrorMessage="1" sqref="G391">
      <formula1>liste_responsables</formula1>
    </dataValidation>
    <dataValidation type="list" allowBlank="1" showInputMessage="1" showErrorMessage="1" sqref="H391">
      <formula1>liste_sites</formula1>
    </dataValidation>
    <dataValidation type="list" allowBlank="1" showInputMessage="1" showErrorMessage="1" sqref="I391">
      <formula1>liste_priorites</formula1>
    </dataValidation>
    <dataValidation type="date" operator="greaterThanOrEqual" allowBlank="1" showInputMessage="1" showErrorMessage="1" sqref="J391">
      <formula1>730120</formula1>
    </dataValidation>
    <dataValidation type="date" operator="greaterThanOrEqual" allowBlank="1" showInputMessage="1" showErrorMessage="1" sqref="K391">
      <formula1>730120</formula1>
    </dataValidation>
    <dataValidation type="date" operator="greaterThanOrEqual" allowBlank="1" showInputMessage="1" showErrorMessage="1" sqref="L391">
      <formula1>730120</formula1>
    </dataValidation>
    <dataValidation type="whole" allowBlank="1" showInputMessage="1" showErrorMessage="1" sqref="P391">
      <formula1>0</formula1>
      <formula2>100</formula2>
    </dataValidation>
    <dataValidation type="decimal" operator="greaterThanOrEqual" allowBlank="1" showInputMessage="1" showErrorMessage="1" sqref="Q391">
      <formula1>0</formula1>
    </dataValidation>
    <dataValidation type="decimal" operator="greaterThanOrEqual" allowBlank="1" showInputMessage="1" showErrorMessage="1" sqref="R391">
      <formula1>0</formula1>
    </dataValidation>
    <dataValidation type="whole" allowBlank="1" showInputMessage="1" showErrorMessage="1" sqref="U391">
      <formula1>1</formula1>
      <formula2>5</formula2>
    </dataValidation>
    <dataValidation type="whole" allowBlank="1" showInputMessage="1" showErrorMessage="1" sqref="V391">
      <formula1>1</formula1>
      <formula2>5</formula2>
    </dataValidation>
    <dataValidation type="whole" allowBlank="1" showInputMessage="1" showErrorMessage="1" sqref="X391">
      <formula1>1</formula1>
      <formula2>5</formula2>
    </dataValidation>
    <dataValidation type="decimal" operator="greaterThanOrEqual" allowBlank="1" showInputMessage="1" showErrorMessage="1" sqref="Y391">
      <formula1>0</formula1>
    </dataValidation>
    <dataValidation type="whole" operator="greaterThanOrEqual" allowBlank="1" showInputMessage="1" showErrorMessage="1" sqref="Z391">
      <formula1>0</formula1>
    </dataValidation>
    <dataValidation type="whole" allowBlank="1" showInputMessage="1" showErrorMessage="1" sqref="AA391">
      <formula1>1</formula1>
      <formula2>5</formula2>
    </dataValidation>
    <dataValidation type="decimal" allowBlank="1" showInputMessage="1" showErrorMessage="1" sqref="AB391">
      <formula1>0</formula1>
      <formula2>1</formula2>
    </dataValidation>
    <dataValidation type="list" allowBlank="1" showInputMessage="1" showErrorMessage="1" sqref="O391">
      <formula1>liste_statuts</formula1>
    </dataValidation>
    <dataValidation type="list" allowBlank="1" showInputMessage="1" showErrorMessage="1" sqref="B392">
      <formula1>liste_programmes</formula1>
    </dataValidation>
    <dataValidation type="list" allowBlank="1" showInputMessage="1" showErrorMessage="1" sqref="D392">
      <formula1>liste_types</formula1>
    </dataValidation>
    <dataValidation type="list" allowBlank="1" showInputMessage="1" showErrorMessage="1" sqref="F392">
      <formula1>liste_categories</formula1>
    </dataValidation>
    <dataValidation type="list" allowBlank="1" showInputMessage="1" showErrorMessage="1" sqref="G392">
      <formula1>liste_responsables</formula1>
    </dataValidation>
    <dataValidation type="list" allowBlank="1" showInputMessage="1" showErrorMessage="1" sqref="H392">
      <formula1>liste_sites</formula1>
    </dataValidation>
    <dataValidation type="list" allowBlank="1" showInputMessage="1" showErrorMessage="1" sqref="I392">
      <formula1>liste_priorites</formula1>
    </dataValidation>
    <dataValidation type="date" operator="greaterThanOrEqual" allowBlank="1" showInputMessage="1" showErrorMessage="1" sqref="J392">
      <formula1>730120</formula1>
    </dataValidation>
    <dataValidation type="date" operator="greaterThanOrEqual" allowBlank="1" showInputMessage="1" showErrorMessage="1" sqref="K392">
      <formula1>730120</formula1>
    </dataValidation>
    <dataValidation type="date" operator="greaterThanOrEqual" allowBlank="1" showInputMessage="1" showErrorMessage="1" sqref="L392">
      <formula1>730120</formula1>
    </dataValidation>
    <dataValidation type="whole" allowBlank="1" showInputMessage="1" showErrorMessage="1" sqref="P392">
      <formula1>0</formula1>
      <formula2>100</formula2>
    </dataValidation>
    <dataValidation type="decimal" operator="greaterThanOrEqual" allowBlank="1" showInputMessage="1" showErrorMessage="1" sqref="Q392">
      <formula1>0</formula1>
    </dataValidation>
    <dataValidation type="decimal" operator="greaterThanOrEqual" allowBlank="1" showInputMessage="1" showErrorMessage="1" sqref="R392">
      <formula1>0</formula1>
    </dataValidation>
    <dataValidation type="whole" allowBlank="1" showInputMessage="1" showErrorMessage="1" sqref="U392">
      <formula1>1</formula1>
      <formula2>5</formula2>
    </dataValidation>
    <dataValidation type="whole" allowBlank="1" showInputMessage="1" showErrorMessage="1" sqref="V392">
      <formula1>1</formula1>
      <formula2>5</formula2>
    </dataValidation>
    <dataValidation type="whole" allowBlank="1" showInputMessage="1" showErrorMessage="1" sqref="X392">
      <formula1>1</formula1>
      <formula2>5</formula2>
    </dataValidation>
    <dataValidation type="decimal" operator="greaterThanOrEqual" allowBlank="1" showInputMessage="1" showErrorMessage="1" sqref="Y392">
      <formula1>0</formula1>
    </dataValidation>
    <dataValidation type="whole" operator="greaterThanOrEqual" allowBlank="1" showInputMessage="1" showErrorMessage="1" sqref="Z392">
      <formula1>0</formula1>
    </dataValidation>
    <dataValidation type="whole" allowBlank="1" showInputMessage="1" showErrorMessage="1" sqref="AA392">
      <formula1>1</formula1>
      <formula2>5</formula2>
    </dataValidation>
    <dataValidation type="decimal" allowBlank="1" showInputMessage="1" showErrorMessage="1" sqref="AB392">
      <formula1>0</formula1>
      <formula2>1</formula2>
    </dataValidation>
    <dataValidation type="list" allowBlank="1" showInputMessage="1" showErrorMessage="1" sqref="O392">
      <formula1>liste_statuts</formula1>
    </dataValidation>
    <dataValidation type="list" allowBlank="1" showInputMessage="1" showErrorMessage="1" sqref="B393">
      <formula1>liste_programmes</formula1>
    </dataValidation>
    <dataValidation type="list" allowBlank="1" showInputMessage="1" showErrorMessage="1" sqref="D393">
      <formula1>liste_types</formula1>
    </dataValidation>
    <dataValidation type="list" allowBlank="1" showInputMessage="1" showErrorMessage="1" sqref="F393">
      <formula1>liste_categories</formula1>
    </dataValidation>
    <dataValidation type="list" allowBlank="1" showInputMessage="1" showErrorMessage="1" sqref="G393">
      <formula1>liste_responsables</formula1>
    </dataValidation>
    <dataValidation type="list" allowBlank="1" showInputMessage="1" showErrorMessage="1" sqref="H393">
      <formula1>liste_sites</formula1>
    </dataValidation>
    <dataValidation type="list" allowBlank="1" showInputMessage="1" showErrorMessage="1" sqref="I393">
      <formula1>liste_priorites</formula1>
    </dataValidation>
    <dataValidation type="date" operator="greaterThanOrEqual" allowBlank="1" showInputMessage="1" showErrorMessage="1" sqref="J393">
      <formula1>730120</formula1>
    </dataValidation>
    <dataValidation type="date" operator="greaterThanOrEqual" allowBlank="1" showInputMessage="1" showErrorMessage="1" sqref="K393">
      <formula1>730120</formula1>
    </dataValidation>
    <dataValidation type="date" operator="greaterThanOrEqual" allowBlank="1" showInputMessage="1" showErrorMessage="1" sqref="L393">
      <formula1>730120</formula1>
    </dataValidation>
    <dataValidation type="whole" allowBlank="1" showInputMessage="1" showErrorMessage="1" sqref="P393">
      <formula1>0</formula1>
      <formula2>100</formula2>
    </dataValidation>
    <dataValidation type="decimal" operator="greaterThanOrEqual" allowBlank="1" showInputMessage="1" showErrorMessage="1" sqref="Q393">
      <formula1>0</formula1>
    </dataValidation>
    <dataValidation type="decimal" operator="greaterThanOrEqual" allowBlank="1" showInputMessage="1" showErrorMessage="1" sqref="R393">
      <formula1>0</formula1>
    </dataValidation>
    <dataValidation type="whole" allowBlank="1" showInputMessage="1" showErrorMessage="1" sqref="U393">
      <formula1>1</formula1>
      <formula2>5</formula2>
    </dataValidation>
    <dataValidation type="whole" allowBlank="1" showInputMessage="1" showErrorMessage="1" sqref="V393">
      <formula1>1</formula1>
      <formula2>5</formula2>
    </dataValidation>
    <dataValidation type="whole" allowBlank="1" showInputMessage="1" showErrorMessage="1" sqref="X393">
      <formula1>1</formula1>
      <formula2>5</formula2>
    </dataValidation>
    <dataValidation type="decimal" operator="greaterThanOrEqual" allowBlank="1" showInputMessage="1" showErrorMessage="1" sqref="Y393">
      <formula1>0</formula1>
    </dataValidation>
    <dataValidation type="whole" operator="greaterThanOrEqual" allowBlank="1" showInputMessage="1" showErrorMessage="1" sqref="Z393">
      <formula1>0</formula1>
    </dataValidation>
    <dataValidation type="whole" allowBlank="1" showInputMessage="1" showErrorMessage="1" sqref="AA393">
      <formula1>1</formula1>
      <formula2>5</formula2>
    </dataValidation>
    <dataValidation type="decimal" allowBlank="1" showInputMessage="1" showErrorMessage="1" sqref="AB393">
      <formula1>0</formula1>
      <formula2>1</formula2>
    </dataValidation>
    <dataValidation type="list" allowBlank="1" showInputMessage="1" showErrorMessage="1" sqref="O393">
      <formula1>liste_statuts</formula1>
    </dataValidation>
    <dataValidation type="list" allowBlank="1" showInputMessage="1" showErrorMessage="1" sqref="B394">
      <formula1>liste_programmes</formula1>
    </dataValidation>
    <dataValidation type="list" allowBlank="1" showInputMessage="1" showErrorMessage="1" sqref="D394">
      <formula1>liste_types</formula1>
    </dataValidation>
    <dataValidation type="list" allowBlank="1" showInputMessage="1" showErrorMessage="1" sqref="F394">
      <formula1>liste_categories</formula1>
    </dataValidation>
    <dataValidation type="list" allowBlank="1" showInputMessage="1" showErrorMessage="1" sqref="G394">
      <formula1>liste_responsables</formula1>
    </dataValidation>
    <dataValidation type="list" allowBlank="1" showInputMessage="1" showErrorMessage="1" sqref="H394">
      <formula1>liste_sites</formula1>
    </dataValidation>
    <dataValidation type="list" allowBlank="1" showInputMessage="1" showErrorMessage="1" sqref="I394">
      <formula1>liste_priorites</formula1>
    </dataValidation>
    <dataValidation type="date" operator="greaterThanOrEqual" allowBlank="1" showInputMessage="1" showErrorMessage="1" sqref="J394">
      <formula1>730120</formula1>
    </dataValidation>
    <dataValidation type="date" operator="greaterThanOrEqual" allowBlank="1" showInputMessage="1" showErrorMessage="1" sqref="K394">
      <formula1>730120</formula1>
    </dataValidation>
    <dataValidation type="date" operator="greaterThanOrEqual" allowBlank="1" showInputMessage="1" showErrorMessage="1" sqref="L394">
      <formula1>730120</formula1>
    </dataValidation>
    <dataValidation type="whole" allowBlank="1" showInputMessage="1" showErrorMessage="1" sqref="P394">
      <formula1>0</formula1>
      <formula2>100</formula2>
    </dataValidation>
    <dataValidation type="decimal" operator="greaterThanOrEqual" allowBlank="1" showInputMessage="1" showErrorMessage="1" sqref="Q394">
      <formula1>0</formula1>
    </dataValidation>
    <dataValidation type="decimal" operator="greaterThanOrEqual" allowBlank="1" showInputMessage="1" showErrorMessage="1" sqref="R394">
      <formula1>0</formula1>
    </dataValidation>
    <dataValidation type="whole" allowBlank="1" showInputMessage="1" showErrorMessage="1" sqref="U394">
      <formula1>1</formula1>
      <formula2>5</formula2>
    </dataValidation>
    <dataValidation type="whole" allowBlank="1" showInputMessage="1" showErrorMessage="1" sqref="V394">
      <formula1>1</formula1>
      <formula2>5</formula2>
    </dataValidation>
    <dataValidation type="whole" allowBlank="1" showInputMessage="1" showErrorMessage="1" sqref="X394">
      <formula1>1</formula1>
      <formula2>5</formula2>
    </dataValidation>
    <dataValidation type="decimal" operator="greaterThanOrEqual" allowBlank="1" showInputMessage="1" showErrorMessage="1" sqref="Y394">
      <formula1>0</formula1>
    </dataValidation>
    <dataValidation type="whole" operator="greaterThanOrEqual" allowBlank="1" showInputMessage="1" showErrorMessage="1" sqref="Z394">
      <formula1>0</formula1>
    </dataValidation>
    <dataValidation type="whole" allowBlank="1" showInputMessage="1" showErrorMessage="1" sqref="AA394">
      <formula1>1</formula1>
      <formula2>5</formula2>
    </dataValidation>
    <dataValidation type="decimal" allowBlank="1" showInputMessage="1" showErrorMessage="1" sqref="AB394">
      <formula1>0</formula1>
      <formula2>1</formula2>
    </dataValidation>
    <dataValidation type="list" allowBlank="1" showInputMessage="1" showErrorMessage="1" sqref="O394">
      <formula1>liste_statuts</formula1>
    </dataValidation>
    <dataValidation type="list" allowBlank="1" showInputMessage="1" showErrorMessage="1" sqref="B395">
      <formula1>liste_programmes</formula1>
    </dataValidation>
    <dataValidation type="list" allowBlank="1" showInputMessage="1" showErrorMessage="1" sqref="D395">
      <formula1>liste_types</formula1>
    </dataValidation>
    <dataValidation type="list" allowBlank="1" showInputMessage="1" showErrorMessage="1" sqref="F395">
      <formula1>liste_categories</formula1>
    </dataValidation>
    <dataValidation type="list" allowBlank="1" showInputMessage="1" showErrorMessage="1" sqref="G395">
      <formula1>liste_responsables</formula1>
    </dataValidation>
    <dataValidation type="list" allowBlank="1" showInputMessage="1" showErrorMessage="1" sqref="H395">
      <formula1>liste_sites</formula1>
    </dataValidation>
    <dataValidation type="list" allowBlank="1" showInputMessage="1" showErrorMessage="1" sqref="I395">
      <formula1>liste_priorites</formula1>
    </dataValidation>
    <dataValidation type="date" operator="greaterThanOrEqual" allowBlank="1" showInputMessage="1" showErrorMessage="1" sqref="J395">
      <formula1>730120</formula1>
    </dataValidation>
    <dataValidation type="date" operator="greaterThanOrEqual" allowBlank="1" showInputMessage="1" showErrorMessage="1" sqref="K395">
      <formula1>730120</formula1>
    </dataValidation>
    <dataValidation type="date" operator="greaterThanOrEqual" allowBlank="1" showInputMessage="1" showErrorMessage="1" sqref="L395">
      <formula1>730120</formula1>
    </dataValidation>
    <dataValidation type="whole" allowBlank="1" showInputMessage="1" showErrorMessage="1" sqref="P395">
      <formula1>0</formula1>
      <formula2>100</formula2>
    </dataValidation>
    <dataValidation type="decimal" operator="greaterThanOrEqual" allowBlank="1" showInputMessage="1" showErrorMessage="1" sqref="Q395">
      <formula1>0</formula1>
    </dataValidation>
    <dataValidation type="decimal" operator="greaterThanOrEqual" allowBlank="1" showInputMessage="1" showErrorMessage="1" sqref="R395">
      <formula1>0</formula1>
    </dataValidation>
    <dataValidation type="whole" allowBlank="1" showInputMessage="1" showErrorMessage="1" sqref="U395">
      <formula1>1</formula1>
      <formula2>5</formula2>
    </dataValidation>
    <dataValidation type="whole" allowBlank="1" showInputMessage="1" showErrorMessage="1" sqref="V395">
      <formula1>1</formula1>
      <formula2>5</formula2>
    </dataValidation>
    <dataValidation type="whole" allowBlank="1" showInputMessage="1" showErrorMessage="1" sqref="X395">
      <formula1>1</formula1>
      <formula2>5</formula2>
    </dataValidation>
    <dataValidation type="decimal" operator="greaterThanOrEqual" allowBlank="1" showInputMessage="1" showErrorMessage="1" sqref="Y395">
      <formula1>0</formula1>
    </dataValidation>
    <dataValidation type="whole" operator="greaterThanOrEqual" allowBlank="1" showInputMessage="1" showErrorMessage="1" sqref="Z395">
      <formula1>0</formula1>
    </dataValidation>
    <dataValidation type="whole" allowBlank="1" showInputMessage="1" showErrorMessage="1" sqref="AA395">
      <formula1>1</formula1>
      <formula2>5</formula2>
    </dataValidation>
    <dataValidation type="decimal" allowBlank="1" showInputMessage="1" showErrorMessage="1" sqref="AB395">
      <formula1>0</formula1>
      <formula2>1</formula2>
    </dataValidation>
    <dataValidation type="list" allowBlank="1" showInputMessage="1" showErrorMessage="1" sqref="O395">
      <formula1>liste_statuts</formula1>
    </dataValidation>
    <dataValidation type="list" allowBlank="1" showInputMessage="1" showErrorMessage="1" sqref="B396">
      <formula1>liste_programmes</formula1>
    </dataValidation>
    <dataValidation type="list" allowBlank="1" showInputMessage="1" showErrorMessage="1" sqref="D396">
      <formula1>liste_types</formula1>
    </dataValidation>
    <dataValidation type="list" allowBlank="1" showInputMessage="1" showErrorMessage="1" sqref="F396">
      <formula1>liste_categories</formula1>
    </dataValidation>
    <dataValidation type="list" allowBlank="1" showInputMessage="1" showErrorMessage="1" sqref="G396">
      <formula1>liste_responsables</formula1>
    </dataValidation>
    <dataValidation type="list" allowBlank="1" showInputMessage="1" showErrorMessage="1" sqref="H396">
      <formula1>liste_sites</formula1>
    </dataValidation>
    <dataValidation type="list" allowBlank="1" showInputMessage="1" showErrorMessage="1" sqref="I396">
      <formula1>liste_priorites</formula1>
    </dataValidation>
    <dataValidation type="date" operator="greaterThanOrEqual" allowBlank="1" showInputMessage="1" showErrorMessage="1" sqref="J396">
      <formula1>730120</formula1>
    </dataValidation>
    <dataValidation type="date" operator="greaterThanOrEqual" allowBlank="1" showInputMessage="1" showErrorMessage="1" sqref="K396">
      <formula1>730120</formula1>
    </dataValidation>
    <dataValidation type="date" operator="greaterThanOrEqual" allowBlank="1" showInputMessage="1" showErrorMessage="1" sqref="L396">
      <formula1>730120</formula1>
    </dataValidation>
    <dataValidation type="whole" allowBlank="1" showInputMessage="1" showErrorMessage="1" sqref="P396">
      <formula1>0</formula1>
      <formula2>100</formula2>
    </dataValidation>
    <dataValidation type="decimal" operator="greaterThanOrEqual" allowBlank="1" showInputMessage="1" showErrorMessage="1" sqref="Q396">
      <formula1>0</formula1>
    </dataValidation>
    <dataValidation type="decimal" operator="greaterThanOrEqual" allowBlank="1" showInputMessage="1" showErrorMessage="1" sqref="R396">
      <formula1>0</formula1>
    </dataValidation>
    <dataValidation type="whole" allowBlank="1" showInputMessage="1" showErrorMessage="1" sqref="U396">
      <formula1>1</formula1>
      <formula2>5</formula2>
    </dataValidation>
    <dataValidation type="whole" allowBlank="1" showInputMessage="1" showErrorMessage="1" sqref="V396">
      <formula1>1</formula1>
      <formula2>5</formula2>
    </dataValidation>
    <dataValidation type="whole" allowBlank="1" showInputMessage="1" showErrorMessage="1" sqref="X396">
      <formula1>1</formula1>
      <formula2>5</formula2>
    </dataValidation>
    <dataValidation type="decimal" operator="greaterThanOrEqual" allowBlank="1" showInputMessage="1" showErrorMessage="1" sqref="Y396">
      <formula1>0</formula1>
    </dataValidation>
    <dataValidation type="whole" operator="greaterThanOrEqual" allowBlank="1" showInputMessage="1" showErrorMessage="1" sqref="Z396">
      <formula1>0</formula1>
    </dataValidation>
    <dataValidation type="whole" allowBlank="1" showInputMessage="1" showErrorMessage="1" sqref="AA396">
      <formula1>1</formula1>
      <formula2>5</formula2>
    </dataValidation>
    <dataValidation type="decimal" allowBlank="1" showInputMessage="1" showErrorMessage="1" sqref="AB396">
      <formula1>0</formula1>
      <formula2>1</formula2>
    </dataValidation>
    <dataValidation type="list" allowBlank="1" showInputMessage="1" showErrorMessage="1" sqref="O396">
      <formula1>liste_statuts</formula1>
    </dataValidation>
    <dataValidation type="list" allowBlank="1" showInputMessage="1" showErrorMessage="1" sqref="B397">
      <formula1>liste_programmes</formula1>
    </dataValidation>
    <dataValidation type="list" allowBlank="1" showInputMessage="1" showErrorMessage="1" sqref="D397">
      <formula1>liste_types</formula1>
    </dataValidation>
    <dataValidation type="list" allowBlank="1" showInputMessage="1" showErrorMessage="1" sqref="F397">
      <formula1>liste_categories</formula1>
    </dataValidation>
    <dataValidation type="list" allowBlank="1" showInputMessage="1" showErrorMessage="1" sqref="G397">
      <formula1>liste_responsables</formula1>
    </dataValidation>
    <dataValidation type="list" allowBlank="1" showInputMessage="1" showErrorMessage="1" sqref="H397">
      <formula1>liste_sites</formula1>
    </dataValidation>
    <dataValidation type="list" allowBlank="1" showInputMessage="1" showErrorMessage="1" sqref="I397">
      <formula1>liste_priorites</formula1>
    </dataValidation>
    <dataValidation type="date" operator="greaterThanOrEqual" allowBlank="1" showInputMessage="1" showErrorMessage="1" sqref="J397">
      <formula1>730120</formula1>
    </dataValidation>
    <dataValidation type="date" operator="greaterThanOrEqual" allowBlank="1" showInputMessage="1" showErrorMessage="1" sqref="K397">
      <formula1>730120</formula1>
    </dataValidation>
    <dataValidation type="date" operator="greaterThanOrEqual" allowBlank="1" showInputMessage="1" showErrorMessage="1" sqref="L397">
      <formula1>730120</formula1>
    </dataValidation>
    <dataValidation type="whole" allowBlank="1" showInputMessage="1" showErrorMessage="1" sqref="P397">
      <formula1>0</formula1>
      <formula2>100</formula2>
    </dataValidation>
    <dataValidation type="decimal" operator="greaterThanOrEqual" allowBlank="1" showInputMessage="1" showErrorMessage="1" sqref="Q397">
      <formula1>0</formula1>
    </dataValidation>
    <dataValidation type="decimal" operator="greaterThanOrEqual" allowBlank="1" showInputMessage="1" showErrorMessage="1" sqref="R397">
      <formula1>0</formula1>
    </dataValidation>
    <dataValidation type="whole" allowBlank="1" showInputMessage="1" showErrorMessage="1" sqref="U397">
      <formula1>1</formula1>
      <formula2>5</formula2>
    </dataValidation>
    <dataValidation type="whole" allowBlank="1" showInputMessage="1" showErrorMessage="1" sqref="V397">
      <formula1>1</formula1>
      <formula2>5</formula2>
    </dataValidation>
    <dataValidation type="whole" allowBlank="1" showInputMessage="1" showErrorMessage="1" sqref="X397">
      <formula1>1</formula1>
      <formula2>5</formula2>
    </dataValidation>
    <dataValidation type="decimal" operator="greaterThanOrEqual" allowBlank="1" showInputMessage="1" showErrorMessage="1" sqref="Y397">
      <formula1>0</formula1>
    </dataValidation>
    <dataValidation type="whole" operator="greaterThanOrEqual" allowBlank="1" showInputMessage="1" showErrorMessage="1" sqref="Z397">
      <formula1>0</formula1>
    </dataValidation>
    <dataValidation type="whole" allowBlank="1" showInputMessage="1" showErrorMessage="1" sqref="AA397">
      <formula1>1</formula1>
      <formula2>5</formula2>
    </dataValidation>
    <dataValidation type="decimal" allowBlank="1" showInputMessage="1" showErrorMessage="1" sqref="AB397">
      <formula1>0</formula1>
      <formula2>1</formula2>
    </dataValidation>
    <dataValidation type="list" allowBlank="1" showInputMessage="1" showErrorMessage="1" sqref="O397">
      <formula1>liste_statuts</formula1>
    </dataValidation>
    <dataValidation type="list" allowBlank="1" showInputMessage="1" showErrorMessage="1" sqref="B398">
      <formula1>liste_programmes</formula1>
    </dataValidation>
    <dataValidation type="list" allowBlank="1" showInputMessage="1" showErrorMessage="1" sqref="D398">
      <formula1>liste_types</formula1>
    </dataValidation>
    <dataValidation type="list" allowBlank="1" showInputMessage="1" showErrorMessage="1" sqref="F398">
      <formula1>liste_categories</formula1>
    </dataValidation>
    <dataValidation type="list" allowBlank="1" showInputMessage="1" showErrorMessage="1" sqref="G398">
      <formula1>liste_responsables</formula1>
    </dataValidation>
    <dataValidation type="list" allowBlank="1" showInputMessage="1" showErrorMessage="1" sqref="H398">
      <formula1>liste_sites</formula1>
    </dataValidation>
    <dataValidation type="list" allowBlank="1" showInputMessage="1" showErrorMessage="1" sqref="I398">
      <formula1>liste_priorites</formula1>
    </dataValidation>
    <dataValidation type="date" operator="greaterThanOrEqual" allowBlank="1" showInputMessage="1" showErrorMessage="1" sqref="J398">
      <formula1>730120</formula1>
    </dataValidation>
    <dataValidation type="date" operator="greaterThanOrEqual" allowBlank="1" showInputMessage="1" showErrorMessage="1" sqref="K398">
      <formula1>730120</formula1>
    </dataValidation>
    <dataValidation type="date" operator="greaterThanOrEqual" allowBlank="1" showInputMessage="1" showErrorMessage="1" sqref="L398">
      <formula1>730120</formula1>
    </dataValidation>
    <dataValidation type="whole" allowBlank="1" showInputMessage="1" showErrorMessage="1" sqref="P398">
      <formula1>0</formula1>
      <formula2>100</formula2>
    </dataValidation>
    <dataValidation type="decimal" operator="greaterThanOrEqual" allowBlank="1" showInputMessage="1" showErrorMessage="1" sqref="Q398">
      <formula1>0</formula1>
    </dataValidation>
    <dataValidation type="decimal" operator="greaterThanOrEqual" allowBlank="1" showInputMessage="1" showErrorMessage="1" sqref="R398">
      <formula1>0</formula1>
    </dataValidation>
    <dataValidation type="whole" allowBlank="1" showInputMessage="1" showErrorMessage="1" sqref="U398">
      <formula1>1</formula1>
      <formula2>5</formula2>
    </dataValidation>
    <dataValidation type="whole" allowBlank="1" showInputMessage="1" showErrorMessage="1" sqref="V398">
      <formula1>1</formula1>
      <formula2>5</formula2>
    </dataValidation>
    <dataValidation type="whole" allowBlank="1" showInputMessage="1" showErrorMessage="1" sqref="X398">
      <formula1>1</formula1>
      <formula2>5</formula2>
    </dataValidation>
    <dataValidation type="decimal" operator="greaterThanOrEqual" allowBlank="1" showInputMessage="1" showErrorMessage="1" sqref="Y398">
      <formula1>0</formula1>
    </dataValidation>
    <dataValidation type="whole" operator="greaterThanOrEqual" allowBlank="1" showInputMessage="1" showErrorMessage="1" sqref="Z398">
      <formula1>0</formula1>
    </dataValidation>
    <dataValidation type="whole" allowBlank="1" showInputMessage="1" showErrorMessage="1" sqref="AA398">
      <formula1>1</formula1>
      <formula2>5</formula2>
    </dataValidation>
    <dataValidation type="decimal" allowBlank="1" showInputMessage="1" showErrorMessage="1" sqref="AB398">
      <formula1>0</formula1>
      <formula2>1</formula2>
    </dataValidation>
    <dataValidation type="list" allowBlank="1" showInputMessage="1" showErrorMessage="1" sqref="O398">
      <formula1>liste_statuts</formula1>
    </dataValidation>
    <dataValidation type="list" allowBlank="1" showInputMessage="1" showErrorMessage="1" sqref="B399">
      <formula1>liste_programmes</formula1>
    </dataValidation>
    <dataValidation type="list" allowBlank="1" showInputMessage="1" showErrorMessage="1" sqref="D399">
      <formula1>liste_types</formula1>
    </dataValidation>
    <dataValidation type="list" allowBlank="1" showInputMessage="1" showErrorMessage="1" sqref="F399">
      <formula1>liste_categories</formula1>
    </dataValidation>
    <dataValidation type="list" allowBlank="1" showInputMessage="1" showErrorMessage="1" sqref="G399">
      <formula1>liste_responsables</formula1>
    </dataValidation>
    <dataValidation type="list" allowBlank="1" showInputMessage="1" showErrorMessage="1" sqref="H399">
      <formula1>liste_sites</formula1>
    </dataValidation>
    <dataValidation type="list" allowBlank="1" showInputMessage="1" showErrorMessage="1" sqref="I399">
      <formula1>liste_priorites</formula1>
    </dataValidation>
    <dataValidation type="date" operator="greaterThanOrEqual" allowBlank="1" showInputMessage="1" showErrorMessage="1" sqref="J399">
      <formula1>730120</formula1>
    </dataValidation>
    <dataValidation type="date" operator="greaterThanOrEqual" allowBlank="1" showInputMessage="1" showErrorMessage="1" sqref="K399">
      <formula1>730120</formula1>
    </dataValidation>
    <dataValidation type="date" operator="greaterThanOrEqual" allowBlank="1" showInputMessage="1" showErrorMessage="1" sqref="L399">
      <formula1>730120</formula1>
    </dataValidation>
    <dataValidation type="whole" allowBlank="1" showInputMessage="1" showErrorMessage="1" sqref="P399">
      <formula1>0</formula1>
      <formula2>100</formula2>
    </dataValidation>
    <dataValidation type="decimal" operator="greaterThanOrEqual" allowBlank="1" showInputMessage="1" showErrorMessage="1" sqref="Q399">
      <formula1>0</formula1>
    </dataValidation>
    <dataValidation type="decimal" operator="greaterThanOrEqual" allowBlank="1" showInputMessage="1" showErrorMessage="1" sqref="R399">
      <formula1>0</formula1>
    </dataValidation>
    <dataValidation type="whole" allowBlank="1" showInputMessage="1" showErrorMessage="1" sqref="U399">
      <formula1>1</formula1>
      <formula2>5</formula2>
    </dataValidation>
    <dataValidation type="whole" allowBlank="1" showInputMessage="1" showErrorMessage="1" sqref="V399">
      <formula1>1</formula1>
      <formula2>5</formula2>
    </dataValidation>
    <dataValidation type="whole" allowBlank="1" showInputMessage="1" showErrorMessage="1" sqref="X399">
      <formula1>1</formula1>
      <formula2>5</formula2>
    </dataValidation>
    <dataValidation type="decimal" operator="greaterThanOrEqual" allowBlank="1" showInputMessage="1" showErrorMessage="1" sqref="Y399">
      <formula1>0</formula1>
    </dataValidation>
    <dataValidation type="whole" operator="greaterThanOrEqual" allowBlank="1" showInputMessage="1" showErrorMessage="1" sqref="Z399">
      <formula1>0</formula1>
    </dataValidation>
    <dataValidation type="whole" allowBlank="1" showInputMessage="1" showErrorMessage="1" sqref="AA399">
      <formula1>1</formula1>
      <formula2>5</formula2>
    </dataValidation>
    <dataValidation type="decimal" allowBlank="1" showInputMessage="1" showErrorMessage="1" sqref="AB399">
      <formula1>0</formula1>
      <formula2>1</formula2>
    </dataValidation>
    <dataValidation type="list" allowBlank="1" showInputMessage="1" showErrorMessage="1" sqref="O399">
      <formula1>liste_statuts</formula1>
    </dataValidation>
    <dataValidation type="list" allowBlank="1" showInputMessage="1" showErrorMessage="1" sqref="B400">
      <formula1>liste_programmes</formula1>
    </dataValidation>
    <dataValidation type="list" allowBlank="1" showInputMessage="1" showErrorMessage="1" sqref="D400">
      <formula1>liste_types</formula1>
    </dataValidation>
    <dataValidation type="list" allowBlank="1" showInputMessage="1" showErrorMessage="1" sqref="F400">
      <formula1>liste_categories</formula1>
    </dataValidation>
    <dataValidation type="list" allowBlank="1" showInputMessage="1" showErrorMessage="1" sqref="G400">
      <formula1>liste_responsables</formula1>
    </dataValidation>
    <dataValidation type="list" allowBlank="1" showInputMessage="1" showErrorMessage="1" sqref="H400">
      <formula1>liste_sites</formula1>
    </dataValidation>
    <dataValidation type="list" allowBlank="1" showInputMessage="1" showErrorMessage="1" sqref="I400">
      <formula1>liste_priorites</formula1>
    </dataValidation>
    <dataValidation type="date" operator="greaterThanOrEqual" allowBlank="1" showInputMessage="1" showErrorMessage="1" sqref="J400">
      <formula1>730120</formula1>
    </dataValidation>
    <dataValidation type="date" operator="greaterThanOrEqual" allowBlank="1" showInputMessage="1" showErrorMessage="1" sqref="K400">
      <formula1>730120</formula1>
    </dataValidation>
    <dataValidation type="date" operator="greaterThanOrEqual" allowBlank="1" showInputMessage="1" showErrorMessage="1" sqref="L400">
      <formula1>730120</formula1>
    </dataValidation>
    <dataValidation type="whole" allowBlank="1" showInputMessage="1" showErrorMessage="1" sqref="P400">
      <formula1>0</formula1>
      <formula2>100</formula2>
    </dataValidation>
    <dataValidation type="decimal" operator="greaterThanOrEqual" allowBlank="1" showInputMessage="1" showErrorMessage="1" sqref="Q400">
      <formula1>0</formula1>
    </dataValidation>
    <dataValidation type="decimal" operator="greaterThanOrEqual" allowBlank="1" showInputMessage="1" showErrorMessage="1" sqref="R400">
      <formula1>0</formula1>
    </dataValidation>
    <dataValidation type="whole" allowBlank="1" showInputMessage="1" showErrorMessage="1" sqref="U400">
      <formula1>1</formula1>
      <formula2>5</formula2>
    </dataValidation>
    <dataValidation type="whole" allowBlank="1" showInputMessage="1" showErrorMessage="1" sqref="V400">
      <formula1>1</formula1>
      <formula2>5</formula2>
    </dataValidation>
    <dataValidation type="whole" allowBlank="1" showInputMessage="1" showErrorMessage="1" sqref="X400">
      <formula1>1</formula1>
      <formula2>5</formula2>
    </dataValidation>
    <dataValidation type="decimal" operator="greaterThanOrEqual" allowBlank="1" showInputMessage="1" showErrorMessage="1" sqref="Y400">
      <formula1>0</formula1>
    </dataValidation>
    <dataValidation type="whole" operator="greaterThanOrEqual" allowBlank="1" showInputMessage="1" showErrorMessage="1" sqref="Z400">
      <formula1>0</formula1>
    </dataValidation>
    <dataValidation type="whole" allowBlank="1" showInputMessage="1" showErrorMessage="1" sqref="AA400">
      <formula1>1</formula1>
      <formula2>5</formula2>
    </dataValidation>
    <dataValidation type="decimal" allowBlank="1" showInputMessage="1" showErrorMessage="1" sqref="AB400">
      <formula1>0</formula1>
      <formula2>1</formula2>
    </dataValidation>
    <dataValidation type="list" allowBlank="1" showInputMessage="1" showErrorMessage="1" sqref="O400">
      <formula1>liste_statuts</formula1>
    </dataValidation>
    <dataValidation type="list" allowBlank="1" showInputMessage="1" showErrorMessage="1" sqref="B401">
      <formula1>liste_programmes</formula1>
    </dataValidation>
    <dataValidation type="list" allowBlank="1" showInputMessage="1" showErrorMessage="1" sqref="D401">
      <formula1>liste_types</formula1>
    </dataValidation>
    <dataValidation type="list" allowBlank="1" showInputMessage="1" showErrorMessage="1" sqref="F401">
      <formula1>liste_categories</formula1>
    </dataValidation>
    <dataValidation type="list" allowBlank="1" showInputMessage="1" showErrorMessage="1" sqref="G401">
      <formula1>liste_responsables</formula1>
    </dataValidation>
    <dataValidation type="list" allowBlank="1" showInputMessage="1" showErrorMessage="1" sqref="H401">
      <formula1>liste_sites</formula1>
    </dataValidation>
    <dataValidation type="list" allowBlank="1" showInputMessage="1" showErrorMessage="1" sqref="I401">
      <formula1>liste_priorites</formula1>
    </dataValidation>
    <dataValidation type="date" operator="greaterThanOrEqual" allowBlank="1" showInputMessage="1" showErrorMessage="1" sqref="J401">
      <formula1>730120</formula1>
    </dataValidation>
    <dataValidation type="date" operator="greaterThanOrEqual" allowBlank="1" showInputMessage="1" showErrorMessage="1" sqref="K401">
      <formula1>730120</formula1>
    </dataValidation>
    <dataValidation type="date" operator="greaterThanOrEqual" allowBlank="1" showInputMessage="1" showErrorMessage="1" sqref="L401">
      <formula1>730120</formula1>
    </dataValidation>
    <dataValidation type="whole" allowBlank="1" showInputMessage="1" showErrorMessage="1" sqref="P401">
      <formula1>0</formula1>
      <formula2>100</formula2>
    </dataValidation>
    <dataValidation type="decimal" operator="greaterThanOrEqual" allowBlank="1" showInputMessage="1" showErrorMessage="1" sqref="Q401">
      <formula1>0</formula1>
    </dataValidation>
    <dataValidation type="decimal" operator="greaterThanOrEqual" allowBlank="1" showInputMessage="1" showErrorMessage="1" sqref="R401">
      <formula1>0</formula1>
    </dataValidation>
    <dataValidation type="whole" allowBlank="1" showInputMessage="1" showErrorMessage="1" sqref="U401">
      <formula1>1</formula1>
      <formula2>5</formula2>
    </dataValidation>
    <dataValidation type="whole" allowBlank="1" showInputMessage="1" showErrorMessage="1" sqref="V401">
      <formula1>1</formula1>
      <formula2>5</formula2>
    </dataValidation>
    <dataValidation type="whole" allowBlank="1" showInputMessage="1" showErrorMessage="1" sqref="X401">
      <formula1>1</formula1>
      <formula2>5</formula2>
    </dataValidation>
    <dataValidation type="decimal" operator="greaterThanOrEqual" allowBlank="1" showInputMessage="1" showErrorMessage="1" sqref="Y401">
      <formula1>0</formula1>
    </dataValidation>
    <dataValidation type="whole" operator="greaterThanOrEqual" allowBlank="1" showInputMessage="1" showErrorMessage="1" sqref="Z401">
      <formula1>0</formula1>
    </dataValidation>
    <dataValidation type="whole" allowBlank="1" showInputMessage="1" showErrorMessage="1" sqref="AA401">
      <formula1>1</formula1>
      <formula2>5</formula2>
    </dataValidation>
    <dataValidation type="decimal" allowBlank="1" showInputMessage="1" showErrorMessage="1" sqref="AB401">
      <formula1>0</formula1>
      <formula2>1</formula2>
    </dataValidation>
    <dataValidation type="list" allowBlank="1" showInputMessage="1" showErrorMessage="1" sqref="O401">
      <formula1>liste_statuts</formula1>
    </dataValidation>
    <dataValidation type="list" allowBlank="1" showInputMessage="1" showErrorMessage="1" sqref="B402">
      <formula1>liste_programmes</formula1>
    </dataValidation>
    <dataValidation type="list" allowBlank="1" showInputMessage="1" showErrorMessage="1" sqref="D402">
      <formula1>liste_types</formula1>
    </dataValidation>
    <dataValidation type="list" allowBlank="1" showInputMessage="1" showErrorMessage="1" sqref="F402">
      <formula1>liste_categories</formula1>
    </dataValidation>
    <dataValidation type="list" allowBlank="1" showInputMessage="1" showErrorMessage="1" sqref="G402">
      <formula1>liste_responsables</formula1>
    </dataValidation>
    <dataValidation type="list" allowBlank="1" showInputMessage="1" showErrorMessage="1" sqref="H402">
      <formula1>liste_sites</formula1>
    </dataValidation>
    <dataValidation type="list" allowBlank="1" showInputMessage="1" showErrorMessage="1" sqref="I402">
      <formula1>liste_priorites</formula1>
    </dataValidation>
    <dataValidation type="date" operator="greaterThanOrEqual" allowBlank="1" showInputMessage="1" showErrorMessage="1" sqref="J402">
      <formula1>730120</formula1>
    </dataValidation>
    <dataValidation type="date" operator="greaterThanOrEqual" allowBlank="1" showInputMessage="1" showErrorMessage="1" sqref="K402">
      <formula1>730120</formula1>
    </dataValidation>
    <dataValidation type="date" operator="greaterThanOrEqual" allowBlank="1" showInputMessage="1" showErrorMessage="1" sqref="L402">
      <formula1>730120</formula1>
    </dataValidation>
    <dataValidation type="whole" allowBlank="1" showInputMessage="1" showErrorMessage="1" sqref="P402">
      <formula1>0</formula1>
      <formula2>100</formula2>
    </dataValidation>
    <dataValidation type="decimal" operator="greaterThanOrEqual" allowBlank="1" showInputMessage="1" showErrorMessage="1" sqref="Q402">
      <formula1>0</formula1>
    </dataValidation>
    <dataValidation type="decimal" operator="greaterThanOrEqual" allowBlank="1" showInputMessage="1" showErrorMessage="1" sqref="R402">
      <formula1>0</formula1>
    </dataValidation>
    <dataValidation type="whole" allowBlank="1" showInputMessage="1" showErrorMessage="1" sqref="U402">
      <formula1>1</formula1>
      <formula2>5</formula2>
    </dataValidation>
    <dataValidation type="whole" allowBlank="1" showInputMessage="1" showErrorMessage="1" sqref="V402">
      <formula1>1</formula1>
      <formula2>5</formula2>
    </dataValidation>
    <dataValidation type="whole" allowBlank="1" showInputMessage="1" showErrorMessage="1" sqref="X402">
      <formula1>1</formula1>
      <formula2>5</formula2>
    </dataValidation>
    <dataValidation type="decimal" operator="greaterThanOrEqual" allowBlank="1" showInputMessage="1" showErrorMessage="1" sqref="Y402">
      <formula1>0</formula1>
    </dataValidation>
    <dataValidation type="whole" operator="greaterThanOrEqual" allowBlank="1" showInputMessage="1" showErrorMessage="1" sqref="Z402">
      <formula1>0</formula1>
    </dataValidation>
    <dataValidation type="whole" allowBlank="1" showInputMessage="1" showErrorMessage="1" sqref="AA402">
      <formula1>1</formula1>
      <formula2>5</formula2>
    </dataValidation>
    <dataValidation type="decimal" allowBlank="1" showInputMessage="1" showErrorMessage="1" sqref="AB402">
      <formula1>0</formula1>
      <formula2>1</formula2>
    </dataValidation>
    <dataValidation type="list" allowBlank="1" showInputMessage="1" showErrorMessage="1" sqref="O402">
      <formula1>liste_statuts</formula1>
    </dataValidation>
    <dataValidation type="list" allowBlank="1" showInputMessage="1" showErrorMessage="1" sqref="B403">
      <formula1>liste_programmes</formula1>
    </dataValidation>
    <dataValidation type="list" allowBlank="1" showInputMessage="1" showErrorMessage="1" sqref="D403">
      <formula1>liste_types</formula1>
    </dataValidation>
    <dataValidation type="list" allowBlank="1" showInputMessage="1" showErrorMessage="1" sqref="F403">
      <formula1>liste_categories</formula1>
    </dataValidation>
    <dataValidation type="list" allowBlank="1" showInputMessage="1" showErrorMessage="1" sqref="G403">
      <formula1>liste_responsables</formula1>
    </dataValidation>
    <dataValidation type="list" allowBlank="1" showInputMessage="1" showErrorMessage="1" sqref="H403">
      <formula1>liste_sites</formula1>
    </dataValidation>
    <dataValidation type="list" allowBlank="1" showInputMessage="1" showErrorMessage="1" sqref="I403">
      <formula1>liste_priorites</formula1>
    </dataValidation>
    <dataValidation type="date" operator="greaterThanOrEqual" allowBlank="1" showInputMessage="1" showErrorMessage="1" sqref="J403">
      <formula1>730120</formula1>
    </dataValidation>
    <dataValidation type="date" operator="greaterThanOrEqual" allowBlank="1" showInputMessage="1" showErrorMessage="1" sqref="K403">
      <formula1>730120</formula1>
    </dataValidation>
    <dataValidation type="date" operator="greaterThanOrEqual" allowBlank="1" showInputMessage="1" showErrorMessage="1" sqref="L403">
      <formula1>730120</formula1>
    </dataValidation>
    <dataValidation type="whole" allowBlank="1" showInputMessage="1" showErrorMessage="1" sqref="P403">
      <formula1>0</formula1>
      <formula2>100</formula2>
    </dataValidation>
    <dataValidation type="decimal" operator="greaterThanOrEqual" allowBlank="1" showInputMessage="1" showErrorMessage="1" sqref="Q403">
      <formula1>0</formula1>
    </dataValidation>
    <dataValidation type="decimal" operator="greaterThanOrEqual" allowBlank="1" showInputMessage="1" showErrorMessage="1" sqref="R403">
      <formula1>0</formula1>
    </dataValidation>
    <dataValidation type="whole" allowBlank="1" showInputMessage="1" showErrorMessage="1" sqref="U403">
      <formula1>1</formula1>
      <formula2>5</formula2>
    </dataValidation>
    <dataValidation type="whole" allowBlank="1" showInputMessage="1" showErrorMessage="1" sqref="V403">
      <formula1>1</formula1>
      <formula2>5</formula2>
    </dataValidation>
    <dataValidation type="whole" allowBlank="1" showInputMessage="1" showErrorMessage="1" sqref="X403">
      <formula1>1</formula1>
      <formula2>5</formula2>
    </dataValidation>
    <dataValidation type="decimal" operator="greaterThanOrEqual" allowBlank="1" showInputMessage="1" showErrorMessage="1" sqref="Y403">
      <formula1>0</formula1>
    </dataValidation>
    <dataValidation type="whole" operator="greaterThanOrEqual" allowBlank="1" showInputMessage="1" showErrorMessage="1" sqref="Z403">
      <formula1>0</formula1>
    </dataValidation>
    <dataValidation type="whole" allowBlank="1" showInputMessage="1" showErrorMessage="1" sqref="AA403">
      <formula1>1</formula1>
      <formula2>5</formula2>
    </dataValidation>
    <dataValidation type="decimal" allowBlank="1" showInputMessage="1" showErrorMessage="1" sqref="AB403">
      <formula1>0</formula1>
      <formula2>1</formula2>
    </dataValidation>
    <dataValidation type="list" allowBlank="1" showInputMessage="1" showErrorMessage="1" sqref="O403">
      <formula1>liste_statuts</formula1>
    </dataValidation>
    <dataValidation type="list" allowBlank="1" showInputMessage="1" showErrorMessage="1" sqref="B404">
      <formula1>liste_programmes</formula1>
    </dataValidation>
    <dataValidation type="list" allowBlank="1" showInputMessage="1" showErrorMessage="1" sqref="D404">
      <formula1>liste_types</formula1>
    </dataValidation>
    <dataValidation type="list" allowBlank="1" showInputMessage="1" showErrorMessage="1" sqref="F404">
      <formula1>liste_categories</formula1>
    </dataValidation>
    <dataValidation type="list" allowBlank="1" showInputMessage="1" showErrorMessage="1" sqref="G404">
      <formula1>liste_responsables</formula1>
    </dataValidation>
    <dataValidation type="list" allowBlank="1" showInputMessage="1" showErrorMessage="1" sqref="H404">
      <formula1>liste_sites</formula1>
    </dataValidation>
    <dataValidation type="list" allowBlank="1" showInputMessage="1" showErrorMessage="1" sqref="I404">
      <formula1>liste_priorites</formula1>
    </dataValidation>
    <dataValidation type="date" operator="greaterThanOrEqual" allowBlank="1" showInputMessage="1" showErrorMessage="1" sqref="J404">
      <formula1>730120</formula1>
    </dataValidation>
    <dataValidation type="date" operator="greaterThanOrEqual" allowBlank="1" showInputMessage="1" showErrorMessage="1" sqref="K404">
      <formula1>730120</formula1>
    </dataValidation>
    <dataValidation type="date" operator="greaterThanOrEqual" allowBlank="1" showInputMessage="1" showErrorMessage="1" sqref="L404">
      <formula1>730120</formula1>
    </dataValidation>
    <dataValidation type="whole" allowBlank="1" showInputMessage="1" showErrorMessage="1" sqref="P404">
      <formula1>0</formula1>
      <formula2>100</formula2>
    </dataValidation>
    <dataValidation type="decimal" operator="greaterThanOrEqual" allowBlank="1" showInputMessage="1" showErrorMessage="1" sqref="Q404">
      <formula1>0</formula1>
    </dataValidation>
    <dataValidation type="decimal" operator="greaterThanOrEqual" allowBlank="1" showInputMessage="1" showErrorMessage="1" sqref="R404">
      <formula1>0</formula1>
    </dataValidation>
    <dataValidation type="whole" allowBlank="1" showInputMessage="1" showErrorMessage="1" sqref="U404">
      <formula1>1</formula1>
      <formula2>5</formula2>
    </dataValidation>
    <dataValidation type="whole" allowBlank="1" showInputMessage="1" showErrorMessage="1" sqref="V404">
      <formula1>1</formula1>
      <formula2>5</formula2>
    </dataValidation>
    <dataValidation type="whole" allowBlank="1" showInputMessage="1" showErrorMessage="1" sqref="X404">
      <formula1>1</formula1>
      <formula2>5</formula2>
    </dataValidation>
    <dataValidation type="decimal" operator="greaterThanOrEqual" allowBlank="1" showInputMessage="1" showErrorMessage="1" sqref="Y404">
      <formula1>0</formula1>
    </dataValidation>
    <dataValidation type="whole" operator="greaterThanOrEqual" allowBlank="1" showInputMessage="1" showErrorMessage="1" sqref="Z404">
      <formula1>0</formula1>
    </dataValidation>
    <dataValidation type="whole" allowBlank="1" showInputMessage="1" showErrorMessage="1" sqref="AA404">
      <formula1>1</formula1>
      <formula2>5</formula2>
    </dataValidation>
    <dataValidation type="decimal" allowBlank="1" showInputMessage="1" showErrorMessage="1" sqref="AB404">
      <formula1>0</formula1>
      <formula2>1</formula2>
    </dataValidation>
    <dataValidation type="list" allowBlank="1" showInputMessage="1" showErrorMessage="1" sqref="O404">
      <formula1>liste_statuts</formula1>
    </dataValidation>
    <dataValidation type="list" allowBlank="1" showInputMessage="1" showErrorMessage="1" sqref="B405">
      <formula1>liste_programmes</formula1>
    </dataValidation>
    <dataValidation type="list" allowBlank="1" showInputMessage="1" showErrorMessage="1" sqref="D405">
      <formula1>liste_types</formula1>
    </dataValidation>
    <dataValidation type="list" allowBlank="1" showInputMessage="1" showErrorMessage="1" sqref="F405">
      <formula1>liste_categories</formula1>
    </dataValidation>
    <dataValidation type="list" allowBlank="1" showInputMessage="1" showErrorMessage="1" sqref="G405">
      <formula1>liste_responsables</formula1>
    </dataValidation>
    <dataValidation type="list" allowBlank="1" showInputMessage="1" showErrorMessage="1" sqref="H405">
      <formula1>liste_sites</formula1>
    </dataValidation>
    <dataValidation type="list" allowBlank="1" showInputMessage="1" showErrorMessage="1" sqref="I405">
      <formula1>liste_priorites</formula1>
    </dataValidation>
    <dataValidation type="date" operator="greaterThanOrEqual" allowBlank="1" showInputMessage="1" showErrorMessage="1" sqref="J405">
      <formula1>730120</formula1>
    </dataValidation>
    <dataValidation type="date" operator="greaterThanOrEqual" allowBlank="1" showInputMessage="1" showErrorMessage="1" sqref="K405">
      <formula1>730120</formula1>
    </dataValidation>
    <dataValidation type="date" operator="greaterThanOrEqual" allowBlank="1" showInputMessage="1" showErrorMessage="1" sqref="L405">
      <formula1>730120</formula1>
    </dataValidation>
    <dataValidation type="whole" allowBlank="1" showInputMessage="1" showErrorMessage="1" sqref="P405">
      <formula1>0</formula1>
      <formula2>100</formula2>
    </dataValidation>
    <dataValidation type="decimal" operator="greaterThanOrEqual" allowBlank="1" showInputMessage="1" showErrorMessage="1" sqref="Q405">
      <formula1>0</formula1>
    </dataValidation>
    <dataValidation type="decimal" operator="greaterThanOrEqual" allowBlank="1" showInputMessage="1" showErrorMessage="1" sqref="R405">
      <formula1>0</formula1>
    </dataValidation>
    <dataValidation type="whole" allowBlank="1" showInputMessage="1" showErrorMessage="1" sqref="U405">
      <formula1>1</formula1>
      <formula2>5</formula2>
    </dataValidation>
    <dataValidation type="whole" allowBlank="1" showInputMessage="1" showErrorMessage="1" sqref="V405">
      <formula1>1</formula1>
      <formula2>5</formula2>
    </dataValidation>
    <dataValidation type="whole" allowBlank="1" showInputMessage="1" showErrorMessage="1" sqref="X405">
      <formula1>1</formula1>
      <formula2>5</formula2>
    </dataValidation>
    <dataValidation type="decimal" operator="greaterThanOrEqual" allowBlank="1" showInputMessage="1" showErrorMessage="1" sqref="Y405">
      <formula1>0</formula1>
    </dataValidation>
    <dataValidation type="whole" operator="greaterThanOrEqual" allowBlank="1" showInputMessage="1" showErrorMessage="1" sqref="Z405">
      <formula1>0</formula1>
    </dataValidation>
    <dataValidation type="whole" allowBlank="1" showInputMessage="1" showErrorMessage="1" sqref="AA405">
      <formula1>1</formula1>
      <formula2>5</formula2>
    </dataValidation>
    <dataValidation type="decimal" allowBlank="1" showInputMessage="1" showErrorMessage="1" sqref="AB405">
      <formula1>0</formula1>
      <formula2>1</formula2>
    </dataValidation>
    <dataValidation type="list" allowBlank="1" showInputMessage="1" showErrorMessage="1" sqref="O405">
      <formula1>liste_statuts</formula1>
    </dataValidation>
    <dataValidation type="list" allowBlank="1" showInputMessage="1" showErrorMessage="1" sqref="B406">
      <formula1>liste_programmes</formula1>
    </dataValidation>
    <dataValidation type="list" allowBlank="1" showInputMessage="1" showErrorMessage="1" sqref="D406">
      <formula1>liste_types</formula1>
    </dataValidation>
    <dataValidation type="list" allowBlank="1" showInputMessage="1" showErrorMessage="1" sqref="F406">
      <formula1>liste_categories</formula1>
    </dataValidation>
    <dataValidation type="list" allowBlank="1" showInputMessage="1" showErrorMessage="1" sqref="G406">
      <formula1>liste_responsables</formula1>
    </dataValidation>
    <dataValidation type="list" allowBlank="1" showInputMessage="1" showErrorMessage="1" sqref="H406">
      <formula1>liste_sites</formula1>
    </dataValidation>
    <dataValidation type="list" allowBlank="1" showInputMessage="1" showErrorMessage="1" sqref="I406">
      <formula1>liste_priorites</formula1>
    </dataValidation>
    <dataValidation type="date" operator="greaterThanOrEqual" allowBlank="1" showInputMessage="1" showErrorMessage="1" sqref="J406">
      <formula1>730120</formula1>
    </dataValidation>
    <dataValidation type="date" operator="greaterThanOrEqual" allowBlank="1" showInputMessage="1" showErrorMessage="1" sqref="K406">
      <formula1>730120</formula1>
    </dataValidation>
    <dataValidation type="date" operator="greaterThanOrEqual" allowBlank="1" showInputMessage="1" showErrorMessage="1" sqref="L406">
      <formula1>730120</formula1>
    </dataValidation>
    <dataValidation type="whole" allowBlank="1" showInputMessage="1" showErrorMessage="1" sqref="P406">
      <formula1>0</formula1>
      <formula2>100</formula2>
    </dataValidation>
    <dataValidation type="decimal" operator="greaterThanOrEqual" allowBlank="1" showInputMessage="1" showErrorMessage="1" sqref="Q406">
      <formula1>0</formula1>
    </dataValidation>
    <dataValidation type="decimal" operator="greaterThanOrEqual" allowBlank="1" showInputMessage="1" showErrorMessage="1" sqref="R406">
      <formula1>0</formula1>
    </dataValidation>
    <dataValidation type="whole" allowBlank="1" showInputMessage="1" showErrorMessage="1" sqref="U406">
      <formula1>1</formula1>
      <formula2>5</formula2>
    </dataValidation>
    <dataValidation type="whole" allowBlank="1" showInputMessage="1" showErrorMessage="1" sqref="V406">
      <formula1>1</formula1>
      <formula2>5</formula2>
    </dataValidation>
    <dataValidation type="whole" allowBlank="1" showInputMessage="1" showErrorMessage="1" sqref="X406">
      <formula1>1</formula1>
      <formula2>5</formula2>
    </dataValidation>
    <dataValidation type="decimal" operator="greaterThanOrEqual" allowBlank="1" showInputMessage="1" showErrorMessage="1" sqref="Y406">
      <formula1>0</formula1>
    </dataValidation>
    <dataValidation type="whole" operator="greaterThanOrEqual" allowBlank="1" showInputMessage="1" showErrorMessage="1" sqref="Z406">
      <formula1>0</formula1>
    </dataValidation>
    <dataValidation type="whole" allowBlank="1" showInputMessage="1" showErrorMessage="1" sqref="AA406">
      <formula1>1</formula1>
      <formula2>5</formula2>
    </dataValidation>
    <dataValidation type="decimal" allowBlank="1" showInputMessage="1" showErrorMessage="1" sqref="AB406">
      <formula1>0</formula1>
      <formula2>1</formula2>
    </dataValidation>
    <dataValidation type="list" allowBlank="1" showInputMessage="1" showErrorMessage="1" sqref="O406">
      <formula1>liste_statuts</formula1>
    </dataValidation>
    <dataValidation type="list" allowBlank="1" showInputMessage="1" showErrorMessage="1" sqref="B407">
      <formula1>liste_programmes</formula1>
    </dataValidation>
    <dataValidation type="list" allowBlank="1" showInputMessage="1" showErrorMessage="1" sqref="D407">
      <formula1>liste_types</formula1>
    </dataValidation>
    <dataValidation type="list" allowBlank="1" showInputMessage="1" showErrorMessage="1" sqref="F407">
      <formula1>liste_categories</formula1>
    </dataValidation>
    <dataValidation type="list" allowBlank="1" showInputMessage="1" showErrorMessage="1" sqref="G407">
      <formula1>liste_responsables</formula1>
    </dataValidation>
    <dataValidation type="list" allowBlank="1" showInputMessage="1" showErrorMessage="1" sqref="H407">
      <formula1>liste_sites</formula1>
    </dataValidation>
    <dataValidation type="list" allowBlank="1" showInputMessage="1" showErrorMessage="1" sqref="I407">
      <formula1>liste_priorites</formula1>
    </dataValidation>
    <dataValidation type="date" operator="greaterThanOrEqual" allowBlank="1" showInputMessage="1" showErrorMessage="1" sqref="J407">
      <formula1>730120</formula1>
    </dataValidation>
    <dataValidation type="date" operator="greaterThanOrEqual" allowBlank="1" showInputMessage="1" showErrorMessage="1" sqref="K407">
      <formula1>730120</formula1>
    </dataValidation>
    <dataValidation type="date" operator="greaterThanOrEqual" allowBlank="1" showInputMessage="1" showErrorMessage="1" sqref="L407">
      <formula1>730120</formula1>
    </dataValidation>
    <dataValidation type="whole" allowBlank="1" showInputMessage="1" showErrorMessage="1" sqref="P407">
      <formula1>0</formula1>
      <formula2>100</formula2>
    </dataValidation>
    <dataValidation type="decimal" operator="greaterThanOrEqual" allowBlank="1" showInputMessage="1" showErrorMessage="1" sqref="Q407">
      <formula1>0</formula1>
    </dataValidation>
    <dataValidation type="decimal" operator="greaterThanOrEqual" allowBlank="1" showInputMessage="1" showErrorMessage="1" sqref="R407">
      <formula1>0</formula1>
    </dataValidation>
    <dataValidation type="whole" allowBlank="1" showInputMessage="1" showErrorMessage="1" sqref="U407">
      <formula1>1</formula1>
      <formula2>5</formula2>
    </dataValidation>
    <dataValidation type="whole" allowBlank="1" showInputMessage="1" showErrorMessage="1" sqref="V407">
      <formula1>1</formula1>
      <formula2>5</formula2>
    </dataValidation>
    <dataValidation type="whole" allowBlank="1" showInputMessage="1" showErrorMessage="1" sqref="X407">
      <formula1>1</formula1>
      <formula2>5</formula2>
    </dataValidation>
    <dataValidation type="decimal" operator="greaterThanOrEqual" allowBlank="1" showInputMessage="1" showErrorMessage="1" sqref="Y407">
      <formula1>0</formula1>
    </dataValidation>
    <dataValidation type="whole" operator="greaterThanOrEqual" allowBlank="1" showInputMessage="1" showErrorMessage="1" sqref="Z407">
      <formula1>0</formula1>
    </dataValidation>
    <dataValidation type="whole" allowBlank="1" showInputMessage="1" showErrorMessage="1" sqref="AA407">
      <formula1>1</formula1>
      <formula2>5</formula2>
    </dataValidation>
    <dataValidation type="decimal" allowBlank="1" showInputMessage="1" showErrorMessage="1" sqref="AB407">
      <formula1>0</formula1>
      <formula2>1</formula2>
    </dataValidation>
    <dataValidation type="list" allowBlank="1" showInputMessage="1" showErrorMessage="1" sqref="O407">
      <formula1>liste_statuts</formula1>
    </dataValidation>
    <dataValidation type="list" allowBlank="1" showInputMessage="1" showErrorMessage="1" sqref="B408">
      <formula1>liste_programmes</formula1>
    </dataValidation>
    <dataValidation type="list" allowBlank="1" showInputMessage="1" showErrorMessage="1" sqref="D408">
      <formula1>liste_types</formula1>
    </dataValidation>
    <dataValidation type="list" allowBlank="1" showInputMessage="1" showErrorMessage="1" sqref="F408">
      <formula1>liste_categories</formula1>
    </dataValidation>
    <dataValidation type="list" allowBlank="1" showInputMessage="1" showErrorMessage="1" sqref="G408">
      <formula1>liste_responsables</formula1>
    </dataValidation>
    <dataValidation type="list" allowBlank="1" showInputMessage="1" showErrorMessage="1" sqref="H408">
      <formula1>liste_sites</formula1>
    </dataValidation>
    <dataValidation type="list" allowBlank="1" showInputMessage="1" showErrorMessage="1" sqref="I408">
      <formula1>liste_priorites</formula1>
    </dataValidation>
    <dataValidation type="date" operator="greaterThanOrEqual" allowBlank="1" showInputMessage="1" showErrorMessage="1" sqref="J408">
      <formula1>730120</formula1>
    </dataValidation>
    <dataValidation type="date" operator="greaterThanOrEqual" allowBlank="1" showInputMessage="1" showErrorMessage="1" sqref="K408">
      <formula1>730120</formula1>
    </dataValidation>
    <dataValidation type="date" operator="greaterThanOrEqual" allowBlank="1" showInputMessage="1" showErrorMessage="1" sqref="L408">
      <formula1>730120</formula1>
    </dataValidation>
    <dataValidation type="whole" allowBlank="1" showInputMessage="1" showErrorMessage="1" sqref="P408">
      <formula1>0</formula1>
      <formula2>100</formula2>
    </dataValidation>
    <dataValidation type="decimal" operator="greaterThanOrEqual" allowBlank="1" showInputMessage="1" showErrorMessage="1" sqref="Q408">
      <formula1>0</formula1>
    </dataValidation>
    <dataValidation type="decimal" operator="greaterThanOrEqual" allowBlank="1" showInputMessage="1" showErrorMessage="1" sqref="R408">
      <formula1>0</formula1>
    </dataValidation>
    <dataValidation type="whole" allowBlank="1" showInputMessage="1" showErrorMessage="1" sqref="U408">
      <formula1>1</formula1>
      <formula2>5</formula2>
    </dataValidation>
    <dataValidation type="whole" allowBlank="1" showInputMessage="1" showErrorMessage="1" sqref="V408">
      <formula1>1</formula1>
      <formula2>5</formula2>
    </dataValidation>
    <dataValidation type="whole" allowBlank="1" showInputMessage="1" showErrorMessage="1" sqref="X408">
      <formula1>1</formula1>
      <formula2>5</formula2>
    </dataValidation>
    <dataValidation type="decimal" operator="greaterThanOrEqual" allowBlank="1" showInputMessage="1" showErrorMessage="1" sqref="Y408">
      <formula1>0</formula1>
    </dataValidation>
    <dataValidation type="whole" operator="greaterThanOrEqual" allowBlank="1" showInputMessage="1" showErrorMessage="1" sqref="Z408">
      <formula1>0</formula1>
    </dataValidation>
    <dataValidation type="whole" allowBlank="1" showInputMessage="1" showErrorMessage="1" sqref="AA408">
      <formula1>1</formula1>
      <formula2>5</formula2>
    </dataValidation>
    <dataValidation type="decimal" allowBlank="1" showInputMessage="1" showErrorMessage="1" sqref="AB408">
      <formula1>0</formula1>
      <formula2>1</formula2>
    </dataValidation>
    <dataValidation type="list" allowBlank="1" showInputMessage="1" showErrorMessage="1" sqref="O408">
      <formula1>liste_statuts</formula1>
    </dataValidation>
    <dataValidation type="list" allowBlank="1" showInputMessage="1" showErrorMessage="1" sqref="B409">
      <formula1>liste_programmes</formula1>
    </dataValidation>
    <dataValidation type="list" allowBlank="1" showInputMessage="1" showErrorMessage="1" sqref="D409">
      <formula1>liste_types</formula1>
    </dataValidation>
    <dataValidation type="list" allowBlank="1" showInputMessage="1" showErrorMessage="1" sqref="F409">
      <formula1>liste_categories</formula1>
    </dataValidation>
    <dataValidation type="list" allowBlank="1" showInputMessage="1" showErrorMessage="1" sqref="G409">
      <formula1>liste_responsables</formula1>
    </dataValidation>
    <dataValidation type="list" allowBlank="1" showInputMessage="1" showErrorMessage="1" sqref="H409">
      <formula1>liste_sites</formula1>
    </dataValidation>
    <dataValidation type="list" allowBlank="1" showInputMessage="1" showErrorMessage="1" sqref="I409">
      <formula1>liste_priorites</formula1>
    </dataValidation>
    <dataValidation type="date" operator="greaterThanOrEqual" allowBlank="1" showInputMessage="1" showErrorMessage="1" sqref="J409">
      <formula1>730120</formula1>
    </dataValidation>
    <dataValidation type="date" operator="greaterThanOrEqual" allowBlank="1" showInputMessage="1" showErrorMessage="1" sqref="K409">
      <formula1>730120</formula1>
    </dataValidation>
    <dataValidation type="date" operator="greaterThanOrEqual" allowBlank="1" showInputMessage="1" showErrorMessage="1" sqref="L409">
      <formula1>730120</formula1>
    </dataValidation>
    <dataValidation type="whole" allowBlank="1" showInputMessage="1" showErrorMessage="1" sqref="P409">
      <formula1>0</formula1>
      <formula2>100</formula2>
    </dataValidation>
    <dataValidation type="decimal" operator="greaterThanOrEqual" allowBlank="1" showInputMessage="1" showErrorMessage="1" sqref="Q409">
      <formula1>0</formula1>
    </dataValidation>
    <dataValidation type="decimal" operator="greaterThanOrEqual" allowBlank="1" showInputMessage="1" showErrorMessage="1" sqref="R409">
      <formula1>0</formula1>
    </dataValidation>
    <dataValidation type="whole" allowBlank="1" showInputMessage="1" showErrorMessage="1" sqref="U409">
      <formula1>1</formula1>
      <formula2>5</formula2>
    </dataValidation>
    <dataValidation type="whole" allowBlank="1" showInputMessage="1" showErrorMessage="1" sqref="V409">
      <formula1>1</formula1>
      <formula2>5</formula2>
    </dataValidation>
    <dataValidation type="whole" allowBlank="1" showInputMessage="1" showErrorMessage="1" sqref="X409">
      <formula1>1</formula1>
      <formula2>5</formula2>
    </dataValidation>
    <dataValidation type="decimal" operator="greaterThanOrEqual" allowBlank="1" showInputMessage="1" showErrorMessage="1" sqref="Y409">
      <formula1>0</formula1>
    </dataValidation>
    <dataValidation type="whole" operator="greaterThanOrEqual" allowBlank="1" showInputMessage="1" showErrorMessage="1" sqref="Z409">
      <formula1>0</formula1>
    </dataValidation>
    <dataValidation type="whole" allowBlank="1" showInputMessage="1" showErrorMessage="1" sqref="AA409">
      <formula1>1</formula1>
      <formula2>5</formula2>
    </dataValidation>
    <dataValidation type="decimal" allowBlank="1" showInputMessage="1" showErrorMessage="1" sqref="AB409">
      <formula1>0</formula1>
      <formula2>1</formula2>
    </dataValidation>
    <dataValidation type="list" allowBlank="1" showInputMessage="1" showErrorMessage="1" sqref="O409">
      <formula1>liste_statuts</formula1>
    </dataValidation>
    <dataValidation type="list" allowBlank="1" showInputMessage="1" showErrorMessage="1" sqref="B410">
      <formula1>liste_programmes</formula1>
    </dataValidation>
    <dataValidation type="list" allowBlank="1" showInputMessage="1" showErrorMessage="1" sqref="D410">
      <formula1>liste_types</formula1>
    </dataValidation>
    <dataValidation type="list" allowBlank="1" showInputMessage="1" showErrorMessage="1" sqref="F410">
      <formula1>liste_categories</formula1>
    </dataValidation>
    <dataValidation type="list" allowBlank="1" showInputMessage="1" showErrorMessage="1" sqref="G410">
      <formula1>liste_responsables</formula1>
    </dataValidation>
    <dataValidation type="list" allowBlank="1" showInputMessage="1" showErrorMessage="1" sqref="H410">
      <formula1>liste_sites</formula1>
    </dataValidation>
    <dataValidation type="list" allowBlank="1" showInputMessage="1" showErrorMessage="1" sqref="I410">
      <formula1>liste_priorites</formula1>
    </dataValidation>
    <dataValidation type="date" operator="greaterThanOrEqual" allowBlank="1" showInputMessage="1" showErrorMessage="1" sqref="J410">
      <formula1>730120</formula1>
    </dataValidation>
    <dataValidation type="date" operator="greaterThanOrEqual" allowBlank="1" showInputMessage="1" showErrorMessage="1" sqref="K410">
      <formula1>730120</formula1>
    </dataValidation>
    <dataValidation type="date" operator="greaterThanOrEqual" allowBlank="1" showInputMessage="1" showErrorMessage="1" sqref="L410">
      <formula1>730120</formula1>
    </dataValidation>
    <dataValidation type="whole" allowBlank="1" showInputMessage="1" showErrorMessage="1" sqref="P410">
      <formula1>0</formula1>
      <formula2>100</formula2>
    </dataValidation>
    <dataValidation type="decimal" operator="greaterThanOrEqual" allowBlank="1" showInputMessage="1" showErrorMessage="1" sqref="Q410">
      <formula1>0</formula1>
    </dataValidation>
    <dataValidation type="decimal" operator="greaterThanOrEqual" allowBlank="1" showInputMessage="1" showErrorMessage="1" sqref="R410">
      <formula1>0</formula1>
    </dataValidation>
    <dataValidation type="whole" allowBlank="1" showInputMessage="1" showErrorMessage="1" sqref="U410">
      <formula1>1</formula1>
      <formula2>5</formula2>
    </dataValidation>
    <dataValidation type="whole" allowBlank="1" showInputMessage="1" showErrorMessage="1" sqref="V410">
      <formula1>1</formula1>
      <formula2>5</formula2>
    </dataValidation>
    <dataValidation type="whole" allowBlank="1" showInputMessage="1" showErrorMessage="1" sqref="X410">
      <formula1>1</formula1>
      <formula2>5</formula2>
    </dataValidation>
    <dataValidation type="decimal" operator="greaterThanOrEqual" allowBlank="1" showInputMessage="1" showErrorMessage="1" sqref="Y410">
      <formula1>0</formula1>
    </dataValidation>
    <dataValidation type="whole" operator="greaterThanOrEqual" allowBlank="1" showInputMessage="1" showErrorMessage="1" sqref="Z410">
      <formula1>0</formula1>
    </dataValidation>
    <dataValidation type="whole" allowBlank="1" showInputMessage="1" showErrorMessage="1" sqref="AA410">
      <formula1>1</formula1>
      <formula2>5</formula2>
    </dataValidation>
    <dataValidation type="decimal" allowBlank="1" showInputMessage="1" showErrorMessage="1" sqref="AB410">
      <formula1>0</formula1>
      <formula2>1</formula2>
    </dataValidation>
    <dataValidation type="list" allowBlank="1" showInputMessage="1" showErrorMessage="1" sqref="O410">
      <formula1>liste_statuts</formula1>
    </dataValidation>
    <dataValidation type="list" allowBlank="1" showInputMessage="1" showErrorMessage="1" sqref="B411">
      <formula1>liste_programmes</formula1>
    </dataValidation>
    <dataValidation type="list" allowBlank="1" showInputMessage="1" showErrorMessage="1" sqref="D411">
      <formula1>liste_types</formula1>
    </dataValidation>
    <dataValidation type="list" allowBlank="1" showInputMessage="1" showErrorMessage="1" sqref="F411">
      <formula1>liste_categories</formula1>
    </dataValidation>
    <dataValidation type="list" allowBlank="1" showInputMessage="1" showErrorMessage="1" sqref="G411">
      <formula1>liste_responsables</formula1>
    </dataValidation>
    <dataValidation type="list" allowBlank="1" showInputMessage="1" showErrorMessage="1" sqref="H411">
      <formula1>liste_sites</formula1>
    </dataValidation>
    <dataValidation type="list" allowBlank="1" showInputMessage="1" showErrorMessage="1" sqref="I411">
      <formula1>liste_priorites</formula1>
    </dataValidation>
    <dataValidation type="date" operator="greaterThanOrEqual" allowBlank="1" showInputMessage="1" showErrorMessage="1" sqref="J411">
      <formula1>730120</formula1>
    </dataValidation>
    <dataValidation type="date" operator="greaterThanOrEqual" allowBlank="1" showInputMessage="1" showErrorMessage="1" sqref="K411">
      <formula1>730120</formula1>
    </dataValidation>
    <dataValidation type="date" operator="greaterThanOrEqual" allowBlank="1" showInputMessage="1" showErrorMessage="1" sqref="L411">
      <formula1>730120</formula1>
    </dataValidation>
    <dataValidation type="whole" allowBlank="1" showInputMessage="1" showErrorMessage="1" sqref="P411">
      <formula1>0</formula1>
      <formula2>100</formula2>
    </dataValidation>
    <dataValidation type="decimal" operator="greaterThanOrEqual" allowBlank="1" showInputMessage="1" showErrorMessage="1" sqref="Q411">
      <formula1>0</formula1>
    </dataValidation>
    <dataValidation type="decimal" operator="greaterThanOrEqual" allowBlank="1" showInputMessage="1" showErrorMessage="1" sqref="R411">
      <formula1>0</formula1>
    </dataValidation>
    <dataValidation type="whole" allowBlank="1" showInputMessage="1" showErrorMessage="1" sqref="U411">
      <formula1>1</formula1>
      <formula2>5</formula2>
    </dataValidation>
    <dataValidation type="whole" allowBlank="1" showInputMessage="1" showErrorMessage="1" sqref="V411">
      <formula1>1</formula1>
      <formula2>5</formula2>
    </dataValidation>
    <dataValidation type="whole" allowBlank="1" showInputMessage="1" showErrorMessage="1" sqref="X411">
      <formula1>1</formula1>
      <formula2>5</formula2>
    </dataValidation>
    <dataValidation type="decimal" operator="greaterThanOrEqual" allowBlank="1" showInputMessage="1" showErrorMessage="1" sqref="Y411">
      <formula1>0</formula1>
    </dataValidation>
    <dataValidation type="whole" operator="greaterThanOrEqual" allowBlank="1" showInputMessage="1" showErrorMessage="1" sqref="Z411">
      <formula1>0</formula1>
    </dataValidation>
    <dataValidation type="whole" allowBlank="1" showInputMessage="1" showErrorMessage="1" sqref="AA411">
      <formula1>1</formula1>
      <formula2>5</formula2>
    </dataValidation>
    <dataValidation type="decimal" allowBlank="1" showInputMessage="1" showErrorMessage="1" sqref="AB411">
      <formula1>0</formula1>
      <formula2>1</formula2>
    </dataValidation>
    <dataValidation type="list" allowBlank="1" showInputMessage="1" showErrorMessage="1" sqref="O411">
      <formula1>liste_statuts</formula1>
    </dataValidation>
    <dataValidation type="list" allowBlank="1" showInputMessage="1" showErrorMessage="1" sqref="B412">
      <formula1>liste_programmes</formula1>
    </dataValidation>
    <dataValidation type="list" allowBlank="1" showInputMessage="1" showErrorMessage="1" sqref="D412">
      <formula1>liste_types</formula1>
    </dataValidation>
    <dataValidation type="list" allowBlank="1" showInputMessage="1" showErrorMessage="1" sqref="F412">
      <formula1>liste_categories</formula1>
    </dataValidation>
    <dataValidation type="list" allowBlank="1" showInputMessage="1" showErrorMessage="1" sqref="G412">
      <formula1>liste_responsables</formula1>
    </dataValidation>
    <dataValidation type="list" allowBlank="1" showInputMessage="1" showErrorMessage="1" sqref="H412">
      <formula1>liste_sites</formula1>
    </dataValidation>
    <dataValidation type="list" allowBlank="1" showInputMessage="1" showErrorMessage="1" sqref="I412">
      <formula1>liste_priorites</formula1>
    </dataValidation>
    <dataValidation type="date" operator="greaterThanOrEqual" allowBlank="1" showInputMessage="1" showErrorMessage="1" sqref="J412">
      <formula1>730120</formula1>
    </dataValidation>
    <dataValidation type="date" operator="greaterThanOrEqual" allowBlank="1" showInputMessage="1" showErrorMessage="1" sqref="K412">
      <formula1>730120</formula1>
    </dataValidation>
    <dataValidation type="date" operator="greaterThanOrEqual" allowBlank="1" showInputMessage="1" showErrorMessage="1" sqref="L412">
      <formula1>730120</formula1>
    </dataValidation>
    <dataValidation type="whole" allowBlank="1" showInputMessage="1" showErrorMessage="1" sqref="P412">
      <formula1>0</formula1>
      <formula2>100</formula2>
    </dataValidation>
    <dataValidation type="decimal" operator="greaterThanOrEqual" allowBlank="1" showInputMessage="1" showErrorMessage="1" sqref="Q412">
      <formula1>0</formula1>
    </dataValidation>
    <dataValidation type="decimal" operator="greaterThanOrEqual" allowBlank="1" showInputMessage="1" showErrorMessage="1" sqref="R412">
      <formula1>0</formula1>
    </dataValidation>
    <dataValidation type="whole" allowBlank="1" showInputMessage="1" showErrorMessage="1" sqref="U412">
      <formula1>1</formula1>
      <formula2>5</formula2>
    </dataValidation>
    <dataValidation type="whole" allowBlank="1" showInputMessage="1" showErrorMessage="1" sqref="V412">
      <formula1>1</formula1>
      <formula2>5</formula2>
    </dataValidation>
    <dataValidation type="whole" allowBlank="1" showInputMessage="1" showErrorMessage="1" sqref="X412">
      <formula1>1</formula1>
      <formula2>5</formula2>
    </dataValidation>
    <dataValidation type="decimal" operator="greaterThanOrEqual" allowBlank="1" showInputMessage="1" showErrorMessage="1" sqref="Y412">
      <formula1>0</formula1>
    </dataValidation>
    <dataValidation type="whole" operator="greaterThanOrEqual" allowBlank="1" showInputMessage="1" showErrorMessage="1" sqref="Z412">
      <formula1>0</formula1>
    </dataValidation>
    <dataValidation type="whole" allowBlank="1" showInputMessage="1" showErrorMessage="1" sqref="AA412">
      <formula1>1</formula1>
      <formula2>5</formula2>
    </dataValidation>
    <dataValidation type="decimal" allowBlank="1" showInputMessage="1" showErrorMessage="1" sqref="AB412">
      <formula1>0</formula1>
      <formula2>1</formula2>
    </dataValidation>
    <dataValidation type="list" allowBlank="1" showInputMessage="1" showErrorMessage="1" sqref="O412">
      <formula1>liste_statuts</formula1>
    </dataValidation>
    <dataValidation type="list" allowBlank="1" showInputMessage="1" showErrorMessage="1" sqref="B413">
      <formula1>liste_programmes</formula1>
    </dataValidation>
    <dataValidation type="list" allowBlank="1" showInputMessage="1" showErrorMessage="1" sqref="D413">
      <formula1>liste_types</formula1>
    </dataValidation>
    <dataValidation type="list" allowBlank="1" showInputMessage="1" showErrorMessage="1" sqref="F413">
      <formula1>liste_categories</formula1>
    </dataValidation>
    <dataValidation type="list" allowBlank="1" showInputMessage="1" showErrorMessage="1" sqref="G413">
      <formula1>liste_responsables</formula1>
    </dataValidation>
    <dataValidation type="list" allowBlank="1" showInputMessage="1" showErrorMessage="1" sqref="H413">
      <formula1>liste_sites</formula1>
    </dataValidation>
    <dataValidation type="list" allowBlank="1" showInputMessage="1" showErrorMessage="1" sqref="I413">
      <formula1>liste_priorites</formula1>
    </dataValidation>
    <dataValidation type="date" operator="greaterThanOrEqual" allowBlank="1" showInputMessage="1" showErrorMessage="1" sqref="J413">
      <formula1>730120</formula1>
    </dataValidation>
    <dataValidation type="date" operator="greaterThanOrEqual" allowBlank="1" showInputMessage="1" showErrorMessage="1" sqref="K413">
      <formula1>730120</formula1>
    </dataValidation>
    <dataValidation type="date" operator="greaterThanOrEqual" allowBlank="1" showInputMessage="1" showErrorMessage="1" sqref="L413">
      <formula1>730120</formula1>
    </dataValidation>
    <dataValidation type="whole" allowBlank="1" showInputMessage="1" showErrorMessage="1" sqref="P413">
      <formula1>0</formula1>
      <formula2>100</formula2>
    </dataValidation>
    <dataValidation type="decimal" operator="greaterThanOrEqual" allowBlank="1" showInputMessage="1" showErrorMessage="1" sqref="Q413">
      <formula1>0</formula1>
    </dataValidation>
    <dataValidation type="decimal" operator="greaterThanOrEqual" allowBlank="1" showInputMessage="1" showErrorMessage="1" sqref="R413">
      <formula1>0</formula1>
    </dataValidation>
    <dataValidation type="whole" allowBlank="1" showInputMessage="1" showErrorMessage="1" sqref="U413">
      <formula1>1</formula1>
      <formula2>5</formula2>
    </dataValidation>
    <dataValidation type="whole" allowBlank="1" showInputMessage="1" showErrorMessage="1" sqref="V413">
      <formula1>1</formula1>
      <formula2>5</formula2>
    </dataValidation>
    <dataValidation type="whole" allowBlank="1" showInputMessage="1" showErrorMessage="1" sqref="X413">
      <formula1>1</formula1>
      <formula2>5</formula2>
    </dataValidation>
    <dataValidation type="decimal" operator="greaterThanOrEqual" allowBlank="1" showInputMessage="1" showErrorMessage="1" sqref="Y413">
      <formula1>0</formula1>
    </dataValidation>
    <dataValidation type="whole" operator="greaterThanOrEqual" allowBlank="1" showInputMessage="1" showErrorMessage="1" sqref="Z413">
      <formula1>0</formula1>
    </dataValidation>
    <dataValidation type="whole" allowBlank="1" showInputMessage="1" showErrorMessage="1" sqref="AA413">
      <formula1>1</formula1>
      <formula2>5</formula2>
    </dataValidation>
    <dataValidation type="decimal" allowBlank="1" showInputMessage="1" showErrorMessage="1" sqref="AB413">
      <formula1>0</formula1>
      <formula2>1</formula2>
    </dataValidation>
    <dataValidation type="list" allowBlank="1" showInputMessage="1" showErrorMessage="1" sqref="O413">
      <formula1>liste_statuts</formula1>
    </dataValidation>
    <dataValidation type="list" allowBlank="1" showInputMessage="1" showErrorMessage="1" sqref="B414">
      <formula1>liste_programmes</formula1>
    </dataValidation>
    <dataValidation type="list" allowBlank="1" showInputMessage="1" showErrorMessage="1" sqref="D414">
      <formula1>liste_types</formula1>
    </dataValidation>
    <dataValidation type="list" allowBlank="1" showInputMessage="1" showErrorMessage="1" sqref="F414">
      <formula1>liste_categories</formula1>
    </dataValidation>
    <dataValidation type="list" allowBlank="1" showInputMessage="1" showErrorMessage="1" sqref="G414">
      <formula1>liste_responsables</formula1>
    </dataValidation>
    <dataValidation type="list" allowBlank="1" showInputMessage="1" showErrorMessage="1" sqref="H414">
      <formula1>liste_sites</formula1>
    </dataValidation>
    <dataValidation type="list" allowBlank="1" showInputMessage="1" showErrorMessage="1" sqref="I414">
      <formula1>liste_priorites</formula1>
    </dataValidation>
    <dataValidation type="date" operator="greaterThanOrEqual" allowBlank="1" showInputMessage="1" showErrorMessage="1" sqref="J414">
      <formula1>730120</formula1>
    </dataValidation>
    <dataValidation type="date" operator="greaterThanOrEqual" allowBlank="1" showInputMessage="1" showErrorMessage="1" sqref="K414">
      <formula1>730120</formula1>
    </dataValidation>
    <dataValidation type="date" operator="greaterThanOrEqual" allowBlank="1" showInputMessage="1" showErrorMessage="1" sqref="L414">
      <formula1>730120</formula1>
    </dataValidation>
    <dataValidation type="whole" allowBlank="1" showInputMessage="1" showErrorMessage="1" sqref="P414">
      <formula1>0</formula1>
      <formula2>100</formula2>
    </dataValidation>
    <dataValidation type="decimal" operator="greaterThanOrEqual" allowBlank="1" showInputMessage="1" showErrorMessage="1" sqref="Q414">
      <formula1>0</formula1>
    </dataValidation>
    <dataValidation type="decimal" operator="greaterThanOrEqual" allowBlank="1" showInputMessage="1" showErrorMessage="1" sqref="R414">
      <formula1>0</formula1>
    </dataValidation>
    <dataValidation type="whole" allowBlank="1" showInputMessage="1" showErrorMessage="1" sqref="U414">
      <formula1>1</formula1>
      <formula2>5</formula2>
    </dataValidation>
    <dataValidation type="whole" allowBlank="1" showInputMessage="1" showErrorMessage="1" sqref="V414">
      <formula1>1</formula1>
      <formula2>5</formula2>
    </dataValidation>
    <dataValidation type="whole" allowBlank="1" showInputMessage="1" showErrorMessage="1" sqref="X414">
      <formula1>1</formula1>
      <formula2>5</formula2>
    </dataValidation>
    <dataValidation type="decimal" operator="greaterThanOrEqual" allowBlank="1" showInputMessage="1" showErrorMessage="1" sqref="Y414">
      <formula1>0</formula1>
    </dataValidation>
    <dataValidation type="whole" operator="greaterThanOrEqual" allowBlank="1" showInputMessage="1" showErrorMessage="1" sqref="Z414">
      <formula1>0</formula1>
    </dataValidation>
    <dataValidation type="whole" allowBlank="1" showInputMessage="1" showErrorMessage="1" sqref="AA414">
      <formula1>1</formula1>
      <formula2>5</formula2>
    </dataValidation>
    <dataValidation type="decimal" allowBlank="1" showInputMessage="1" showErrorMessage="1" sqref="AB414">
      <formula1>0</formula1>
      <formula2>1</formula2>
    </dataValidation>
    <dataValidation type="list" allowBlank="1" showInputMessage="1" showErrorMessage="1" sqref="O414">
      <formula1>liste_statuts</formula1>
    </dataValidation>
    <dataValidation type="list" allowBlank="1" showInputMessage="1" showErrorMessage="1" sqref="B415">
      <formula1>liste_programmes</formula1>
    </dataValidation>
    <dataValidation type="list" allowBlank="1" showInputMessage="1" showErrorMessage="1" sqref="D415">
      <formula1>liste_types</formula1>
    </dataValidation>
    <dataValidation type="list" allowBlank="1" showInputMessage="1" showErrorMessage="1" sqref="F415">
      <formula1>liste_categories</formula1>
    </dataValidation>
    <dataValidation type="list" allowBlank="1" showInputMessage="1" showErrorMessage="1" sqref="G415">
      <formula1>liste_responsables</formula1>
    </dataValidation>
    <dataValidation type="list" allowBlank="1" showInputMessage="1" showErrorMessage="1" sqref="H415">
      <formula1>liste_sites</formula1>
    </dataValidation>
    <dataValidation type="list" allowBlank="1" showInputMessage="1" showErrorMessage="1" sqref="I415">
      <formula1>liste_priorites</formula1>
    </dataValidation>
    <dataValidation type="date" operator="greaterThanOrEqual" allowBlank="1" showInputMessage="1" showErrorMessage="1" sqref="J415">
      <formula1>730120</formula1>
    </dataValidation>
    <dataValidation type="date" operator="greaterThanOrEqual" allowBlank="1" showInputMessage="1" showErrorMessage="1" sqref="K415">
      <formula1>730120</formula1>
    </dataValidation>
    <dataValidation type="date" operator="greaterThanOrEqual" allowBlank="1" showInputMessage="1" showErrorMessage="1" sqref="L415">
      <formula1>730120</formula1>
    </dataValidation>
    <dataValidation type="whole" allowBlank="1" showInputMessage="1" showErrorMessage="1" sqref="P415">
      <formula1>0</formula1>
      <formula2>100</formula2>
    </dataValidation>
    <dataValidation type="decimal" operator="greaterThanOrEqual" allowBlank="1" showInputMessage="1" showErrorMessage="1" sqref="Q415">
      <formula1>0</formula1>
    </dataValidation>
    <dataValidation type="decimal" operator="greaterThanOrEqual" allowBlank="1" showInputMessage="1" showErrorMessage="1" sqref="R415">
      <formula1>0</formula1>
    </dataValidation>
    <dataValidation type="whole" allowBlank="1" showInputMessage="1" showErrorMessage="1" sqref="U415">
      <formula1>1</formula1>
      <formula2>5</formula2>
    </dataValidation>
    <dataValidation type="whole" allowBlank="1" showInputMessage="1" showErrorMessage="1" sqref="V415">
      <formula1>1</formula1>
      <formula2>5</formula2>
    </dataValidation>
    <dataValidation type="whole" allowBlank="1" showInputMessage="1" showErrorMessage="1" sqref="X415">
      <formula1>1</formula1>
      <formula2>5</formula2>
    </dataValidation>
    <dataValidation type="decimal" operator="greaterThanOrEqual" allowBlank="1" showInputMessage="1" showErrorMessage="1" sqref="Y415">
      <formula1>0</formula1>
    </dataValidation>
    <dataValidation type="whole" operator="greaterThanOrEqual" allowBlank="1" showInputMessage="1" showErrorMessage="1" sqref="Z415">
      <formula1>0</formula1>
    </dataValidation>
    <dataValidation type="whole" allowBlank="1" showInputMessage="1" showErrorMessage="1" sqref="AA415">
      <formula1>1</formula1>
      <formula2>5</formula2>
    </dataValidation>
    <dataValidation type="decimal" allowBlank="1" showInputMessage="1" showErrorMessage="1" sqref="AB415">
      <formula1>0</formula1>
      <formula2>1</formula2>
    </dataValidation>
    <dataValidation type="list" allowBlank="1" showInputMessage="1" showErrorMessage="1" sqref="O415">
      <formula1>liste_statuts</formula1>
    </dataValidation>
    <dataValidation type="list" allowBlank="1" showInputMessage="1" showErrorMessage="1" sqref="B416">
      <formula1>liste_programmes</formula1>
    </dataValidation>
    <dataValidation type="list" allowBlank="1" showInputMessage="1" showErrorMessage="1" sqref="D416">
      <formula1>liste_types</formula1>
    </dataValidation>
    <dataValidation type="list" allowBlank="1" showInputMessage="1" showErrorMessage="1" sqref="F416">
      <formula1>liste_categories</formula1>
    </dataValidation>
    <dataValidation type="list" allowBlank="1" showInputMessage="1" showErrorMessage="1" sqref="G416">
      <formula1>liste_responsables</formula1>
    </dataValidation>
    <dataValidation type="list" allowBlank="1" showInputMessage="1" showErrorMessage="1" sqref="H416">
      <formula1>liste_sites</formula1>
    </dataValidation>
    <dataValidation type="list" allowBlank="1" showInputMessage="1" showErrorMessage="1" sqref="I416">
      <formula1>liste_priorites</formula1>
    </dataValidation>
    <dataValidation type="date" operator="greaterThanOrEqual" allowBlank="1" showInputMessage="1" showErrorMessage="1" sqref="J416">
      <formula1>730120</formula1>
    </dataValidation>
    <dataValidation type="date" operator="greaterThanOrEqual" allowBlank="1" showInputMessage="1" showErrorMessage="1" sqref="K416">
      <formula1>730120</formula1>
    </dataValidation>
    <dataValidation type="date" operator="greaterThanOrEqual" allowBlank="1" showInputMessage="1" showErrorMessage="1" sqref="L416">
      <formula1>730120</formula1>
    </dataValidation>
    <dataValidation type="whole" allowBlank="1" showInputMessage="1" showErrorMessage="1" sqref="P416">
      <formula1>0</formula1>
      <formula2>100</formula2>
    </dataValidation>
    <dataValidation type="decimal" operator="greaterThanOrEqual" allowBlank="1" showInputMessage="1" showErrorMessage="1" sqref="Q416">
      <formula1>0</formula1>
    </dataValidation>
    <dataValidation type="decimal" operator="greaterThanOrEqual" allowBlank="1" showInputMessage="1" showErrorMessage="1" sqref="R416">
      <formula1>0</formula1>
    </dataValidation>
    <dataValidation type="whole" allowBlank="1" showInputMessage="1" showErrorMessage="1" sqref="U416">
      <formula1>1</formula1>
      <formula2>5</formula2>
    </dataValidation>
    <dataValidation type="whole" allowBlank="1" showInputMessage="1" showErrorMessage="1" sqref="V416">
      <formula1>1</formula1>
      <formula2>5</formula2>
    </dataValidation>
    <dataValidation type="whole" allowBlank="1" showInputMessage="1" showErrorMessage="1" sqref="X416">
      <formula1>1</formula1>
      <formula2>5</formula2>
    </dataValidation>
    <dataValidation type="decimal" operator="greaterThanOrEqual" allowBlank="1" showInputMessage="1" showErrorMessage="1" sqref="Y416">
      <formula1>0</formula1>
    </dataValidation>
    <dataValidation type="whole" operator="greaterThanOrEqual" allowBlank="1" showInputMessage="1" showErrorMessage="1" sqref="Z416">
      <formula1>0</formula1>
    </dataValidation>
    <dataValidation type="whole" allowBlank="1" showInputMessage="1" showErrorMessage="1" sqref="AA416">
      <formula1>1</formula1>
      <formula2>5</formula2>
    </dataValidation>
    <dataValidation type="decimal" allowBlank="1" showInputMessage="1" showErrorMessage="1" sqref="AB416">
      <formula1>0</formula1>
      <formula2>1</formula2>
    </dataValidation>
    <dataValidation type="list" allowBlank="1" showInputMessage="1" showErrorMessage="1" sqref="O416">
      <formula1>liste_statuts</formula1>
    </dataValidation>
    <dataValidation type="list" allowBlank="1" showInputMessage="1" showErrorMessage="1" sqref="B417">
      <formula1>liste_programmes</formula1>
    </dataValidation>
    <dataValidation type="list" allowBlank="1" showInputMessage="1" showErrorMessage="1" sqref="D417">
      <formula1>liste_types</formula1>
    </dataValidation>
    <dataValidation type="list" allowBlank="1" showInputMessage="1" showErrorMessage="1" sqref="F417">
      <formula1>liste_categories</formula1>
    </dataValidation>
    <dataValidation type="list" allowBlank="1" showInputMessage="1" showErrorMessage="1" sqref="G417">
      <formula1>liste_responsables</formula1>
    </dataValidation>
    <dataValidation type="list" allowBlank="1" showInputMessage="1" showErrorMessage="1" sqref="H417">
      <formula1>liste_sites</formula1>
    </dataValidation>
    <dataValidation type="list" allowBlank="1" showInputMessage="1" showErrorMessage="1" sqref="I417">
      <formula1>liste_priorites</formula1>
    </dataValidation>
    <dataValidation type="date" operator="greaterThanOrEqual" allowBlank="1" showInputMessage="1" showErrorMessage="1" sqref="J417">
      <formula1>730120</formula1>
    </dataValidation>
    <dataValidation type="date" operator="greaterThanOrEqual" allowBlank="1" showInputMessage="1" showErrorMessage="1" sqref="K417">
      <formula1>730120</formula1>
    </dataValidation>
    <dataValidation type="date" operator="greaterThanOrEqual" allowBlank="1" showInputMessage="1" showErrorMessage="1" sqref="L417">
      <formula1>730120</formula1>
    </dataValidation>
    <dataValidation type="whole" allowBlank="1" showInputMessage="1" showErrorMessage="1" sqref="P417">
      <formula1>0</formula1>
      <formula2>100</formula2>
    </dataValidation>
    <dataValidation type="decimal" operator="greaterThanOrEqual" allowBlank="1" showInputMessage="1" showErrorMessage="1" sqref="Q417">
      <formula1>0</formula1>
    </dataValidation>
    <dataValidation type="decimal" operator="greaterThanOrEqual" allowBlank="1" showInputMessage="1" showErrorMessage="1" sqref="R417">
      <formula1>0</formula1>
    </dataValidation>
    <dataValidation type="whole" allowBlank="1" showInputMessage="1" showErrorMessage="1" sqref="U417">
      <formula1>1</formula1>
      <formula2>5</formula2>
    </dataValidation>
    <dataValidation type="whole" allowBlank="1" showInputMessage="1" showErrorMessage="1" sqref="V417">
      <formula1>1</formula1>
      <formula2>5</formula2>
    </dataValidation>
    <dataValidation type="whole" allowBlank="1" showInputMessage="1" showErrorMessage="1" sqref="X417">
      <formula1>1</formula1>
      <formula2>5</formula2>
    </dataValidation>
    <dataValidation type="decimal" operator="greaterThanOrEqual" allowBlank="1" showInputMessage="1" showErrorMessage="1" sqref="Y417">
      <formula1>0</formula1>
    </dataValidation>
    <dataValidation type="whole" operator="greaterThanOrEqual" allowBlank="1" showInputMessage="1" showErrorMessage="1" sqref="Z417">
      <formula1>0</formula1>
    </dataValidation>
    <dataValidation type="whole" allowBlank="1" showInputMessage="1" showErrorMessage="1" sqref="AA417">
      <formula1>1</formula1>
      <formula2>5</formula2>
    </dataValidation>
    <dataValidation type="decimal" allowBlank="1" showInputMessage="1" showErrorMessage="1" sqref="AB417">
      <formula1>0</formula1>
      <formula2>1</formula2>
    </dataValidation>
    <dataValidation type="list" allowBlank="1" showInputMessage="1" showErrorMessage="1" sqref="O417">
      <formula1>liste_statuts</formula1>
    </dataValidation>
    <dataValidation type="list" allowBlank="1" showInputMessage="1" showErrorMessage="1" sqref="B418">
      <formula1>liste_programmes</formula1>
    </dataValidation>
    <dataValidation type="list" allowBlank="1" showInputMessage="1" showErrorMessage="1" sqref="D418">
      <formula1>liste_types</formula1>
    </dataValidation>
    <dataValidation type="list" allowBlank="1" showInputMessage="1" showErrorMessage="1" sqref="F418">
      <formula1>liste_categories</formula1>
    </dataValidation>
    <dataValidation type="list" allowBlank="1" showInputMessage="1" showErrorMessage="1" sqref="G418">
      <formula1>liste_responsables</formula1>
    </dataValidation>
    <dataValidation type="list" allowBlank="1" showInputMessage="1" showErrorMessage="1" sqref="H418">
      <formula1>liste_sites</formula1>
    </dataValidation>
    <dataValidation type="list" allowBlank="1" showInputMessage="1" showErrorMessage="1" sqref="I418">
      <formula1>liste_priorites</formula1>
    </dataValidation>
    <dataValidation type="date" operator="greaterThanOrEqual" allowBlank="1" showInputMessage="1" showErrorMessage="1" sqref="J418">
      <formula1>730120</formula1>
    </dataValidation>
    <dataValidation type="date" operator="greaterThanOrEqual" allowBlank="1" showInputMessage="1" showErrorMessage="1" sqref="K418">
      <formula1>730120</formula1>
    </dataValidation>
    <dataValidation type="date" operator="greaterThanOrEqual" allowBlank="1" showInputMessage="1" showErrorMessage="1" sqref="L418">
      <formula1>730120</formula1>
    </dataValidation>
    <dataValidation type="whole" allowBlank="1" showInputMessage="1" showErrorMessage="1" sqref="P418">
      <formula1>0</formula1>
      <formula2>100</formula2>
    </dataValidation>
    <dataValidation type="decimal" operator="greaterThanOrEqual" allowBlank="1" showInputMessage="1" showErrorMessage="1" sqref="Q418">
      <formula1>0</formula1>
    </dataValidation>
    <dataValidation type="decimal" operator="greaterThanOrEqual" allowBlank="1" showInputMessage="1" showErrorMessage="1" sqref="R418">
      <formula1>0</formula1>
    </dataValidation>
    <dataValidation type="whole" allowBlank="1" showInputMessage="1" showErrorMessage="1" sqref="U418">
      <formula1>1</formula1>
      <formula2>5</formula2>
    </dataValidation>
    <dataValidation type="whole" allowBlank="1" showInputMessage="1" showErrorMessage="1" sqref="V418">
      <formula1>1</formula1>
      <formula2>5</formula2>
    </dataValidation>
    <dataValidation type="whole" allowBlank="1" showInputMessage="1" showErrorMessage="1" sqref="X418">
      <formula1>1</formula1>
      <formula2>5</formula2>
    </dataValidation>
    <dataValidation type="decimal" operator="greaterThanOrEqual" allowBlank="1" showInputMessage="1" showErrorMessage="1" sqref="Y418">
      <formula1>0</formula1>
    </dataValidation>
    <dataValidation type="whole" operator="greaterThanOrEqual" allowBlank="1" showInputMessage="1" showErrorMessage="1" sqref="Z418">
      <formula1>0</formula1>
    </dataValidation>
    <dataValidation type="whole" allowBlank="1" showInputMessage="1" showErrorMessage="1" sqref="AA418">
      <formula1>1</formula1>
      <formula2>5</formula2>
    </dataValidation>
    <dataValidation type="decimal" allowBlank="1" showInputMessage="1" showErrorMessage="1" sqref="AB418">
      <formula1>0</formula1>
      <formula2>1</formula2>
    </dataValidation>
    <dataValidation type="list" allowBlank="1" showInputMessage="1" showErrorMessage="1" sqref="O418">
      <formula1>liste_statuts</formula1>
    </dataValidation>
    <dataValidation type="list" allowBlank="1" showInputMessage="1" showErrorMessage="1" sqref="B419">
      <formula1>liste_programmes</formula1>
    </dataValidation>
    <dataValidation type="list" allowBlank="1" showInputMessage="1" showErrorMessage="1" sqref="D419">
      <formula1>liste_types</formula1>
    </dataValidation>
    <dataValidation type="list" allowBlank="1" showInputMessage="1" showErrorMessage="1" sqref="F419">
      <formula1>liste_categories</formula1>
    </dataValidation>
    <dataValidation type="list" allowBlank="1" showInputMessage="1" showErrorMessage="1" sqref="G419">
      <formula1>liste_responsables</formula1>
    </dataValidation>
    <dataValidation type="list" allowBlank="1" showInputMessage="1" showErrorMessage="1" sqref="H419">
      <formula1>liste_sites</formula1>
    </dataValidation>
    <dataValidation type="list" allowBlank="1" showInputMessage="1" showErrorMessage="1" sqref="I419">
      <formula1>liste_priorites</formula1>
    </dataValidation>
    <dataValidation type="date" operator="greaterThanOrEqual" allowBlank="1" showInputMessage="1" showErrorMessage="1" sqref="J419">
      <formula1>730120</formula1>
    </dataValidation>
    <dataValidation type="date" operator="greaterThanOrEqual" allowBlank="1" showInputMessage="1" showErrorMessage="1" sqref="K419">
      <formula1>730120</formula1>
    </dataValidation>
    <dataValidation type="date" operator="greaterThanOrEqual" allowBlank="1" showInputMessage="1" showErrorMessage="1" sqref="L419">
      <formula1>730120</formula1>
    </dataValidation>
    <dataValidation type="whole" allowBlank="1" showInputMessage="1" showErrorMessage="1" sqref="P419">
      <formula1>0</formula1>
      <formula2>100</formula2>
    </dataValidation>
    <dataValidation type="decimal" operator="greaterThanOrEqual" allowBlank="1" showInputMessage="1" showErrorMessage="1" sqref="Q419">
      <formula1>0</formula1>
    </dataValidation>
    <dataValidation type="decimal" operator="greaterThanOrEqual" allowBlank="1" showInputMessage="1" showErrorMessage="1" sqref="R419">
      <formula1>0</formula1>
    </dataValidation>
    <dataValidation type="whole" allowBlank="1" showInputMessage="1" showErrorMessage="1" sqref="U419">
      <formula1>1</formula1>
      <formula2>5</formula2>
    </dataValidation>
    <dataValidation type="whole" allowBlank="1" showInputMessage="1" showErrorMessage="1" sqref="V419">
      <formula1>1</formula1>
      <formula2>5</formula2>
    </dataValidation>
    <dataValidation type="whole" allowBlank="1" showInputMessage="1" showErrorMessage="1" sqref="X419">
      <formula1>1</formula1>
      <formula2>5</formula2>
    </dataValidation>
    <dataValidation type="decimal" operator="greaterThanOrEqual" allowBlank="1" showInputMessage="1" showErrorMessage="1" sqref="Y419">
      <formula1>0</formula1>
    </dataValidation>
    <dataValidation type="whole" operator="greaterThanOrEqual" allowBlank="1" showInputMessage="1" showErrorMessage="1" sqref="Z419">
      <formula1>0</formula1>
    </dataValidation>
    <dataValidation type="whole" allowBlank="1" showInputMessage="1" showErrorMessage="1" sqref="AA419">
      <formula1>1</formula1>
      <formula2>5</formula2>
    </dataValidation>
    <dataValidation type="decimal" allowBlank="1" showInputMessage="1" showErrorMessage="1" sqref="AB419">
      <formula1>0</formula1>
      <formula2>1</formula2>
    </dataValidation>
    <dataValidation type="list" allowBlank="1" showInputMessage="1" showErrorMessage="1" sqref="O419">
      <formula1>liste_statuts</formula1>
    </dataValidation>
    <dataValidation type="list" allowBlank="1" showInputMessage="1" showErrorMessage="1" sqref="B420">
      <formula1>liste_programmes</formula1>
    </dataValidation>
    <dataValidation type="list" allowBlank="1" showInputMessage="1" showErrorMessage="1" sqref="D420">
      <formula1>liste_types</formula1>
    </dataValidation>
    <dataValidation type="list" allowBlank="1" showInputMessage="1" showErrorMessage="1" sqref="F420">
      <formula1>liste_categories</formula1>
    </dataValidation>
    <dataValidation type="list" allowBlank="1" showInputMessage="1" showErrorMessage="1" sqref="G420">
      <formula1>liste_responsables</formula1>
    </dataValidation>
    <dataValidation type="list" allowBlank="1" showInputMessage="1" showErrorMessage="1" sqref="H420">
      <formula1>liste_sites</formula1>
    </dataValidation>
    <dataValidation type="list" allowBlank="1" showInputMessage="1" showErrorMessage="1" sqref="I420">
      <formula1>liste_priorites</formula1>
    </dataValidation>
    <dataValidation type="date" operator="greaterThanOrEqual" allowBlank="1" showInputMessage="1" showErrorMessage="1" sqref="J420">
      <formula1>730120</formula1>
    </dataValidation>
    <dataValidation type="date" operator="greaterThanOrEqual" allowBlank="1" showInputMessage="1" showErrorMessage="1" sqref="K420">
      <formula1>730120</formula1>
    </dataValidation>
    <dataValidation type="date" operator="greaterThanOrEqual" allowBlank="1" showInputMessage="1" showErrorMessage="1" sqref="L420">
      <formula1>730120</formula1>
    </dataValidation>
    <dataValidation type="whole" allowBlank="1" showInputMessage="1" showErrorMessage="1" sqref="P420">
      <formula1>0</formula1>
      <formula2>100</formula2>
    </dataValidation>
    <dataValidation type="decimal" operator="greaterThanOrEqual" allowBlank="1" showInputMessage="1" showErrorMessage="1" sqref="Q420">
      <formula1>0</formula1>
    </dataValidation>
    <dataValidation type="decimal" operator="greaterThanOrEqual" allowBlank="1" showInputMessage="1" showErrorMessage="1" sqref="R420">
      <formula1>0</formula1>
    </dataValidation>
    <dataValidation type="whole" allowBlank="1" showInputMessage="1" showErrorMessage="1" sqref="U420">
      <formula1>1</formula1>
      <formula2>5</formula2>
    </dataValidation>
    <dataValidation type="whole" allowBlank="1" showInputMessage="1" showErrorMessage="1" sqref="V420">
      <formula1>1</formula1>
      <formula2>5</formula2>
    </dataValidation>
    <dataValidation type="whole" allowBlank="1" showInputMessage="1" showErrorMessage="1" sqref="X420">
      <formula1>1</formula1>
      <formula2>5</formula2>
    </dataValidation>
    <dataValidation type="decimal" operator="greaterThanOrEqual" allowBlank="1" showInputMessage="1" showErrorMessage="1" sqref="Y420">
      <formula1>0</formula1>
    </dataValidation>
    <dataValidation type="whole" operator="greaterThanOrEqual" allowBlank="1" showInputMessage="1" showErrorMessage="1" sqref="Z420">
      <formula1>0</formula1>
    </dataValidation>
    <dataValidation type="whole" allowBlank="1" showInputMessage="1" showErrorMessage="1" sqref="AA420">
      <formula1>1</formula1>
      <formula2>5</formula2>
    </dataValidation>
    <dataValidation type="decimal" allowBlank="1" showInputMessage="1" showErrorMessage="1" sqref="AB420">
      <formula1>0</formula1>
      <formula2>1</formula2>
    </dataValidation>
    <dataValidation type="list" allowBlank="1" showInputMessage="1" showErrorMessage="1" sqref="O420">
      <formula1>liste_statuts</formula1>
    </dataValidation>
    <dataValidation type="list" allowBlank="1" showInputMessage="1" showErrorMessage="1" sqref="B421">
      <formula1>liste_programmes</formula1>
    </dataValidation>
    <dataValidation type="list" allowBlank="1" showInputMessage="1" showErrorMessage="1" sqref="D421">
      <formula1>liste_types</formula1>
    </dataValidation>
    <dataValidation type="list" allowBlank="1" showInputMessage="1" showErrorMessage="1" sqref="F421">
      <formula1>liste_categories</formula1>
    </dataValidation>
    <dataValidation type="list" allowBlank="1" showInputMessage="1" showErrorMessage="1" sqref="G421">
      <formula1>liste_responsables</formula1>
    </dataValidation>
    <dataValidation type="list" allowBlank="1" showInputMessage="1" showErrorMessage="1" sqref="H421">
      <formula1>liste_sites</formula1>
    </dataValidation>
    <dataValidation type="list" allowBlank="1" showInputMessage="1" showErrorMessage="1" sqref="I421">
      <formula1>liste_priorites</formula1>
    </dataValidation>
    <dataValidation type="date" operator="greaterThanOrEqual" allowBlank="1" showInputMessage="1" showErrorMessage="1" sqref="J421">
      <formula1>730120</formula1>
    </dataValidation>
    <dataValidation type="date" operator="greaterThanOrEqual" allowBlank="1" showInputMessage="1" showErrorMessage="1" sqref="K421">
      <formula1>730120</formula1>
    </dataValidation>
    <dataValidation type="date" operator="greaterThanOrEqual" allowBlank="1" showInputMessage="1" showErrorMessage="1" sqref="L421">
      <formula1>730120</formula1>
    </dataValidation>
    <dataValidation type="whole" allowBlank="1" showInputMessage="1" showErrorMessage="1" sqref="P421">
      <formula1>0</formula1>
      <formula2>100</formula2>
    </dataValidation>
    <dataValidation type="decimal" operator="greaterThanOrEqual" allowBlank="1" showInputMessage="1" showErrorMessage="1" sqref="Q421">
      <formula1>0</formula1>
    </dataValidation>
    <dataValidation type="decimal" operator="greaterThanOrEqual" allowBlank="1" showInputMessage="1" showErrorMessage="1" sqref="R421">
      <formula1>0</formula1>
    </dataValidation>
    <dataValidation type="whole" allowBlank="1" showInputMessage="1" showErrorMessage="1" sqref="U421">
      <formula1>1</formula1>
      <formula2>5</formula2>
    </dataValidation>
    <dataValidation type="whole" allowBlank="1" showInputMessage="1" showErrorMessage="1" sqref="V421">
      <formula1>1</formula1>
      <formula2>5</formula2>
    </dataValidation>
    <dataValidation type="whole" allowBlank="1" showInputMessage="1" showErrorMessage="1" sqref="X421">
      <formula1>1</formula1>
      <formula2>5</formula2>
    </dataValidation>
    <dataValidation type="decimal" operator="greaterThanOrEqual" allowBlank="1" showInputMessage="1" showErrorMessage="1" sqref="Y421">
      <formula1>0</formula1>
    </dataValidation>
    <dataValidation type="whole" operator="greaterThanOrEqual" allowBlank="1" showInputMessage="1" showErrorMessage="1" sqref="Z421">
      <formula1>0</formula1>
    </dataValidation>
    <dataValidation type="whole" allowBlank="1" showInputMessage="1" showErrorMessage="1" sqref="AA421">
      <formula1>1</formula1>
      <formula2>5</formula2>
    </dataValidation>
    <dataValidation type="decimal" allowBlank="1" showInputMessage="1" showErrorMessage="1" sqref="AB421">
      <formula1>0</formula1>
      <formula2>1</formula2>
    </dataValidation>
    <dataValidation type="list" allowBlank="1" showInputMessage="1" showErrorMessage="1" sqref="O421">
      <formula1>liste_statuts</formula1>
    </dataValidation>
    <dataValidation type="list" allowBlank="1" showInputMessage="1" showErrorMessage="1" sqref="B422">
      <formula1>liste_programmes</formula1>
    </dataValidation>
    <dataValidation type="list" allowBlank="1" showInputMessage="1" showErrorMessage="1" sqref="D422">
      <formula1>liste_types</formula1>
    </dataValidation>
    <dataValidation type="list" allowBlank="1" showInputMessage="1" showErrorMessage="1" sqref="F422">
      <formula1>liste_categories</formula1>
    </dataValidation>
    <dataValidation type="list" allowBlank="1" showInputMessage="1" showErrorMessage="1" sqref="G422">
      <formula1>liste_responsables</formula1>
    </dataValidation>
    <dataValidation type="list" allowBlank="1" showInputMessage="1" showErrorMessage="1" sqref="H422">
      <formula1>liste_sites</formula1>
    </dataValidation>
    <dataValidation type="list" allowBlank="1" showInputMessage="1" showErrorMessage="1" sqref="I422">
      <formula1>liste_priorites</formula1>
    </dataValidation>
    <dataValidation type="date" operator="greaterThanOrEqual" allowBlank="1" showInputMessage="1" showErrorMessage="1" sqref="J422">
      <formula1>730120</formula1>
    </dataValidation>
    <dataValidation type="date" operator="greaterThanOrEqual" allowBlank="1" showInputMessage="1" showErrorMessage="1" sqref="K422">
      <formula1>730120</formula1>
    </dataValidation>
    <dataValidation type="date" operator="greaterThanOrEqual" allowBlank="1" showInputMessage="1" showErrorMessage="1" sqref="L422">
      <formula1>730120</formula1>
    </dataValidation>
    <dataValidation type="whole" allowBlank="1" showInputMessage="1" showErrorMessage="1" sqref="P422">
      <formula1>0</formula1>
      <formula2>100</formula2>
    </dataValidation>
    <dataValidation type="decimal" operator="greaterThanOrEqual" allowBlank="1" showInputMessage="1" showErrorMessage="1" sqref="Q422">
      <formula1>0</formula1>
    </dataValidation>
    <dataValidation type="decimal" operator="greaterThanOrEqual" allowBlank="1" showInputMessage="1" showErrorMessage="1" sqref="R422">
      <formula1>0</formula1>
    </dataValidation>
    <dataValidation type="whole" allowBlank="1" showInputMessage="1" showErrorMessage="1" sqref="U422">
      <formula1>1</formula1>
      <formula2>5</formula2>
    </dataValidation>
    <dataValidation type="whole" allowBlank="1" showInputMessage="1" showErrorMessage="1" sqref="V422">
      <formula1>1</formula1>
      <formula2>5</formula2>
    </dataValidation>
    <dataValidation type="whole" allowBlank="1" showInputMessage="1" showErrorMessage="1" sqref="X422">
      <formula1>1</formula1>
      <formula2>5</formula2>
    </dataValidation>
    <dataValidation type="decimal" operator="greaterThanOrEqual" allowBlank="1" showInputMessage="1" showErrorMessage="1" sqref="Y422">
      <formula1>0</formula1>
    </dataValidation>
    <dataValidation type="whole" operator="greaterThanOrEqual" allowBlank="1" showInputMessage="1" showErrorMessage="1" sqref="Z422">
      <formula1>0</formula1>
    </dataValidation>
    <dataValidation type="whole" allowBlank="1" showInputMessage="1" showErrorMessage="1" sqref="AA422">
      <formula1>1</formula1>
      <formula2>5</formula2>
    </dataValidation>
    <dataValidation type="decimal" allowBlank="1" showInputMessage="1" showErrorMessage="1" sqref="AB422">
      <formula1>0</formula1>
      <formula2>1</formula2>
    </dataValidation>
    <dataValidation type="list" allowBlank="1" showInputMessage="1" showErrorMessage="1" sqref="O422">
      <formula1>liste_statuts</formula1>
    </dataValidation>
    <dataValidation type="list" allowBlank="1" showInputMessage="1" showErrorMessage="1" sqref="B423">
      <formula1>liste_programmes</formula1>
    </dataValidation>
    <dataValidation type="list" allowBlank="1" showInputMessage="1" showErrorMessage="1" sqref="D423">
      <formula1>liste_types</formula1>
    </dataValidation>
    <dataValidation type="list" allowBlank="1" showInputMessage="1" showErrorMessage="1" sqref="F423">
      <formula1>liste_categories</formula1>
    </dataValidation>
    <dataValidation type="list" allowBlank="1" showInputMessage="1" showErrorMessage="1" sqref="G423">
      <formula1>liste_responsables</formula1>
    </dataValidation>
    <dataValidation type="list" allowBlank="1" showInputMessage="1" showErrorMessage="1" sqref="H423">
      <formula1>liste_sites</formula1>
    </dataValidation>
    <dataValidation type="list" allowBlank="1" showInputMessage="1" showErrorMessage="1" sqref="I423">
      <formula1>liste_priorites</formula1>
    </dataValidation>
    <dataValidation type="date" operator="greaterThanOrEqual" allowBlank="1" showInputMessage="1" showErrorMessage="1" sqref="J423">
      <formula1>730120</formula1>
    </dataValidation>
    <dataValidation type="date" operator="greaterThanOrEqual" allowBlank="1" showInputMessage="1" showErrorMessage="1" sqref="K423">
      <formula1>730120</formula1>
    </dataValidation>
    <dataValidation type="date" operator="greaterThanOrEqual" allowBlank="1" showInputMessage="1" showErrorMessage="1" sqref="L423">
      <formula1>730120</formula1>
    </dataValidation>
    <dataValidation type="whole" allowBlank="1" showInputMessage="1" showErrorMessage="1" sqref="P423">
      <formula1>0</formula1>
      <formula2>100</formula2>
    </dataValidation>
    <dataValidation type="decimal" operator="greaterThanOrEqual" allowBlank="1" showInputMessage="1" showErrorMessage="1" sqref="Q423">
      <formula1>0</formula1>
    </dataValidation>
    <dataValidation type="decimal" operator="greaterThanOrEqual" allowBlank="1" showInputMessage="1" showErrorMessage="1" sqref="R423">
      <formula1>0</formula1>
    </dataValidation>
    <dataValidation type="whole" allowBlank="1" showInputMessage="1" showErrorMessage="1" sqref="U423">
      <formula1>1</formula1>
      <formula2>5</formula2>
    </dataValidation>
    <dataValidation type="whole" allowBlank="1" showInputMessage="1" showErrorMessage="1" sqref="V423">
      <formula1>1</formula1>
      <formula2>5</formula2>
    </dataValidation>
    <dataValidation type="whole" allowBlank="1" showInputMessage="1" showErrorMessage="1" sqref="X423">
      <formula1>1</formula1>
      <formula2>5</formula2>
    </dataValidation>
    <dataValidation type="decimal" operator="greaterThanOrEqual" allowBlank="1" showInputMessage="1" showErrorMessage="1" sqref="Y423">
      <formula1>0</formula1>
    </dataValidation>
    <dataValidation type="whole" operator="greaterThanOrEqual" allowBlank="1" showInputMessage="1" showErrorMessage="1" sqref="Z423">
      <formula1>0</formula1>
    </dataValidation>
    <dataValidation type="whole" allowBlank="1" showInputMessage="1" showErrorMessage="1" sqref="AA423">
      <formula1>1</formula1>
      <formula2>5</formula2>
    </dataValidation>
    <dataValidation type="decimal" allowBlank="1" showInputMessage="1" showErrorMessage="1" sqref="AB423">
      <formula1>0</formula1>
      <formula2>1</formula2>
    </dataValidation>
    <dataValidation type="list" allowBlank="1" showInputMessage="1" showErrorMessage="1" sqref="O423">
      <formula1>liste_statuts</formula1>
    </dataValidation>
    <dataValidation type="list" allowBlank="1" showInputMessage="1" showErrorMessage="1" sqref="B424">
      <formula1>liste_programmes</formula1>
    </dataValidation>
    <dataValidation type="list" allowBlank="1" showInputMessage="1" showErrorMessage="1" sqref="D424">
      <formula1>liste_types</formula1>
    </dataValidation>
    <dataValidation type="list" allowBlank="1" showInputMessage="1" showErrorMessage="1" sqref="F424">
      <formula1>liste_categories</formula1>
    </dataValidation>
    <dataValidation type="list" allowBlank="1" showInputMessage="1" showErrorMessage="1" sqref="G424">
      <formula1>liste_responsables</formula1>
    </dataValidation>
    <dataValidation type="list" allowBlank="1" showInputMessage="1" showErrorMessage="1" sqref="H424">
      <formula1>liste_sites</formula1>
    </dataValidation>
    <dataValidation type="list" allowBlank="1" showInputMessage="1" showErrorMessage="1" sqref="I424">
      <formula1>liste_priorites</formula1>
    </dataValidation>
    <dataValidation type="date" operator="greaterThanOrEqual" allowBlank="1" showInputMessage="1" showErrorMessage="1" sqref="J424">
      <formula1>730120</formula1>
    </dataValidation>
    <dataValidation type="date" operator="greaterThanOrEqual" allowBlank="1" showInputMessage="1" showErrorMessage="1" sqref="K424">
      <formula1>730120</formula1>
    </dataValidation>
    <dataValidation type="date" operator="greaterThanOrEqual" allowBlank="1" showInputMessage="1" showErrorMessage="1" sqref="L424">
      <formula1>730120</formula1>
    </dataValidation>
    <dataValidation type="whole" allowBlank="1" showInputMessage="1" showErrorMessage="1" sqref="P424">
      <formula1>0</formula1>
      <formula2>100</formula2>
    </dataValidation>
    <dataValidation type="decimal" operator="greaterThanOrEqual" allowBlank="1" showInputMessage="1" showErrorMessage="1" sqref="Q424">
      <formula1>0</formula1>
    </dataValidation>
    <dataValidation type="decimal" operator="greaterThanOrEqual" allowBlank="1" showInputMessage="1" showErrorMessage="1" sqref="R424">
      <formula1>0</formula1>
    </dataValidation>
    <dataValidation type="whole" allowBlank="1" showInputMessage="1" showErrorMessage="1" sqref="U424">
      <formula1>1</formula1>
      <formula2>5</formula2>
    </dataValidation>
    <dataValidation type="whole" allowBlank="1" showInputMessage="1" showErrorMessage="1" sqref="V424">
      <formula1>1</formula1>
      <formula2>5</formula2>
    </dataValidation>
    <dataValidation type="whole" allowBlank="1" showInputMessage="1" showErrorMessage="1" sqref="X424">
      <formula1>1</formula1>
      <formula2>5</formula2>
    </dataValidation>
    <dataValidation type="decimal" operator="greaterThanOrEqual" allowBlank="1" showInputMessage="1" showErrorMessage="1" sqref="Y424">
      <formula1>0</formula1>
    </dataValidation>
    <dataValidation type="whole" operator="greaterThanOrEqual" allowBlank="1" showInputMessage="1" showErrorMessage="1" sqref="Z424">
      <formula1>0</formula1>
    </dataValidation>
    <dataValidation type="whole" allowBlank="1" showInputMessage="1" showErrorMessage="1" sqref="AA424">
      <formula1>1</formula1>
      <formula2>5</formula2>
    </dataValidation>
    <dataValidation type="decimal" allowBlank="1" showInputMessage="1" showErrorMessage="1" sqref="AB424">
      <formula1>0</formula1>
      <formula2>1</formula2>
    </dataValidation>
    <dataValidation type="list" allowBlank="1" showInputMessage="1" showErrorMessage="1" sqref="O424">
      <formula1>liste_statuts</formula1>
    </dataValidation>
    <dataValidation type="list" allowBlank="1" showInputMessage="1" showErrorMessage="1" sqref="B425">
      <formula1>liste_programmes</formula1>
    </dataValidation>
    <dataValidation type="list" allowBlank="1" showInputMessage="1" showErrorMessage="1" sqref="D425">
      <formula1>liste_types</formula1>
    </dataValidation>
    <dataValidation type="list" allowBlank="1" showInputMessage="1" showErrorMessage="1" sqref="F425">
      <formula1>liste_categories</formula1>
    </dataValidation>
    <dataValidation type="list" allowBlank="1" showInputMessage="1" showErrorMessage="1" sqref="G425">
      <formula1>liste_responsables</formula1>
    </dataValidation>
    <dataValidation type="list" allowBlank="1" showInputMessage="1" showErrorMessage="1" sqref="H425">
      <formula1>liste_sites</formula1>
    </dataValidation>
    <dataValidation type="list" allowBlank="1" showInputMessage="1" showErrorMessage="1" sqref="I425">
      <formula1>liste_priorites</formula1>
    </dataValidation>
    <dataValidation type="date" operator="greaterThanOrEqual" allowBlank="1" showInputMessage="1" showErrorMessage="1" sqref="J425">
      <formula1>730120</formula1>
    </dataValidation>
    <dataValidation type="date" operator="greaterThanOrEqual" allowBlank="1" showInputMessage="1" showErrorMessage="1" sqref="K425">
      <formula1>730120</formula1>
    </dataValidation>
    <dataValidation type="date" operator="greaterThanOrEqual" allowBlank="1" showInputMessage="1" showErrorMessage="1" sqref="L425">
      <formula1>730120</formula1>
    </dataValidation>
    <dataValidation type="whole" allowBlank="1" showInputMessage="1" showErrorMessage="1" sqref="P425">
      <formula1>0</formula1>
      <formula2>100</formula2>
    </dataValidation>
    <dataValidation type="decimal" operator="greaterThanOrEqual" allowBlank="1" showInputMessage="1" showErrorMessage="1" sqref="Q425">
      <formula1>0</formula1>
    </dataValidation>
    <dataValidation type="decimal" operator="greaterThanOrEqual" allowBlank="1" showInputMessage="1" showErrorMessage="1" sqref="R425">
      <formula1>0</formula1>
    </dataValidation>
    <dataValidation type="whole" allowBlank="1" showInputMessage="1" showErrorMessage="1" sqref="U425">
      <formula1>1</formula1>
      <formula2>5</formula2>
    </dataValidation>
    <dataValidation type="whole" allowBlank="1" showInputMessage="1" showErrorMessage="1" sqref="V425">
      <formula1>1</formula1>
      <formula2>5</formula2>
    </dataValidation>
    <dataValidation type="whole" allowBlank="1" showInputMessage="1" showErrorMessage="1" sqref="X425">
      <formula1>1</formula1>
      <formula2>5</formula2>
    </dataValidation>
    <dataValidation type="decimal" operator="greaterThanOrEqual" allowBlank="1" showInputMessage="1" showErrorMessage="1" sqref="Y425">
      <formula1>0</formula1>
    </dataValidation>
    <dataValidation type="whole" operator="greaterThanOrEqual" allowBlank="1" showInputMessage="1" showErrorMessage="1" sqref="Z425">
      <formula1>0</formula1>
    </dataValidation>
    <dataValidation type="whole" allowBlank="1" showInputMessage="1" showErrorMessage="1" sqref="AA425">
      <formula1>1</formula1>
      <formula2>5</formula2>
    </dataValidation>
    <dataValidation type="decimal" allowBlank="1" showInputMessage="1" showErrorMessage="1" sqref="AB425">
      <formula1>0</formula1>
      <formula2>1</formula2>
    </dataValidation>
    <dataValidation type="list" allowBlank="1" showInputMessage="1" showErrorMessage="1" sqref="O425">
      <formula1>liste_statuts</formula1>
    </dataValidation>
    <dataValidation type="list" allowBlank="1" showInputMessage="1" showErrorMessage="1" sqref="B426">
      <formula1>liste_programmes</formula1>
    </dataValidation>
    <dataValidation type="list" allowBlank="1" showInputMessage="1" showErrorMessage="1" sqref="D426">
      <formula1>liste_types</formula1>
    </dataValidation>
    <dataValidation type="list" allowBlank="1" showInputMessage="1" showErrorMessage="1" sqref="F426">
      <formula1>liste_categories</formula1>
    </dataValidation>
    <dataValidation type="list" allowBlank="1" showInputMessage="1" showErrorMessage="1" sqref="G426">
      <formula1>liste_responsables</formula1>
    </dataValidation>
    <dataValidation type="list" allowBlank="1" showInputMessage="1" showErrorMessage="1" sqref="H426">
      <formula1>liste_sites</formula1>
    </dataValidation>
    <dataValidation type="list" allowBlank="1" showInputMessage="1" showErrorMessage="1" sqref="I426">
      <formula1>liste_priorites</formula1>
    </dataValidation>
    <dataValidation type="date" operator="greaterThanOrEqual" allowBlank="1" showInputMessage="1" showErrorMessage="1" sqref="J426">
      <formula1>730120</formula1>
    </dataValidation>
    <dataValidation type="date" operator="greaterThanOrEqual" allowBlank="1" showInputMessage="1" showErrorMessage="1" sqref="K426">
      <formula1>730120</formula1>
    </dataValidation>
    <dataValidation type="date" operator="greaterThanOrEqual" allowBlank="1" showInputMessage="1" showErrorMessage="1" sqref="L426">
      <formula1>730120</formula1>
    </dataValidation>
    <dataValidation type="whole" allowBlank="1" showInputMessage="1" showErrorMessage="1" sqref="P426">
      <formula1>0</formula1>
      <formula2>100</formula2>
    </dataValidation>
    <dataValidation type="decimal" operator="greaterThanOrEqual" allowBlank="1" showInputMessage="1" showErrorMessage="1" sqref="Q426">
      <formula1>0</formula1>
    </dataValidation>
    <dataValidation type="decimal" operator="greaterThanOrEqual" allowBlank="1" showInputMessage="1" showErrorMessage="1" sqref="R426">
      <formula1>0</formula1>
    </dataValidation>
    <dataValidation type="whole" allowBlank="1" showInputMessage="1" showErrorMessage="1" sqref="U426">
      <formula1>1</formula1>
      <formula2>5</formula2>
    </dataValidation>
    <dataValidation type="whole" allowBlank="1" showInputMessage="1" showErrorMessage="1" sqref="V426">
      <formula1>1</formula1>
      <formula2>5</formula2>
    </dataValidation>
    <dataValidation type="whole" allowBlank="1" showInputMessage="1" showErrorMessage="1" sqref="X426">
      <formula1>1</formula1>
      <formula2>5</formula2>
    </dataValidation>
    <dataValidation type="decimal" operator="greaterThanOrEqual" allowBlank="1" showInputMessage="1" showErrorMessage="1" sqref="Y426">
      <formula1>0</formula1>
    </dataValidation>
    <dataValidation type="whole" operator="greaterThanOrEqual" allowBlank="1" showInputMessage="1" showErrorMessage="1" sqref="Z426">
      <formula1>0</formula1>
    </dataValidation>
    <dataValidation type="whole" allowBlank="1" showInputMessage="1" showErrorMessage="1" sqref="AA426">
      <formula1>1</formula1>
      <formula2>5</formula2>
    </dataValidation>
    <dataValidation type="decimal" allowBlank="1" showInputMessage="1" showErrorMessage="1" sqref="AB426">
      <formula1>0</formula1>
      <formula2>1</formula2>
    </dataValidation>
    <dataValidation type="list" allowBlank="1" showInputMessage="1" showErrorMessage="1" sqref="O426">
      <formula1>liste_statuts</formula1>
    </dataValidation>
    <dataValidation type="list" allowBlank="1" showInputMessage="1" showErrorMessage="1" sqref="B427">
      <formula1>liste_programmes</formula1>
    </dataValidation>
    <dataValidation type="list" allowBlank="1" showInputMessage="1" showErrorMessage="1" sqref="D427">
      <formula1>liste_types</formula1>
    </dataValidation>
    <dataValidation type="list" allowBlank="1" showInputMessage="1" showErrorMessage="1" sqref="F427">
      <formula1>liste_categories</formula1>
    </dataValidation>
    <dataValidation type="list" allowBlank="1" showInputMessage="1" showErrorMessage="1" sqref="G427">
      <formula1>liste_responsables</formula1>
    </dataValidation>
    <dataValidation type="list" allowBlank="1" showInputMessage="1" showErrorMessage="1" sqref="H427">
      <formula1>liste_sites</formula1>
    </dataValidation>
    <dataValidation type="list" allowBlank="1" showInputMessage="1" showErrorMessage="1" sqref="I427">
      <formula1>liste_priorites</formula1>
    </dataValidation>
    <dataValidation type="date" operator="greaterThanOrEqual" allowBlank="1" showInputMessage="1" showErrorMessage="1" sqref="J427">
      <formula1>730120</formula1>
    </dataValidation>
    <dataValidation type="date" operator="greaterThanOrEqual" allowBlank="1" showInputMessage="1" showErrorMessage="1" sqref="K427">
      <formula1>730120</formula1>
    </dataValidation>
    <dataValidation type="date" operator="greaterThanOrEqual" allowBlank="1" showInputMessage="1" showErrorMessage="1" sqref="L427">
      <formula1>730120</formula1>
    </dataValidation>
    <dataValidation type="whole" allowBlank="1" showInputMessage="1" showErrorMessage="1" sqref="P427">
      <formula1>0</formula1>
      <formula2>100</formula2>
    </dataValidation>
    <dataValidation type="decimal" operator="greaterThanOrEqual" allowBlank="1" showInputMessage="1" showErrorMessage="1" sqref="Q427">
      <formula1>0</formula1>
    </dataValidation>
    <dataValidation type="decimal" operator="greaterThanOrEqual" allowBlank="1" showInputMessage="1" showErrorMessage="1" sqref="R427">
      <formula1>0</formula1>
    </dataValidation>
    <dataValidation type="whole" allowBlank="1" showInputMessage="1" showErrorMessage="1" sqref="U427">
      <formula1>1</formula1>
      <formula2>5</formula2>
    </dataValidation>
    <dataValidation type="whole" allowBlank="1" showInputMessage="1" showErrorMessage="1" sqref="V427">
      <formula1>1</formula1>
      <formula2>5</formula2>
    </dataValidation>
    <dataValidation type="whole" allowBlank="1" showInputMessage="1" showErrorMessage="1" sqref="X427">
      <formula1>1</formula1>
      <formula2>5</formula2>
    </dataValidation>
    <dataValidation type="decimal" operator="greaterThanOrEqual" allowBlank="1" showInputMessage="1" showErrorMessage="1" sqref="Y427">
      <formula1>0</formula1>
    </dataValidation>
    <dataValidation type="whole" operator="greaterThanOrEqual" allowBlank="1" showInputMessage="1" showErrorMessage="1" sqref="Z427">
      <formula1>0</formula1>
    </dataValidation>
    <dataValidation type="whole" allowBlank="1" showInputMessage="1" showErrorMessage="1" sqref="AA427">
      <formula1>1</formula1>
      <formula2>5</formula2>
    </dataValidation>
    <dataValidation type="decimal" allowBlank="1" showInputMessage="1" showErrorMessage="1" sqref="AB427">
      <formula1>0</formula1>
      <formula2>1</formula2>
    </dataValidation>
    <dataValidation type="list" allowBlank="1" showInputMessage="1" showErrorMessage="1" sqref="O427">
      <formula1>liste_statuts</formula1>
    </dataValidation>
    <dataValidation type="list" allowBlank="1" showInputMessage="1" showErrorMessage="1" sqref="B428">
      <formula1>liste_programmes</formula1>
    </dataValidation>
    <dataValidation type="list" allowBlank="1" showInputMessage="1" showErrorMessage="1" sqref="D428">
      <formula1>liste_types</formula1>
    </dataValidation>
    <dataValidation type="list" allowBlank="1" showInputMessage="1" showErrorMessage="1" sqref="F428">
      <formula1>liste_categories</formula1>
    </dataValidation>
    <dataValidation type="list" allowBlank="1" showInputMessage="1" showErrorMessage="1" sqref="G428">
      <formula1>liste_responsables</formula1>
    </dataValidation>
    <dataValidation type="list" allowBlank="1" showInputMessage="1" showErrorMessage="1" sqref="H428">
      <formula1>liste_sites</formula1>
    </dataValidation>
    <dataValidation type="list" allowBlank="1" showInputMessage="1" showErrorMessage="1" sqref="I428">
      <formula1>liste_priorites</formula1>
    </dataValidation>
    <dataValidation type="date" operator="greaterThanOrEqual" allowBlank="1" showInputMessage="1" showErrorMessage="1" sqref="J428">
      <formula1>730120</formula1>
    </dataValidation>
    <dataValidation type="date" operator="greaterThanOrEqual" allowBlank="1" showInputMessage="1" showErrorMessage="1" sqref="K428">
      <formula1>730120</formula1>
    </dataValidation>
    <dataValidation type="date" operator="greaterThanOrEqual" allowBlank="1" showInputMessage="1" showErrorMessage="1" sqref="L428">
      <formula1>730120</formula1>
    </dataValidation>
    <dataValidation type="whole" allowBlank="1" showInputMessage="1" showErrorMessage="1" sqref="P428">
      <formula1>0</formula1>
      <formula2>100</formula2>
    </dataValidation>
    <dataValidation type="decimal" operator="greaterThanOrEqual" allowBlank="1" showInputMessage="1" showErrorMessage="1" sqref="Q428">
      <formula1>0</formula1>
    </dataValidation>
    <dataValidation type="decimal" operator="greaterThanOrEqual" allowBlank="1" showInputMessage="1" showErrorMessage="1" sqref="R428">
      <formula1>0</formula1>
    </dataValidation>
    <dataValidation type="whole" allowBlank="1" showInputMessage="1" showErrorMessage="1" sqref="U428">
      <formula1>1</formula1>
      <formula2>5</formula2>
    </dataValidation>
    <dataValidation type="whole" allowBlank="1" showInputMessage="1" showErrorMessage="1" sqref="V428">
      <formula1>1</formula1>
      <formula2>5</formula2>
    </dataValidation>
    <dataValidation type="whole" allowBlank="1" showInputMessage="1" showErrorMessage="1" sqref="X428">
      <formula1>1</formula1>
      <formula2>5</formula2>
    </dataValidation>
    <dataValidation type="decimal" operator="greaterThanOrEqual" allowBlank="1" showInputMessage="1" showErrorMessage="1" sqref="Y428">
      <formula1>0</formula1>
    </dataValidation>
    <dataValidation type="whole" operator="greaterThanOrEqual" allowBlank="1" showInputMessage="1" showErrorMessage="1" sqref="Z428">
      <formula1>0</formula1>
    </dataValidation>
    <dataValidation type="whole" allowBlank="1" showInputMessage="1" showErrorMessage="1" sqref="AA428">
      <formula1>1</formula1>
      <formula2>5</formula2>
    </dataValidation>
    <dataValidation type="decimal" allowBlank="1" showInputMessage="1" showErrorMessage="1" sqref="AB428">
      <formula1>0</formula1>
      <formula2>1</formula2>
    </dataValidation>
    <dataValidation type="list" allowBlank="1" showInputMessage="1" showErrorMessage="1" sqref="O428">
      <formula1>liste_statuts</formula1>
    </dataValidation>
    <dataValidation type="list" allowBlank="1" showInputMessage="1" showErrorMessage="1" sqref="B429">
      <formula1>liste_programmes</formula1>
    </dataValidation>
    <dataValidation type="list" allowBlank="1" showInputMessage="1" showErrorMessage="1" sqref="D429">
      <formula1>liste_types</formula1>
    </dataValidation>
    <dataValidation type="list" allowBlank="1" showInputMessage="1" showErrorMessage="1" sqref="F429">
      <formula1>liste_categories</formula1>
    </dataValidation>
    <dataValidation type="list" allowBlank="1" showInputMessage="1" showErrorMessage="1" sqref="G429">
      <formula1>liste_responsables</formula1>
    </dataValidation>
    <dataValidation type="list" allowBlank="1" showInputMessage="1" showErrorMessage="1" sqref="H429">
      <formula1>liste_sites</formula1>
    </dataValidation>
    <dataValidation type="list" allowBlank="1" showInputMessage="1" showErrorMessage="1" sqref="I429">
      <formula1>liste_priorites</formula1>
    </dataValidation>
    <dataValidation type="date" operator="greaterThanOrEqual" allowBlank="1" showInputMessage="1" showErrorMessage="1" sqref="J429">
      <formula1>730120</formula1>
    </dataValidation>
    <dataValidation type="date" operator="greaterThanOrEqual" allowBlank="1" showInputMessage="1" showErrorMessage="1" sqref="K429">
      <formula1>730120</formula1>
    </dataValidation>
    <dataValidation type="date" operator="greaterThanOrEqual" allowBlank="1" showInputMessage="1" showErrorMessage="1" sqref="L429">
      <formula1>730120</formula1>
    </dataValidation>
    <dataValidation type="whole" allowBlank="1" showInputMessage="1" showErrorMessage="1" sqref="P429">
      <formula1>0</formula1>
      <formula2>100</formula2>
    </dataValidation>
    <dataValidation type="decimal" operator="greaterThanOrEqual" allowBlank="1" showInputMessage="1" showErrorMessage="1" sqref="Q429">
      <formula1>0</formula1>
    </dataValidation>
    <dataValidation type="decimal" operator="greaterThanOrEqual" allowBlank="1" showInputMessage="1" showErrorMessage="1" sqref="R429">
      <formula1>0</formula1>
    </dataValidation>
    <dataValidation type="whole" allowBlank="1" showInputMessage="1" showErrorMessage="1" sqref="U429">
      <formula1>1</formula1>
      <formula2>5</formula2>
    </dataValidation>
    <dataValidation type="whole" allowBlank="1" showInputMessage="1" showErrorMessage="1" sqref="V429">
      <formula1>1</formula1>
      <formula2>5</formula2>
    </dataValidation>
    <dataValidation type="whole" allowBlank="1" showInputMessage="1" showErrorMessage="1" sqref="X429">
      <formula1>1</formula1>
      <formula2>5</formula2>
    </dataValidation>
    <dataValidation type="decimal" operator="greaterThanOrEqual" allowBlank="1" showInputMessage="1" showErrorMessage="1" sqref="Y429">
      <formula1>0</formula1>
    </dataValidation>
    <dataValidation type="whole" operator="greaterThanOrEqual" allowBlank="1" showInputMessage="1" showErrorMessage="1" sqref="Z429">
      <formula1>0</formula1>
    </dataValidation>
    <dataValidation type="whole" allowBlank="1" showInputMessage="1" showErrorMessage="1" sqref="AA429">
      <formula1>1</formula1>
      <formula2>5</formula2>
    </dataValidation>
    <dataValidation type="decimal" allowBlank="1" showInputMessage="1" showErrorMessage="1" sqref="AB429">
      <formula1>0</formula1>
      <formula2>1</formula2>
    </dataValidation>
    <dataValidation type="list" allowBlank="1" showInputMessage="1" showErrorMessage="1" sqref="O429">
      <formula1>liste_statuts</formula1>
    </dataValidation>
    <dataValidation type="list" allowBlank="1" showInputMessage="1" showErrorMessage="1" sqref="B430">
      <formula1>liste_programmes</formula1>
    </dataValidation>
    <dataValidation type="list" allowBlank="1" showInputMessage="1" showErrorMessage="1" sqref="D430">
      <formula1>liste_types</formula1>
    </dataValidation>
    <dataValidation type="list" allowBlank="1" showInputMessage="1" showErrorMessage="1" sqref="F430">
      <formula1>liste_categories</formula1>
    </dataValidation>
    <dataValidation type="list" allowBlank="1" showInputMessage="1" showErrorMessage="1" sqref="G430">
      <formula1>liste_responsables</formula1>
    </dataValidation>
    <dataValidation type="list" allowBlank="1" showInputMessage="1" showErrorMessage="1" sqref="H430">
      <formula1>liste_sites</formula1>
    </dataValidation>
    <dataValidation type="list" allowBlank="1" showInputMessage="1" showErrorMessage="1" sqref="I430">
      <formula1>liste_priorites</formula1>
    </dataValidation>
    <dataValidation type="date" operator="greaterThanOrEqual" allowBlank="1" showInputMessage="1" showErrorMessage="1" sqref="J430">
      <formula1>730120</formula1>
    </dataValidation>
    <dataValidation type="date" operator="greaterThanOrEqual" allowBlank="1" showInputMessage="1" showErrorMessage="1" sqref="K430">
      <formula1>730120</formula1>
    </dataValidation>
    <dataValidation type="date" operator="greaterThanOrEqual" allowBlank="1" showInputMessage="1" showErrorMessage="1" sqref="L430">
      <formula1>730120</formula1>
    </dataValidation>
    <dataValidation type="whole" allowBlank="1" showInputMessage="1" showErrorMessage="1" sqref="P430">
      <formula1>0</formula1>
      <formula2>100</formula2>
    </dataValidation>
    <dataValidation type="decimal" operator="greaterThanOrEqual" allowBlank="1" showInputMessage="1" showErrorMessage="1" sqref="Q430">
      <formula1>0</formula1>
    </dataValidation>
    <dataValidation type="decimal" operator="greaterThanOrEqual" allowBlank="1" showInputMessage="1" showErrorMessage="1" sqref="R430">
      <formula1>0</formula1>
    </dataValidation>
    <dataValidation type="whole" allowBlank="1" showInputMessage="1" showErrorMessage="1" sqref="U430">
      <formula1>1</formula1>
      <formula2>5</formula2>
    </dataValidation>
    <dataValidation type="whole" allowBlank="1" showInputMessage="1" showErrorMessage="1" sqref="V430">
      <formula1>1</formula1>
      <formula2>5</formula2>
    </dataValidation>
    <dataValidation type="whole" allowBlank="1" showInputMessage="1" showErrorMessage="1" sqref="X430">
      <formula1>1</formula1>
      <formula2>5</formula2>
    </dataValidation>
    <dataValidation type="decimal" operator="greaterThanOrEqual" allowBlank="1" showInputMessage="1" showErrorMessage="1" sqref="Y430">
      <formula1>0</formula1>
    </dataValidation>
    <dataValidation type="whole" operator="greaterThanOrEqual" allowBlank="1" showInputMessage="1" showErrorMessage="1" sqref="Z430">
      <formula1>0</formula1>
    </dataValidation>
    <dataValidation type="whole" allowBlank="1" showInputMessage="1" showErrorMessage="1" sqref="AA430">
      <formula1>1</formula1>
      <formula2>5</formula2>
    </dataValidation>
    <dataValidation type="decimal" allowBlank="1" showInputMessage="1" showErrorMessage="1" sqref="AB430">
      <formula1>0</formula1>
      <formula2>1</formula2>
    </dataValidation>
    <dataValidation type="list" allowBlank="1" showInputMessage="1" showErrorMessage="1" sqref="O430">
      <formula1>liste_statuts</formula1>
    </dataValidation>
    <dataValidation type="list" allowBlank="1" showInputMessage="1" showErrorMessage="1" sqref="B431">
      <formula1>liste_programmes</formula1>
    </dataValidation>
    <dataValidation type="list" allowBlank="1" showInputMessage="1" showErrorMessage="1" sqref="D431">
      <formula1>liste_types</formula1>
    </dataValidation>
    <dataValidation type="list" allowBlank="1" showInputMessage="1" showErrorMessage="1" sqref="F431">
      <formula1>liste_categories</formula1>
    </dataValidation>
    <dataValidation type="list" allowBlank="1" showInputMessage="1" showErrorMessage="1" sqref="G431">
      <formula1>liste_responsables</formula1>
    </dataValidation>
    <dataValidation type="list" allowBlank="1" showInputMessage="1" showErrorMessage="1" sqref="H431">
      <formula1>liste_sites</formula1>
    </dataValidation>
    <dataValidation type="list" allowBlank="1" showInputMessage="1" showErrorMessage="1" sqref="I431">
      <formula1>liste_priorites</formula1>
    </dataValidation>
    <dataValidation type="date" operator="greaterThanOrEqual" allowBlank="1" showInputMessage="1" showErrorMessage="1" sqref="J431">
      <formula1>730120</formula1>
    </dataValidation>
    <dataValidation type="date" operator="greaterThanOrEqual" allowBlank="1" showInputMessage="1" showErrorMessage="1" sqref="K431">
      <formula1>730120</formula1>
    </dataValidation>
    <dataValidation type="date" operator="greaterThanOrEqual" allowBlank="1" showInputMessage="1" showErrorMessage="1" sqref="L431">
      <formula1>730120</formula1>
    </dataValidation>
    <dataValidation type="whole" allowBlank="1" showInputMessage="1" showErrorMessage="1" sqref="P431">
      <formula1>0</formula1>
      <formula2>100</formula2>
    </dataValidation>
    <dataValidation type="decimal" operator="greaterThanOrEqual" allowBlank="1" showInputMessage="1" showErrorMessage="1" sqref="Q431">
      <formula1>0</formula1>
    </dataValidation>
    <dataValidation type="decimal" operator="greaterThanOrEqual" allowBlank="1" showInputMessage="1" showErrorMessage="1" sqref="R431">
      <formula1>0</formula1>
    </dataValidation>
    <dataValidation type="whole" allowBlank="1" showInputMessage="1" showErrorMessage="1" sqref="U431">
      <formula1>1</formula1>
      <formula2>5</formula2>
    </dataValidation>
    <dataValidation type="whole" allowBlank="1" showInputMessage="1" showErrorMessage="1" sqref="V431">
      <formula1>1</formula1>
      <formula2>5</formula2>
    </dataValidation>
    <dataValidation type="whole" allowBlank="1" showInputMessage="1" showErrorMessage="1" sqref="X431">
      <formula1>1</formula1>
      <formula2>5</formula2>
    </dataValidation>
    <dataValidation type="decimal" operator="greaterThanOrEqual" allowBlank="1" showInputMessage="1" showErrorMessage="1" sqref="Y431">
      <formula1>0</formula1>
    </dataValidation>
    <dataValidation type="whole" operator="greaterThanOrEqual" allowBlank="1" showInputMessage="1" showErrorMessage="1" sqref="Z431">
      <formula1>0</formula1>
    </dataValidation>
    <dataValidation type="whole" allowBlank="1" showInputMessage="1" showErrorMessage="1" sqref="AA431">
      <formula1>1</formula1>
      <formula2>5</formula2>
    </dataValidation>
    <dataValidation type="decimal" allowBlank="1" showInputMessage="1" showErrorMessage="1" sqref="AB431">
      <formula1>0</formula1>
      <formula2>1</formula2>
    </dataValidation>
    <dataValidation type="list" allowBlank="1" showInputMessage="1" showErrorMessage="1" sqref="O431">
      <formula1>liste_statuts</formula1>
    </dataValidation>
    <dataValidation type="list" allowBlank="1" showInputMessage="1" showErrorMessage="1" sqref="B432">
      <formula1>liste_programmes</formula1>
    </dataValidation>
    <dataValidation type="list" allowBlank="1" showInputMessage="1" showErrorMessage="1" sqref="D432">
      <formula1>liste_types</formula1>
    </dataValidation>
    <dataValidation type="list" allowBlank="1" showInputMessage="1" showErrorMessage="1" sqref="F432">
      <formula1>liste_categories</formula1>
    </dataValidation>
    <dataValidation type="list" allowBlank="1" showInputMessage="1" showErrorMessage="1" sqref="G432">
      <formula1>liste_responsables</formula1>
    </dataValidation>
    <dataValidation type="list" allowBlank="1" showInputMessage="1" showErrorMessage="1" sqref="H432">
      <formula1>liste_sites</formula1>
    </dataValidation>
    <dataValidation type="list" allowBlank="1" showInputMessage="1" showErrorMessage="1" sqref="I432">
      <formula1>liste_priorites</formula1>
    </dataValidation>
    <dataValidation type="date" operator="greaterThanOrEqual" allowBlank="1" showInputMessage="1" showErrorMessage="1" sqref="J432">
      <formula1>730120</formula1>
    </dataValidation>
    <dataValidation type="date" operator="greaterThanOrEqual" allowBlank="1" showInputMessage="1" showErrorMessage="1" sqref="K432">
      <formula1>730120</formula1>
    </dataValidation>
    <dataValidation type="date" operator="greaterThanOrEqual" allowBlank="1" showInputMessage="1" showErrorMessage="1" sqref="L432">
      <formula1>730120</formula1>
    </dataValidation>
    <dataValidation type="whole" allowBlank="1" showInputMessage="1" showErrorMessage="1" sqref="P432">
      <formula1>0</formula1>
      <formula2>100</formula2>
    </dataValidation>
    <dataValidation type="decimal" operator="greaterThanOrEqual" allowBlank="1" showInputMessage="1" showErrorMessage="1" sqref="Q432">
      <formula1>0</formula1>
    </dataValidation>
    <dataValidation type="decimal" operator="greaterThanOrEqual" allowBlank="1" showInputMessage="1" showErrorMessage="1" sqref="R432">
      <formula1>0</formula1>
    </dataValidation>
    <dataValidation type="whole" allowBlank="1" showInputMessage="1" showErrorMessage="1" sqref="U432">
      <formula1>1</formula1>
      <formula2>5</formula2>
    </dataValidation>
    <dataValidation type="whole" allowBlank="1" showInputMessage="1" showErrorMessage="1" sqref="V432">
      <formula1>1</formula1>
      <formula2>5</formula2>
    </dataValidation>
    <dataValidation type="whole" allowBlank="1" showInputMessage="1" showErrorMessage="1" sqref="X432">
      <formula1>1</formula1>
      <formula2>5</formula2>
    </dataValidation>
    <dataValidation type="decimal" operator="greaterThanOrEqual" allowBlank="1" showInputMessage="1" showErrorMessage="1" sqref="Y432">
      <formula1>0</formula1>
    </dataValidation>
    <dataValidation type="whole" operator="greaterThanOrEqual" allowBlank="1" showInputMessage="1" showErrorMessage="1" sqref="Z432">
      <formula1>0</formula1>
    </dataValidation>
    <dataValidation type="whole" allowBlank="1" showInputMessage="1" showErrorMessage="1" sqref="AA432">
      <formula1>1</formula1>
      <formula2>5</formula2>
    </dataValidation>
    <dataValidation type="decimal" allowBlank="1" showInputMessage="1" showErrorMessage="1" sqref="AB432">
      <formula1>0</formula1>
      <formula2>1</formula2>
    </dataValidation>
    <dataValidation type="list" allowBlank="1" showInputMessage="1" showErrorMessage="1" sqref="O432">
      <formula1>liste_statuts</formula1>
    </dataValidation>
    <dataValidation type="list" allowBlank="1" showInputMessage="1" showErrorMessage="1" sqref="B433">
      <formula1>liste_programmes</formula1>
    </dataValidation>
    <dataValidation type="list" allowBlank="1" showInputMessage="1" showErrorMessage="1" sqref="D433">
      <formula1>liste_types</formula1>
    </dataValidation>
    <dataValidation type="list" allowBlank="1" showInputMessage="1" showErrorMessage="1" sqref="F433">
      <formula1>liste_categories</formula1>
    </dataValidation>
    <dataValidation type="list" allowBlank="1" showInputMessage="1" showErrorMessage="1" sqref="G433">
      <formula1>liste_responsables</formula1>
    </dataValidation>
    <dataValidation type="list" allowBlank="1" showInputMessage="1" showErrorMessage="1" sqref="H433">
      <formula1>liste_sites</formula1>
    </dataValidation>
    <dataValidation type="list" allowBlank="1" showInputMessage="1" showErrorMessage="1" sqref="I433">
      <formula1>liste_priorites</formula1>
    </dataValidation>
    <dataValidation type="date" operator="greaterThanOrEqual" allowBlank="1" showInputMessage="1" showErrorMessage="1" sqref="J433">
      <formula1>730120</formula1>
    </dataValidation>
    <dataValidation type="date" operator="greaterThanOrEqual" allowBlank="1" showInputMessage="1" showErrorMessage="1" sqref="K433">
      <formula1>730120</formula1>
    </dataValidation>
    <dataValidation type="date" operator="greaterThanOrEqual" allowBlank="1" showInputMessage="1" showErrorMessage="1" sqref="L433">
      <formula1>730120</formula1>
    </dataValidation>
    <dataValidation type="whole" allowBlank="1" showInputMessage="1" showErrorMessage="1" sqref="P433">
      <formula1>0</formula1>
      <formula2>100</formula2>
    </dataValidation>
    <dataValidation type="decimal" operator="greaterThanOrEqual" allowBlank="1" showInputMessage="1" showErrorMessage="1" sqref="Q433">
      <formula1>0</formula1>
    </dataValidation>
    <dataValidation type="decimal" operator="greaterThanOrEqual" allowBlank="1" showInputMessage="1" showErrorMessage="1" sqref="R433">
      <formula1>0</formula1>
    </dataValidation>
    <dataValidation type="whole" allowBlank="1" showInputMessage="1" showErrorMessage="1" sqref="U433">
      <formula1>1</formula1>
      <formula2>5</formula2>
    </dataValidation>
    <dataValidation type="whole" allowBlank="1" showInputMessage="1" showErrorMessage="1" sqref="V433">
      <formula1>1</formula1>
      <formula2>5</formula2>
    </dataValidation>
    <dataValidation type="whole" allowBlank="1" showInputMessage="1" showErrorMessage="1" sqref="X433">
      <formula1>1</formula1>
      <formula2>5</formula2>
    </dataValidation>
    <dataValidation type="decimal" operator="greaterThanOrEqual" allowBlank="1" showInputMessage="1" showErrorMessage="1" sqref="Y433">
      <formula1>0</formula1>
    </dataValidation>
    <dataValidation type="whole" operator="greaterThanOrEqual" allowBlank="1" showInputMessage="1" showErrorMessage="1" sqref="Z433">
      <formula1>0</formula1>
    </dataValidation>
    <dataValidation type="whole" allowBlank="1" showInputMessage="1" showErrorMessage="1" sqref="AA433">
      <formula1>1</formula1>
      <formula2>5</formula2>
    </dataValidation>
    <dataValidation type="decimal" allowBlank="1" showInputMessage="1" showErrorMessage="1" sqref="AB433">
      <formula1>0</formula1>
      <formula2>1</formula2>
    </dataValidation>
    <dataValidation type="list" allowBlank="1" showInputMessage="1" showErrorMessage="1" sqref="O433">
      <formula1>liste_statuts</formula1>
    </dataValidation>
    <dataValidation type="list" allowBlank="1" showInputMessage="1" showErrorMessage="1" sqref="B434">
      <formula1>liste_programmes</formula1>
    </dataValidation>
    <dataValidation type="list" allowBlank="1" showInputMessage="1" showErrorMessage="1" sqref="D434">
      <formula1>liste_types</formula1>
    </dataValidation>
    <dataValidation type="list" allowBlank="1" showInputMessage="1" showErrorMessage="1" sqref="F434">
      <formula1>liste_categories</formula1>
    </dataValidation>
    <dataValidation type="list" allowBlank="1" showInputMessage="1" showErrorMessage="1" sqref="G434">
      <formula1>liste_responsables</formula1>
    </dataValidation>
    <dataValidation type="list" allowBlank="1" showInputMessage="1" showErrorMessage="1" sqref="H434">
      <formula1>liste_sites</formula1>
    </dataValidation>
    <dataValidation type="list" allowBlank="1" showInputMessage="1" showErrorMessage="1" sqref="I434">
      <formula1>liste_priorites</formula1>
    </dataValidation>
    <dataValidation type="date" operator="greaterThanOrEqual" allowBlank="1" showInputMessage="1" showErrorMessage="1" sqref="J434">
      <formula1>730120</formula1>
    </dataValidation>
    <dataValidation type="date" operator="greaterThanOrEqual" allowBlank="1" showInputMessage="1" showErrorMessage="1" sqref="K434">
      <formula1>730120</formula1>
    </dataValidation>
    <dataValidation type="date" operator="greaterThanOrEqual" allowBlank="1" showInputMessage="1" showErrorMessage="1" sqref="L434">
      <formula1>730120</formula1>
    </dataValidation>
    <dataValidation type="whole" allowBlank="1" showInputMessage="1" showErrorMessage="1" sqref="P434">
      <formula1>0</formula1>
      <formula2>100</formula2>
    </dataValidation>
    <dataValidation type="decimal" operator="greaterThanOrEqual" allowBlank="1" showInputMessage="1" showErrorMessage="1" sqref="Q434">
      <formula1>0</formula1>
    </dataValidation>
    <dataValidation type="decimal" operator="greaterThanOrEqual" allowBlank="1" showInputMessage="1" showErrorMessage="1" sqref="R434">
      <formula1>0</formula1>
    </dataValidation>
    <dataValidation type="whole" allowBlank="1" showInputMessage="1" showErrorMessage="1" sqref="U434">
      <formula1>1</formula1>
      <formula2>5</formula2>
    </dataValidation>
    <dataValidation type="whole" allowBlank="1" showInputMessage="1" showErrorMessage="1" sqref="V434">
      <formula1>1</formula1>
      <formula2>5</formula2>
    </dataValidation>
    <dataValidation type="whole" allowBlank="1" showInputMessage="1" showErrorMessage="1" sqref="X434">
      <formula1>1</formula1>
      <formula2>5</formula2>
    </dataValidation>
    <dataValidation type="decimal" operator="greaterThanOrEqual" allowBlank="1" showInputMessage="1" showErrorMessage="1" sqref="Y434">
      <formula1>0</formula1>
    </dataValidation>
    <dataValidation type="whole" operator="greaterThanOrEqual" allowBlank="1" showInputMessage="1" showErrorMessage="1" sqref="Z434">
      <formula1>0</formula1>
    </dataValidation>
    <dataValidation type="whole" allowBlank="1" showInputMessage="1" showErrorMessage="1" sqref="AA434">
      <formula1>1</formula1>
      <formula2>5</formula2>
    </dataValidation>
    <dataValidation type="decimal" allowBlank="1" showInputMessage="1" showErrorMessage="1" sqref="AB434">
      <formula1>0</formula1>
      <formula2>1</formula2>
    </dataValidation>
    <dataValidation type="list" allowBlank="1" showInputMessage="1" showErrorMessage="1" sqref="O434">
      <formula1>liste_statuts</formula1>
    </dataValidation>
    <dataValidation type="list" allowBlank="1" showInputMessage="1" showErrorMessage="1" sqref="B435">
      <formula1>liste_programmes</formula1>
    </dataValidation>
    <dataValidation type="list" allowBlank="1" showInputMessage="1" showErrorMessage="1" sqref="D435">
      <formula1>liste_types</formula1>
    </dataValidation>
    <dataValidation type="list" allowBlank="1" showInputMessage="1" showErrorMessage="1" sqref="F435">
      <formula1>liste_categories</formula1>
    </dataValidation>
    <dataValidation type="list" allowBlank="1" showInputMessage="1" showErrorMessage="1" sqref="G435">
      <formula1>liste_responsables</formula1>
    </dataValidation>
    <dataValidation type="list" allowBlank="1" showInputMessage="1" showErrorMessage="1" sqref="H435">
      <formula1>liste_sites</formula1>
    </dataValidation>
    <dataValidation type="list" allowBlank="1" showInputMessage="1" showErrorMessage="1" sqref="I435">
      <formula1>liste_priorites</formula1>
    </dataValidation>
    <dataValidation type="date" operator="greaterThanOrEqual" allowBlank="1" showInputMessage="1" showErrorMessage="1" sqref="J435">
      <formula1>730120</formula1>
    </dataValidation>
    <dataValidation type="date" operator="greaterThanOrEqual" allowBlank="1" showInputMessage="1" showErrorMessage="1" sqref="K435">
      <formula1>730120</formula1>
    </dataValidation>
    <dataValidation type="date" operator="greaterThanOrEqual" allowBlank="1" showInputMessage="1" showErrorMessage="1" sqref="L435">
      <formula1>730120</formula1>
    </dataValidation>
    <dataValidation type="whole" allowBlank="1" showInputMessage="1" showErrorMessage="1" sqref="P435">
      <formula1>0</formula1>
      <formula2>100</formula2>
    </dataValidation>
    <dataValidation type="decimal" operator="greaterThanOrEqual" allowBlank="1" showInputMessage="1" showErrorMessage="1" sqref="Q435">
      <formula1>0</formula1>
    </dataValidation>
    <dataValidation type="decimal" operator="greaterThanOrEqual" allowBlank="1" showInputMessage="1" showErrorMessage="1" sqref="R435">
      <formula1>0</formula1>
    </dataValidation>
    <dataValidation type="whole" allowBlank="1" showInputMessage="1" showErrorMessage="1" sqref="U435">
      <formula1>1</formula1>
      <formula2>5</formula2>
    </dataValidation>
    <dataValidation type="whole" allowBlank="1" showInputMessage="1" showErrorMessage="1" sqref="V435">
      <formula1>1</formula1>
      <formula2>5</formula2>
    </dataValidation>
    <dataValidation type="whole" allowBlank="1" showInputMessage="1" showErrorMessage="1" sqref="X435">
      <formula1>1</formula1>
      <formula2>5</formula2>
    </dataValidation>
    <dataValidation type="decimal" operator="greaterThanOrEqual" allowBlank="1" showInputMessage="1" showErrorMessage="1" sqref="Y435">
      <formula1>0</formula1>
    </dataValidation>
    <dataValidation type="whole" operator="greaterThanOrEqual" allowBlank="1" showInputMessage="1" showErrorMessage="1" sqref="Z435">
      <formula1>0</formula1>
    </dataValidation>
    <dataValidation type="whole" allowBlank="1" showInputMessage="1" showErrorMessage="1" sqref="AA435">
      <formula1>1</formula1>
      <formula2>5</formula2>
    </dataValidation>
    <dataValidation type="decimal" allowBlank="1" showInputMessage="1" showErrorMessage="1" sqref="AB435">
      <formula1>0</formula1>
      <formula2>1</formula2>
    </dataValidation>
    <dataValidation type="list" allowBlank="1" showInputMessage="1" showErrorMessage="1" sqref="O435">
      <formula1>liste_statuts</formula1>
    </dataValidation>
    <dataValidation type="list" allowBlank="1" showInputMessage="1" showErrorMessage="1" sqref="B436">
      <formula1>liste_programmes</formula1>
    </dataValidation>
    <dataValidation type="list" allowBlank="1" showInputMessage="1" showErrorMessage="1" sqref="D436">
      <formula1>liste_types</formula1>
    </dataValidation>
    <dataValidation type="list" allowBlank="1" showInputMessage="1" showErrorMessage="1" sqref="F436">
      <formula1>liste_categories</formula1>
    </dataValidation>
    <dataValidation type="list" allowBlank="1" showInputMessage="1" showErrorMessage="1" sqref="G436">
      <formula1>liste_responsables</formula1>
    </dataValidation>
    <dataValidation type="list" allowBlank="1" showInputMessage="1" showErrorMessage="1" sqref="H436">
      <formula1>liste_sites</formula1>
    </dataValidation>
    <dataValidation type="list" allowBlank="1" showInputMessage="1" showErrorMessage="1" sqref="I436">
      <formula1>liste_priorites</formula1>
    </dataValidation>
    <dataValidation type="date" operator="greaterThanOrEqual" allowBlank="1" showInputMessage="1" showErrorMessage="1" sqref="J436">
      <formula1>730120</formula1>
    </dataValidation>
    <dataValidation type="date" operator="greaterThanOrEqual" allowBlank="1" showInputMessage="1" showErrorMessage="1" sqref="K436">
      <formula1>730120</formula1>
    </dataValidation>
    <dataValidation type="date" operator="greaterThanOrEqual" allowBlank="1" showInputMessage="1" showErrorMessage="1" sqref="L436">
      <formula1>730120</formula1>
    </dataValidation>
    <dataValidation type="whole" allowBlank="1" showInputMessage="1" showErrorMessage="1" sqref="P436">
      <formula1>0</formula1>
      <formula2>100</formula2>
    </dataValidation>
    <dataValidation type="decimal" operator="greaterThanOrEqual" allowBlank="1" showInputMessage="1" showErrorMessage="1" sqref="Q436">
      <formula1>0</formula1>
    </dataValidation>
    <dataValidation type="decimal" operator="greaterThanOrEqual" allowBlank="1" showInputMessage="1" showErrorMessage="1" sqref="R436">
      <formula1>0</formula1>
    </dataValidation>
    <dataValidation type="whole" allowBlank="1" showInputMessage="1" showErrorMessage="1" sqref="U436">
      <formula1>1</formula1>
      <formula2>5</formula2>
    </dataValidation>
    <dataValidation type="whole" allowBlank="1" showInputMessage="1" showErrorMessage="1" sqref="V436">
      <formula1>1</formula1>
      <formula2>5</formula2>
    </dataValidation>
    <dataValidation type="whole" allowBlank="1" showInputMessage="1" showErrorMessage="1" sqref="X436">
      <formula1>1</formula1>
      <formula2>5</formula2>
    </dataValidation>
    <dataValidation type="decimal" operator="greaterThanOrEqual" allowBlank="1" showInputMessage="1" showErrorMessage="1" sqref="Y436">
      <formula1>0</formula1>
    </dataValidation>
    <dataValidation type="whole" operator="greaterThanOrEqual" allowBlank="1" showInputMessage="1" showErrorMessage="1" sqref="Z436">
      <formula1>0</formula1>
    </dataValidation>
    <dataValidation type="whole" allowBlank="1" showInputMessage="1" showErrorMessage="1" sqref="AA436">
      <formula1>1</formula1>
      <formula2>5</formula2>
    </dataValidation>
    <dataValidation type="decimal" allowBlank="1" showInputMessage="1" showErrorMessage="1" sqref="AB436">
      <formula1>0</formula1>
      <formula2>1</formula2>
    </dataValidation>
    <dataValidation type="list" allowBlank="1" showInputMessage="1" showErrorMessage="1" sqref="O436">
      <formula1>liste_statuts</formula1>
    </dataValidation>
    <dataValidation type="list" allowBlank="1" showInputMessage="1" showErrorMessage="1" sqref="B437">
      <formula1>liste_programmes</formula1>
    </dataValidation>
    <dataValidation type="list" allowBlank="1" showInputMessage="1" showErrorMessage="1" sqref="D437">
      <formula1>liste_types</formula1>
    </dataValidation>
    <dataValidation type="list" allowBlank="1" showInputMessage="1" showErrorMessage="1" sqref="F437">
      <formula1>liste_categories</formula1>
    </dataValidation>
    <dataValidation type="list" allowBlank="1" showInputMessage="1" showErrorMessage="1" sqref="G437">
      <formula1>liste_responsables</formula1>
    </dataValidation>
    <dataValidation type="list" allowBlank="1" showInputMessage="1" showErrorMessage="1" sqref="H437">
      <formula1>liste_sites</formula1>
    </dataValidation>
    <dataValidation type="list" allowBlank="1" showInputMessage="1" showErrorMessage="1" sqref="I437">
      <formula1>liste_priorites</formula1>
    </dataValidation>
    <dataValidation type="date" operator="greaterThanOrEqual" allowBlank="1" showInputMessage="1" showErrorMessage="1" sqref="J437">
      <formula1>730120</formula1>
    </dataValidation>
    <dataValidation type="date" operator="greaterThanOrEqual" allowBlank="1" showInputMessage="1" showErrorMessage="1" sqref="K437">
      <formula1>730120</formula1>
    </dataValidation>
    <dataValidation type="date" operator="greaterThanOrEqual" allowBlank="1" showInputMessage="1" showErrorMessage="1" sqref="L437">
      <formula1>730120</formula1>
    </dataValidation>
    <dataValidation type="whole" allowBlank="1" showInputMessage="1" showErrorMessage="1" sqref="P437">
      <formula1>0</formula1>
      <formula2>100</formula2>
    </dataValidation>
    <dataValidation type="decimal" operator="greaterThanOrEqual" allowBlank="1" showInputMessage="1" showErrorMessage="1" sqref="Q437">
      <formula1>0</formula1>
    </dataValidation>
    <dataValidation type="decimal" operator="greaterThanOrEqual" allowBlank="1" showInputMessage="1" showErrorMessage="1" sqref="R437">
      <formula1>0</formula1>
    </dataValidation>
    <dataValidation type="whole" allowBlank="1" showInputMessage="1" showErrorMessage="1" sqref="U437">
      <formula1>1</formula1>
      <formula2>5</formula2>
    </dataValidation>
    <dataValidation type="whole" allowBlank="1" showInputMessage="1" showErrorMessage="1" sqref="V437">
      <formula1>1</formula1>
      <formula2>5</formula2>
    </dataValidation>
    <dataValidation type="whole" allowBlank="1" showInputMessage="1" showErrorMessage="1" sqref="X437">
      <formula1>1</formula1>
      <formula2>5</formula2>
    </dataValidation>
    <dataValidation type="decimal" operator="greaterThanOrEqual" allowBlank="1" showInputMessage="1" showErrorMessage="1" sqref="Y437">
      <formula1>0</formula1>
    </dataValidation>
    <dataValidation type="whole" operator="greaterThanOrEqual" allowBlank="1" showInputMessage="1" showErrorMessage="1" sqref="Z437">
      <formula1>0</formula1>
    </dataValidation>
    <dataValidation type="whole" allowBlank="1" showInputMessage="1" showErrorMessage="1" sqref="AA437">
      <formula1>1</formula1>
      <formula2>5</formula2>
    </dataValidation>
    <dataValidation type="decimal" allowBlank="1" showInputMessage="1" showErrorMessage="1" sqref="AB437">
      <formula1>0</formula1>
      <formula2>1</formula2>
    </dataValidation>
    <dataValidation type="list" allowBlank="1" showInputMessage="1" showErrorMessage="1" sqref="O437">
      <formula1>liste_statuts</formula1>
    </dataValidation>
    <dataValidation type="list" allowBlank="1" showInputMessage="1" showErrorMessage="1" sqref="B438">
      <formula1>liste_programmes</formula1>
    </dataValidation>
    <dataValidation type="list" allowBlank="1" showInputMessage="1" showErrorMessage="1" sqref="D438">
      <formula1>liste_types</formula1>
    </dataValidation>
    <dataValidation type="list" allowBlank="1" showInputMessage="1" showErrorMessage="1" sqref="F438">
      <formula1>liste_categories</formula1>
    </dataValidation>
    <dataValidation type="list" allowBlank="1" showInputMessage="1" showErrorMessage="1" sqref="G438">
      <formula1>liste_responsables</formula1>
    </dataValidation>
    <dataValidation type="list" allowBlank="1" showInputMessage="1" showErrorMessage="1" sqref="H438">
      <formula1>liste_sites</formula1>
    </dataValidation>
    <dataValidation type="list" allowBlank="1" showInputMessage="1" showErrorMessage="1" sqref="I438">
      <formula1>liste_priorites</formula1>
    </dataValidation>
    <dataValidation type="date" operator="greaterThanOrEqual" allowBlank="1" showInputMessage="1" showErrorMessage="1" sqref="J438">
      <formula1>730120</formula1>
    </dataValidation>
    <dataValidation type="date" operator="greaterThanOrEqual" allowBlank="1" showInputMessage="1" showErrorMessage="1" sqref="K438">
      <formula1>730120</formula1>
    </dataValidation>
    <dataValidation type="date" operator="greaterThanOrEqual" allowBlank="1" showInputMessage="1" showErrorMessage="1" sqref="L438">
      <formula1>730120</formula1>
    </dataValidation>
    <dataValidation type="whole" allowBlank="1" showInputMessage="1" showErrorMessage="1" sqref="P438">
      <formula1>0</formula1>
      <formula2>100</formula2>
    </dataValidation>
    <dataValidation type="decimal" operator="greaterThanOrEqual" allowBlank="1" showInputMessage="1" showErrorMessage="1" sqref="Q438">
      <formula1>0</formula1>
    </dataValidation>
    <dataValidation type="decimal" operator="greaterThanOrEqual" allowBlank="1" showInputMessage="1" showErrorMessage="1" sqref="R438">
      <formula1>0</formula1>
    </dataValidation>
    <dataValidation type="whole" allowBlank="1" showInputMessage="1" showErrorMessage="1" sqref="U438">
      <formula1>1</formula1>
      <formula2>5</formula2>
    </dataValidation>
    <dataValidation type="whole" allowBlank="1" showInputMessage="1" showErrorMessage="1" sqref="V438">
      <formula1>1</formula1>
      <formula2>5</formula2>
    </dataValidation>
    <dataValidation type="whole" allowBlank="1" showInputMessage="1" showErrorMessage="1" sqref="X438">
      <formula1>1</formula1>
      <formula2>5</formula2>
    </dataValidation>
    <dataValidation type="decimal" operator="greaterThanOrEqual" allowBlank="1" showInputMessage="1" showErrorMessage="1" sqref="Y438">
      <formula1>0</formula1>
    </dataValidation>
    <dataValidation type="whole" operator="greaterThanOrEqual" allowBlank="1" showInputMessage="1" showErrorMessage="1" sqref="Z438">
      <formula1>0</formula1>
    </dataValidation>
    <dataValidation type="whole" allowBlank="1" showInputMessage="1" showErrorMessage="1" sqref="AA438">
      <formula1>1</formula1>
      <formula2>5</formula2>
    </dataValidation>
    <dataValidation type="decimal" allowBlank="1" showInputMessage="1" showErrorMessage="1" sqref="AB438">
      <formula1>0</formula1>
      <formula2>1</formula2>
    </dataValidation>
    <dataValidation type="list" allowBlank="1" showInputMessage="1" showErrorMessage="1" sqref="O438">
      <formula1>liste_statuts</formula1>
    </dataValidation>
    <dataValidation type="list" allowBlank="1" showInputMessage="1" showErrorMessage="1" sqref="B439">
      <formula1>liste_programmes</formula1>
    </dataValidation>
    <dataValidation type="list" allowBlank="1" showInputMessage="1" showErrorMessage="1" sqref="D439">
      <formula1>liste_types</formula1>
    </dataValidation>
    <dataValidation type="list" allowBlank="1" showInputMessage="1" showErrorMessage="1" sqref="F439">
      <formula1>liste_categories</formula1>
    </dataValidation>
    <dataValidation type="list" allowBlank="1" showInputMessage="1" showErrorMessage="1" sqref="G439">
      <formula1>liste_responsables</formula1>
    </dataValidation>
    <dataValidation type="list" allowBlank="1" showInputMessage="1" showErrorMessage="1" sqref="H439">
      <formula1>liste_sites</formula1>
    </dataValidation>
    <dataValidation type="list" allowBlank="1" showInputMessage="1" showErrorMessage="1" sqref="I439">
      <formula1>liste_priorites</formula1>
    </dataValidation>
    <dataValidation type="date" operator="greaterThanOrEqual" allowBlank="1" showInputMessage="1" showErrorMessage="1" sqref="J439">
      <formula1>730120</formula1>
    </dataValidation>
    <dataValidation type="date" operator="greaterThanOrEqual" allowBlank="1" showInputMessage="1" showErrorMessage="1" sqref="K439">
      <formula1>730120</formula1>
    </dataValidation>
    <dataValidation type="date" operator="greaterThanOrEqual" allowBlank="1" showInputMessage="1" showErrorMessage="1" sqref="L439">
      <formula1>730120</formula1>
    </dataValidation>
    <dataValidation type="whole" allowBlank="1" showInputMessage="1" showErrorMessage="1" sqref="P439">
      <formula1>0</formula1>
      <formula2>100</formula2>
    </dataValidation>
    <dataValidation type="decimal" operator="greaterThanOrEqual" allowBlank="1" showInputMessage="1" showErrorMessage="1" sqref="Q439">
      <formula1>0</formula1>
    </dataValidation>
    <dataValidation type="decimal" operator="greaterThanOrEqual" allowBlank="1" showInputMessage="1" showErrorMessage="1" sqref="R439">
      <formula1>0</formula1>
    </dataValidation>
    <dataValidation type="whole" allowBlank="1" showInputMessage="1" showErrorMessage="1" sqref="U439">
      <formula1>1</formula1>
      <formula2>5</formula2>
    </dataValidation>
    <dataValidation type="whole" allowBlank="1" showInputMessage="1" showErrorMessage="1" sqref="V439">
      <formula1>1</formula1>
      <formula2>5</formula2>
    </dataValidation>
    <dataValidation type="whole" allowBlank="1" showInputMessage="1" showErrorMessage="1" sqref="X439">
      <formula1>1</formula1>
      <formula2>5</formula2>
    </dataValidation>
    <dataValidation type="decimal" operator="greaterThanOrEqual" allowBlank="1" showInputMessage="1" showErrorMessage="1" sqref="Y439">
      <formula1>0</formula1>
    </dataValidation>
    <dataValidation type="whole" operator="greaterThanOrEqual" allowBlank="1" showInputMessage="1" showErrorMessage="1" sqref="Z439">
      <formula1>0</formula1>
    </dataValidation>
    <dataValidation type="whole" allowBlank="1" showInputMessage="1" showErrorMessage="1" sqref="AA439">
      <formula1>1</formula1>
      <formula2>5</formula2>
    </dataValidation>
    <dataValidation type="decimal" allowBlank="1" showInputMessage="1" showErrorMessage="1" sqref="AB439">
      <formula1>0</formula1>
      <formula2>1</formula2>
    </dataValidation>
    <dataValidation type="list" allowBlank="1" showInputMessage="1" showErrorMessage="1" sqref="O439">
      <formula1>liste_statuts</formula1>
    </dataValidation>
    <dataValidation type="list" allowBlank="1" showInputMessage="1" showErrorMessage="1" sqref="B440">
      <formula1>liste_programmes</formula1>
    </dataValidation>
    <dataValidation type="list" allowBlank="1" showInputMessage="1" showErrorMessage="1" sqref="D440">
      <formula1>liste_types</formula1>
    </dataValidation>
    <dataValidation type="list" allowBlank="1" showInputMessage="1" showErrorMessage="1" sqref="F440">
      <formula1>liste_categories</formula1>
    </dataValidation>
    <dataValidation type="list" allowBlank="1" showInputMessage="1" showErrorMessage="1" sqref="G440">
      <formula1>liste_responsables</formula1>
    </dataValidation>
    <dataValidation type="list" allowBlank="1" showInputMessage="1" showErrorMessage="1" sqref="H440">
      <formula1>liste_sites</formula1>
    </dataValidation>
    <dataValidation type="list" allowBlank="1" showInputMessage="1" showErrorMessage="1" sqref="I440">
      <formula1>liste_priorites</formula1>
    </dataValidation>
    <dataValidation type="date" operator="greaterThanOrEqual" allowBlank="1" showInputMessage="1" showErrorMessage="1" sqref="J440">
      <formula1>730120</formula1>
    </dataValidation>
    <dataValidation type="date" operator="greaterThanOrEqual" allowBlank="1" showInputMessage="1" showErrorMessage="1" sqref="K440">
      <formula1>730120</formula1>
    </dataValidation>
    <dataValidation type="date" operator="greaterThanOrEqual" allowBlank="1" showInputMessage="1" showErrorMessage="1" sqref="L440">
      <formula1>730120</formula1>
    </dataValidation>
    <dataValidation type="whole" allowBlank="1" showInputMessage="1" showErrorMessage="1" sqref="P440">
      <formula1>0</formula1>
      <formula2>100</formula2>
    </dataValidation>
    <dataValidation type="decimal" operator="greaterThanOrEqual" allowBlank="1" showInputMessage="1" showErrorMessage="1" sqref="Q440">
      <formula1>0</formula1>
    </dataValidation>
    <dataValidation type="decimal" operator="greaterThanOrEqual" allowBlank="1" showInputMessage="1" showErrorMessage="1" sqref="R440">
      <formula1>0</formula1>
    </dataValidation>
    <dataValidation type="whole" allowBlank="1" showInputMessage="1" showErrorMessage="1" sqref="U440">
      <formula1>1</formula1>
      <formula2>5</formula2>
    </dataValidation>
    <dataValidation type="whole" allowBlank="1" showInputMessage="1" showErrorMessage="1" sqref="V440">
      <formula1>1</formula1>
      <formula2>5</formula2>
    </dataValidation>
    <dataValidation type="whole" allowBlank="1" showInputMessage="1" showErrorMessage="1" sqref="X440">
      <formula1>1</formula1>
      <formula2>5</formula2>
    </dataValidation>
    <dataValidation type="decimal" operator="greaterThanOrEqual" allowBlank="1" showInputMessage="1" showErrorMessage="1" sqref="Y440">
      <formula1>0</formula1>
    </dataValidation>
    <dataValidation type="whole" operator="greaterThanOrEqual" allowBlank="1" showInputMessage="1" showErrorMessage="1" sqref="Z440">
      <formula1>0</formula1>
    </dataValidation>
    <dataValidation type="whole" allowBlank="1" showInputMessage="1" showErrorMessage="1" sqref="AA440">
      <formula1>1</formula1>
      <formula2>5</formula2>
    </dataValidation>
    <dataValidation type="decimal" allowBlank="1" showInputMessage="1" showErrorMessage="1" sqref="AB440">
      <formula1>0</formula1>
      <formula2>1</formula2>
    </dataValidation>
    <dataValidation type="list" allowBlank="1" showInputMessage="1" showErrorMessage="1" sqref="O440">
      <formula1>liste_statuts</formula1>
    </dataValidation>
    <dataValidation type="list" allowBlank="1" showInputMessage="1" showErrorMessage="1" sqref="B441">
      <formula1>liste_programmes</formula1>
    </dataValidation>
    <dataValidation type="list" allowBlank="1" showInputMessage="1" showErrorMessage="1" sqref="D441">
      <formula1>liste_types</formula1>
    </dataValidation>
    <dataValidation type="list" allowBlank="1" showInputMessage="1" showErrorMessage="1" sqref="F441">
      <formula1>liste_categories</formula1>
    </dataValidation>
    <dataValidation type="list" allowBlank="1" showInputMessage="1" showErrorMessage="1" sqref="G441">
      <formula1>liste_responsables</formula1>
    </dataValidation>
    <dataValidation type="list" allowBlank="1" showInputMessage="1" showErrorMessage="1" sqref="H441">
      <formula1>liste_sites</formula1>
    </dataValidation>
    <dataValidation type="list" allowBlank="1" showInputMessage="1" showErrorMessage="1" sqref="I441">
      <formula1>liste_priorites</formula1>
    </dataValidation>
    <dataValidation type="date" operator="greaterThanOrEqual" allowBlank="1" showInputMessage="1" showErrorMessage="1" sqref="J441">
      <formula1>730120</formula1>
    </dataValidation>
    <dataValidation type="date" operator="greaterThanOrEqual" allowBlank="1" showInputMessage="1" showErrorMessage="1" sqref="K441">
      <formula1>730120</formula1>
    </dataValidation>
    <dataValidation type="date" operator="greaterThanOrEqual" allowBlank="1" showInputMessage="1" showErrorMessage="1" sqref="L441">
      <formula1>730120</formula1>
    </dataValidation>
    <dataValidation type="whole" allowBlank="1" showInputMessage="1" showErrorMessage="1" sqref="P441">
      <formula1>0</formula1>
      <formula2>100</formula2>
    </dataValidation>
    <dataValidation type="decimal" operator="greaterThanOrEqual" allowBlank="1" showInputMessage="1" showErrorMessage="1" sqref="Q441">
      <formula1>0</formula1>
    </dataValidation>
    <dataValidation type="decimal" operator="greaterThanOrEqual" allowBlank="1" showInputMessage="1" showErrorMessage="1" sqref="R441">
      <formula1>0</formula1>
    </dataValidation>
    <dataValidation type="whole" allowBlank="1" showInputMessage="1" showErrorMessage="1" sqref="U441">
      <formula1>1</formula1>
      <formula2>5</formula2>
    </dataValidation>
    <dataValidation type="whole" allowBlank="1" showInputMessage="1" showErrorMessage="1" sqref="V441">
      <formula1>1</formula1>
      <formula2>5</formula2>
    </dataValidation>
    <dataValidation type="whole" allowBlank="1" showInputMessage="1" showErrorMessage="1" sqref="X441">
      <formula1>1</formula1>
      <formula2>5</formula2>
    </dataValidation>
    <dataValidation type="decimal" operator="greaterThanOrEqual" allowBlank="1" showInputMessage="1" showErrorMessage="1" sqref="Y441">
      <formula1>0</formula1>
    </dataValidation>
    <dataValidation type="whole" operator="greaterThanOrEqual" allowBlank="1" showInputMessage="1" showErrorMessage="1" sqref="Z441">
      <formula1>0</formula1>
    </dataValidation>
    <dataValidation type="whole" allowBlank="1" showInputMessage="1" showErrorMessage="1" sqref="AA441">
      <formula1>1</formula1>
      <formula2>5</formula2>
    </dataValidation>
    <dataValidation type="decimal" allowBlank="1" showInputMessage="1" showErrorMessage="1" sqref="AB441">
      <formula1>0</formula1>
      <formula2>1</formula2>
    </dataValidation>
    <dataValidation type="list" allowBlank="1" showInputMessage="1" showErrorMessage="1" sqref="O441">
      <formula1>liste_statuts</formula1>
    </dataValidation>
    <dataValidation type="list" allowBlank="1" showInputMessage="1" showErrorMessage="1" sqref="B442">
      <formula1>liste_programmes</formula1>
    </dataValidation>
    <dataValidation type="list" allowBlank="1" showInputMessage="1" showErrorMessage="1" sqref="D442">
      <formula1>liste_types</formula1>
    </dataValidation>
    <dataValidation type="list" allowBlank="1" showInputMessage="1" showErrorMessage="1" sqref="F442">
      <formula1>liste_categories</formula1>
    </dataValidation>
    <dataValidation type="list" allowBlank="1" showInputMessage="1" showErrorMessage="1" sqref="G442">
      <formula1>liste_responsables</formula1>
    </dataValidation>
    <dataValidation type="list" allowBlank="1" showInputMessage="1" showErrorMessage="1" sqref="H442">
      <formula1>liste_sites</formula1>
    </dataValidation>
    <dataValidation type="list" allowBlank="1" showInputMessage="1" showErrorMessage="1" sqref="I442">
      <formula1>liste_priorites</formula1>
    </dataValidation>
    <dataValidation type="date" operator="greaterThanOrEqual" allowBlank="1" showInputMessage="1" showErrorMessage="1" sqref="J442">
      <formula1>730120</formula1>
    </dataValidation>
    <dataValidation type="date" operator="greaterThanOrEqual" allowBlank="1" showInputMessage="1" showErrorMessage="1" sqref="K442">
      <formula1>730120</formula1>
    </dataValidation>
    <dataValidation type="date" operator="greaterThanOrEqual" allowBlank="1" showInputMessage="1" showErrorMessage="1" sqref="L442">
      <formula1>730120</formula1>
    </dataValidation>
    <dataValidation type="whole" allowBlank="1" showInputMessage="1" showErrorMessage="1" sqref="P442">
      <formula1>0</formula1>
      <formula2>100</formula2>
    </dataValidation>
    <dataValidation type="decimal" operator="greaterThanOrEqual" allowBlank="1" showInputMessage="1" showErrorMessage="1" sqref="Q442">
      <formula1>0</formula1>
    </dataValidation>
    <dataValidation type="decimal" operator="greaterThanOrEqual" allowBlank="1" showInputMessage="1" showErrorMessage="1" sqref="R442">
      <formula1>0</formula1>
    </dataValidation>
    <dataValidation type="whole" allowBlank="1" showInputMessage="1" showErrorMessage="1" sqref="U442">
      <formula1>1</formula1>
      <formula2>5</formula2>
    </dataValidation>
    <dataValidation type="whole" allowBlank="1" showInputMessage="1" showErrorMessage="1" sqref="V442">
      <formula1>1</formula1>
      <formula2>5</formula2>
    </dataValidation>
    <dataValidation type="whole" allowBlank="1" showInputMessage="1" showErrorMessage="1" sqref="X442">
      <formula1>1</formula1>
      <formula2>5</formula2>
    </dataValidation>
    <dataValidation type="decimal" operator="greaterThanOrEqual" allowBlank="1" showInputMessage="1" showErrorMessage="1" sqref="Y442">
      <formula1>0</formula1>
    </dataValidation>
    <dataValidation type="whole" operator="greaterThanOrEqual" allowBlank="1" showInputMessage="1" showErrorMessage="1" sqref="Z442">
      <formula1>0</formula1>
    </dataValidation>
    <dataValidation type="whole" allowBlank="1" showInputMessage="1" showErrorMessage="1" sqref="AA442">
      <formula1>1</formula1>
      <formula2>5</formula2>
    </dataValidation>
    <dataValidation type="decimal" allowBlank="1" showInputMessage="1" showErrorMessage="1" sqref="AB442">
      <formula1>0</formula1>
      <formula2>1</formula2>
    </dataValidation>
    <dataValidation type="list" allowBlank="1" showInputMessage="1" showErrorMessage="1" sqref="O442">
      <formula1>liste_statuts</formula1>
    </dataValidation>
    <dataValidation type="list" allowBlank="1" showInputMessage="1" showErrorMessage="1" sqref="B443">
      <formula1>liste_programmes</formula1>
    </dataValidation>
    <dataValidation type="list" allowBlank="1" showInputMessage="1" showErrorMessage="1" sqref="D443">
      <formula1>liste_types</formula1>
    </dataValidation>
    <dataValidation type="list" allowBlank="1" showInputMessage="1" showErrorMessage="1" sqref="F443">
      <formula1>liste_categories</formula1>
    </dataValidation>
    <dataValidation type="list" allowBlank="1" showInputMessage="1" showErrorMessage="1" sqref="G443">
      <formula1>liste_responsables</formula1>
    </dataValidation>
    <dataValidation type="list" allowBlank="1" showInputMessage="1" showErrorMessage="1" sqref="H443">
      <formula1>liste_sites</formula1>
    </dataValidation>
    <dataValidation type="list" allowBlank="1" showInputMessage="1" showErrorMessage="1" sqref="I443">
      <formula1>liste_priorites</formula1>
    </dataValidation>
    <dataValidation type="date" operator="greaterThanOrEqual" allowBlank="1" showInputMessage="1" showErrorMessage="1" sqref="J443">
      <formula1>730120</formula1>
    </dataValidation>
    <dataValidation type="date" operator="greaterThanOrEqual" allowBlank="1" showInputMessage="1" showErrorMessage="1" sqref="K443">
      <formula1>730120</formula1>
    </dataValidation>
    <dataValidation type="date" operator="greaterThanOrEqual" allowBlank="1" showInputMessage="1" showErrorMessage="1" sqref="L443">
      <formula1>730120</formula1>
    </dataValidation>
    <dataValidation type="whole" allowBlank="1" showInputMessage="1" showErrorMessage="1" sqref="P443">
      <formula1>0</formula1>
      <formula2>100</formula2>
    </dataValidation>
    <dataValidation type="decimal" operator="greaterThanOrEqual" allowBlank="1" showInputMessage="1" showErrorMessage="1" sqref="Q443">
      <formula1>0</formula1>
    </dataValidation>
    <dataValidation type="decimal" operator="greaterThanOrEqual" allowBlank="1" showInputMessage="1" showErrorMessage="1" sqref="R443">
      <formula1>0</formula1>
    </dataValidation>
    <dataValidation type="whole" allowBlank="1" showInputMessage="1" showErrorMessage="1" sqref="U443">
      <formula1>1</formula1>
      <formula2>5</formula2>
    </dataValidation>
    <dataValidation type="whole" allowBlank="1" showInputMessage="1" showErrorMessage="1" sqref="V443">
      <formula1>1</formula1>
      <formula2>5</formula2>
    </dataValidation>
    <dataValidation type="whole" allowBlank="1" showInputMessage="1" showErrorMessage="1" sqref="X443">
      <formula1>1</formula1>
      <formula2>5</formula2>
    </dataValidation>
    <dataValidation type="decimal" operator="greaterThanOrEqual" allowBlank="1" showInputMessage="1" showErrorMessage="1" sqref="Y443">
      <formula1>0</formula1>
    </dataValidation>
    <dataValidation type="whole" operator="greaterThanOrEqual" allowBlank="1" showInputMessage="1" showErrorMessage="1" sqref="Z443">
      <formula1>0</formula1>
    </dataValidation>
    <dataValidation type="whole" allowBlank="1" showInputMessage="1" showErrorMessage="1" sqref="AA443">
      <formula1>1</formula1>
      <formula2>5</formula2>
    </dataValidation>
    <dataValidation type="decimal" allowBlank="1" showInputMessage="1" showErrorMessage="1" sqref="AB443">
      <formula1>0</formula1>
      <formula2>1</formula2>
    </dataValidation>
    <dataValidation type="list" allowBlank="1" showInputMessage="1" showErrorMessage="1" sqref="O443">
      <formula1>liste_statuts</formula1>
    </dataValidation>
    <dataValidation type="list" allowBlank="1" showInputMessage="1" showErrorMessage="1" sqref="B444">
      <formula1>liste_programmes</formula1>
    </dataValidation>
    <dataValidation type="list" allowBlank="1" showInputMessage="1" showErrorMessage="1" sqref="D444">
      <formula1>liste_types</formula1>
    </dataValidation>
    <dataValidation type="list" allowBlank="1" showInputMessage="1" showErrorMessage="1" sqref="F444">
      <formula1>liste_categories</formula1>
    </dataValidation>
    <dataValidation type="list" allowBlank="1" showInputMessage="1" showErrorMessage="1" sqref="G444">
      <formula1>liste_responsables</formula1>
    </dataValidation>
    <dataValidation type="list" allowBlank="1" showInputMessage="1" showErrorMessage="1" sqref="H444">
      <formula1>liste_sites</formula1>
    </dataValidation>
    <dataValidation type="list" allowBlank="1" showInputMessage="1" showErrorMessage="1" sqref="I444">
      <formula1>liste_priorites</formula1>
    </dataValidation>
    <dataValidation type="date" operator="greaterThanOrEqual" allowBlank="1" showInputMessage="1" showErrorMessage="1" sqref="J444">
      <formula1>730120</formula1>
    </dataValidation>
    <dataValidation type="date" operator="greaterThanOrEqual" allowBlank="1" showInputMessage="1" showErrorMessage="1" sqref="K444">
      <formula1>730120</formula1>
    </dataValidation>
    <dataValidation type="date" operator="greaterThanOrEqual" allowBlank="1" showInputMessage="1" showErrorMessage="1" sqref="L444">
      <formula1>730120</formula1>
    </dataValidation>
    <dataValidation type="whole" allowBlank="1" showInputMessage="1" showErrorMessage="1" sqref="P444">
      <formula1>0</formula1>
      <formula2>100</formula2>
    </dataValidation>
    <dataValidation type="decimal" operator="greaterThanOrEqual" allowBlank="1" showInputMessage="1" showErrorMessage="1" sqref="Q444">
      <formula1>0</formula1>
    </dataValidation>
    <dataValidation type="decimal" operator="greaterThanOrEqual" allowBlank="1" showInputMessage="1" showErrorMessage="1" sqref="R444">
      <formula1>0</formula1>
    </dataValidation>
    <dataValidation type="whole" allowBlank="1" showInputMessage="1" showErrorMessage="1" sqref="U444">
      <formula1>1</formula1>
      <formula2>5</formula2>
    </dataValidation>
    <dataValidation type="whole" allowBlank="1" showInputMessage="1" showErrorMessage="1" sqref="V444">
      <formula1>1</formula1>
      <formula2>5</formula2>
    </dataValidation>
    <dataValidation type="whole" allowBlank="1" showInputMessage="1" showErrorMessage="1" sqref="X444">
      <formula1>1</formula1>
      <formula2>5</formula2>
    </dataValidation>
    <dataValidation type="decimal" operator="greaterThanOrEqual" allowBlank="1" showInputMessage="1" showErrorMessage="1" sqref="Y444">
      <formula1>0</formula1>
    </dataValidation>
    <dataValidation type="whole" operator="greaterThanOrEqual" allowBlank="1" showInputMessage="1" showErrorMessage="1" sqref="Z444">
      <formula1>0</formula1>
    </dataValidation>
    <dataValidation type="whole" allowBlank="1" showInputMessage="1" showErrorMessage="1" sqref="AA444">
      <formula1>1</formula1>
      <formula2>5</formula2>
    </dataValidation>
    <dataValidation type="decimal" allowBlank="1" showInputMessage="1" showErrorMessage="1" sqref="AB444">
      <formula1>0</formula1>
      <formula2>1</formula2>
    </dataValidation>
    <dataValidation type="list" allowBlank="1" showInputMessage="1" showErrorMessage="1" sqref="O444">
      <formula1>liste_statuts</formula1>
    </dataValidation>
    <dataValidation type="list" allowBlank="1" showInputMessage="1" showErrorMessage="1" sqref="B445">
      <formula1>liste_programmes</formula1>
    </dataValidation>
    <dataValidation type="list" allowBlank="1" showInputMessage="1" showErrorMessage="1" sqref="D445">
      <formula1>liste_types</formula1>
    </dataValidation>
    <dataValidation type="list" allowBlank="1" showInputMessage="1" showErrorMessage="1" sqref="F445">
      <formula1>liste_categories</formula1>
    </dataValidation>
    <dataValidation type="list" allowBlank="1" showInputMessage="1" showErrorMessage="1" sqref="G445">
      <formula1>liste_responsables</formula1>
    </dataValidation>
    <dataValidation type="list" allowBlank="1" showInputMessage="1" showErrorMessage="1" sqref="H445">
      <formula1>liste_sites</formula1>
    </dataValidation>
    <dataValidation type="list" allowBlank="1" showInputMessage="1" showErrorMessage="1" sqref="I445">
      <formula1>liste_priorites</formula1>
    </dataValidation>
    <dataValidation type="date" operator="greaterThanOrEqual" allowBlank="1" showInputMessage="1" showErrorMessage="1" sqref="J445">
      <formula1>730120</formula1>
    </dataValidation>
    <dataValidation type="date" operator="greaterThanOrEqual" allowBlank="1" showInputMessage="1" showErrorMessage="1" sqref="K445">
      <formula1>730120</formula1>
    </dataValidation>
    <dataValidation type="date" operator="greaterThanOrEqual" allowBlank="1" showInputMessage="1" showErrorMessage="1" sqref="L445">
      <formula1>730120</formula1>
    </dataValidation>
    <dataValidation type="whole" allowBlank="1" showInputMessage="1" showErrorMessage="1" sqref="P445">
      <formula1>0</formula1>
      <formula2>100</formula2>
    </dataValidation>
    <dataValidation type="decimal" operator="greaterThanOrEqual" allowBlank="1" showInputMessage="1" showErrorMessage="1" sqref="Q445">
      <formula1>0</formula1>
    </dataValidation>
    <dataValidation type="decimal" operator="greaterThanOrEqual" allowBlank="1" showInputMessage="1" showErrorMessage="1" sqref="R445">
      <formula1>0</formula1>
    </dataValidation>
    <dataValidation type="whole" allowBlank="1" showInputMessage="1" showErrorMessage="1" sqref="U445">
      <formula1>1</formula1>
      <formula2>5</formula2>
    </dataValidation>
    <dataValidation type="whole" allowBlank="1" showInputMessage="1" showErrorMessage="1" sqref="V445">
      <formula1>1</formula1>
      <formula2>5</formula2>
    </dataValidation>
    <dataValidation type="whole" allowBlank="1" showInputMessage="1" showErrorMessage="1" sqref="X445">
      <formula1>1</formula1>
      <formula2>5</formula2>
    </dataValidation>
    <dataValidation type="decimal" operator="greaterThanOrEqual" allowBlank="1" showInputMessage="1" showErrorMessage="1" sqref="Y445">
      <formula1>0</formula1>
    </dataValidation>
    <dataValidation type="whole" operator="greaterThanOrEqual" allowBlank="1" showInputMessage="1" showErrorMessage="1" sqref="Z445">
      <formula1>0</formula1>
    </dataValidation>
    <dataValidation type="whole" allowBlank="1" showInputMessage="1" showErrorMessage="1" sqref="AA445">
      <formula1>1</formula1>
      <formula2>5</formula2>
    </dataValidation>
    <dataValidation type="decimal" allowBlank="1" showInputMessage="1" showErrorMessage="1" sqref="AB445">
      <formula1>0</formula1>
      <formula2>1</formula2>
    </dataValidation>
    <dataValidation type="list" allowBlank="1" showInputMessage="1" showErrorMessage="1" sqref="O445">
      <formula1>liste_statuts</formula1>
    </dataValidation>
    <dataValidation type="list" allowBlank="1" showInputMessage="1" showErrorMessage="1" sqref="B446">
      <formula1>liste_programmes</formula1>
    </dataValidation>
    <dataValidation type="list" allowBlank="1" showInputMessage="1" showErrorMessage="1" sqref="D446">
      <formula1>liste_types</formula1>
    </dataValidation>
    <dataValidation type="list" allowBlank="1" showInputMessage="1" showErrorMessage="1" sqref="F446">
      <formula1>liste_categories</formula1>
    </dataValidation>
    <dataValidation type="list" allowBlank="1" showInputMessage="1" showErrorMessage="1" sqref="G446">
      <formula1>liste_responsables</formula1>
    </dataValidation>
    <dataValidation type="list" allowBlank="1" showInputMessage="1" showErrorMessage="1" sqref="H446">
      <formula1>liste_sites</formula1>
    </dataValidation>
    <dataValidation type="list" allowBlank="1" showInputMessage="1" showErrorMessage="1" sqref="I446">
      <formula1>liste_priorites</formula1>
    </dataValidation>
    <dataValidation type="date" operator="greaterThanOrEqual" allowBlank="1" showInputMessage="1" showErrorMessage="1" sqref="J446">
      <formula1>730120</formula1>
    </dataValidation>
    <dataValidation type="date" operator="greaterThanOrEqual" allowBlank="1" showInputMessage="1" showErrorMessage="1" sqref="K446">
      <formula1>730120</formula1>
    </dataValidation>
    <dataValidation type="date" operator="greaterThanOrEqual" allowBlank="1" showInputMessage="1" showErrorMessage="1" sqref="L446">
      <formula1>730120</formula1>
    </dataValidation>
    <dataValidation type="whole" allowBlank="1" showInputMessage="1" showErrorMessage="1" sqref="P446">
      <formula1>0</formula1>
      <formula2>100</formula2>
    </dataValidation>
    <dataValidation type="decimal" operator="greaterThanOrEqual" allowBlank="1" showInputMessage="1" showErrorMessage="1" sqref="Q446">
      <formula1>0</formula1>
    </dataValidation>
    <dataValidation type="decimal" operator="greaterThanOrEqual" allowBlank="1" showInputMessage="1" showErrorMessage="1" sqref="R446">
      <formula1>0</formula1>
    </dataValidation>
    <dataValidation type="whole" allowBlank="1" showInputMessage="1" showErrorMessage="1" sqref="U446">
      <formula1>1</formula1>
      <formula2>5</formula2>
    </dataValidation>
    <dataValidation type="whole" allowBlank="1" showInputMessage="1" showErrorMessage="1" sqref="V446">
      <formula1>1</formula1>
      <formula2>5</formula2>
    </dataValidation>
    <dataValidation type="whole" allowBlank="1" showInputMessage="1" showErrorMessage="1" sqref="X446">
      <formula1>1</formula1>
      <formula2>5</formula2>
    </dataValidation>
    <dataValidation type="decimal" operator="greaterThanOrEqual" allowBlank="1" showInputMessage="1" showErrorMessage="1" sqref="Y446">
      <formula1>0</formula1>
    </dataValidation>
    <dataValidation type="whole" operator="greaterThanOrEqual" allowBlank="1" showInputMessage="1" showErrorMessage="1" sqref="Z446">
      <formula1>0</formula1>
    </dataValidation>
    <dataValidation type="whole" allowBlank="1" showInputMessage="1" showErrorMessage="1" sqref="AA446">
      <formula1>1</formula1>
      <formula2>5</formula2>
    </dataValidation>
    <dataValidation type="decimal" allowBlank="1" showInputMessage="1" showErrorMessage="1" sqref="AB446">
      <formula1>0</formula1>
      <formula2>1</formula2>
    </dataValidation>
    <dataValidation type="list" allowBlank="1" showInputMessage="1" showErrorMessage="1" sqref="O446">
      <formula1>liste_statuts</formula1>
    </dataValidation>
    <dataValidation type="list" allowBlank="1" showInputMessage="1" showErrorMessage="1" sqref="B447">
      <formula1>liste_programmes</formula1>
    </dataValidation>
    <dataValidation type="list" allowBlank="1" showInputMessage="1" showErrorMessage="1" sqref="D447">
      <formula1>liste_types</formula1>
    </dataValidation>
    <dataValidation type="list" allowBlank="1" showInputMessage="1" showErrorMessage="1" sqref="F447">
      <formula1>liste_categories</formula1>
    </dataValidation>
    <dataValidation type="list" allowBlank="1" showInputMessage="1" showErrorMessage="1" sqref="G447">
      <formula1>liste_responsables</formula1>
    </dataValidation>
    <dataValidation type="list" allowBlank="1" showInputMessage="1" showErrorMessage="1" sqref="H447">
      <formula1>liste_sites</formula1>
    </dataValidation>
    <dataValidation type="list" allowBlank="1" showInputMessage="1" showErrorMessage="1" sqref="I447">
      <formula1>liste_priorites</formula1>
    </dataValidation>
    <dataValidation type="date" operator="greaterThanOrEqual" allowBlank="1" showInputMessage="1" showErrorMessage="1" sqref="J447">
      <formula1>730120</formula1>
    </dataValidation>
    <dataValidation type="date" operator="greaterThanOrEqual" allowBlank="1" showInputMessage="1" showErrorMessage="1" sqref="K447">
      <formula1>730120</formula1>
    </dataValidation>
    <dataValidation type="date" operator="greaterThanOrEqual" allowBlank="1" showInputMessage="1" showErrorMessage="1" sqref="L447">
      <formula1>730120</formula1>
    </dataValidation>
    <dataValidation type="whole" allowBlank="1" showInputMessage="1" showErrorMessage="1" sqref="P447">
      <formula1>0</formula1>
      <formula2>100</formula2>
    </dataValidation>
    <dataValidation type="decimal" operator="greaterThanOrEqual" allowBlank="1" showInputMessage="1" showErrorMessage="1" sqref="Q447">
      <formula1>0</formula1>
    </dataValidation>
    <dataValidation type="decimal" operator="greaterThanOrEqual" allowBlank="1" showInputMessage="1" showErrorMessage="1" sqref="R447">
      <formula1>0</formula1>
    </dataValidation>
    <dataValidation type="whole" allowBlank="1" showInputMessage="1" showErrorMessage="1" sqref="U447">
      <formula1>1</formula1>
      <formula2>5</formula2>
    </dataValidation>
    <dataValidation type="whole" allowBlank="1" showInputMessage="1" showErrorMessage="1" sqref="V447">
      <formula1>1</formula1>
      <formula2>5</formula2>
    </dataValidation>
    <dataValidation type="whole" allowBlank="1" showInputMessage="1" showErrorMessage="1" sqref="X447">
      <formula1>1</formula1>
      <formula2>5</formula2>
    </dataValidation>
    <dataValidation type="decimal" operator="greaterThanOrEqual" allowBlank="1" showInputMessage="1" showErrorMessage="1" sqref="Y447">
      <formula1>0</formula1>
    </dataValidation>
    <dataValidation type="whole" operator="greaterThanOrEqual" allowBlank="1" showInputMessage="1" showErrorMessage="1" sqref="Z447">
      <formula1>0</formula1>
    </dataValidation>
    <dataValidation type="whole" allowBlank="1" showInputMessage="1" showErrorMessage="1" sqref="AA447">
      <formula1>1</formula1>
      <formula2>5</formula2>
    </dataValidation>
    <dataValidation type="decimal" allowBlank="1" showInputMessage="1" showErrorMessage="1" sqref="AB447">
      <formula1>0</formula1>
      <formula2>1</formula2>
    </dataValidation>
    <dataValidation type="list" allowBlank="1" showInputMessage="1" showErrorMessage="1" sqref="O447">
      <formula1>liste_statuts</formula1>
    </dataValidation>
    <dataValidation type="list" allowBlank="1" showInputMessage="1" showErrorMessage="1" sqref="B448">
      <formula1>liste_programmes</formula1>
    </dataValidation>
    <dataValidation type="list" allowBlank="1" showInputMessage="1" showErrorMessage="1" sqref="D448">
      <formula1>liste_types</formula1>
    </dataValidation>
    <dataValidation type="list" allowBlank="1" showInputMessage="1" showErrorMessage="1" sqref="F448">
      <formula1>liste_categories</formula1>
    </dataValidation>
    <dataValidation type="list" allowBlank="1" showInputMessage="1" showErrorMessage="1" sqref="G448">
      <formula1>liste_responsables</formula1>
    </dataValidation>
    <dataValidation type="list" allowBlank="1" showInputMessage="1" showErrorMessage="1" sqref="H448">
      <formula1>liste_sites</formula1>
    </dataValidation>
    <dataValidation type="list" allowBlank="1" showInputMessage="1" showErrorMessage="1" sqref="I448">
      <formula1>liste_priorites</formula1>
    </dataValidation>
    <dataValidation type="date" operator="greaterThanOrEqual" allowBlank="1" showInputMessage="1" showErrorMessage="1" sqref="J448">
      <formula1>730120</formula1>
    </dataValidation>
    <dataValidation type="date" operator="greaterThanOrEqual" allowBlank="1" showInputMessage="1" showErrorMessage="1" sqref="K448">
      <formula1>730120</formula1>
    </dataValidation>
    <dataValidation type="date" operator="greaterThanOrEqual" allowBlank="1" showInputMessage="1" showErrorMessage="1" sqref="L448">
      <formula1>730120</formula1>
    </dataValidation>
    <dataValidation type="whole" allowBlank="1" showInputMessage="1" showErrorMessage="1" sqref="P448">
      <formula1>0</formula1>
      <formula2>100</formula2>
    </dataValidation>
    <dataValidation type="decimal" operator="greaterThanOrEqual" allowBlank="1" showInputMessage="1" showErrorMessage="1" sqref="Q448">
      <formula1>0</formula1>
    </dataValidation>
    <dataValidation type="decimal" operator="greaterThanOrEqual" allowBlank="1" showInputMessage="1" showErrorMessage="1" sqref="R448">
      <formula1>0</formula1>
    </dataValidation>
    <dataValidation type="whole" allowBlank="1" showInputMessage="1" showErrorMessage="1" sqref="U448">
      <formula1>1</formula1>
      <formula2>5</formula2>
    </dataValidation>
    <dataValidation type="whole" allowBlank="1" showInputMessage="1" showErrorMessage="1" sqref="V448">
      <formula1>1</formula1>
      <formula2>5</formula2>
    </dataValidation>
    <dataValidation type="whole" allowBlank="1" showInputMessage="1" showErrorMessage="1" sqref="X448">
      <formula1>1</formula1>
      <formula2>5</formula2>
    </dataValidation>
    <dataValidation type="decimal" operator="greaterThanOrEqual" allowBlank="1" showInputMessage="1" showErrorMessage="1" sqref="Y448">
      <formula1>0</formula1>
    </dataValidation>
    <dataValidation type="whole" operator="greaterThanOrEqual" allowBlank="1" showInputMessage="1" showErrorMessage="1" sqref="Z448">
      <formula1>0</formula1>
    </dataValidation>
    <dataValidation type="whole" allowBlank="1" showInputMessage="1" showErrorMessage="1" sqref="AA448">
      <formula1>1</formula1>
      <formula2>5</formula2>
    </dataValidation>
    <dataValidation type="decimal" allowBlank="1" showInputMessage="1" showErrorMessage="1" sqref="AB448">
      <formula1>0</formula1>
      <formula2>1</formula2>
    </dataValidation>
    <dataValidation type="list" allowBlank="1" showInputMessage="1" showErrorMessage="1" sqref="O448">
      <formula1>liste_statuts</formula1>
    </dataValidation>
    <dataValidation type="list" allowBlank="1" showInputMessage="1" showErrorMessage="1" sqref="B449">
      <formula1>liste_programmes</formula1>
    </dataValidation>
    <dataValidation type="list" allowBlank="1" showInputMessage="1" showErrorMessage="1" sqref="D449">
      <formula1>liste_types</formula1>
    </dataValidation>
    <dataValidation type="list" allowBlank="1" showInputMessage="1" showErrorMessage="1" sqref="F449">
      <formula1>liste_categories</formula1>
    </dataValidation>
    <dataValidation type="list" allowBlank="1" showInputMessage="1" showErrorMessage="1" sqref="G449">
      <formula1>liste_responsables</formula1>
    </dataValidation>
    <dataValidation type="list" allowBlank="1" showInputMessage="1" showErrorMessage="1" sqref="H449">
      <formula1>liste_sites</formula1>
    </dataValidation>
    <dataValidation type="list" allowBlank="1" showInputMessage="1" showErrorMessage="1" sqref="I449">
      <formula1>liste_priorites</formula1>
    </dataValidation>
    <dataValidation type="date" operator="greaterThanOrEqual" allowBlank="1" showInputMessage="1" showErrorMessage="1" sqref="J449">
      <formula1>730120</formula1>
    </dataValidation>
    <dataValidation type="date" operator="greaterThanOrEqual" allowBlank="1" showInputMessage="1" showErrorMessage="1" sqref="K449">
      <formula1>730120</formula1>
    </dataValidation>
    <dataValidation type="date" operator="greaterThanOrEqual" allowBlank="1" showInputMessage="1" showErrorMessage="1" sqref="L449">
      <formula1>730120</formula1>
    </dataValidation>
    <dataValidation type="whole" allowBlank="1" showInputMessage="1" showErrorMessage="1" sqref="P449">
      <formula1>0</formula1>
      <formula2>100</formula2>
    </dataValidation>
    <dataValidation type="decimal" operator="greaterThanOrEqual" allowBlank="1" showInputMessage="1" showErrorMessage="1" sqref="Q449">
      <formula1>0</formula1>
    </dataValidation>
    <dataValidation type="decimal" operator="greaterThanOrEqual" allowBlank="1" showInputMessage="1" showErrorMessage="1" sqref="R449">
      <formula1>0</formula1>
    </dataValidation>
    <dataValidation type="whole" allowBlank="1" showInputMessage="1" showErrorMessage="1" sqref="U449">
      <formula1>1</formula1>
      <formula2>5</formula2>
    </dataValidation>
    <dataValidation type="whole" allowBlank="1" showInputMessage="1" showErrorMessage="1" sqref="V449">
      <formula1>1</formula1>
      <formula2>5</formula2>
    </dataValidation>
    <dataValidation type="whole" allowBlank="1" showInputMessage="1" showErrorMessage="1" sqref="X449">
      <formula1>1</formula1>
      <formula2>5</formula2>
    </dataValidation>
    <dataValidation type="decimal" operator="greaterThanOrEqual" allowBlank="1" showInputMessage="1" showErrorMessage="1" sqref="Y449">
      <formula1>0</formula1>
    </dataValidation>
    <dataValidation type="whole" operator="greaterThanOrEqual" allowBlank="1" showInputMessage="1" showErrorMessage="1" sqref="Z449">
      <formula1>0</formula1>
    </dataValidation>
    <dataValidation type="whole" allowBlank="1" showInputMessage="1" showErrorMessage="1" sqref="AA449">
      <formula1>1</formula1>
      <formula2>5</formula2>
    </dataValidation>
    <dataValidation type="decimal" allowBlank="1" showInputMessage="1" showErrorMessage="1" sqref="AB449">
      <formula1>0</formula1>
      <formula2>1</formula2>
    </dataValidation>
    <dataValidation type="list" allowBlank="1" showInputMessage="1" showErrorMessage="1" sqref="O449">
      <formula1>liste_statuts</formula1>
    </dataValidation>
    <dataValidation type="list" allowBlank="1" showInputMessage="1" showErrorMessage="1" sqref="B450">
      <formula1>liste_programmes</formula1>
    </dataValidation>
    <dataValidation type="list" allowBlank="1" showInputMessage="1" showErrorMessage="1" sqref="D450">
      <formula1>liste_types</formula1>
    </dataValidation>
    <dataValidation type="list" allowBlank="1" showInputMessage="1" showErrorMessage="1" sqref="F450">
      <formula1>liste_categories</formula1>
    </dataValidation>
    <dataValidation type="list" allowBlank="1" showInputMessage="1" showErrorMessage="1" sqref="G450">
      <formula1>liste_responsables</formula1>
    </dataValidation>
    <dataValidation type="list" allowBlank="1" showInputMessage="1" showErrorMessage="1" sqref="H450">
      <formula1>liste_sites</formula1>
    </dataValidation>
    <dataValidation type="list" allowBlank="1" showInputMessage="1" showErrorMessage="1" sqref="I450">
      <formula1>liste_priorites</formula1>
    </dataValidation>
    <dataValidation type="date" operator="greaterThanOrEqual" allowBlank="1" showInputMessage="1" showErrorMessage="1" sqref="J450">
      <formula1>730120</formula1>
    </dataValidation>
    <dataValidation type="date" operator="greaterThanOrEqual" allowBlank="1" showInputMessage="1" showErrorMessage="1" sqref="K450">
      <formula1>730120</formula1>
    </dataValidation>
    <dataValidation type="date" operator="greaterThanOrEqual" allowBlank="1" showInputMessage="1" showErrorMessage="1" sqref="L450">
      <formula1>730120</formula1>
    </dataValidation>
    <dataValidation type="whole" allowBlank="1" showInputMessage="1" showErrorMessage="1" sqref="P450">
      <formula1>0</formula1>
      <formula2>100</formula2>
    </dataValidation>
    <dataValidation type="decimal" operator="greaterThanOrEqual" allowBlank="1" showInputMessage="1" showErrorMessage="1" sqref="Q450">
      <formula1>0</formula1>
    </dataValidation>
    <dataValidation type="decimal" operator="greaterThanOrEqual" allowBlank="1" showInputMessage="1" showErrorMessage="1" sqref="R450">
      <formula1>0</formula1>
    </dataValidation>
    <dataValidation type="whole" allowBlank="1" showInputMessage="1" showErrorMessage="1" sqref="U450">
      <formula1>1</formula1>
      <formula2>5</formula2>
    </dataValidation>
    <dataValidation type="whole" allowBlank="1" showInputMessage="1" showErrorMessage="1" sqref="V450">
      <formula1>1</formula1>
      <formula2>5</formula2>
    </dataValidation>
    <dataValidation type="whole" allowBlank="1" showInputMessage="1" showErrorMessage="1" sqref="X450">
      <formula1>1</formula1>
      <formula2>5</formula2>
    </dataValidation>
    <dataValidation type="decimal" operator="greaterThanOrEqual" allowBlank="1" showInputMessage="1" showErrorMessage="1" sqref="Y450">
      <formula1>0</formula1>
    </dataValidation>
    <dataValidation type="whole" operator="greaterThanOrEqual" allowBlank="1" showInputMessage="1" showErrorMessage="1" sqref="Z450">
      <formula1>0</formula1>
    </dataValidation>
    <dataValidation type="whole" allowBlank="1" showInputMessage="1" showErrorMessage="1" sqref="AA450">
      <formula1>1</formula1>
      <formula2>5</formula2>
    </dataValidation>
    <dataValidation type="decimal" allowBlank="1" showInputMessage="1" showErrorMessage="1" sqref="AB450">
      <formula1>0</formula1>
      <formula2>1</formula2>
    </dataValidation>
    <dataValidation type="list" allowBlank="1" showInputMessage="1" showErrorMessage="1" sqref="O450">
      <formula1>liste_statuts</formula1>
    </dataValidation>
    <dataValidation type="list" allowBlank="1" showInputMessage="1" showErrorMessage="1" sqref="B451">
      <formula1>liste_programmes</formula1>
    </dataValidation>
    <dataValidation type="list" allowBlank="1" showInputMessage="1" showErrorMessage="1" sqref="D451">
      <formula1>liste_types</formula1>
    </dataValidation>
    <dataValidation type="list" allowBlank="1" showInputMessage="1" showErrorMessage="1" sqref="F451">
      <formula1>liste_categories</formula1>
    </dataValidation>
    <dataValidation type="list" allowBlank="1" showInputMessage="1" showErrorMessage="1" sqref="G451">
      <formula1>liste_responsables</formula1>
    </dataValidation>
    <dataValidation type="list" allowBlank="1" showInputMessage="1" showErrorMessage="1" sqref="H451">
      <formula1>liste_sites</formula1>
    </dataValidation>
    <dataValidation type="list" allowBlank="1" showInputMessage="1" showErrorMessage="1" sqref="I451">
      <formula1>liste_priorites</formula1>
    </dataValidation>
    <dataValidation type="date" operator="greaterThanOrEqual" allowBlank="1" showInputMessage="1" showErrorMessage="1" sqref="J451">
      <formula1>730120</formula1>
    </dataValidation>
    <dataValidation type="date" operator="greaterThanOrEqual" allowBlank="1" showInputMessage="1" showErrorMessage="1" sqref="K451">
      <formula1>730120</formula1>
    </dataValidation>
    <dataValidation type="date" operator="greaterThanOrEqual" allowBlank="1" showInputMessage="1" showErrorMessage="1" sqref="L451">
      <formula1>730120</formula1>
    </dataValidation>
    <dataValidation type="whole" allowBlank="1" showInputMessage="1" showErrorMessage="1" sqref="P451">
      <formula1>0</formula1>
      <formula2>100</formula2>
    </dataValidation>
    <dataValidation type="decimal" operator="greaterThanOrEqual" allowBlank="1" showInputMessage="1" showErrorMessage="1" sqref="Q451">
      <formula1>0</formula1>
    </dataValidation>
    <dataValidation type="decimal" operator="greaterThanOrEqual" allowBlank="1" showInputMessage="1" showErrorMessage="1" sqref="R451">
      <formula1>0</formula1>
    </dataValidation>
    <dataValidation type="whole" allowBlank="1" showInputMessage="1" showErrorMessage="1" sqref="U451">
      <formula1>1</formula1>
      <formula2>5</formula2>
    </dataValidation>
    <dataValidation type="whole" allowBlank="1" showInputMessage="1" showErrorMessage="1" sqref="V451">
      <formula1>1</formula1>
      <formula2>5</formula2>
    </dataValidation>
    <dataValidation type="whole" allowBlank="1" showInputMessage="1" showErrorMessage="1" sqref="X451">
      <formula1>1</formula1>
      <formula2>5</formula2>
    </dataValidation>
    <dataValidation type="decimal" operator="greaterThanOrEqual" allowBlank="1" showInputMessage="1" showErrorMessage="1" sqref="Y451">
      <formula1>0</formula1>
    </dataValidation>
    <dataValidation type="whole" operator="greaterThanOrEqual" allowBlank="1" showInputMessage="1" showErrorMessage="1" sqref="Z451">
      <formula1>0</formula1>
    </dataValidation>
    <dataValidation type="whole" allowBlank="1" showInputMessage="1" showErrorMessage="1" sqref="AA451">
      <formula1>1</formula1>
      <formula2>5</formula2>
    </dataValidation>
    <dataValidation type="decimal" allowBlank="1" showInputMessage="1" showErrorMessage="1" sqref="AB451">
      <formula1>0</formula1>
      <formula2>1</formula2>
    </dataValidation>
    <dataValidation type="list" allowBlank="1" showInputMessage="1" showErrorMessage="1" sqref="O451">
      <formula1>liste_statuts</formula1>
    </dataValidation>
    <dataValidation type="list" allowBlank="1" showInputMessage="1" showErrorMessage="1" sqref="B452">
      <formula1>liste_programmes</formula1>
    </dataValidation>
    <dataValidation type="list" allowBlank="1" showInputMessage="1" showErrorMessage="1" sqref="D452">
      <formula1>liste_types</formula1>
    </dataValidation>
    <dataValidation type="list" allowBlank="1" showInputMessage="1" showErrorMessage="1" sqref="F452">
      <formula1>liste_categories</formula1>
    </dataValidation>
    <dataValidation type="list" allowBlank="1" showInputMessage="1" showErrorMessage="1" sqref="G452">
      <formula1>liste_responsables</formula1>
    </dataValidation>
    <dataValidation type="list" allowBlank="1" showInputMessage="1" showErrorMessage="1" sqref="H452">
      <formula1>liste_sites</formula1>
    </dataValidation>
    <dataValidation type="list" allowBlank="1" showInputMessage="1" showErrorMessage="1" sqref="I452">
      <formula1>liste_priorites</formula1>
    </dataValidation>
    <dataValidation type="date" operator="greaterThanOrEqual" allowBlank="1" showInputMessage="1" showErrorMessage="1" sqref="J452">
      <formula1>730120</formula1>
    </dataValidation>
    <dataValidation type="date" operator="greaterThanOrEqual" allowBlank="1" showInputMessage="1" showErrorMessage="1" sqref="K452">
      <formula1>730120</formula1>
    </dataValidation>
    <dataValidation type="date" operator="greaterThanOrEqual" allowBlank="1" showInputMessage="1" showErrorMessage="1" sqref="L452">
      <formula1>730120</formula1>
    </dataValidation>
    <dataValidation type="whole" allowBlank="1" showInputMessage="1" showErrorMessage="1" sqref="P452">
      <formula1>0</formula1>
      <formula2>100</formula2>
    </dataValidation>
    <dataValidation type="decimal" operator="greaterThanOrEqual" allowBlank="1" showInputMessage="1" showErrorMessage="1" sqref="Q452">
      <formula1>0</formula1>
    </dataValidation>
    <dataValidation type="decimal" operator="greaterThanOrEqual" allowBlank="1" showInputMessage="1" showErrorMessage="1" sqref="R452">
      <formula1>0</formula1>
    </dataValidation>
    <dataValidation type="whole" allowBlank="1" showInputMessage="1" showErrorMessage="1" sqref="U452">
      <formula1>1</formula1>
      <formula2>5</formula2>
    </dataValidation>
    <dataValidation type="whole" allowBlank="1" showInputMessage="1" showErrorMessage="1" sqref="V452">
      <formula1>1</formula1>
      <formula2>5</formula2>
    </dataValidation>
    <dataValidation type="whole" allowBlank="1" showInputMessage="1" showErrorMessage="1" sqref="X452">
      <formula1>1</formula1>
      <formula2>5</formula2>
    </dataValidation>
    <dataValidation type="decimal" operator="greaterThanOrEqual" allowBlank="1" showInputMessage="1" showErrorMessage="1" sqref="Y452">
      <formula1>0</formula1>
    </dataValidation>
    <dataValidation type="whole" operator="greaterThanOrEqual" allowBlank="1" showInputMessage="1" showErrorMessage="1" sqref="Z452">
      <formula1>0</formula1>
    </dataValidation>
    <dataValidation type="whole" allowBlank="1" showInputMessage="1" showErrorMessage="1" sqref="AA452">
      <formula1>1</formula1>
      <formula2>5</formula2>
    </dataValidation>
    <dataValidation type="decimal" allowBlank="1" showInputMessage="1" showErrorMessage="1" sqref="AB452">
      <formula1>0</formula1>
      <formula2>1</formula2>
    </dataValidation>
    <dataValidation type="list" allowBlank="1" showInputMessage="1" showErrorMessage="1" sqref="O452">
      <formula1>liste_statuts</formula1>
    </dataValidation>
    <dataValidation type="list" allowBlank="1" showInputMessage="1" showErrorMessage="1" sqref="B453">
      <formula1>liste_programmes</formula1>
    </dataValidation>
    <dataValidation type="list" allowBlank="1" showInputMessage="1" showErrorMessage="1" sqref="D453">
      <formula1>liste_types</formula1>
    </dataValidation>
    <dataValidation type="list" allowBlank="1" showInputMessage="1" showErrorMessage="1" sqref="F453">
      <formula1>liste_categories</formula1>
    </dataValidation>
    <dataValidation type="list" allowBlank="1" showInputMessage="1" showErrorMessage="1" sqref="G453">
      <formula1>liste_responsables</formula1>
    </dataValidation>
    <dataValidation type="list" allowBlank="1" showInputMessage="1" showErrorMessage="1" sqref="H453">
      <formula1>liste_sites</formula1>
    </dataValidation>
    <dataValidation type="list" allowBlank="1" showInputMessage="1" showErrorMessage="1" sqref="I453">
      <formula1>liste_priorites</formula1>
    </dataValidation>
    <dataValidation type="date" operator="greaterThanOrEqual" allowBlank="1" showInputMessage="1" showErrorMessage="1" sqref="J453">
      <formula1>730120</formula1>
    </dataValidation>
    <dataValidation type="date" operator="greaterThanOrEqual" allowBlank="1" showInputMessage="1" showErrorMessage="1" sqref="K453">
      <formula1>730120</formula1>
    </dataValidation>
    <dataValidation type="date" operator="greaterThanOrEqual" allowBlank="1" showInputMessage="1" showErrorMessage="1" sqref="L453">
      <formula1>730120</formula1>
    </dataValidation>
    <dataValidation type="whole" allowBlank="1" showInputMessage="1" showErrorMessage="1" sqref="P453">
      <formula1>0</formula1>
      <formula2>100</formula2>
    </dataValidation>
    <dataValidation type="decimal" operator="greaterThanOrEqual" allowBlank="1" showInputMessage="1" showErrorMessage="1" sqref="Q453">
      <formula1>0</formula1>
    </dataValidation>
    <dataValidation type="decimal" operator="greaterThanOrEqual" allowBlank="1" showInputMessage="1" showErrorMessage="1" sqref="R453">
      <formula1>0</formula1>
    </dataValidation>
    <dataValidation type="whole" allowBlank="1" showInputMessage="1" showErrorMessage="1" sqref="U453">
      <formula1>1</formula1>
      <formula2>5</formula2>
    </dataValidation>
    <dataValidation type="whole" allowBlank="1" showInputMessage="1" showErrorMessage="1" sqref="V453">
      <formula1>1</formula1>
      <formula2>5</formula2>
    </dataValidation>
    <dataValidation type="whole" allowBlank="1" showInputMessage="1" showErrorMessage="1" sqref="X453">
      <formula1>1</formula1>
      <formula2>5</formula2>
    </dataValidation>
    <dataValidation type="decimal" operator="greaterThanOrEqual" allowBlank="1" showInputMessage="1" showErrorMessage="1" sqref="Y453">
      <formula1>0</formula1>
    </dataValidation>
    <dataValidation type="whole" operator="greaterThanOrEqual" allowBlank="1" showInputMessage="1" showErrorMessage="1" sqref="Z453">
      <formula1>0</formula1>
    </dataValidation>
    <dataValidation type="whole" allowBlank="1" showInputMessage="1" showErrorMessage="1" sqref="AA453">
      <formula1>1</formula1>
      <formula2>5</formula2>
    </dataValidation>
    <dataValidation type="decimal" allowBlank="1" showInputMessage="1" showErrorMessage="1" sqref="AB453">
      <formula1>0</formula1>
      <formula2>1</formula2>
    </dataValidation>
    <dataValidation type="list" allowBlank="1" showInputMessage="1" showErrorMessage="1" sqref="O453">
      <formula1>liste_statuts</formula1>
    </dataValidation>
    <dataValidation type="list" allowBlank="1" showInputMessage="1" showErrorMessage="1" sqref="B454">
      <formula1>liste_programmes</formula1>
    </dataValidation>
    <dataValidation type="list" allowBlank="1" showInputMessage="1" showErrorMessage="1" sqref="D454">
      <formula1>liste_types</formula1>
    </dataValidation>
    <dataValidation type="list" allowBlank="1" showInputMessage="1" showErrorMessage="1" sqref="F454">
      <formula1>liste_categories</formula1>
    </dataValidation>
    <dataValidation type="list" allowBlank="1" showInputMessage="1" showErrorMessage="1" sqref="G454">
      <formula1>liste_responsables</formula1>
    </dataValidation>
    <dataValidation type="list" allowBlank="1" showInputMessage="1" showErrorMessage="1" sqref="H454">
      <formula1>liste_sites</formula1>
    </dataValidation>
    <dataValidation type="list" allowBlank="1" showInputMessage="1" showErrorMessage="1" sqref="I454">
      <formula1>liste_priorites</formula1>
    </dataValidation>
    <dataValidation type="date" operator="greaterThanOrEqual" allowBlank="1" showInputMessage="1" showErrorMessage="1" sqref="J454">
      <formula1>730120</formula1>
    </dataValidation>
    <dataValidation type="date" operator="greaterThanOrEqual" allowBlank="1" showInputMessage="1" showErrorMessage="1" sqref="K454">
      <formula1>730120</formula1>
    </dataValidation>
    <dataValidation type="date" operator="greaterThanOrEqual" allowBlank="1" showInputMessage="1" showErrorMessage="1" sqref="L454">
      <formula1>730120</formula1>
    </dataValidation>
    <dataValidation type="whole" allowBlank="1" showInputMessage="1" showErrorMessage="1" sqref="P454">
      <formula1>0</formula1>
      <formula2>100</formula2>
    </dataValidation>
    <dataValidation type="decimal" operator="greaterThanOrEqual" allowBlank="1" showInputMessage="1" showErrorMessage="1" sqref="Q454">
      <formula1>0</formula1>
    </dataValidation>
    <dataValidation type="decimal" operator="greaterThanOrEqual" allowBlank="1" showInputMessage="1" showErrorMessage="1" sqref="R454">
      <formula1>0</formula1>
    </dataValidation>
    <dataValidation type="whole" allowBlank="1" showInputMessage="1" showErrorMessage="1" sqref="U454">
      <formula1>1</formula1>
      <formula2>5</formula2>
    </dataValidation>
    <dataValidation type="whole" allowBlank="1" showInputMessage="1" showErrorMessage="1" sqref="V454">
      <formula1>1</formula1>
      <formula2>5</formula2>
    </dataValidation>
    <dataValidation type="whole" allowBlank="1" showInputMessage="1" showErrorMessage="1" sqref="X454">
      <formula1>1</formula1>
      <formula2>5</formula2>
    </dataValidation>
    <dataValidation type="decimal" operator="greaterThanOrEqual" allowBlank="1" showInputMessage="1" showErrorMessage="1" sqref="Y454">
      <formula1>0</formula1>
    </dataValidation>
    <dataValidation type="whole" operator="greaterThanOrEqual" allowBlank="1" showInputMessage="1" showErrorMessage="1" sqref="Z454">
      <formula1>0</formula1>
    </dataValidation>
    <dataValidation type="whole" allowBlank="1" showInputMessage="1" showErrorMessage="1" sqref="AA454">
      <formula1>1</formula1>
      <formula2>5</formula2>
    </dataValidation>
    <dataValidation type="decimal" allowBlank="1" showInputMessage="1" showErrorMessage="1" sqref="AB454">
      <formula1>0</formula1>
      <formula2>1</formula2>
    </dataValidation>
    <dataValidation type="list" allowBlank="1" showInputMessage="1" showErrorMessage="1" sqref="O454">
      <formula1>liste_statuts</formula1>
    </dataValidation>
    <dataValidation type="list" allowBlank="1" showInputMessage="1" showErrorMessage="1" sqref="B455">
      <formula1>liste_programmes</formula1>
    </dataValidation>
    <dataValidation type="list" allowBlank="1" showInputMessage="1" showErrorMessage="1" sqref="D455">
      <formula1>liste_types</formula1>
    </dataValidation>
    <dataValidation type="list" allowBlank="1" showInputMessage="1" showErrorMessage="1" sqref="F455">
      <formula1>liste_categories</formula1>
    </dataValidation>
    <dataValidation type="list" allowBlank="1" showInputMessage="1" showErrorMessage="1" sqref="G455">
      <formula1>liste_responsables</formula1>
    </dataValidation>
    <dataValidation type="list" allowBlank="1" showInputMessage="1" showErrorMessage="1" sqref="H455">
      <formula1>liste_sites</formula1>
    </dataValidation>
    <dataValidation type="list" allowBlank="1" showInputMessage="1" showErrorMessage="1" sqref="I455">
      <formula1>liste_priorites</formula1>
    </dataValidation>
    <dataValidation type="date" operator="greaterThanOrEqual" allowBlank="1" showInputMessage="1" showErrorMessage="1" sqref="J455">
      <formula1>730120</formula1>
    </dataValidation>
    <dataValidation type="date" operator="greaterThanOrEqual" allowBlank="1" showInputMessage="1" showErrorMessage="1" sqref="K455">
      <formula1>730120</formula1>
    </dataValidation>
    <dataValidation type="date" operator="greaterThanOrEqual" allowBlank="1" showInputMessage="1" showErrorMessage="1" sqref="L455">
      <formula1>730120</formula1>
    </dataValidation>
    <dataValidation type="whole" allowBlank="1" showInputMessage="1" showErrorMessage="1" sqref="P455">
      <formula1>0</formula1>
      <formula2>100</formula2>
    </dataValidation>
    <dataValidation type="decimal" operator="greaterThanOrEqual" allowBlank="1" showInputMessage="1" showErrorMessage="1" sqref="Q455">
      <formula1>0</formula1>
    </dataValidation>
    <dataValidation type="decimal" operator="greaterThanOrEqual" allowBlank="1" showInputMessage="1" showErrorMessage="1" sqref="R455">
      <formula1>0</formula1>
    </dataValidation>
    <dataValidation type="whole" allowBlank="1" showInputMessage="1" showErrorMessage="1" sqref="U455">
      <formula1>1</formula1>
      <formula2>5</formula2>
    </dataValidation>
    <dataValidation type="whole" allowBlank="1" showInputMessage="1" showErrorMessage="1" sqref="V455">
      <formula1>1</formula1>
      <formula2>5</formula2>
    </dataValidation>
    <dataValidation type="whole" allowBlank="1" showInputMessage="1" showErrorMessage="1" sqref="X455">
      <formula1>1</formula1>
      <formula2>5</formula2>
    </dataValidation>
    <dataValidation type="decimal" operator="greaterThanOrEqual" allowBlank="1" showInputMessage="1" showErrorMessage="1" sqref="Y455">
      <formula1>0</formula1>
    </dataValidation>
    <dataValidation type="whole" operator="greaterThanOrEqual" allowBlank="1" showInputMessage="1" showErrorMessage="1" sqref="Z455">
      <formula1>0</formula1>
    </dataValidation>
    <dataValidation type="whole" allowBlank="1" showInputMessage="1" showErrorMessage="1" sqref="AA455">
      <formula1>1</formula1>
      <formula2>5</formula2>
    </dataValidation>
    <dataValidation type="decimal" allowBlank="1" showInputMessage="1" showErrorMessage="1" sqref="AB455">
      <formula1>0</formula1>
      <formula2>1</formula2>
    </dataValidation>
    <dataValidation type="list" allowBlank="1" showInputMessage="1" showErrorMessage="1" sqref="O455">
      <formula1>liste_statuts</formula1>
    </dataValidation>
    <dataValidation type="list" allowBlank="1" showInputMessage="1" showErrorMessage="1" sqref="B456">
      <formula1>liste_programmes</formula1>
    </dataValidation>
    <dataValidation type="list" allowBlank="1" showInputMessage="1" showErrorMessage="1" sqref="D456">
      <formula1>liste_types</formula1>
    </dataValidation>
    <dataValidation type="list" allowBlank="1" showInputMessage="1" showErrorMessage="1" sqref="F456">
      <formula1>liste_categories</formula1>
    </dataValidation>
    <dataValidation type="list" allowBlank="1" showInputMessage="1" showErrorMessage="1" sqref="G456">
      <formula1>liste_responsables</formula1>
    </dataValidation>
    <dataValidation type="list" allowBlank="1" showInputMessage="1" showErrorMessage="1" sqref="H456">
      <formula1>liste_sites</formula1>
    </dataValidation>
    <dataValidation type="list" allowBlank="1" showInputMessage="1" showErrorMessage="1" sqref="I456">
      <formula1>liste_priorites</formula1>
    </dataValidation>
    <dataValidation type="date" operator="greaterThanOrEqual" allowBlank="1" showInputMessage="1" showErrorMessage="1" sqref="J456">
      <formula1>730120</formula1>
    </dataValidation>
    <dataValidation type="date" operator="greaterThanOrEqual" allowBlank="1" showInputMessage="1" showErrorMessage="1" sqref="K456">
      <formula1>730120</formula1>
    </dataValidation>
    <dataValidation type="date" operator="greaterThanOrEqual" allowBlank="1" showInputMessage="1" showErrorMessage="1" sqref="L456">
      <formula1>730120</formula1>
    </dataValidation>
    <dataValidation type="whole" allowBlank="1" showInputMessage="1" showErrorMessage="1" sqref="P456">
      <formula1>0</formula1>
      <formula2>100</formula2>
    </dataValidation>
    <dataValidation type="decimal" operator="greaterThanOrEqual" allowBlank="1" showInputMessage="1" showErrorMessage="1" sqref="Q456">
      <formula1>0</formula1>
    </dataValidation>
    <dataValidation type="decimal" operator="greaterThanOrEqual" allowBlank="1" showInputMessage="1" showErrorMessage="1" sqref="R456">
      <formula1>0</formula1>
    </dataValidation>
    <dataValidation type="whole" allowBlank="1" showInputMessage="1" showErrorMessage="1" sqref="U456">
      <formula1>1</formula1>
      <formula2>5</formula2>
    </dataValidation>
    <dataValidation type="whole" allowBlank="1" showInputMessage="1" showErrorMessage="1" sqref="V456">
      <formula1>1</formula1>
      <formula2>5</formula2>
    </dataValidation>
    <dataValidation type="whole" allowBlank="1" showInputMessage="1" showErrorMessage="1" sqref="X456">
      <formula1>1</formula1>
      <formula2>5</formula2>
    </dataValidation>
    <dataValidation type="decimal" operator="greaterThanOrEqual" allowBlank="1" showInputMessage="1" showErrorMessage="1" sqref="Y456">
      <formula1>0</formula1>
    </dataValidation>
    <dataValidation type="whole" operator="greaterThanOrEqual" allowBlank="1" showInputMessage="1" showErrorMessage="1" sqref="Z456">
      <formula1>0</formula1>
    </dataValidation>
    <dataValidation type="whole" allowBlank="1" showInputMessage="1" showErrorMessage="1" sqref="AA456">
      <formula1>1</formula1>
      <formula2>5</formula2>
    </dataValidation>
    <dataValidation type="decimal" allowBlank="1" showInputMessage="1" showErrorMessage="1" sqref="AB456">
      <formula1>0</formula1>
      <formula2>1</formula2>
    </dataValidation>
    <dataValidation type="list" allowBlank="1" showInputMessage="1" showErrorMessage="1" sqref="O456">
      <formula1>liste_statuts</formula1>
    </dataValidation>
    <dataValidation type="list" allowBlank="1" showInputMessage="1" showErrorMessage="1" sqref="B457">
      <formula1>liste_programmes</formula1>
    </dataValidation>
    <dataValidation type="list" allowBlank="1" showInputMessage="1" showErrorMessage="1" sqref="D457">
      <formula1>liste_types</formula1>
    </dataValidation>
    <dataValidation type="list" allowBlank="1" showInputMessage="1" showErrorMessage="1" sqref="F457">
      <formula1>liste_categories</formula1>
    </dataValidation>
    <dataValidation type="list" allowBlank="1" showInputMessage="1" showErrorMessage="1" sqref="G457">
      <formula1>liste_responsables</formula1>
    </dataValidation>
    <dataValidation type="list" allowBlank="1" showInputMessage="1" showErrorMessage="1" sqref="H457">
      <formula1>liste_sites</formula1>
    </dataValidation>
    <dataValidation type="list" allowBlank="1" showInputMessage="1" showErrorMessage="1" sqref="I457">
      <formula1>liste_priorites</formula1>
    </dataValidation>
    <dataValidation type="date" operator="greaterThanOrEqual" allowBlank="1" showInputMessage="1" showErrorMessage="1" sqref="J457">
      <formula1>730120</formula1>
    </dataValidation>
    <dataValidation type="date" operator="greaterThanOrEqual" allowBlank="1" showInputMessage="1" showErrorMessage="1" sqref="K457">
      <formula1>730120</formula1>
    </dataValidation>
    <dataValidation type="date" operator="greaterThanOrEqual" allowBlank="1" showInputMessage="1" showErrorMessage="1" sqref="L457">
      <formula1>730120</formula1>
    </dataValidation>
    <dataValidation type="whole" allowBlank="1" showInputMessage="1" showErrorMessage="1" sqref="P457">
      <formula1>0</formula1>
      <formula2>100</formula2>
    </dataValidation>
    <dataValidation type="decimal" operator="greaterThanOrEqual" allowBlank="1" showInputMessage="1" showErrorMessage="1" sqref="Q457">
      <formula1>0</formula1>
    </dataValidation>
    <dataValidation type="decimal" operator="greaterThanOrEqual" allowBlank="1" showInputMessage="1" showErrorMessage="1" sqref="R457">
      <formula1>0</formula1>
    </dataValidation>
    <dataValidation type="whole" allowBlank="1" showInputMessage="1" showErrorMessage="1" sqref="U457">
      <formula1>1</formula1>
      <formula2>5</formula2>
    </dataValidation>
    <dataValidation type="whole" allowBlank="1" showInputMessage="1" showErrorMessage="1" sqref="V457">
      <formula1>1</formula1>
      <formula2>5</formula2>
    </dataValidation>
    <dataValidation type="whole" allowBlank="1" showInputMessage="1" showErrorMessage="1" sqref="X457">
      <formula1>1</formula1>
      <formula2>5</formula2>
    </dataValidation>
    <dataValidation type="decimal" operator="greaterThanOrEqual" allowBlank="1" showInputMessage="1" showErrorMessage="1" sqref="Y457">
      <formula1>0</formula1>
    </dataValidation>
    <dataValidation type="whole" operator="greaterThanOrEqual" allowBlank="1" showInputMessage="1" showErrorMessage="1" sqref="Z457">
      <formula1>0</formula1>
    </dataValidation>
    <dataValidation type="whole" allowBlank="1" showInputMessage="1" showErrorMessage="1" sqref="AA457">
      <formula1>1</formula1>
      <formula2>5</formula2>
    </dataValidation>
    <dataValidation type="decimal" allowBlank="1" showInputMessage="1" showErrorMessage="1" sqref="AB457">
      <formula1>0</formula1>
      <formula2>1</formula2>
    </dataValidation>
    <dataValidation type="list" allowBlank="1" showInputMessage="1" showErrorMessage="1" sqref="O457">
      <formula1>liste_statuts</formula1>
    </dataValidation>
    <dataValidation type="list" allowBlank="1" showInputMessage="1" showErrorMessage="1" sqref="B458">
      <formula1>liste_programmes</formula1>
    </dataValidation>
    <dataValidation type="list" allowBlank="1" showInputMessage="1" showErrorMessage="1" sqref="D458">
      <formula1>liste_types</formula1>
    </dataValidation>
    <dataValidation type="list" allowBlank="1" showInputMessage="1" showErrorMessage="1" sqref="F458">
      <formula1>liste_categories</formula1>
    </dataValidation>
    <dataValidation type="list" allowBlank="1" showInputMessage="1" showErrorMessage="1" sqref="G458">
      <formula1>liste_responsables</formula1>
    </dataValidation>
    <dataValidation type="list" allowBlank="1" showInputMessage="1" showErrorMessage="1" sqref="H458">
      <formula1>liste_sites</formula1>
    </dataValidation>
    <dataValidation type="list" allowBlank="1" showInputMessage="1" showErrorMessage="1" sqref="I458">
      <formula1>liste_priorites</formula1>
    </dataValidation>
    <dataValidation type="date" operator="greaterThanOrEqual" allowBlank="1" showInputMessage="1" showErrorMessage="1" sqref="J458">
      <formula1>730120</formula1>
    </dataValidation>
    <dataValidation type="date" operator="greaterThanOrEqual" allowBlank="1" showInputMessage="1" showErrorMessage="1" sqref="K458">
      <formula1>730120</formula1>
    </dataValidation>
    <dataValidation type="date" operator="greaterThanOrEqual" allowBlank="1" showInputMessage="1" showErrorMessage="1" sqref="L458">
      <formula1>730120</formula1>
    </dataValidation>
    <dataValidation type="whole" allowBlank="1" showInputMessage="1" showErrorMessage="1" sqref="P458">
      <formula1>0</formula1>
      <formula2>100</formula2>
    </dataValidation>
    <dataValidation type="decimal" operator="greaterThanOrEqual" allowBlank="1" showInputMessage="1" showErrorMessage="1" sqref="Q458">
      <formula1>0</formula1>
    </dataValidation>
    <dataValidation type="decimal" operator="greaterThanOrEqual" allowBlank="1" showInputMessage="1" showErrorMessage="1" sqref="R458">
      <formula1>0</formula1>
    </dataValidation>
    <dataValidation type="whole" allowBlank="1" showInputMessage="1" showErrorMessage="1" sqref="U458">
      <formula1>1</formula1>
      <formula2>5</formula2>
    </dataValidation>
    <dataValidation type="whole" allowBlank="1" showInputMessage="1" showErrorMessage="1" sqref="V458">
      <formula1>1</formula1>
      <formula2>5</formula2>
    </dataValidation>
    <dataValidation type="whole" allowBlank="1" showInputMessage="1" showErrorMessage="1" sqref="X458">
      <formula1>1</formula1>
      <formula2>5</formula2>
    </dataValidation>
    <dataValidation type="decimal" operator="greaterThanOrEqual" allowBlank="1" showInputMessage="1" showErrorMessage="1" sqref="Y458">
      <formula1>0</formula1>
    </dataValidation>
    <dataValidation type="whole" operator="greaterThanOrEqual" allowBlank="1" showInputMessage="1" showErrorMessage="1" sqref="Z458">
      <formula1>0</formula1>
    </dataValidation>
    <dataValidation type="whole" allowBlank="1" showInputMessage="1" showErrorMessage="1" sqref="AA458">
      <formula1>1</formula1>
      <formula2>5</formula2>
    </dataValidation>
    <dataValidation type="decimal" allowBlank="1" showInputMessage="1" showErrorMessage="1" sqref="AB458">
      <formula1>0</formula1>
      <formula2>1</formula2>
    </dataValidation>
    <dataValidation type="list" allowBlank="1" showInputMessage="1" showErrorMessage="1" sqref="O458">
      <formula1>liste_statuts</formula1>
    </dataValidation>
    <dataValidation type="list" allowBlank="1" showInputMessage="1" showErrorMessage="1" sqref="B459">
      <formula1>liste_programmes</formula1>
    </dataValidation>
    <dataValidation type="list" allowBlank="1" showInputMessage="1" showErrorMessage="1" sqref="D459">
      <formula1>liste_types</formula1>
    </dataValidation>
    <dataValidation type="list" allowBlank="1" showInputMessage="1" showErrorMessage="1" sqref="F459">
      <formula1>liste_categories</formula1>
    </dataValidation>
    <dataValidation type="list" allowBlank="1" showInputMessage="1" showErrorMessage="1" sqref="G459">
      <formula1>liste_responsables</formula1>
    </dataValidation>
    <dataValidation type="list" allowBlank="1" showInputMessage="1" showErrorMessage="1" sqref="H459">
      <formula1>liste_sites</formula1>
    </dataValidation>
    <dataValidation type="list" allowBlank="1" showInputMessage="1" showErrorMessage="1" sqref="I459">
      <formula1>liste_priorites</formula1>
    </dataValidation>
    <dataValidation type="date" operator="greaterThanOrEqual" allowBlank="1" showInputMessage="1" showErrorMessage="1" sqref="J459">
      <formula1>730120</formula1>
    </dataValidation>
    <dataValidation type="date" operator="greaterThanOrEqual" allowBlank="1" showInputMessage="1" showErrorMessage="1" sqref="K459">
      <formula1>730120</formula1>
    </dataValidation>
    <dataValidation type="date" operator="greaterThanOrEqual" allowBlank="1" showInputMessage="1" showErrorMessage="1" sqref="L459">
      <formula1>730120</formula1>
    </dataValidation>
    <dataValidation type="whole" allowBlank="1" showInputMessage="1" showErrorMessage="1" sqref="P459">
      <formula1>0</formula1>
      <formula2>100</formula2>
    </dataValidation>
    <dataValidation type="decimal" operator="greaterThanOrEqual" allowBlank="1" showInputMessage="1" showErrorMessage="1" sqref="Q459">
      <formula1>0</formula1>
    </dataValidation>
    <dataValidation type="decimal" operator="greaterThanOrEqual" allowBlank="1" showInputMessage="1" showErrorMessage="1" sqref="R459">
      <formula1>0</formula1>
    </dataValidation>
    <dataValidation type="whole" allowBlank="1" showInputMessage="1" showErrorMessage="1" sqref="U459">
      <formula1>1</formula1>
      <formula2>5</formula2>
    </dataValidation>
    <dataValidation type="whole" allowBlank="1" showInputMessage="1" showErrorMessage="1" sqref="V459">
      <formula1>1</formula1>
      <formula2>5</formula2>
    </dataValidation>
    <dataValidation type="whole" allowBlank="1" showInputMessage="1" showErrorMessage="1" sqref="X459">
      <formula1>1</formula1>
      <formula2>5</formula2>
    </dataValidation>
    <dataValidation type="decimal" operator="greaterThanOrEqual" allowBlank="1" showInputMessage="1" showErrorMessage="1" sqref="Y459">
      <formula1>0</formula1>
    </dataValidation>
    <dataValidation type="whole" operator="greaterThanOrEqual" allowBlank="1" showInputMessage="1" showErrorMessage="1" sqref="Z459">
      <formula1>0</formula1>
    </dataValidation>
    <dataValidation type="whole" allowBlank="1" showInputMessage="1" showErrorMessage="1" sqref="AA459">
      <formula1>1</formula1>
      <formula2>5</formula2>
    </dataValidation>
    <dataValidation type="decimal" allowBlank="1" showInputMessage="1" showErrorMessage="1" sqref="AB459">
      <formula1>0</formula1>
      <formula2>1</formula2>
    </dataValidation>
    <dataValidation type="list" allowBlank="1" showInputMessage="1" showErrorMessage="1" sqref="O459">
      <formula1>liste_statuts</formula1>
    </dataValidation>
    <dataValidation type="list" allowBlank="1" showInputMessage="1" showErrorMessage="1" sqref="B460">
      <formula1>liste_programmes</formula1>
    </dataValidation>
    <dataValidation type="list" allowBlank="1" showInputMessage="1" showErrorMessage="1" sqref="D460">
      <formula1>liste_types</formula1>
    </dataValidation>
    <dataValidation type="list" allowBlank="1" showInputMessage="1" showErrorMessage="1" sqref="F460">
      <formula1>liste_categories</formula1>
    </dataValidation>
    <dataValidation type="list" allowBlank="1" showInputMessage="1" showErrorMessage="1" sqref="G460">
      <formula1>liste_responsables</formula1>
    </dataValidation>
    <dataValidation type="list" allowBlank="1" showInputMessage="1" showErrorMessage="1" sqref="H460">
      <formula1>liste_sites</formula1>
    </dataValidation>
    <dataValidation type="list" allowBlank="1" showInputMessage="1" showErrorMessage="1" sqref="I460">
      <formula1>liste_priorites</formula1>
    </dataValidation>
    <dataValidation type="date" operator="greaterThanOrEqual" allowBlank="1" showInputMessage="1" showErrorMessage="1" sqref="J460">
      <formula1>730120</formula1>
    </dataValidation>
    <dataValidation type="date" operator="greaterThanOrEqual" allowBlank="1" showInputMessage="1" showErrorMessage="1" sqref="K460">
      <formula1>730120</formula1>
    </dataValidation>
    <dataValidation type="date" operator="greaterThanOrEqual" allowBlank="1" showInputMessage="1" showErrorMessage="1" sqref="L460">
      <formula1>730120</formula1>
    </dataValidation>
    <dataValidation type="whole" allowBlank="1" showInputMessage="1" showErrorMessage="1" sqref="P460">
      <formula1>0</formula1>
      <formula2>100</formula2>
    </dataValidation>
    <dataValidation type="decimal" operator="greaterThanOrEqual" allowBlank="1" showInputMessage="1" showErrorMessage="1" sqref="Q460">
      <formula1>0</formula1>
    </dataValidation>
    <dataValidation type="decimal" operator="greaterThanOrEqual" allowBlank="1" showInputMessage="1" showErrorMessage="1" sqref="R460">
      <formula1>0</formula1>
    </dataValidation>
    <dataValidation type="whole" allowBlank="1" showInputMessage="1" showErrorMessage="1" sqref="U460">
      <formula1>1</formula1>
      <formula2>5</formula2>
    </dataValidation>
    <dataValidation type="whole" allowBlank="1" showInputMessage="1" showErrorMessage="1" sqref="V460">
      <formula1>1</formula1>
      <formula2>5</formula2>
    </dataValidation>
    <dataValidation type="whole" allowBlank="1" showInputMessage="1" showErrorMessage="1" sqref="X460">
      <formula1>1</formula1>
      <formula2>5</formula2>
    </dataValidation>
    <dataValidation type="decimal" operator="greaterThanOrEqual" allowBlank="1" showInputMessage="1" showErrorMessage="1" sqref="Y460">
      <formula1>0</formula1>
    </dataValidation>
    <dataValidation type="whole" operator="greaterThanOrEqual" allowBlank="1" showInputMessage="1" showErrorMessage="1" sqref="Z460">
      <formula1>0</formula1>
    </dataValidation>
    <dataValidation type="whole" allowBlank="1" showInputMessage="1" showErrorMessage="1" sqref="AA460">
      <formula1>1</formula1>
      <formula2>5</formula2>
    </dataValidation>
    <dataValidation type="decimal" allowBlank="1" showInputMessage="1" showErrorMessage="1" sqref="AB460">
      <formula1>0</formula1>
      <formula2>1</formula2>
    </dataValidation>
    <dataValidation type="list" allowBlank="1" showInputMessage="1" showErrorMessage="1" sqref="O460">
      <formula1>liste_statuts</formula1>
    </dataValidation>
    <dataValidation type="list" allowBlank="1" showInputMessage="1" showErrorMessage="1" sqref="B461">
      <formula1>liste_programmes</formula1>
    </dataValidation>
    <dataValidation type="list" allowBlank="1" showInputMessage="1" showErrorMessage="1" sqref="D461">
      <formula1>liste_types</formula1>
    </dataValidation>
    <dataValidation type="list" allowBlank="1" showInputMessage="1" showErrorMessage="1" sqref="F461">
      <formula1>liste_categories</formula1>
    </dataValidation>
    <dataValidation type="list" allowBlank="1" showInputMessage="1" showErrorMessage="1" sqref="G461">
      <formula1>liste_responsables</formula1>
    </dataValidation>
    <dataValidation type="list" allowBlank="1" showInputMessage="1" showErrorMessage="1" sqref="H461">
      <formula1>liste_sites</formula1>
    </dataValidation>
    <dataValidation type="list" allowBlank="1" showInputMessage="1" showErrorMessage="1" sqref="I461">
      <formula1>liste_priorites</formula1>
    </dataValidation>
    <dataValidation type="date" operator="greaterThanOrEqual" allowBlank="1" showInputMessage="1" showErrorMessage="1" sqref="J461">
      <formula1>730120</formula1>
    </dataValidation>
    <dataValidation type="date" operator="greaterThanOrEqual" allowBlank="1" showInputMessage="1" showErrorMessage="1" sqref="K461">
      <formula1>730120</formula1>
    </dataValidation>
    <dataValidation type="date" operator="greaterThanOrEqual" allowBlank="1" showInputMessage="1" showErrorMessage="1" sqref="L461">
      <formula1>730120</formula1>
    </dataValidation>
    <dataValidation type="whole" allowBlank="1" showInputMessage="1" showErrorMessage="1" sqref="P461">
      <formula1>0</formula1>
      <formula2>100</formula2>
    </dataValidation>
    <dataValidation type="decimal" operator="greaterThanOrEqual" allowBlank="1" showInputMessage="1" showErrorMessage="1" sqref="Q461">
      <formula1>0</formula1>
    </dataValidation>
    <dataValidation type="decimal" operator="greaterThanOrEqual" allowBlank="1" showInputMessage="1" showErrorMessage="1" sqref="R461">
      <formula1>0</formula1>
    </dataValidation>
    <dataValidation type="whole" allowBlank="1" showInputMessage="1" showErrorMessage="1" sqref="U461">
      <formula1>1</formula1>
      <formula2>5</formula2>
    </dataValidation>
    <dataValidation type="whole" allowBlank="1" showInputMessage="1" showErrorMessage="1" sqref="V461">
      <formula1>1</formula1>
      <formula2>5</formula2>
    </dataValidation>
    <dataValidation type="whole" allowBlank="1" showInputMessage="1" showErrorMessage="1" sqref="X461">
      <formula1>1</formula1>
      <formula2>5</formula2>
    </dataValidation>
    <dataValidation type="decimal" operator="greaterThanOrEqual" allowBlank="1" showInputMessage="1" showErrorMessage="1" sqref="Y461">
      <formula1>0</formula1>
    </dataValidation>
    <dataValidation type="whole" operator="greaterThanOrEqual" allowBlank="1" showInputMessage="1" showErrorMessage="1" sqref="Z461">
      <formula1>0</formula1>
    </dataValidation>
    <dataValidation type="whole" allowBlank="1" showInputMessage="1" showErrorMessage="1" sqref="AA461">
      <formula1>1</formula1>
      <formula2>5</formula2>
    </dataValidation>
    <dataValidation type="decimal" allowBlank="1" showInputMessage="1" showErrorMessage="1" sqref="AB461">
      <formula1>0</formula1>
      <formula2>1</formula2>
    </dataValidation>
    <dataValidation type="list" allowBlank="1" showInputMessage="1" showErrorMessage="1" sqref="O461">
      <formula1>liste_statuts</formula1>
    </dataValidation>
    <dataValidation type="list" allowBlank="1" showInputMessage="1" showErrorMessage="1" sqref="B462">
      <formula1>liste_programmes</formula1>
    </dataValidation>
    <dataValidation type="list" allowBlank="1" showInputMessage="1" showErrorMessage="1" sqref="D462">
      <formula1>liste_types</formula1>
    </dataValidation>
    <dataValidation type="list" allowBlank="1" showInputMessage="1" showErrorMessage="1" sqref="F462">
      <formula1>liste_categories</formula1>
    </dataValidation>
    <dataValidation type="list" allowBlank="1" showInputMessage="1" showErrorMessage="1" sqref="G462">
      <formula1>liste_responsables</formula1>
    </dataValidation>
    <dataValidation type="list" allowBlank="1" showInputMessage="1" showErrorMessage="1" sqref="H462">
      <formula1>liste_sites</formula1>
    </dataValidation>
    <dataValidation type="list" allowBlank="1" showInputMessage="1" showErrorMessage="1" sqref="I462">
      <formula1>liste_priorites</formula1>
    </dataValidation>
    <dataValidation type="date" operator="greaterThanOrEqual" allowBlank="1" showInputMessage="1" showErrorMessage="1" sqref="J462">
      <formula1>730120</formula1>
    </dataValidation>
    <dataValidation type="date" operator="greaterThanOrEqual" allowBlank="1" showInputMessage="1" showErrorMessage="1" sqref="K462">
      <formula1>730120</formula1>
    </dataValidation>
    <dataValidation type="date" operator="greaterThanOrEqual" allowBlank="1" showInputMessage="1" showErrorMessage="1" sqref="L462">
      <formula1>730120</formula1>
    </dataValidation>
    <dataValidation type="whole" allowBlank="1" showInputMessage="1" showErrorMessage="1" sqref="P462">
      <formula1>0</formula1>
      <formula2>100</formula2>
    </dataValidation>
    <dataValidation type="decimal" operator="greaterThanOrEqual" allowBlank="1" showInputMessage="1" showErrorMessage="1" sqref="Q462">
      <formula1>0</formula1>
    </dataValidation>
    <dataValidation type="decimal" operator="greaterThanOrEqual" allowBlank="1" showInputMessage="1" showErrorMessage="1" sqref="R462">
      <formula1>0</formula1>
    </dataValidation>
    <dataValidation type="whole" allowBlank="1" showInputMessage="1" showErrorMessage="1" sqref="U462">
      <formula1>1</formula1>
      <formula2>5</formula2>
    </dataValidation>
    <dataValidation type="whole" allowBlank="1" showInputMessage="1" showErrorMessage="1" sqref="V462">
      <formula1>1</formula1>
      <formula2>5</formula2>
    </dataValidation>
    <dataValidation type="whole" allowBlank="1" showInputMessage="1" showErrorMessage="1" sqref="X462">
      <formula1>1</formula1>
      <formula2>5</formula2>
    </dataValidation>
    <dataValidation type="decimal" operator="greaterThanOrEqual" allowBlank="1" showInputMessage="1" showErrorMessage="1" sqref="Y462">
      <formula1>0</formula1>
    </dataValidation>
    <dataValidation type="whole" operator="greaterThanOrEqual" allowBlank="1" showInputMessage="1" showErrorMessage="1" sqref="Z462">
      <formula1>0</formula1>
    </dataValidation>
    <dataValidation type="whole" allowBlank="1" showInputMessage="1" showErrorMessage="1" sqref="AA462">
      <formula1>1</formula1>
      <formula2>5</formula2>
    </dataValidation>
    <dataValidation type="decimal" allowBlank="1" showInputMessage="1" showErrorMessage="1" sqref="AB462">
      <formula1>0</formula1>
      <formula2>1</formula2>
    </dataValidation>
    <dataValidation type="list" allowBlank="1" showInputMessage="1" showErrorMessage="1" sqref="O462">
      <formula1>liste_statuts</formula1>
    </dataValidation>
    <dataValidation type="list" allowBlank="1" showInputMessage="1" showErrorMessage="1" sqref="B463">
      <formula1>liste_programmes</formula1>
    </dataValidation>
    <dataValidation type="list" allowBlank="1" showInputMessage="1" showErrorMessage="1" sqref="D463">
      <formula1>liste_types</formula1>
    </dataValidation>
    <dataValidation type="list" allowBlank="1" showInputMessage="1" showErrorMessage="1" sqref="F463">
      <formula1>liste_categories</formula1>
    </dataValidation>
    <dataValidation type="list" allowBlank="1" showInputMessage="1" showErrorMessage="1" sqref="G463">
      <formula1>liste_responsables</formula1>
    </dataValidation>
    <dataValidation type="list" allowBlank="1" showInputMessage="1" showErrorMessage="1" sqref="H463">
      <formula1>liste_sites</formula1>
    </dataValidation>
    <dataValidation type="list" allowBlank="1" showInputMessage="1" showErrorMessage="1" sqref="I463">
      <formula1>liste_priorites</formula1>
    </dataValidation>
    <dataValidation type="date" operator="greaterThanOrEqual" allowBlank="1" showInputMessage="1" showErrorMessage="1" sqref="J463">
      <formula1>730120</formula1>
    </dataValidation>
    <dataValidation type="date" operator="greaterThanOrEqual" allowBlank="1" showInputMessage="1" showErrorMessage="1" sqref="K463">
      <formula1>730120</formula1>
    </dataValidation>
    <dataValidation type="date" operator="greaterThanOrEqual" allowBlank="1" showInputMessage="1" showErrorMessage="1" sqref="L463">
      <formula1>730120</formula1>
    </dataValidation>
    <dataValidation type="whole" allowBlank="1" showInputMessage="1" showErrorMessage="1" sqref="P463">
      <formula1>0</formula1>
      <formula2>100</formula2>
    </dataValidation>
    <dataValidation type="decimal" operator="greaterThanOrEqual" allowBlank="1" showInputMessage="1" showErrorMessage="1" sqref="Q463">
      <formula1>0</formula1>
    </dataValidation>
    <dataValidation type="decimal" operator="greaterThanOrEqual" allowBlank="1" showInputMessage="1" showErrorMessage="1" sqref="R463">
      <formula1>0</formula1>
    </dataValidation>
    <dataValidation type="whole" allowBlank="1" showInputMessage="1" showErrorMessage="1" sqref="U463">
      <formula1>1</formula1>
      <formula2>5</formula2>
    </dataValidation>
    <dataValidation type="whole" allowBlank="1" showInputMessage="1" showErrorMessage="1" sqref="V463">
      <formula1>1</formula1>
      <formula2>5</formula2>
    </dataValidation>
    <dataValidation type="whole" allowBlank="1" showInputMessage="1" showErrorMessage="1" sqref="X463">
      <formula1>1</formula1>
      <formula2>5</formula2>
    </dataValidation>
    <dataValidation type="decimal" operator="greaterThanOrEqual" allowBlank="1" showInputMessage="1" showErrorMessage="1" sqref="Y463">
      <formula1>0</formula1>
    </dataValidation>
    <dataValidation type="whole" operator="greaterThanOrEqual" allowBlank="1" showInputMessage="1" showErrorMessage="1" sqref="Z463">
      <formula1>0</formula1>
    </dataValidation>
    <dataValidation type="whole" allowBlank="1" showInputMessage="1" showErrorMessage="1" sqref="AA463">
      <formula1>1</formula1>
      <formula2>5</formula2>
    </dataValidation>
    <dataValidation type="decimal" allowBlank="1" showInputMessage="1" showErrorMessage="1" sqref="AB463">
      <formula1>0</formula1>
      <formula2>1</formula2>
    </dataValidation>
    <dataValidation type="list" allowBlank="1" showInputMessage="1" showErrorMessage="1" sqref="O463">
      <formula1>liste_statuts</formula1>
    </dataValidation>
    <dataValidation type="list" allowBlank="1" showInputMessage="1" showErrorMessage="1" sqref="B464">
      <formula1>liste_programmes</formula1>
    </dataValidation>
    <dataValidation type="list" allowBlank="1" showInputMessage="1" showErrorMessage="1" sqref="D464">
      <formula1>liste_types</formula1>
    </dataValidation>
    <dataValidation type="list" allowBlank="1" showInputMessage="1" showErrorMessage="1" sqref="F464">
      <formula1>liste_categories</formula1>
    </dataValidation>
    <dataValidation type="list" allowBlank="1" showInputMessage="1" showErrorMessage="1" sqref="G464">
      <formula1>liste_responsables</formula1>
    </dataValidation>
    <dataValidation type="list" allowBlank="1" showInputMessage="1" showErrorMessage="1" sqref="H464">
      <formula1>liste_sites</formula1>
    </dataValidation>
    <dataValidation type="list" allowBlank="1" showInputMessage="1" showErrorMessage="1" sqref="I464">
      <formula1>liste_priorites</formula1>
    </dataValidation>
    <dataValidation type="date" operator="greaterThanOrEqual" allowBlank="1" showInputMessage="1" showErrorMessage="1" sqref="J464">
      <formula1>730120</formula1>
    </dataValidation>
    <dataValidation type="date" operator="greaterThanOrEqual" allowBlank="1" showInputMessage="1" showErrorMessage="1" sqref="K464">
      <formula1>730120</formula1>
    </dataValidation>
    <dataValidation type="date" operator="greaterThanOrEqual" allowBlank="1" showInputMessage="1" showErrorMessage="1" sqref="L464">
      <formula1>730120</formula1>
    </dataValidation>
    <dataValidation type="whole" allowBlank="1" showInputMessage="1" showErrorMessage="1" sqref="P464">
      <formula1>0</formula1>
      <formula2>100</formula2>
    </dataValidation>
    <dataValidation type="decimal" operator="greaterThanOrEqual" allowBlank="1" showInputMessage="1" showErrorMessage="1" sqref="Q464">
      <formula1>0</formula1>
    </dataValidation>
    <dataValidation type="decimal" operator="greaterThanOrEqual" allowBlank="1" showInputMessage="1" showErrorMessage="1" sqref="R464">
      <formula1>0</formula1>
    </dataValidation>
    <dataValidation type="whole" allowBlank="1" showInputMessage="1" showErrorMessage="1" sqref="U464">
      <formula1>1</formula1>
      <formula2>5</formula2>
    </dataValidation>
    <dataValidation type="whole" allowBlank="1" showInputMessage="1" showErrorMessage="1" sqref="V464">
      <formula1>1</formula1>
      <formula2>5</formula2>
    </dataValidation>
    <dataValidation type="whole" allowBlank="1" showInputMessage="1" showErrorMessage="1" sqref="X464">
      <formula1>1</formula1>
      <formula2>5</formula2>
    </dataValidation>
    <dataValidation type="decimal" operator="greaterThanOrEqual" allowBlank="1" showInputMessage="1" showErrorMessage="1" sqref="Y464">
      <formula1>0</formula1>
    </dataValidation>
    <dataValidation type="whole" operator="greaterThanOrEqual" allowBlank="1" showInputMessage="1" showErrorMessage="1" sqref="Z464">
      <formula1>0</formula1>
    </dataValidation>
    <dataValidation type="whole" allowBlank="1" showInputMessage="1" showErrorMessage="1" sqref="AA464">
      <formula1>1</formula1>
      <formula2>5</formula2>
    </dataValidation>
    <dataValidation type="decimal" allowBlank="1" showInputMessage="1" showErrorMessage="1" sqref="AB464">
      <formula1>0</formula1>
      <formula2>1</formula2>
    </dataValidation>
    <dataValidation type="list" allowBlank="1" showInputMessage="1" showErrorMessage="1" sqref="O464">
      <formula1>liste_statuts</formula1>
    </dataValidation>
    <dataValidation type="list" allowBlank="1" showInputMessage="1" showErrorMessage="1" sqref="B465">
      <formula1>liste_programmes</formula1>
    </dataValidation>
    <dataValidation type="list" allowBlank="1" showInputMessage="1" showErrorMessage="1" sqref="D465">
      <formula1>liste_types</formula1>
    </dataValidation>
    <dataValidation type="list" allowBlank="1" showInputMessage="1" showErrorMessage="1" sqref="F465">
      <formula1>liste_categories</formula1>
    </dataValidation>
    <dataValidation type="list" allowBlank="1" showInputMessage="1" showErrorMessage="1" sqref="G465">
      <formula1>liste_responsables</formula1>
    </dataValidation>
    <dataValidation type="list" allowBlank="1" showInputMessage="1" showErrorMessage="1" sqref="H465">
      <formula1>liste_sites</formula1>
    </dataValidation>
    <dataValidation type="list" allowBlank="1" showInputMessage="1" showErrorMessage="1" sqref="I465">
      <formula1>liste_priorites</formula1>
    </dataValidation>
    <dataValidation type="date" operator="greaterThanOrEqual" allowBlank="1" showInputMessage="1" showErrorMessage="1" sqref="J465">
      <formula1>730120</formula1>
    </dataValidation>
    <dataValidation type="date" operator="greaterThanOrEqual" allowBlank="1" showInputMessage="1" showErrorMessage="1" sqref="K465">
      <formula1>730120</formula1>
    </dataValidation>
    <dataValidation type="date" operator="greaterThanOrEqual" allowBlank="1" showInputMessage="1" showErrorMessage="1" sqref="L465">
      <formula1>730120</formula1>
    </dataValidation>
    <dataValidation type="whole" allowBlank="1" showInputMessage="1" showErrorMessage="1" sqref="P465">
      <formula1>0</formula1>
      <formula2>100</formula2>
    </dataValidation>
    <dataValidation type="decimal" operator="greaterThanOrEqual" allowBlank="1" showInputMessage="1" showErrorMessage="1" sqref="Q465">
      <formula1>0</formula1>
    </dataValidation>
    <dataValidation type="decimal" operator="greaterThanOrEqual" allowBlank="1" showInputMessage="1" showErrorMessage="1" sqref="R465">
      <formula1>0</formula1>
    </dataValidation>
    <dataValidation type="whole" allowBlank="1" showInputMessage="1" showErrorMessage="1" sqref="U465">
      <formula1>1</formula1>
      <formula2>5</formula2>
    </dataValidation>
    <dataValidation type="whole" allowBlank="1" showInputMessage="1" showErrorMessage="1" sqref="V465">
      <formula1>1</formula1>
      <formula2>5</formula2>
    </dataValidation>
    <dataValidation type="whole" allowBlank="1" showInputMessage="1" showErrorMessage="1" sqref="X465">
      <formula1>1</formula1>
      <formula2>5</formula2>
    </dataValidation>
    <dataValidation type="decimal" operator="greaterThanOrEqual" allowBlank="1" showInputMessage="1" showErrorMessage="1" sqref="Y465">
      <formula1>0</formula1>
    </dataValidation>
    <dataValidation type="whole" operator="greaterThanOrEqual" allowBlank="1" showInputMessage="1" showErrorMessage="1" sqref="Z465">
      <formula1>0</formula1>
    </dataValidation>
    <dataValidation type="whole" allowBlank="1" showInputMessage="1" showErrorMessage="1" sqref="AA465">
      <formula1>1</formula1>
      <formula2>5</formula2>
    </dataValidation>
    <dataValidation type="decimal" allowBlank="1" showInputMessage="1" showErrorMessage="1" sqref="AB465">
      <formula1>0</formula1>
      <formula2>1</formula2>
    </dataValidation>
    <dataValidation type="list" allowBlank="1" showInputMessage="1" showErrorMessage="1" sqref="O465">
      <formula1>liste_statuts</formula1>
    </dataValidation>
    <dataValidation type="list" allowBlank="1" showInputMessage="1" showErrorMessage="1" sqref="B466">
      <formula1>liste_programmes</formula1>
    </dataValidation>
    <dataValidation type="list" allowBlank="1" showInputMessage="1" showErrorMessage="1" sqref="D466">
      <formula1>liste_types</formula1>
    </dataValidation>
    <dataValidation type="list" allowBlank="1" showInputMessage="1" showErrorMessage="1" sqref="F466">
      <formula1>liste_categories</formula1>
    </dataValidation>
    <dataValidation type="list" allowBlank="1" showInputMessage="1" showErrorMessage="1" sqref="G466">
      <formula1>liste_responsables</formula1>
    </dataValidation>
    <dataValidation type="list" allowBlank="1" showInputMessage="1" showErrorMessage="1" sqref="H466">
      <formula1>liste_sites</formula1>
    </dataValidation>
    <dataValidation type="list" allowBlank="1" showInputMessage="1" showErrorMessage="1" sqref="I466">
      <formula1>liste_priorites</formula1>
    </dataValidation>
    <dataValidation type="date" operator="greaterThanOrEqual" allowBlank="1" showInputMessage="1" showErrorMessage="1" sqref="J466">
      <formula1>730120</formula1>
    </dataValidation>
    <dataValidation type="date" operator="greaterThanOrEqual" allowBlank="1" showInputMessage="1" showErrorMessage="1" sqref="K466">
      <formula1>730120</formula1>
    </dataValidation>
    <dataValidation type="date" operator="greaterThanOrEqual" allowBlank="1" showInputMessage="1" showErrorMessage="1" sqref="L466">
      <formula1>730120</formula1>
    </dataValidation>
    <dataValidation type="whole" allowBlank="1" showInputMessage="1" showErrorMessage="1" sqref="P466">
      <formula1>0</formula1>
      <formula2>100</formula2>
    </dataValidation>
    <dataValidation type="decimal" operator="greaterThanOrEqual" allowBlank="1" showInputMessage="1" showErrorMessage="1" sqref="Q466">
      <formula1>0</formula1>
    </dataValidation>
    <dataValidation type="decimal" operator="greaterThanOrEqual" allowBlank="1" showInputMessage="1" showErrorMessage="1" sqref="R466">
      <formula1>0</formula1>
    </dataValidation>
    <dataValidation type="whole" allowBlank="1" showInputMessage="1" showErrorMessage="1" sqref="U466">
      <formula1>1</formula1>
      <formula2>5</formula2>
    </dataValidation>
    <dataValidation type="whole" allowBlank="1" showInputMessage="1" showErrorMessage="1" sqref="V466">
      <formula1>1</formula1>
      <formula2>5</formula2>
    </dataValidation>
    <dataValidation type="whole" allowBlank="1" showInputMessage="1" showErrorMessage="1" sqref="X466">
      <formula1>1</formula1>
      <formula2>5</formula2>
    </dataValidation>
    <dataValidation type="decimal" operator="greaterThanOrEqual" allowBlank="1" showInputMessage="1" showErrorMessage="1" sqref="Y466">
      <formula1>0</formula1>
    </dataValidation>
    <dataValidation type="whole" operator="greaterThanOrEqual" allowBlank="1" showInputMessage="1" showErrorMessage="1" sqref="Z466">
      <formula1>0</formula1>
    </dataValidation>
    <dataValidation type="whole" allowBlank="1" showInputMessage="1" showErrorMessage="1" sqref="AA466">
      <formula1>1</formula1>
      <formula2>5</formula2>
    </dataValidation>
    <dataValidation type="decimal" allowBlank="1" showInputMessage="1" showErrorMessage="1" sqref="AB466">
      <formula1>0</formula1>
      <formula2>1</formula2>
    </dataValidation>
    <dataValidation type="list" allowBlank="1" showInputMessage="1" showErrorMessage="1" sqref="O466">
      <formula1>liste_statuts</formula1>
    </dataValidation>
    <dataValidation type="list" allowBlank="1" showInputMessage="1" showErrorMessage="1" sqref="B467">
      <formula1>liste_programmes</formula1>
    </dataValidation>
    <dataValidation type="list" allowBlank="1" showInputMessage="1" showErrorMessage="1" sqref="D467">
      <formula1>liste_types</formula1>
    </dataValidation>
    <dataValidation type="list" allowBlank="1" showInputMessage="1" showErrorMessage="1" sqref="F467">
      <formula1>liste_categories</formula1>
    </dataValidation>
    <dataValidation type="list" allowBlank="1" showInputMessage="1" showErrorMessage="1" sqref="G467">
      <formula1>liste_responsables</formula1>
    </dataValidation>
    <dataValidation type="list" allowBlank="1" showInputMessage="1" showErrorMessage="1" sqref="H467">
      <formula1>liste_sites</formula1>
    </dataValidation>
    <dataValidation type="list" allowBlank="1" showInputMessage="1" showErrorMessage="1" sqref="I467">
      <formula1>liste_priorites</formula1>
    </dataValidation>
    <dataValidation type="date" operator="greaterThanOrEqual" allowBlank="1" showInputMessage="1" showErrorMessage="1" sqref="J467">
      <formula1>730120</formula1>
    </dataValidation>
    <dataValidation type="date" operator="greaterThanOrEqual" allowBlank="1" showInputMessage="1" showErrorMessage="1" sqref="K467">
      <formula1>730120</formula1>
    </dataValidation>
    <dataValidation type="date" operator="greaterThanOrEqual" allowBlank="1" showInputMessage="1" showErrorMessage="1" sqref="L467">
      <formula1>730120</formula1>
    </dataValidation>
    <dataValidation type="whole" allowBlank="1" showInputMessage="1" showErrorMessage="1" sqref="P467">
      <formula1>0</formula1>
      <formula2>100</formula2>
    </dataValidation>
    <dataValidation type="decimal" operator="greaterThanOrEqual" allowBlank="1" showInputMessage="1" showErrorMessage="1" sqref="Q467">
      <formula1>0</formula1>
    </dataValidation>
    <dataValidation type="decimal" operator="greaterThanOrEqual" allowBlank="1" showInputMessage="1" showErrorMessage="1" sqref="R467">
      <formula1>0</formula1>
    </dataValidation>
    <dataValidation type="whole" allowBlank="1" showInputMessage="1" showErrorMessage="1" sqref="U467">
      <formula1>1</formula1>
      <formula2>5</formula2>
    </dataValidation>
    <dataValidation type="whole" allowBlank="1" showInputMessage="1" showErrorMessage="1" sqref="V467">
      <formula1>1</formula1>
      <formula2>5</formula2>
    </dataValidation>
    <dataValidation type="whole" allowBlank="1" showInputMessage="1" showErrorMessage="1" sqref="X467">
      <formula1>1</formula1>
      <formula2>5</formula2>
    </dataValidation>
    <dataValidation type="decimal" operator="greaterThanOrEqual" allowBlank="1" showInputMessage="1" showErrorMessage="1" sqref="Y467">
      <formula1>0</formula1>
    </dataValidation>
    <dataValidation type="whole" operator="greaterThanOrEqual" allowBlank="1" showInputMessage="1" showErrorMessage="1" sqref="Z467">
      <formula1>0</formula1>
    </dataValidation>
    <dataValidation type="whole" allowBlank="1" showInputMessage="1" showErrorMessage="1" sqref="AA467">
      <formula1>1</formula1>
      <formula2>5</formula2>
    </dataValidation>
    <dataValidation type="decimal" allowBlank="1" showInputMessage="1" showErrorMessage="1" sqref="AB467">
      <formula1>0</formula1>
      <formula2>1</formula2>
    </dataValidation>
    <dataValidation type="list" allowBlank="1" showInputMessage="1" showErrorMessage="1" sqref="O467">
      <formula1>liste_statuts</formula1>
    </dataValidation>
    <dataValidation type="list" allowBlank="1" showInputMessage="1" showErrorMessage="1" sqref="B468">
      <formula1>liste_programmes</formula1>
    </dataValidation>
    <dataValidation type="list" allowBlank="1" showInputMessage="1" showErrorMessage="1" sqref="D468">
      <formula1>liste_types</formula1>
    </dataValidation>
    <dataValidation type="list" allowBlank="1" showInputMessage="1" showErrorMessage="1" sqref="F468">
      <formula1>liste_categories</formula1>
    </dataValidation>
    <dataValidation type="list" allowBlank="1" showInputMessage="1" showErrorMessage="1" sqref="G468">
      <formula1>liste_responsables</formula1>
    </dataValidation>
    <dataValidation type="list" allowBlank="1" showInputMessage="1" showErrorMessage="1" sqref="H468">
      <formula1>liste_sites</formula1>
    </dataValidation>
    <dataValidation type="list" allowBlank="1" showInputMessage="1" showErrorMessage="1" sqref="I468">
      <formula1>liste_priorites</formula1>
    </dataValidation>
    <dataValidation type="date" operator="greaterThanOrEqual" allowBlank="1" showInputMessage="1" showErrorMessage="1" sqref="J468">
      <formula1>730120</formula1>
    </dataValidation>
    <dataValidation type="date" operator="greaterThanOrEqual" allowBlank="1" showInputMessage="1" showErrorMessage="1" sqref="K468">
      <formula1>730120</formula1>
    </dataValidation>
    <dataValidation type="date" operator="greaterThanOrEqual" allowBlank="1" showInputMessage="1" showErrorMessage="1" sqref="L468">
      <formula1>730120</formula1>
    </dataValidation>
    <dataValidation type="whole" allowBlank="1" showInputMessage="1" showErrorMessage="1" sqref="P468">
      <formula1>0</formula1>
      <formula2>100</formula2>
    </dataValidation>
    <dataValidation type="decimal" operator="greaterThanOrEqual" allowBlank="1" showInputMessage="1" showErrorMessage="1" sqref="Q468">
      <formula1>0</formula1>
    </dataValidation>
    <dataValidation type="decimal" operator="greaterThanOrEqual" allowBlank="1" showInputMessage="1" showErrorMessage="1" sqref="R468">
      <formula1>0</formula1>
    </dataValidation>
    <dataValidation type="whole" allowBlank="1" showInputMessage="1" showErrorMessage="1" sqref="U468">
      <formula1>1</formula1>
      <formula2>5</formula2>
    </dataValidation>
    <dataValidation type="whole" allowBlank="1" showInputMessage="1" showErrorMessage="1" sqref="V468">
      <formula1>1</formula1>
      <formula2>5</formula2>
    </dataValidation>
    <dataValidation type="whole" allowBlank="1" showInputMessage="1" showErrorMessage="1" sqref="X468">
      <formula1>1</formula1>
      <formula2>5</formula2>
    </dataValidation>
    <dataValidation type="decimal" operator="greaterThanOrEqual" allowBlank="1" showInputMessage="1" showErrorMessage="1" sqref="Y468">
      <formula1>0</formula1>
    </dataValidation>
    <dataValidation type="whole" operator="greaterThanOrEqual" allowBlank="1" showInputMessage="1" showErrorMessage="1" sqref="Z468">
      <formula1>0</formula1>
    </dataValidation>
    <dataValidation type="whole" allowBlank="1" showInputMessage="1" showErrorMessage="1" sqref="AA468">
      <formula1>1</formula1>
      <formula2>5</formula2>
    </dataValidation>
    <dataValidation type="decimal" allowBlank="1" showInputMessage="1" showErrorMessage="1" sqref="AB468">
      <formula1>0</formula1>
      <formula2>1</formula2>
    </dataValidation>
    <dataValidation type="list" allowBlank="1" showInputMessage="1" showErrorMessage="1" sqref="O468">
      <formula1>liste_statuts</formula1>
    </dataValidation>
    <dataValidation type="list" allowBlank="1" showInputMessage="1" showErrorMessage="1" sqref="B469">
      <formula1>liste_programmes</formula1>
    </dataValidation>
    <dataValidation type="list" allowBlank="1" showInputMessage="1" showErrorMessage="1" sqref="D469">
      <formula1>liste_types</formula1>
    </dataValidation>
    <dataValidation type="list" allowBlank="1" showInputMessage="1" showErrorMessage="1" sqref="F469">
      <formula1>liste_categories</formula1>
    </dataValidation>
    <dataValidation type="list" allowBlank="1" showInputMessage="1" showErrorMessage="1" sqref="G469">
      <formula1>liste_responsables</formula1>
    </dataValidation>
    <dataValidation type="list" allowBlank="1" showInputMessage="1" showErrorMessage="1" sqref="H469">
      <formula1>liste_sites</formula1>
    </dataValidation>
    <dataValidation type="list" allowBlank="1" showInputMessage="1" showErrorMessage="1" sqref="I469">
      <formula1>liste_priorites</formula1>
    </dataValidation>
    <dataValidation type="date" operator="greaterThanOrEqual" allowBlank="1" showInputMessage="1" showErrorMessage="1" sqref="J469">
      <formula1>730120</formula1>
    </dataValidation>
    <dataValidation type="date" operator="greaterThanOrEqual" allowBlank="1" showInputMessage="1" showErrorMessage="1" sqref="K469">
      <formula1>730120</formula1>
    </dataValidation>
    <dataValidation type="date" operator="greaterThanOrEqual" allowBlank="1" showInputMessage="1" showErrorMessage="1" sqref="L469">
      <formula1>730120</formula1>
    </dataValidation>
    <dataValidation type="whole" allowBlank="1" showInputMessage="1" showErrorMessage="1" sqref="P469">
      <formula1>0</formula1>
      <formula2>100</formula2>
    </dataValidation>
    <dataValidation type="decimal" operator="greaterThanOrEqual" allowBlank="1" showInputMessage="1" showErrorMessage="1" sqref="Q469">
      <formula1>0</formula1>
    </dataValidation>
    <dataValidation type="decimal" operator="greaterThanOrEqual" allowBlank="1" showInputMessage="1" showErrorMessage="1" sqref="R469">
      <formula1>0</formula1>
    </dataValidation>
    <dataValidation type="whole" allowBlank="1" showInputMessage="1" showErrorMessage="1" sqref="U469">
      <formula1>1</formula1>
      <formula2>5</formula2>
    </dataValidation>
    <dataValidation type="whole" allowBlank="1" showInputMessage="1" showErrorMessage="1" sqref="V469">
      <formula1>1</formula1>
      <formula2>5</formula2>
    </dataValidation>
    <dataValidation type="whole" allowBlank="1" showInputMessage="1" showErrorMessage="1" sqref="X469">
      <formula1>1</formula1>
      <formula2>5</formula2>
    </dataValidation>
    <dataValidation type="decimal" operator="greaterThanOrEqual" allowBlank="1" showInputMessage="1" showErrorMessage="1" sqref="Y469">
      <formula1>0</formula1>
    </dataValidation>
    <dataValidation type="whole" operator="greaterThanOrEqual" allowBlank="1" showInputMessage="1" showErrorMessage="1" sqref="Z469">
      <formula1>0</formula1>
    </dataValidation>
    <dataValidation type="whole" allowBlank="1" showInputMessage="1" showErrorMessage="1" sqref="AA469">
      <formula1>1</formula1>
      <formula2>5</formula2>
    </dataValidation>
    <dataValidation type="decimal" allowBlank="1" showInputMessage="1" showErrorMessage="1" sqref="AB469">
      <formula1>0</formula1>
      <formula2>1</formula2>
    </dataValidation>
    <dataValidation type="list" allowBlank="1" showInputMessage="1" showErrorMessage="1" sqref="O469">
      <formula1>liste_statuts</formula1>
    </dataValidation>
    <dataValidation type="list" allowBlank="1" showInputMessage="1" showErrorMessage="1" sqref="B470">
      <formula1>liste_programmes</formula1>
    </dataValidation>
    <dataValidation type="list" allowBlank="1" showInputMessage="1" showErrorMessage="1" sqref="D470">
      <formula1>liste_types</formula1>
    </dataValidation>
    <dataValidation type="list" allowBlank="1" showInputMessage="1" showErrorMessage="1" sqref="F470">
      <formula1>liste_categories</formula1>
    </dataValidation>
    <dataValidation type="list" allowBlank="1" showInputMessage="1" showErrorMessage="1" sqref="G470">
      <formula1>liste_responsables</formula1>
    </dataValidation>
    <dataValidation type="list" allowBlank="1" showInputMessage="1" showErrorMessage="1" sqref="H470">
      <formula1>liste_sites</formula1>
    </dataValidation>
    <dataValidation type="list" allowBlank="1" showInputMessage="1" showErrorMessage="1" sqref="I470">
      <formula1>liste_priorites</formula1>
    </dataValidation>
    <dataValidation type="date" operator="greaterThanOrEqual" allowBlank="1" showInputMessage="1" showErrorMessage="1" sqref="J470">
      <formula1>730120</formula1>
    </dataValidation>
    <dataValidation type="date" operator="greaterThanOrEqual" allowBlank="1" showInputMessage="1" showErrorMessage="1" sqref="K470">
      <formula1>730120</formula1>
    </dataValidation>
    <dataValidation type="date" operator="greaterThanOrEqual" allowBlank="1" showInputMessage="1" showErrorMessage="1" sqref="L470">
      <formula1>730120</formula1>
    </dataValidation>
    <dataValidation type="whole" allowBlank="1" showInputMessage="1" showErrorMessage="1" sqref="P470">
      <formula1>0</formula1>
      <formula2>100</formula2>
    </dataValidation>
    <dataValidation type="decimal" operator="greaterThanOrEqual" allowBlank="1" showInputMessage="1" showErrorMessage="1" sqref="Q470">
      <formula1>0</formula1>
    </dataValidation>
    <dataValidation type="decimal" operator="greaterThanOrEqual" allowBlank="1" showInputMessage="1" showErrorMessage="1" sqref="R470">
      <formula1>0</formula1>
    </dataValidation>
    <dataValidation type="whole" allowBlank="1" showInputMessage="1" showErrorMessage="1" sqref="U470">
      <formula1>1</formula1>
      <formula2>5</formula2>
    </dataValidation>
    <dataValidation type="whole" allowBlank="1" showInputMessage="1" showErrorMessage="1" sqref="V470">
      <formula1>1</formula1>
      <formula2>5</formula2>
    </dataValidation>
    <dataValidation type="whole" allowBlank="1" showInputMessage="1" showErrorMessage="1" sqref="X470">
      <formula1>1</formula1>
      <formula2>5</formula2>
    </dataValidation>
    <dataValidation type="decimal" operator="greaterThanOrEqual" allowBlank="1" showInputMessage="1" showErrorMessage="1" sqref="Y470">
      <formula1>0</formula1>
    </dataValidation>
    <dataValidation type="whole" operator="greaterThanOrEqual" allowBlank="1" showInputMessage="1" showErrorMessage="1" sqref="Z470">
      <formula1>0</formula1>
    </dataValidation>
    <dataValidation type="whole" allowBlank="1" showInputMessage="1" showErrorMessage="1" sqref="AA470">
      <formula1>1</formula1>
      <formula2>5</formula2>
    </dataValidation>
    <dataValidation type="decimal" allowBlank="1" showInputMessage="1" showErrorMessage="1" sqref="AB470">
      <formula1>0</formula1>
      <formula2>1</formula2>
    </dataValidation>
    <dataValidation type="list" allowBlank="1" showInputMessage="1" showErrorMessage="1" sqref="O470">
      <formula1>liste_statuts</formula1>
    </dataValidation>
    <dataValidation type="list" allowBlank="1" showInputMessage="1" showErrorMessage="1" sqref="B471">
      <formula1>liste_programmes</formula1>
    </dataValidation>
    <dataValidation type="list" allowBlank="1" showInputMessage="1" showErrorMessage="1" sqref="D471">
      <formula1>liste_types</formula1>
    </dataValidation>
    <dataValidation type="list" allowBlank="1" showInputMessage="1" showErrorMessage="1" sqref="F471">
      <formula1>liste_categories</formula1>
    </dataValidation>
    <dataValidation type="list" allowBlank="1" showInputMessage="1" showErrorMessage="1" sqref="G471">
      <formula1>liste_responsables</formula1>
    </dataValidation>
    <dataValidation type="list" allowBlank="1" showInputMessage="1" showErrorMessage="1" sqref="H471">
      <formula1>liste_sites</formula1>
    </dataValidation>
    <dataValidation type="list" allowBlank="1" showInputMessage="1" showErrorMessage="1" sqref="I471">
      <formula1>liste_priorites</formula1>
    </dataValidation>
    <dataValidation type="date" operator="greaterThanOrEqual" allowBlank="1" showInputMessage="1" showErrorMessage="1" sqref="J471">
      <formula1>730120</formula1>
    </dataValidation>
    <dataValidation type="date" operator="greaterThanOrEqual" allowBlank="1" showInputMessage="1" showErrorMessage="1" sqref="K471">
      <formula1>730120</formula1>
    </dataValidation>
    <dataValidation type="date" operator="greaterThanOrEqual" allowBlank="1" showInputMessage="1" showErrorMessage="1" sqref="L471">
      <formula1>730120</formula1>
    </dataValidation>
    <dataValidation type="whole" allowBlank="1" showInputMessage="1" showErrorMessage="1" sqref="P471">
      <formula1>0</formula1>
      <formula2>100</formula2>
    </dataValidation>
    <dataValidation type="decimal" operator="greaterThanOrEqual" allowBlank="1" showInputMessage="1" showErrorMessage="1" sqref="Q471">
      <formula1>0</formula1>
    </dataValidation>
    <dataValidation type="decimal" operator="greaterThanOrEqual" allowBlank="1" showInputMessage="1" showErrorMessage="1" sqref="R471">
      <formula1>0</formula1>
    </dataValidation>
    <dataValidation type="whole" allowBlank="1" showInputMessage="1" showErrorMessage="1" sqref="U471">
      <formula1>1</formula1>
      <formula2>5</formula2>
    </dataValidation>
    <dataValidation type="whole" allowBlank="1" showInputMessage="1" showErrorMessage="1" sqref="V471">
      <formula1>1</formula1>
      <formula2>5</formula2>
    </dataValidation>
    <dataValidation type="whole" allowBlank="1" showInputMessage="1" showErrorMessage="1" sqref="X471">
      <formula1>1</formula1>
      <formula2>5</formula2>
    </dataValidation>
    <dataValidation type="decimal" operator="greaterThanOrEqual" allowBlank="1" showInputMessage="1" showErrorMessage="1" sqref="Y471">
      <formula1>0</formula1>
    </dataValidation>
    <dataValidation type="whole" operator="greaterThanOrEqual" allowBlank="1" showInputMessage="1" showErrorMessage="1" sqref="Z471">
      <formula1>0</formula1>
    </dataValidation>
    <dataValidation type="whole" allowBlank="1" showInputMessage="1" showErrorMessage="1" sqref="AA471">
      <formula1>1</formula1>
      <formula2>5</formula2>
    </dataValidation>
    <dataValidation type="decimal" allowBlank="1" showInputMessage="1" showErrorMessage="1" sqref="AB471">
      <formula1>0</formula1>
      <formula2>1</formula2>
    </dataValidation>
    <dataValidation type="list" allowBlank="1" showInputMessage="1" showErrorMessage="1" sqref="O471">
      <formula1>liste_statuts</formula1>
    </dataValidation>
    <dataValidation type="list" allowBlank="1" showInputMessage="1" showErrorMessage="1" sqref="B472">
      <formula1>liste_programmes</formula1>
    </dataValidation>
    <dataValidation type="list" allowBlank="1" showInputMessage="1" showErrorMessage="1" sqref="D472">
      <formula1>liste_types</formula1>
    </dataValidation>
    <dataValidation type="list" allowBlank="1" showInputMessage="1" showErrorMessage="1" sqref="F472">
      <formula1>liste_categories</formula1>
    </dataValidation>
    <dataValidation type="list" allowBlank="1" showInputMessage="1" showErrorMessage="1" sqref="G472">
      <formula1>liste_responsables</formula1>
    </dataValidation>
    <dataValidation type="list" allowBlank="1" showInputMessage="1" showErrorMessage="1" sqref="H472">
      <formula1>liste_sites</formula1>
    </dataValidation>
    <dataValidation type="list" allowBlank="1" showInputMessage="1" showErrorMessage="1" sqref="I472">
      <formula1>liste_priorites</formula1>
    </dataValidation>
    <dataValidation type="date" operator="greaterThanOrEqual" allowBlank="1" showInputMessage="1" showErrorMessage="1" sqref="J472">
      <formula1>730120</formula1>
    </dataValidation>
    <dataValidation type="date" operator="greaterThanOrEqual" allowBlank="1" showInputMessage="1" showErrorMessage="1" sqref="K472">
      <formula1>730120</formula1>
    </dataValidation>
    <dataValidation type="date" operator="greaterThanOrEqual" allowBlank="1" showInputMessage="1" showErrorMessage="1" sqref="L472">
      <formula1>730120</formula1>
    </dataValidation>
    <dataValidation type="whole" allowBlank="1" showInputMessage="1" showErrorMessage="1" sqref="P472">
      <formula1>0</formula1>
      <formula2>100</formula2>
    </dataValidation>
    <dataValidation type="decimal" operator="greaterThanOrEqual" allowBlank="1" showInputMessage="1" showErrorMessage="1" sqref="Q472">
      <formula1>0</formula1>
    </dataValidation>
    <dataValidation type="decimal" operator="greaterThanOrEqual" allowBlank="1" showInputMessage="1" showErrorMessage="1" sqref="R472">
      <formula1>0</formula1>
    </dataValidation>
    <dataValidation type="whole" allowBlank="1" showInputMessage="1" showErrorMessage="1" sqref="U472">
      <formula1>1</formula1>
      <formula2>5</formula2>
    </dataValidation>
    <dataValidation type="whole" allowBlank="1" showInputMessage="1" showErrorMessage="1" sqref="V472">
      <formula1>1</formula1>
      <formula2>5</formula2>
    </dataValidation>
    <dataValidation type="whole" allowBlank="1" showInputMessage="1" showErrorMessage="1" sqref="X472">
      <formula1>1</formula1>
      <formula2>5</formula2>
    </dataValidation>
    <dataValidation type="decimal" operator="greaterThanOrEqual" allowBlank="1" showInputMessage="1" showErrorMessage="1" sqref="Y472">
      <formula1>0</formula1>
    </dataValidation>
    <dataValidation type="whole" operator="greaterThanOrEqual" allowBlank="1" showInputMessage="1" showErrorMessage="1" sqref="Z472">
      <formula1>0</formula1>
    </dataValidation>
    <dataValidation type="whole" allowBlank="1" showInputMessage="1" showErrorMessage="1" sqref="AA472">
      <formula1>1</formula1>
      <formula2>5</formula2>
    </dataValidation>
    <dataValidation type="decimal" allowBlank="1" showInputMessage="1" showErrorMessage="1" sqref="AB472">
      <formula1>0</formula1>
      <formula2>1</formula2>
    </dataValidation>
    <dataValidation type="list" allowBlank="1" showInputMessage="1" showErrorMessage="1" sqref="O472">
      <formula1>liste_statuts</formula1>
    </dataValidation>
    <dataValidation type="list" allowBlank="1" showInputMessage="1" showErrorMessage="1" sqref="B473">
      <formula1>liste_programmes</formula1>
    </dataValidation>
    <dataValidation type="list" allowBlank="1" showInputMessage="1" showErrorMessage="1" sqref="D473">
      <formula1>liste_types</formula1>
    </dataValidation>
    <dataValidation type="list" allowBlank="1" showInputMessage="1" showErrorMessage="1" sqref="F473">
      <formula1>liste_categories</formula1>
    </dataValidation>
    <dataValidation type="list" allowBlank="1" showInputMessage="1" showErrorMessage="1" sqref="G473">
      <formula1>liste_responsables</formula1>
    </dataValidation>
    <dataValidation type="list" allowBlank="1" showInputMessage="1" showErrorMessage="1" sqref="H473">
      <formula1>liste_sites</formula1>
    </dataValidation>
    <dataValidation type="list" allowBlank="1" showInputMessage="1" showErrorMessage="1" sqref="I473">
      <formula1>liste_priorites</formula1>
    </dataValidation>
    <dataValidation type="date" operator="greaterThanOrEqual" allowBlank="1" showInputMessage="1" showErrorMessage="1" sqref="J473">
      <formula1>730120</formula1>
    </dataValidation>
    <dataValidation type="date" operator="greaterThanOrEqual" allowBlank="1" showInputMessage="1" showErrorMessage="1" sqref="K473">
      <formula1>730120</formula1>
    </dataValidation>
    <dataValidation type="date" operator="greaterThanOrEqual" allowBlank="1" showInputMessage="1" showErrorMessage="1" sqref="L473">
      <formula1>730120</formula1>
    </dataValidation>
    <dataValidation type="whole" allowBlank="1" showInputMessage="1" showErrorMessage="1" sqref="P473">
      <formula1>0</formula1>
      <formula2>100</formula2>
    </dataValidation>
    <dataValidation type="decimal" operator="greaterThanOrEqual" allowBlank="1" showInputMessage="1" showErrorMessage="1" sqref="Q473">
      <formula1>0</formula1>
    </dataValidation>
    <dataValidation type="decimal" operator="greaterThanOrEqual" allowBlank="1" showInputMessage="1" showErrorMessage="1" sqref="R473">
      <formula1>0</formula1>
    </dataValidation>
    <dataValidation type="whole" allowBlank="1" showInputMessage="1" showErrorMessage="1" sqref="U473">
      <formula1>1</formula1>
      <formula2>5</formula2>
    </dataValidation>
    <dataValidation type="whole" allowBlank="1" showInputMessage="1" showErrorMessage="1" sqref="V473">
      <formula1>1</formula1>
      <formula2>5</formula2>
    </dataValidation>
    <dataValidation type="whole" allowBlank="1" showInputMessage="1" showErrorMessage="1" sqref="X473">
      <formula1>1</formula1>
      <formula2>5</formula2>
    </dataValidation>
    <dataValidation type="decimal" operator="greaterThanOrEqual" allowBlank="1" showInputMessage="1" showErrorMessage="1" sqref="Y473">
      <formula1>0</formula1>
    </dataValidation>
    <dataValidation type="whole" operator="greaterThanOrEqual" allowBlank="1" showInputMessage="1" showErrorMessage="1" sqref="Z473">
      <formula1>0</formula1>
    </dataValidation>
    <dataValidation type="whole" allowBlank="1" showInputMessage="1" showErrorMessage="1" sqref="AA473">
      <formula1>1</formula1>
      <formula2>5</formula2>
    </dataValidation>
    <dataValidation type="decimal" allowBlank="1" showInputMessage="1" showErrorMessage="1" sqref="AB473">
      <formula1>0</formula1>
      <formula2>1</formula2>
    </dataValidation>
    <dataValidation type="list" allowBlank="1" showInputMessage="1" showErrorMessage="1" sqref="O473">
      <formula1>liste_statuts</formula1>
    </dataValidation>
    <dataValidation type="list" allowBlank="1" showInputMessage="1" showErrorMessage="1" sqref="B474">
      <formula1>liste_programmes</formula1>
    </dataValidation>
    <dataValidation type="list" allowBlank="1" showInputMessage="1" showErrorMessage="1" sqref="D474">
      <formula1>liste_types</formula1>
    </dataValidation>
    <dataValidation type="list" allowBlank="1" showInputMessage="1" showErrorMessage="1" sqref="F474">
      <formula1>liste_categories</formula1>
    </dataValidation>
    <dataValidation type="list" allowBlank="1" showInputMessage="1" showErrorMessage="1" sqref="G474">
      <formula1>liste_responsables</formula1>
    </dataValidation>
    <dataValidation type="list" allowBlank="1" showInputMessage="1" showErrorMessage="1" sqref="H474">
      <formula1>liste_sites</formula1>
    </dataValidation>
    <dataValidation type="list" allowBlank="1" showInputMessage="1" showErrorMessage="1" sqref="I474">
      <formula1>liste_priorites</formula1>
    </dataValidation>
    <dataValidation type="date" operator="greaterThanOrEqual" allowBlank="1" showInputMessage="1" showErrorMessage="1" sqref="J474">
      <formula1>730120</formula1>
    </dataValidation>
    <dataValidation type="date" operator="greaterThanOrEqual" allowBlank="1" showInputMessage="1" showErrorMessage="1" sqref="K474">
      <formula1>730120</formula1>
    </dataValidation>
    <dataValidation type="date" operator="greaterThanOrEqual" allowBlank="1" showInputMessage="1" showErrorMessage="1" sqref="L474">
      <formula1>730120</formula1>
    </dataValidation>
    <dataValidation type="whole" allowBlank="1" showInputMessage="1" showErrorMessage="1" sqref="P474">
      <formula1>0</formula1>
      <formula2>100</formula2>
    </dataValidation>
    <dataValidation type="decimal" operator="greaterThanOrEqual" allowBlank="1" showInputMessage="1" showErrorMessage="1" sqref="Q474">
      <formula1>0</formula1>
    </dataValidation>
    <dataValidation type="decimal" operator="greaterThanOrEqual" allowBlank="1" showInputMessage="1" showErrorMessage="1" sqref="R474">
      <formula1>0</formula1>
    </dataValidation>
    <dataValidation type="whole" allowBlank="1" showInputMessage="1" showErrorMessage="1" sqref="U474">
      <formula1>1</formula1>
      <formula2>5</formula2>
    </dataValidation>
    <dataValidation type="whole" allowBlank="1" showInputMessage="1" showErrorMessage="1" sqref="V474">
      <formula1>1</formula1>
      <formula2>5</formula2>
    </dataValidation>
    <dataValidation type="whole" allowBlank="1" showInputMessage="1" showErrorMessage="1" sqref="X474">
      <formula1>1</formula1>
      <formula2>5</formula2>
    </dataValidation>
    <dataValidation type="decimal" operator="greaterThanOrEqual" allowBlank="1" showInputMessage="1" showErrorMessage="1" sqref="Y474">
      <formula1>0</formula1>
    </dataValidation>
    <dataValidation type="whole" operator="greaterThanOrEqual" allowBlank="1" showInputMessage="1" showErrorMessage="1" sqref="Z474">
      <formula1>0</formula1>
    </dataValidation>
    <dataValidation type="whole" allowBlank="1" showInputMessage="1" showErrorMessage="1" sqref="AA474">
      <formula1>1</formula1>
      <formula2>5</formula2>
    </dataValidation>
    <dataValidation type="decimal" allowBlank="1" showInputMessage="1" showErrorMessage="1" sqref="AB474">
      <formula1>0</formula1>
      <formula2>1</formula2>
    </dataValidation>
    <dataValidation type="list" allowBlank="1" showInputMessage="1" showErrorMessage="1" sqref="O474">
      <formula1>liste_statuts</formula1>
    </dataValidation>
    <dataValidation type="list" allowBlank="1" showInputMessage="1" showErrorMessage="1" sqref="B475">
      <formula1>liste_programmes</formula1>
    </dataValidation>
    <dataValidation type="list" allowBlank="1" showInputMessage="1" showErrorMessage="1" sqref="D475">
      <formula1>liste_types</formula1>
    </dataValidation>
    <dataValidation type="list" allowBlank="1" showInputMessage="1" showErrorMessage="1" sqref="F475">
      <formula1>liste_categories</formula1>
    </dataValidation>
    <dataValidation type="list" allowBlank="1" showInputMessage="1" showErrorMessage="1" sqref="G475">
      <formula1>liste_responsables</formula1>
    </dataValidation>
    <dataValidation type="list" allowBlank="1" showInputMessage="1" showErrorMessage="1" sqref="H475">
      <formula1>liste_sites</formula1>
    </dataValidation>
    <dataValidation type="list" allowBlank="1" showInputMessage="1" showErrorMessage="1" sqref="I475">
      <formula1>liste_priorites</formula1>
    </dataValidation>
    <dataValidation type="date" operator="greaterThanOrEqual" allowBlank="1" showInputMessage="1" showErrorMessage="1" sqref="J475">
      <formula1>730120</formula1>
    </dataValidation>
    <dataValidation type="date" operator="greaterThanOrEqual" allowBlank="1" showInputMessage="1" showErrorMessage="1" sqref="K475">
      <formula1>730120</formula1>
    </dataValidation>
    <dataValidation type="date" operator="greaterThanOrEqual" allowBlank="1" showInputMessage="1" showErrorMessage="1" sqref="L475">
      <formula1>730120</formula1>
    </dataValidation>
    <dataValidation type="whole" allowBlank="1" showInputMessage="1" showErrorMessage="1" sqref="P475">
      <formula1>0</formula1>
      <formula2>100</formula2>
    </dataValidation>
    <dataValidation type="decimal" operator="greaterThanOrEqual" allowBlank="1" showInputMessage="1" showErrorMessage="1" sqref="Q475">
      <formula1>0</formula1>
    </dataValidation>
    <dataValidation type="decimal" operator="greaterThanOrEqual" allowBlank="1" showInputMessage="1" showErrorMessage="1" sqref="R475">
      <formula1>0</formula1>
    </dataValidation>
    <dataValidation type="whole" allowBlank="1" showInputMessage="1" showErrorMessage="1" sqref="U475">
      <formula1>1</formula1>
      <formula2>5</formula2>
    </dataValidation>
    <dataValidation type="whole" allowBlank="1" showInputMessage="1" showErrorMessage="1" sqref="V475">
      <formula1>1</formula1>
      <formula2>5</formula2>
    </dataValidation>
    <dataValidation type="whole" allowBlank="1" showInputMessage="1" showErrorMessage="1" sqref="X475">
      <formula1>1</formula1>
      <formula2>5</formula2>
    </dataValidation>
    <dataValidation type="decimal" operator="greaterThanOrEqual" allowBlank="1" showInputMessage="1" showErrorMessage="1" sqref="Y475">
      <formula1>0</formula1>
    </dataValidation>
    <dataValidation type="whole" operator="greaterThanOrEqual" allowBlank="1" showInputMessage="1" showErrorMessage="1" sqref="Z475">
      <formula1>0</formula1>
    </dataValidation>
    <dataValidation type="whole" allowBlank="1" showInputMessage="1" showErrorMessage="1" sqref="AA475">
      <formula1>1</formula1>
      <formula2>5</formula2>
    </dataValidation>
    <dataValidation type="decimal" allowBlank="1" showInputMessage="1" showErrorMessage="1" sqref="AB475">
      <formula1>0</formula1>
      <formula2>1</formula2>
    </dataValidation>
    <dataValidation type="list" allowBlank="1" showInputMessage="1" showErrorMessage="1" sqref="O475">
      <formula1>liste_statuts</formula1>
    </dataValidation>
    <dataValidation type="list" allowBlank="1" showInputMessage="1" showErrorMessage="1" sqref="B476">
      <formula1>liste_programmes</formula1>
    </dataValidation>
    <dataValidation type="list" allowBlank="1" showInputMessage="1" showErrorMessage="1" sqref="D476">
      <formula1>liste_types</formula1>
    </dataValidation>
    <dataValidation type="list" allowBlank="1" showInputMessage="1" showErrorMessage="1" sqref="F476">
      <formula1>liste_categories</formula1>
    </dataValidation>
    <dataValidation type="list" allowBlank="1" showInputMessage="1" showErrorMessage="1" sqref="G476">
      <formula1>liste_responsables</formula1>
    </dataValidation>
    <dataValidation type="list" allowBlank="1" showInputMessage="1" showErrorMessage="1" sqref="H476">
      <formula1>liste_sites</formula1>
    </dataValidation>
    <dataValidation type="list" allowBlank="1" showInputMessage="1" showErrorMessage="1" sqref="I476">
      <formula1>liste_priorites</formula1>
    </dataValidation>
    <dataValidation type="date" operator="greaterThanOrEqual" allowBlank="1" showInputMessage="1" showErrorMessage="1" sqref="J476">
      <formula1>730120</formula1>
    </dataValidation>
    <dataValidation type="date" operator="greaterThanOrEqual" allowBlank="1" showInputMessage="1" showErrorMessage="1" sqref="K476">
      <formula1>730120</formula1>
    </dataValidation>
    <dataValidation type="date" operator="greaterThanOrEqual" allowBlank="1" showInputMessage="1" showErrorMessage="1" sqref="L476">
      <formula1>730120</formula1>
    </dataValidation>
    <dataValidation type="whole" allowBlank="1" showInputMessage="1" showErrorMessage="1" sqref="P476">
      <formula1>0</formula1>
      <formula2>100</formula2>
    </dataValidation>
    <dataValidation type="decimal" operator="greaterThanOrEqual" allowBlank="1" showInputMessage="1" showErrorMessage="1" sqref="Q476">
      <formula1>0</formula1>
    </dataValidation>
    <dataValidation type="decimal" operator="greaterThanOrEqual" allowBlank="1" showInputMessage="1" showErrorMessage="1" sqref="R476">
      <formula1>0</formula1>
    </dataValidation>
    <dataValidation type="whole" allowBlank="1" showInputMessage="1" showErrorMessage="1" sqref="U476">
      <formula1>1</formula1>
      <formula2>5</formula2>
    </dataValidation>
    <dataValidation type="whole" allowBlank="1" showInputMessage="1" showErrorMessage="1" sqref="V476">
      <formula1>1</formula1>
      <formula2>5</formula2>
    </dataValidation>
    <dataValidation type="whole" allowBlank="1" showInputMessage="1" showErrorMessage="1" sqref="X476">
      <formula1>1</formula1>
      <formula2>5</formula2>
    </dataValidation>
    <dataValidation type="decimal" operator="greaterThanOrEqual" allowBlank="1" showInputMessage="1" showErrorMessage="1" sqref="Y476">
      <formula1>0</formula1>
    </dataValidation>
    <dataValidation type="whole" operator="greaterThanOrEqual" allowBlank="1" showInputMessage="1" showErrorMessage="1" sqref="Z476">
      <formula1>0</formula1>
    </dataValidation>
    <dataValidation type="whole" allowBlank="1" showInputMessage="1" showErrorMessage="1" sqref="AA476">
      <formula1>1</formula1>
      <formula2>5</formula2>
    </dataValidation>
    <dataValidation type="decimal" allowBlank="1" showInputMessage="1" showErrorMessage="1" sqref="AB476">
      <formula1>0</formula1>
      <formula2>1</formula2>
    </dataValidation>
    <dataValidation type="list" allowBlank="1" showInputMessage="1" showErrorMessage="1" sqref="O476">
      <formula1>liste_statuts</formula1>
    </dataValidation>
    <dataValidation type="list" allowBlank="1" showInputMessage="1" showErrorMessage="1" sqref="B477">
      <formula1>liste_programmes</formula1>
    </dataValidation>
    <dataValidation type="list" allowBlank="1" showInputMessage="1" showErrorMessage="1" sqref="D477">
      <formula1>liste_types</formula1>
    </dataValidation>
    <dataValidation type="list" allowBlank="1" showInputMessage="1" showErrorMessage="1" sqref="F477">
      <formula1>liste_categories</formula1>
    </dataValidation>
    <dataValidation type="list" allowBlank="1" showInputMessage="1" showErrorMessage="1" sqref="G477">
      <formula1>liste_responsables</formula1>
    </dataValidation>
    <dataValidation type="list" allowBlank="1" showInputMessage="1" showErrorMessage="1" sqref="H477">
      <formula1>liste_sites</formula1>
    </dataValidation>
    <dataValidation type="list" allowBlank="1" showInputMessage="1" showErrorMessage="1" sqref="I477">
      <formula1>liste_priorites</formula1>
    </dataValidation>
    <dataValidation type="date" operator="greaterThanOrEqual" allowBlank="1" showInputMessage="1" showErrorMessage="1" sqref="J477">
      <formula1>730120</formula1>
    </dataValidation>
    <dataValidation type="date" operator="greaterThanOrEqual" allowBlank="1" showInputMessage="1" showErrorMessage="1" sqref="K477">
      <formula1>730120</formula1>
    </dataValidation>
    <dataValidation type="date" operator="greaterThanOrEqual" allowBlank="1" showInputMessage="1" showErrorMessage="1" sqref="L477">
      <formula1>730120</formula1>
    </dataValidation>
    <dataValidation type="whole" allowBlank="1" showInputMessage="1" showErrorMessage="1" sqref="P477">
      <formula1>0</formula1>
      <formula2>100</formula2>
    </dataValidation>
    <dataValidation type="decimal" operator="greaterThanOrEqual" allowBlank="1" showInputMessage="1" showErrorMessage="1" sqref="Q477">
      <formula1>0</formula1>
    </dataValidation>
    <dataValidation type="decimal" operator="greaterThanOrEqual" allowBlank="1" showInputMessage="1" showErrorMessage="1" sqref="R477">
      <formula1>0</formula1>
    </dataValidation>
    <dataValidation type="whole" allowBlank="1" showInputMessage="1" showErrorMessage="1" sqref="U477">
      <formula1>1</formula1>
      <formula2>5</formula2>
    </dataValidation>
    <dataValidation type="whole" allowBlank="1" showInputMessage="1" showErrorMessage="1" sqref="V477">
      <formula1>1</formula1>
      <formula2>5</formula2>
    </dataValidation>
    <dataValidation type="whole" allowBlank="1" showInputMessage="1" showErrorMessage="1" sqref="X477">
      <formula1>1</formula1>
      <formula2>5</formula2>
    </dataValidation>
    <dataValidation type="decimal" operator="greaterThanOrEqual" allowBlank="1" showInputMessage="1" showErrorMessage="1" sqref="Y477">
      <formula1>0</formula1>
    </dataValidation>
    <dataValidation type="whole" operator="greaterThanOrEqual" allowBlank="1" showInputMessage="1" showErrorMessage="1" sqref="Z477">
      <formula1>0</formula1>
    </dataValidation>
    <dataValidation type="whole" allowBlank="1" showInputMessage="1" showErrorMessage="1" sqref="AA477">
      <formula1>1</formula1>
      <formula2>5</formula2>
    </dataValidation>
    <dataValidation type="decimal" allowBlank="1" showInputMessage="1" showErrorMessage="1" sqref="AB477">
      <formula1>0</formula1>
      <formula2>1</formula2>
    </dataValidation>
    <dataValidation type="list" allowBlank="1" showInputMessage="1" showErrorMessage="1" sqref="O477">
      <formula1>liste_statuts</formula1>
    </dataValidation>
    <dataValidation type="list" allowBlank="1" showInputMessage="1" showErrorMessage="1" sqref="B478">
      <formula1>liste_programmes</formula1>
    </dataValidation>
    <dataValidation type="list" allowBlank="1" showInputMessage="1" showErrorMessage="1" sqref="D478">
      <formula1>liste_types</formula1>
    </dataValidation>
    <dataValidation type="list" allowBlank="1" showInputMessage="1" showErrorMessage="1" sqref="F478">
      <formula1>liste_categories</formula1>
    </dataValidation>
    <dataValidation type="list" allowBlank="1" showInputMessage="1" showErrorMessage="1" sqref="G478">
      <formula1>liste_responsables</formula1>
    </dataValidation>
    <dataValidation type="list" allowBlank="1" showInputMessage="1" showErrorMessage="1" sqref="H478">
      <formula1>liste_sites</formula1>
    </dataValidation>
    <dataValidation type="list" allowBlank="1" showInputMessage="1" showErrorMessage="1" sqref="I478">
      <formula1>liste_priorites</formula1>
    </dataValidation>
    <dataValidation type="date" operator="greaterThanOrEqual" allowBlank="1" showInputMessage="1" showErrorMessage="1" sqref="J478">
      <formula1>730120</formula1>
    </dataValidation>
    <dataValidation type="date" operator="greaterThanOrEqual" allowBlank="1" showInputMessage="1" showErrorMessage="1" sqref="K478">
      <formula1>730120</formula1>
    </dataValidation>
    <dataValidation type="date" operator="greaterThanOrEqual" allowBlank="1" showInputMessage="1" showErrorMessage="1" sqref="L478">
      <formula1>730120</formula1>
    </dataValidation>
    <dataValidation type="whole" allowBlank="1" showInputMessage="1" showErrorMessage="1" sqref="P478">
      <formula1>0</formula1>
      <formula2>100</formula2>
    </dataValidation>
    <dataValidation type="decimal" operator="greaterThanOrEqual" allowBlank="1" showInputMessage="1" showErrorMessage="1" sqref="Q478">
      <formula1>0</formula1>
    </dataValidation>
    <dataValidation type="decimal" operator="greaterThanOrEqual" allowBlank="1" showInputMessage="1" showErrorMessage="1" sqref="R478">
      <formula1>0</formula1>
    </dataValidation>
    <dataValidation type="whole" allowBlank="1" showInputMessage="1" showErrorMessage="1" sqref="U478">
      <formula1>1</formula1>
      <formula2>5</formula2>
    </dataValidation>
    <dataValidation type="whole" allowBlank="1" showInputMessage="1" showErrorMessage="1" sqref="V478">
      <formula1>1</formula1>
      <formula2>5</formula2>
    </dataValidation>
    <dataValidation type="whole" allowBlank="1" showInputMessage="1" showErrorMessage="1" sqref="X478">
      <formula1>1</formula1>
      <formula2>5</formula2>
    </dataValidation>
    <dataValidation type="decimal" operator="greaterThanOrEqual" allowBlank="1" showInputMessage="1" showErrorMessage="1" sqref="Y478">
      <formula1>0</formula1>
    </dataValidation>
    <dataValidation type="whole" operator="greaterThanOrEqual" allowBlank="1" showInputMessage="1" showErrorMessage="1" sqref="Z478">
      <formula1>0</formula1>
    </dataValidation>
    <dataValidation type="whole" allowBlank="1" showInputMessage="1" showErrorMessage="1" sqref="AA478">
      <formula1>1</formula1>
      <formula2>5</formula2>
    </dataValidation>
    <dataValidation type="decimal" allowBlank="1" showInputMessage="1" showErrorMessage="1" sqref="AB478">
      <formula1>0</formula1>
      <formula2>1</formula2>
    </dataValidation>
    <dataValidation type="list" allowBlank="1" showInputMessage="1" showErrorMessage="1" sqref="O478">
      <formula1>liste_statuts</formula1>
    </dataValidation>
    <dataValidation type="list" allowBlank="1" showInputMessage="1" showErrorMessage="1" sqref="B479">
      <formula1>liste_programmes</formula1>
    </dataValidation>
    <dataValidation type="list" allowBlank="1" showInputMessage="1" showErrorMessage="1" sqref="D479">
      <formula1>liste_types</formula1>
    </dataValidation>
    <dataValidation type="list" allowBlank="1" showInputMessage="1" showErrorMessage="1" sqref="F479">
      <formula1>liste_categories</formula1>
    </dataValidation>
    <dataValidation type="list" allowBlank="1" showInputMessage="1" showErrorMessage="1" sqref="G479">
      <formula1>liste_responsables</formula1>
    </dataValidation>
    <dataValidation type="list" allowBlank="1" showInputMessage="1" showErrorMessage="1" sqref="H479">
      <formula1>liste_sites</formula1>
    </dataValidation>
    <dataValidation type="list" allowBlank="1" showInputMessage="1" showErrorMessage="1" sqref="I479">
      <formula1>liste_priorites</formula1>
    </dataValidation>
    <dataValidation type="date" operator="greaterThanOrEqual" allowBlank="1" showInputMessage="1" showErrorMessage="1" sqref="J479">
      <formula1>730120</formula1>
    </dataValidation>
    <dataValidation type="date" operator="greaterThanOrEqual" allowBlank="1" showInputMessage="1" showErrorMessage="1" sqref="K479">
      <formula1>730120</formula1>
    </dataValidation>
    <dataValidation type="date" operator="greaterThanOrEqual" allowBlank="1" showInputMessage="1" showErrorMessage="1" sqref="L479">
      <formula1>730120</formula1>
    </dataValidation>
    <dataValidation type="whole" allowBlank="1" showInputMessage="1" showErrorMessage="1" sqref="P479">
      <formula1>0</formula1>
      <formula2>100</formula2>
    </dataValidation>
    <dataValidation type="decimal" operator="greaterThanOrEqual" allowBlank="1" showInputMessage="1" showErrorMessage="1" sqref="Q479">
      <formula1>0</formula1>
    </dataValidation>
    <dataValidation type="decimal" operator="greaterThanOrEqual" allowBlank="1" showInputMessage="1" showErrorMessage="1" sqref="R479">
      <formula1>0</formula1>
    </dataValidation>
    <dataValidation type="whole" allowBlank="1" showInputMessage="1" showErrorMessage="1" sqref="U479">
      <formula1>1</formula1>
      <formula2>5</formula2>
    </dataValidation>
    <dataValidation type="whole" allowBlank="1" showInputMessage="1" showErrorMessage="1" sqref="V479">
      <formula1>1</formula1>
      <formula2>5</formula2>
    </dataValidation>
    <dataValidation type="whole" allowBlank="1" showInputMessage="1" showErrorMessage="1" sqref="X479">
      <formula1>1</formula1>
      <formula2>5</formula2>
    </dataValidation>
    <dataValidation type="decimal" operator="greaterThanOrEqual" allowBlank="1" showInputMessage="1" showErrorMessage="1" sqref="Y479">
      <formula1>0</formula1>
    </dataValidation>
    <dataValidation type="whole" operator="greaterThanOrEqual" allowBlank="1" showInputMessage="1" showErrorMessage="1" sqref="Z479">
      <formula1>0</formula1>
    </dataValidation>
    <dataValidation type="whole" allowBlank="1" showInputMessage="1" showErrorMessage="1" sqref="AA479">
      <formula1>1</formula1>
      <formula2>5</formula2>
    </dataValidation>
    <dataValidation type="decimal" allowBlank="1" showInputMessage="1" showErrorMessage="1" sqref="AB479">
      <formula1>0</formula1>
      <formula2>1</formula2>
    </dataValidation>
    <dataValidation type="list" allowBlank="1" showInputMessage="1" showErrorMessage="1" sqref="O479">
      <formula1>liste_statuts</formula1>
    </dataValidation>
    <dataValidation type="list" allowBlank="1" showInputMessage="1" showErrorMessage="1" sqref="B480">
      <formula1>liste_programmes</formula1>
    </dataValidation>
    <dataValidation type="list" allowBlank="1" showInputMessage="1" showErrorMessage="1" sqref="D480">
      <formula1>liste_types</formula1>
    </dataValidation>
    <dataValidation type="list" allowBlank="1" showInputMessage="1" showErrorMessage="1" sqref="F480">
      <formula1>liste_categories</formula1>
    </dataValidation>
    <dataValidation type="list" allowBlank="1" showInputMessage="1" showErrorMessage="1" sqref="G480">
      <formula1>liste_responsables</formula1>
    </dataValidation>
    <dataValidation type="list" allowBlank="1" showInputMessage="1" showErrorMessage="1" sqref="H480">
      <formula1>liste_sites</formula1>
    </dataValidation>
    <dataValidation type="list" allowBlank="1" showInputMessage="1" showErrorMessage="1" sqref="I480">
      <formula1>liste_priorites</formula1>
    </dataValidation>
    <dataValidation type="date" operator="greaterThanOrEqual" allowBlank="1" showInputMessage="1" showErrorMessage="1" sqref="J480">
      <formula1>730120</formula1>
    </dataValidation>
    <dataValidation type="date" operator="greaterThanOrEqual" allowBlank="1" showInputMessage="1" showErrorMessage="1" sqref="K480">
      <formula1>730120</formula1>
    </dataValidation>
    <dataValidation type="date" operator="greaterThanOrEqual" allowBlank="1" showInputMessage="1" showErrorMessage="1" sqref="L480">
      <formula1>730120</formula1>
    </dataValidation>
    <dataValidation type="whole" allowBlank="1" showInputMessage="1" showErrorMessage="1" sqref="P480">
      <formula1>0</formula1>
      <formula2>100</formula2>
    </dataValidation>
    <dataValidation type="decimal" operator="greaterThanOrEqual" allowBlank="1" showInputMessage="1" showErrorMessage="1" sqref="Q480">
      <formula1>0</formula1>
    </dataValidation>
    <dataValidation type="decimal" operator="greaterThanOrEqual" allowBlank="1" showInputMessage="1" showErrorMessage="1" sqref="R480">
      <formula1>0</formula1>
    </dataValidation>
    <dataValidation type="whole" allowBlank="1" showInputMessage="1" showErrorMessage="1" sqref="U480">
      <formula1>1</formula1>
      <formula2>5</formula2>
    </dataValidation>
    <dataValidation type="whole" allowBlank="1" showInputMessage="1" showErrorMessage="1" sqref="V480">
      <formula1>1</formula1>
      <formula2>5</formula2>
    </dataValidation>
    <dataValidation type="whole" allowBlank="1" showInputMessage="1" showErrorMessage="1" sqref="X480">
      <formula1>1</formula1>
      <formula2>5</formula2>
    </dataValidation>
    <dataValidation type="decimal" operator="greaterThanOrEqual" allowBlank="1" showInputMessage="1" showErrorMessage="1" sqref="Y480">
      <formula1>0</formula1>
    </dataValidation>
    <dataValidation type="whole" operator="greaterThanOrEqual" allowBlank="1" showInputMessage="1" showErrorMessage="1" sqref="Z480">
      <formula1>0</formula1>
    </dataValidation>
    <dataValidation type="whole" allowBlank="1" showInputMessage="1" showErrorMessage="1" sqref="AA480">
      <formula1>1</formula1>
      <formula2>5</formula2>
    </dataValidation>
    <dataValidation type="decimal" allowBlank="1" showInputMessage="1" showErrorMessage="1" sqref="AB480">
      <formula1>0</formula1>
      <formula2>1</formula2>
    </dataValidation>
    <dataValidation type="list" allowBlank="1" showInputMessage="1" showErrorMessage="1" sqref="O480">
      <formula1>liste_statuts</formula1>
    </dataValidation>
    <dataValidation type="list" allowBlank="1" showInputMessage="1" showErrorMessage="1" sqref="B481">
      <formula1>liste_programmes</formula1>
    </dataValidation>
    <dataValidation type="list" allowBlank="1" showInputMessage="1" showErrorMessage="1" sqref="D481">
      <formula1>liste_types</formula1>
    </dataValidation>
    <dataValidation type="list" allowBlank="1" showInputMessage="1" showErrorMessage="1" sqref="F481">
      <formula1>liste_categories</formula1>
    </dataValidation>
    <dataValidation type="list" allowBlank="1" showInputMessage="1" showErrorMessage="1" sqref="G481">
      <formula1>liste_responsables</formula1>
    </dataValidation>
    <dataValidation type="list" allowBlank="1" showInputMessage="1" showErrorMessage="1" sqref="H481">
      <formula1>liste_sites</formula1>
    </dataValidation>
    <dataValidation type="list" allowBlank="1" showInputMessage="1" showErrorMessage="1" sqref="I481">
      <formula1>liste_priorites</formula1>
    </dataValidation>
    <dataValidation type="date" operator="greaterThanOrEqual" allowBlank="1" showInputMessage="1" showErrorMessage="1" sqref="J481">
      <formula1>730120</formula1>
    </dataValidation>
    <dataValidation type="date" operator="greaterThanOrEqual" allowBlank="1" showInputMessage="1" showErrorMessage="1" sqref="K481">
      <formula1>730120</formula1>
    </dataValidation>
    <dataValidation type="date" operator="greaterThanOrEqual" allowBlank="1" showInputMessage="1" showErrorMessage="1" sqref="L481">
      <formula1>730120</formula1>
    </dataValidation>
    <dataValidation type="whole" allowBlank="1" showInputMessage="1" showErrorMessage="1" sqref="P481">
      <formula1>0</formula1>
      <formula2>100</formula2>
    </dataValidation>
    <dataValidation type="decimal" operator="greaterThanOrEqual" allowBlank="1" showInputMessage="1" showErrorMessage="1" sqref="Q481">
      <formula1>0</formula1>
    </dataValidation>
    <dataValidation type="decimal" operator="greaterThanOrEqual" allowBlank="1" showInputMessage="1" showErrorMessage="1" sqref="R481">
      <formula1>0</formula1>
    </dataValidation>
    <dataValidation type="whole" allowBlank="1" showInputMessage="1" showErrorMessage="1" sqref="U481">
      <formula1>1</formula1>
      <formula2>5</formula2>
    </dataValidation>
    <dataValidation type="whole" allowBlank="1" showInputMessage="1" showErrorMessage="1" sqref="V481">
      <formula1>1</formula1>
      <formula2>5</formula2>
    </dataValidation>
    <dataValidation type="whole" allowBlank="1" showInputMessage="1" showErrorMessage="1" sqref="X481">
      <formula1>1</formula1>
      <formula2>5</formula2>
    </dataValidation>
    <dataValidation type="decimal" operator="greaterThanOrEqual" allowBlank="1" showInputMessage="1" showErrorMessage="1" sqref="Y481">
      <formula1>0</formula1>
    </dataValidation>
    <dataValidation type="whole" operator="greaterThanOrEqual" allowBlank="1" showInputMessage="1" showErrorMessage="1" sqref="Z481">
      <formula1>0</formula1>
    </dataValidation>
    <dataValidation type="whole" allowBlank="1" showInputMessage="1" showErrorMessage="1" sqref="AA481">
      <formula1>1</formula1>
      <formula2>5</formula2>
    </dataValidation>
    <dataValidation type="decimal" allowBlank="1" showInputMessage="1" showErrorMessage="1" sqref="AB481">
      <formula1>0</formula1>
      <formula2>1</formula2>
    </dataValidation>
    <dataValidation type="list" allowBlank="1" showInputMessage="1" showErrorMessage="1" sqref="O481">
      <formula1>liste_statuts</formula1>
    </dataValidation>
    <dataValidation type="list" allowBlank="1" showInputMessage="1" showErrorMessage="1" sqref="B482">
      <formula1>liste_programmes</formula1>
    </dataValidation>
    <dataValidation type="list" allowBlank="1" showInputMessage="1" showErrorMessage="1" sqref="D482">
      <formula1>liste_types</formula1>
    </dataValidation>
    <dataValidation type="list" allowBlank="1" showInputMessage="1" showErrorMessage="1" sqref="F482">
      <formula1>liste_categories</formula1>
    </dataValidation>
    <dataValidation type="list" allowBlank="1" showInputMessage="1" showErrorMessage="1" sqref="G482">
      <formula1>liste_responsables</formula1>
    </dataValidation>
    <dataValidation type="list" allowBlank="1" showInputMessage="1" showErrorMessage="1" sqref="H482">
      <formula1>liste_sites</formula1>
    </dataValidation>
    <dataValidation type="list" allowBlank="1" showInputMessage="1" showErrorMessage="1" sqref="I482">
      <formula1>liste_priorites</formula1>
    </dataValidation>
    <dataValidation type="date" operator="greaterThanOrEqual" allowBlank="1" showInputMessage="1" showErrorMessage="1" sqref="J482">
      <formula1>730120</formula1>
    </dataValidation>
    <dataValidation type="date" operator="greaterThanOrEqual" allowBlank="1" showInputMessage="1" showErrorMessage="1" sqref="K482">
      <formula1>730120</formula1>
    </dataValidation>
    <dataValidation type="date" operator="greaterThanOrEqual" allowBlank="1" showInputMessage="1" showErrorMessage="1" sqref="L482">
      <formula1>730120</formula1>
    </dataValidation>
    <dataValidation type="whole" allowBlank="1" showInputMessage="1" showErrorMessage="1" sqref="P482">
      <formula1>0</formula1>
      <formula2>100</formula2>
    </dataValidation>
    <dataValidation type="decimal" operator="greaterThanOrEqual" allowBlank="1" showInputMessage="1" showErrorMessage="1" sqref="Q482">
      <formula1>0</formula1>
    </dataValidation>
    <dataValidation type="decimal" operator="greaterThanOrEqual" allowBlank="1" showInputMessage="1" showErrorMessage="1" sqref="R482">
      <formula1>0</formula1>
    </dataValidation>
    <dataValidation type="whole" allowBlank="1" showInputMessage="1" showErrorMessage="1" sqref="U482">
      <formula1>1</formula1>
      <formula2>5</formula2>
    </dataValidation>
    <dataValidation type="whole" allowBlank="1" showInputMessage="1" showErrorMessage="1" sqref="V482">
      <formula1>1</formula1>
      <formula2>5</formula2>
    </dataValidation>
    <dataValidation type="whole" allowBlank="1" showInputMessage="1" showErrorMessage="1" sqref="X482">
      <formula1>1</formula1>
      <formula2>5</formula2>
    </dataValidation>
    <dataValidation type="decimal" operator="greaterThanOrEqual" allowBlank="1" showInputMessage="1" showErrorMessage="1" sqref="Y482">
      <formula1>0</formula1>
    </dataValidation>
    <dataValidation type="whole" operator="greaterThanOrEqual" allowBlank="1" showInputMessage="1" showErrorMessage="1" sqref="Z482">
      <formula1>0</formula1>
    </dataValidation>
    <dataValidation type="whole" allowBlank="1" showInputMessage="1" showErrorMessage="1" sqref="AA482">
      <formula1>1</formula1>
      <formula2>5</formula2>
    </dataValidation>
    <dataValidation type="decimal" allowBlank="1" showInputMessage="1" showErrorMessage="1" sqref="AB482">
      <formula1>0</formula1>
      <formula2>1</formula2>
    </dataValidation>
    <dataValidation type="list" allowBlank="1" showInputMessage="1" showErrorMessage="1" sqref="O482">
      <formula1>liste_statuts</formula1>
    </dataValidation>
    <dataValidation type="list" allowBlank="1" showInputMessage="1" showErrorMessage="1" sqref="B483">
      <formula1>liste_programmes</formula1>
    </dataValidation>
    <dataValidation type="list" allowBlank="1" showInputMessage="1" showErrorMessage="1" sqref="D483">
      <formula1>liste_types</formula1>
    </dataValidation>
    <dataValidation type="list" allowBlank="1" showInputMessage="1" showErrorMessage="1" sqref="F483">
      <formula1>liste_categories</formula1>
    </dataValidation>
    <dataValidation type="list" allowBlank="1" showInputMessage="1" showErrorMessage="1" sqref="G483">
      <formula1>liste_responsables</formula1>
    </dataValidation>
    <dataValidation type="list" allowBlank="1" showInputMessage="1" showErrorMessage="1" sqref="H483">
      <formula1>liste_sites</formula1>
    </dataValidation>
    <dataValidation type="list" allowBlank="1" showInputMessage="1" showErrorMessage="1" sqref="I483">
      <formula1>liste_priorites</formula1>
    </dataValidation>
    <dataValidation type="date" operator="greaterThanOrEqual" allowBlank="1" showInputMessage="1" showErrorMessage="1" sqref="J483">
      <formula1>730120</formula1>
    </dataValidation>
    <dataValidation type="date" operator="greaterThanOrEqual" allowBlank="1" showInputMessage="1" showErrorMessage="1" sqref="K483">
      <formula1>730120</formula1>
    </dataValidation>
    <dataValidation type="date" operator="greaterThanOrEqual" allowBlank="1" showInputMessage="1" showErrorMessage="1" sqref="L483">
      <formula1>730120</formula1>
    </dataValidation>
    <dataValidation type="whole" allowBlank="1" showInputMessage="1" showErrorMessage="1" sqref="P483">
      <formula1>0</formula1>
      <formula2>100</formula2>
    </dataValidation>
    <dataValidation type="decimal" operator="greaterThanOrEqual" allowBlank="1" showInputMessage="1" showErrorMessage="1" sqref="Q483">
      <formula1>0</formula1>
    </dataValidation>
    <dataValidation type="decimal" operator="greaterThanOrEqual" allowBlank="1" showInputMessage="1" showErrorMessage="1" sqref="R483">
      <formula1>0</formula1>
    </dataValidation>
    <dataValidation type="whole" allowBlank="1" showInputMessage="1" showErrorMessage="1" sqref="U483">
      <formula1>1</formula1>
      <formula2>5</formula2>
    </dataValidation>
    <dataValidation type="whole" allowBlank="1" showInputMessage="1" showErrorMessage="1" sqref="V483">
      <formula1>1</formula1>
      <formula2>5</formula2>
    </dataValidation>
    <dataValidation type="whole" allowBlank="1" showInputMessage="1" showErrorMessage="1" sqref="X483">
      <formula1>1</formula1>
      <formula2>5</formula2>
    </dataValidation>
    <dataValidation type="decimal" operator="greaterThanOrEqual" allowBlank="1" showInputMessage="1" showErrorMessage="1" sqref="Y483">
      <formula1>0</formula1>
    </dataValidation>
    <dataValidation type="whole" operator="greaterThanOrEqual" allowBlank="1" showInputMessage="1" showErrorMessage="1" sqref="Z483">
      <formula1>0</formula1>
    </dataValidation>
    <dataValidation type="whole" allowBlank="1" showInputMessage="1" showErrorMessage="1" sqref="AA483">
      <formula1>1</formula1>
      <formula2>5</formula2>
    </dataValidation>
    <dataValidation type="decimal" allowBlank="1" showInputMessage="1" showErrorMessage="1" sqref="AB483">
      <formula1>0</formula1>
      <formula2>1</formula2>
    </dataValidation>
    <dataValidation type="list" allowBlank="1" showInputMessage="1" showErrorMessage="1" sqref="O483">
      <formula1>liste_statuts</formula1>
    </dataValidation>
    <dataValidation type="list" allowBlank="1" showInputMessage="1" showErrorMessage="1" sqref="B484">
      <formula1>liste_programmes</formula1>
    </dataValidation>
    <dataValidation type="list" allowBlank="1" showInputMessage="1" showErrorMessage="1" sqref="D484">
      <formula1>liste_types</formula1>
    </dataValidation>
    <dataValidation type="list" allowBlank="1" showInputMessage="1" showErrorMessage="1" sqref="F484">
      <formula1>liste_categories</formula1>
    </dataValidation>
    <dataValidation type="list" allowBlank="1" showInputMessage="1" showErrorMessage="1" sqref="G484">
      <formula1>liste_responsables</formula1>
    </dataValidation>
    <dataValidation type="list" allowBlank="1" showInputMessage="1" showErrorMessage="1" sqref="H484">
      <formula1>liste_sites</formula1>
    </dataValidation>
    <dataValidation type="list" allowBlank="1" showInputMessage="1" showErrorMessage="1" sqref="I484">
      <formula1>liste_priorites</formula1>
    </dataValidation>
    <dataValidation type="date" operator="greaterThanOrEqual" allowBlank="1" showInputMessage="1" showErrorMessage="1" sqref="J484">
      <formula1>730120</formula1>
    </dataValidation>
    <dataValidation type="date" operator="greaterThanOrEqual" allowBlank="1" showInputMessage="1" showErrorMessage="1" sqref="K484">
      <formula1>730120</formula1>
    </dataValidation>
    <dataValidation type="date" operator="greaterThanOrEqual" allowBlank="1" showInputMessage="1" showErrorMessage="1" sqref="L484">
      <formula1>730120</formula1>
    </dataValidation>
    <dataValidation type="whole" allowBlank="1" showInputMessage="1" showErrorMessage="1" sqref="P484">
      <formula1>0</formula1>
      <formula2>100</formula2>
    </dataValidation>
    <dataValidation type="decimal" operator="greaterThanOrEqual" allowBlank="1" showInputMessage="1" showErrorMessage="1" sqref="Q484">
      <formula1>0</formula1>
    </dataValidation>
    <dataValidation type="decimal" operator="greaterThanOrEqual" allowBlank="1" showInputMessage="1" showErrorMessage="1" sqref="R484">
      <formula1>0</formula1>
    </dataValidation>
    <dataValidation type="whole" allowBlank="1" showInputMessage="1" showErrorMessage="1" sqref="U484">
      <formula1>1</formula1>
      <formula2>5</formula2>
    </dataValidation>
    <dataValidation type="whole" allowBlank="1" showInputMessage="1" showErrorMessage="1" sqref="V484">
      <formula1>1</formula1>
      <formula2>5</formula2>
    </dataValidation>
    <dataValidation type="whole" allowBlank="1" showInputMessage="1" showErrorMessage="1" sqref="X484">
      <formula1>1</formula1>
      <formula2>5</formula2>
    </dataValidation>
    <dataValidation type="decimal" operator="greaterThanOrEqual" allowBlank="1" showInputMessage="1" showErrorMessage="1" sqref="Y484">
      <formula1>0</formula1>
    </dataValidation>
    <dataValidation type="whole" operator="greaterThanOrEqual" allowBlank="1" showInputMessage="1" showErrorMessage="1" sqref="Z484">
      <formula1>0</formula1>
    </dataValidation>
    <dataValidation type="whole" allowBlank="1" showInputMessage="1" showErrorMessage="1" sqref="AA484">
      <formula1>1</formula1>
      <formula2>5</formula2>
    </dataValidation>
    <dataValidation type="decimal" allowBlank="1" showInputMessage="1" showErrorMessage="1" sqref="AB484">
      <formula1>0</formula1>
      <formula2>1</formula2>
    </dataValidation>
    <dataValidation type="list" allowBlank="1" showInputMessage="1" showErrorMessage="1" sqref="O484">
      <formula1>liste_statuts</formula1>
    </dataValidation>
    <dataValidation type="list" allowBlank="1" showInputMessage="1" showErrorMessage="1" sqref="B485">
      <formula1>liste_programmes</formula1>
    </dataValidation>
    <dataValidation type="list" allowBlank="1" showInputMessage="1" showErrorMessage="1" sqref="D485">
      <formula1>liste_types</formula1>
    </dataValidation>
    <dataValidation type="list" allowBlank="1" showInputMessage="1" showErrorMessage="1" sqref="F485">
      <formula1>liste_categories</formula1>
    </dataValidation>
    <dataValidation type="list" allowBlank="1" showInputMessage="1" showErrorMessage="1" sqref="G485">
      <formula1>liste_responsables</formula1>
    </dataValidation>
    <dataValidation type="list" allowBlank="1" showInputMessage="1" showErrorMessage="1" sqref="H485">
      <formula1>liste_sites</formula1>
    </dataValidation>
    <dataValidation type="list" allowBlank="1" showInputMessage="1" showErrorMessage="1" sqref="I485">
      <formula1>liste_priorites</formula1>
    </dataValidation>
    <dataValidation type="date" operator="greaterThanOrEqual" allowBlank="1" showInputMessage="1" showErrorMessage="1" sqref="J485">
      <formula1>730120</formula1>
    </dataValidation>
    <dataValidation type="date" operator="greaterThanOrEqual" allowBlank="1" showInputMessage="1" showErrorMessage="1" sqref="K485">
      <formula1>730120</formula1>
    </dataValidation>
    <dataValidation type="date" operator="greaterThanOrEqual" allowBlank="1" showInputMessage="1" showErrorMessage="1" sqref="L485">
      <formula1>730120</formula1>
    </dataValidation>
    <dataValidation type="whole" allowBlank="1" showInputMessage="1" showErrorMessage="1" sqref="P485">
      <formula1>0</formula1>
      <formula2>100</formula2>
    </dataValidation>
    <dataValidation type="decimal" operator="greaterThanOrEqual" allowBlank="1" showInputMessage="1" showErrorMessage="1" sqref="Q485">
      <formula1>0</formula1>
    </dataValidation>
    <dataValidation type="decimal" operator="greaterThanOrEqual" allowBlank="1" showInputMessage="1" showErrorMessage="1" sqref="R485">
      <formula1>0</formula1>
    </dataValidation>
    <dataValidation type="whole" allowBlank="1" showInputMessage="1" showErrorMessage="1" sqref="U485">
      <formula1>1</formula1>
      <formula2>5</formula2>
    </dataValidation>
    <dataValidation type="whole" allowBlank="1" showInputMessage="1" showErrorMessage="1" sqref="V485">
      <formula1>1</formula1>
      <formula2>5</formula2>
    </dataValidation>
    <dataValidation type="whole" allowBlank="1" showInputMessage="1" showErrorMessage="1" sqref="X485">
      <formula1>1</formula1>
      <formula2>5</formula2>
    </dataValidation>
    <dataValidation type="decimal" operator="greaterThanOrEqual" allowBlank="1" showInputMessage="1" showErrorMessage="1" sqref="Y485">
      <formula1>0</formula1>
    </dataValidation>
    <dataValidation type="whole" operator="greaterThanOrEqual" allowBlank="1" showInputMessage="1" showErrorMessage="1" sqref="Z485">
      <formula1>0</formula1>
    </dataValidation>
    <dataValidation type="whole" allowBlank="1" showInputMessage="1" showErrorMessage="1" sqref="AA485">
      <formula1>1</formula1>
      <formula2>5</formula2>
    </dataValidation>
    <dataValidation type="decimal" allowBlank="1" showInputMessage="1" showErrorMessage="1" sqref="AB485">
      <formula1>0</formula1>
      <formula2>1</formula2>
    </dataValidation>
    <dataValidation type="list" allowBlank="1" showInputMessage="1" showErrorMessage="1" sqref="O485">
      <formula1>liste_statuts</formula1>
    </dataValidation>
    <dataValidation type="list" allowBlank="1" showInputMessage="1" showErrorMessage="1" sqref="B486">
      <formula1>liste_programmes</formula1>
    </dataValidation>
    <dataValidation type="list" allowBlank="1" showInputMessage="1" showErrorMessage="1" sqref="D486">
      <formula1>liste_types</formula1>
    </dataValidation>
    <dataValidation type="list" allowBlank="1" showInputMessage="1" showErrorMessage="1" sqref="F486">
      <formula1>liste_categories</formula1>
    </dataValidation>
    <dataValidation type="list" allowBlank="1" showInputMessage="1" showErrorMessage="1" sqref="G486">
      <formula1>liste_responsables</formula1>
    </dataValidation>
    <dataValidation type="list" allowBlank="1" showInputMessage="1" showErrorMessage="1" sqref="H486">
      <formula1>liste_sites</formula1>
    </dataValidation>
    <dataValidation type="list" allowBlank="1" showInputMessage="1" showErrorMessage="1" sqref="I486">
      <formula1>liste_priorites</formula1>
    </dataValidation>
    <dataValidation type="date" operator="greaterThanOrEqual" allowBlank="1" showInputMessage="1" showErrorMessage="1" sqref="J486">
      <formula1>730120</formula1>
    </dataValidation>
    <dataValidation type="date" operator="greaterThanOrEqual" allowBlank="1" showInputMessage="1" showErrorMessage="1" sqref="K486">
      <formula1>730120</formula1>
    </dataValidation>
    <dataValidation type="date" operator="greaterThanOrEqual" allowBlank="1" showInputMessage="1" showErrorMessage="1" sqref="L486">
      <formula1>730120</formula1>
    </dataValidation>
    <dataValidation type="whole" allowBlank="1" showInputMessage="1" showErrorMessage="1" sqref="P486">
      <formula1>0</formula1>
      <formula2>100</formula2>
    </dataValidation>
    <dataValidation type="decimal" operator="greaterThanOrEqual" allowBlank="1" showInputMessage="1" showErrorMessage="1" sqref="Q486">
      <formula1>0</formula1>
    </dataValidation>
    <dataValidation type="decimal" operator="greaterThanOrEqual" allowBlank="1" showInputMessage="1" showErrorMessage="1" sqref="R486">
      <formula1>0</formula1>
    </dataValidation>
    <dataValidation type="whole" allowBlank="1" showInputMessage="1" showErrorMessage="1" sqref="U486">
      <formula1>1</formula1>
      <formula2>5</formula2>
    </dataValidation>
    <dataValidation type="whole" allowBlank="1" showInputMessage="1" showErrorMessage="1" sqref="V486">
      <formula1>1</formula1>
      <formula2>5</formula2>
    </dataValidation>
    <dataValidation type="whole" allowBlank="1" showInputMessage="1" showErrorMessage="1" sqref="X486">
      <formula1>1</formula1>
      <formula2>5</formula2>
    </dataValidation>
    <dataValidation type="decimal" operator="greaterThanOrEqual" allowBlank="1" showInputMessage="1" showErrorMessage="1" sqref="Y486">
      <formula1>0</formula1>
    </dataValidation>
    <dataValidation type="whole" operator="greaterThanOrEqual" allowBlank="1" showInputMessage="1" showErrorMessage="1" sqref="Z486">
      <formula1>0</formula1>
    </dataValidation>
    <dataValidation type="whole" allowBlank="1" showInputMessage="1" showErrorMessage="1" sqref="AA486">
      <formula1>1</formula1>
      <formula2>5</formula2>
    </dataValidation>
    <dataValidation type="decimal" allowBlank="1" showInputMessage="1" showErrorMessage="1" sqref="AB486">
      <formula1>0</formula1>
      <formula2>1</formula2>
    </dataValidation>
    <dataValidation type="list" allowBlank="1" showInputMessage="1" showErrorMessage="1" sqref="O486">
      <formula1>liste_statuts</formula1>
    </dataValidation>
    <dataValidation type="list" allowBlank="1" showInputMessage="1" showErrorMessage="1" sqref="B487">
      <formula1>liste_programmes</formula1>
    </dataValidation>
    <dataValidation type="list" allowBlank="1" showInputMessage="1" showErrorMessage="1" sqref="D487">
      <formula1>liste_types</formula1>
    </dataValidation>
    <dataValidation type="list" allowBlank="1" showInputMessage="1" showErrorMessage="1" sqref="F487">
      <formula1>liste_categories</formula1>
    </dataValidation>
    <dataValidation type="list" allowBlank="1" showInputMessage="1" showErrorMessage="1" sqref="G487">
      <formula1>liste_responsables</formula1>
    </dataValidation>
    <dataValidation type="list" allowBlank="1" showInputMessage="1" showErrorMessage="1" sqref="H487">
      <formula1>liste_sites</formula1>
    </dataValidation>
    <dataValidation type="list" allowBlank="1" showInputMessage="1" showErrorMessage="1" sqref="I487">
      <formula1>liste_priorites</formula1>
    </dataValidation>
    <dataValidation type="date" operator="greaterThanOrEqual" allowBlank="1" showInputMessage="1" showErrorMessage="1" sqref="J487">
      <formula1>730120</formula1>
    </dataValidation>
    <dataValidation type="date" operator="greaterThanOrEqual" allowBlank="1" showInputMessage="1" showErrorMessage="1" sqref="K487">
      <formula1>730120</formula1>
    </dataValidation>
    <dataValidation type="date" operator="greaterThanOrEqual" allowBlank="1" showInputMessage="1" showErrorMessage="1" sqref="L487">
      <formula1>730120</formula1>
    </dataValidation>
    <dataValidation type="whole" allowBlank="1" showInputMessage="1" showErrorMessage="1" sqref="P487">
      <formula1>0</formula1>
      <formula2>100</formula2>
    </dataValidation>
    <dataValidation type="decimal" operator="greaterThanOrEqual" allowBlank="1" showInputMessage="1" showErrorMessage="1" sqref="Q487">
      <formula1>0</formula1>
    </dataValidation>
    <dataValidation type="decimal" operator="greaterThanOrEqual" allowBlank="1" showInputMessage="1" showErrorMessage="1" sqref="R487">
      <formula1>0</formula1>
    </dataValidation>
    <dataValidation type="whole" allowBlank="1" showInputMessage="1" showErrorMessage="1" sqref="U487">
      <formula1>1</formula1>
      <formula2>5</formula2>
    </dataValidation>
    <dataValidation type="whole" allowBlank="1" showInputMessage="1" showErrorMessage="1" sqref="V487">
      <formula1>1</formula1>
      <formula2>5</formula2>
    </dataValidation>
    <dataValidation type="whole" allowBlank="1" showInputMessage="1" showErrorMessage="1" sqref="X487">
      <formula1>1</formula1>
      <formula2>5</formula2>
    </dataValidation>
    <dataValidation type="decimal" operator="greaterThanOrEqual" allowBlank="1" showInputMessage="1" showErrorMessage="1" sqref="Y487">
      <formula1>0</formula1>
    </dataValidation>
    <dataValidation type="whole" operator="greaterThanOrEqual" allowBlank="1" showInputMessage="1" showErrorMessage="1" sqref="Z487">
      <formula1>0</formula1>
    </dataValidation>
    <dataValidation type="whole" allowBlank="1" showInputMessage="1" showErrorMessage="1" sqref="AA487">
      <formula1>1</formula1>
      <formula2>5</formula2>
    </dataValidation>
    <dataValidation type="decimal" allowBlank="1" showInputMessage="1" showErrorMessage="1" sqref="AB487">
      <formula1>0</formula1>
      <formula2>1</formula2>
    </dataValidation>
    <dataValidation type="list" allowBlank="1" showInputMessage="1" showErrorMessage="1" sqref="O487">
      <formula1>liste_statuts</formula1>
    </dataValidation>
    <dataValidation type="list" allowBlank="1" showInputMessage="1" showErrorMessage="1" sqref="B488">
      <formula1>liste_programmes</formula1>
    </dataValidation>
    <dataValidation type="list" allowBlank="1" showInputMessage="1" showErrorMessage="1" sqref="D488">
      <formula1>liste_types</formula1>
    </dataValidation>
    <dataValidation type="list" allowBlank="1" showInputMessage="1" showErrorMessage="1" sqref="F488">
      <formula1>liste_categories</formula1>
    </dataValidation>
    <dataValidation type="list" allowBlank="1" showInputMessage="1" showErrorMessage="1" sqref="G488">
      <formula1>liste_responsables</formula1>
    </dataValidation>
    <dataValidation type="list" allowBlank="1" showInputMessage="1" showErrorMessage="1" sqref="H488">
      <formula1>liste_sites</formula1>
    </dataValidation>
    <dataValidation type="list" allowBlank="1" showInputMessage="1" showErrorMessage="1" sqref="I488">
      <formula1>liste_priorites</formula1>
    </dataValidation>
    <dataValidation type="date" operator="greaterThanOrEqual" allowBlank="1" showInputMessage="1" showErrorMessage="1" sqref="J488">
      <formula1>730120</formula1>
    </dataValidation>
    <dataValidation type="date" operator="greaterThanOrEqual" allowBlank="1" showInputMessage="1" showErrorMessage="1" sqref="K488">
      <formula1>730120</formula1>
    </dataValidation>
    <dataValidation type="date" operator="greaterThanOrEqual" allowBlank="1" showInputMessage="1" showErrorMessage="1" sqref="L488">
      <formula1>730120</formula1>
    </dataValidation>
    <dataValidation type="whole" allowBlank="1" showInputMessage="1" showErrorMessage="1" sqref="P488">
      <formula1>0</formula1>
      <formula2>100</formula2>
    </dataValidation>
    <dataValidation type="decimal" operator="greaterThanOrEqual" allowBlank="1" showInputMessage="1" showErrorMessage="1" sqref="Q488">
      <formula1>0</formula1>
    </dataValidation>
    <dataValidation type="decimal" operator="greaterThanOrEqual" allowBlank="1" showInputMessage="1" showErrorMessage="1" sqref="R488">
      <formula1>0</formula1>
    </dataValidation>
    <dataValidation type="whole" allowBlank="1" showInputMessage="1" showErrorMessage="1" sqref="U488">
      <formula1>1</formula1>
      <formula2>5</formula2>
    </dataValidation>
    <dataValidation type="whole" allowBlank="1" showInputMessage="1" showErrorMessage="1" sqref="V488">
      <formula1>1</formula1>
      <formula2>5</formula2>
    </dataValidation>
    <dataValidation type="whole" allowBlank="1" showInputMessage="1" showErrorMessage="1" sqref="X488">
      <formula1>1</formula1>
      <formula2>5</formula2>
    </dataValidation>
    <dataValidation type="decimal" operator="greaterThanOrEqual" allowBlank="1" showInputMessage="1" showErrorMessage="1" sqref="Y488">
      <formula1>0</formula1>
    </dataValidation>
    <dataValidation type="whole" operator="greaterThanOrEqual" allowBlank="1" showInputMessage="1" showErrorMessage="1" sqref="Z488">
      <formula1>0</formula1>
    </dataValidation>
    <dataValidation type="whole" allowBlank="1" showInputMessage="1" showErrorMessage="1" sqref="AA488">
      <formula1>1</formula1>
      <formula2>5</formula2>
    </dataValidation>
    <dataValidation type="decimal" allowBlank="1" showInputMessage="1" showErrorMessage="1" sqref="AB488">
      <formula1>0</formula1>
      <formula2>1</formula2>
    </dataValidation>
    <dataValidation type="list" allowBlank="1" showInputMessage="1" showErrorMessage="1" sqref="O488">
      <formula1>liste_statuts</formula1>
    </dataValidation>
    <dataValidation type="list" allowBlank="1" showInputMessage="1" showErrorMessage="1" sqref="B489">
      <formula1>liste_programmes</formula1>
    </dataValidation>
    <dataValidation type="list" allowBlank="1" showInputMessage="1" showErrorMessage="1" sqref="D489">
      <formula1>liste_types</formula1>
    </dataValidation>
    <dataValidation type="list" allowBlank="1" showInputMessage="1" showErrorMessage="1" sqref="F489">
      <formula1>liste_categories</formula1>
    </dataValidation>
    <dataValidation type="list" allowBlank="1" showInputMessage="1" showErrorMessage="1" sqref="G489">
      <formula1>liste_responsables</formula1>
    </dataValidation>
    <dataValidation type="list" allowBlank="1" showInputMessage="1" showErrorMessage="1" sqref="H489">
      <formula1>liste_sites</formula1>
    </dataValidation>
    <dataValidation type="list" allowBlank="1" showInputMessage="1" showErrorMessage="1" sqref="I489">
      <formula1>liste_priorites</formula1>
    </dataValidation>
    <dataValidation type="date" operator="greaterThanOrEqual" allowBlank="1" showInputMessage="1" showErrorMessage="1" sqref="J489">
      <formula1>730120</formula1>
    </dataValidation>
    <dataValidation type="date" operator="greaterThanOrEqual" allowBlank="1" showInputMessage="1" showErrorMessage="1" sqref="K489">
      <formula1>730120</formula1>
    </dataValidation>
    <dataValidation type="date" operator="greaterThanOrEqual" allowBlank="1" showInputMessage="1" showErrorMessage="1" sqref="L489">
      <formula1>730120</formula1>
    </dataValidation>
    <dataValidation type="whole" allowBlank="1" showInputMessage="1" showErrorMessage="1" sqref="P489">
      <formula1>0</formula1>
      <formula2>100</formula2>
    </dataValidation>
    <dataValidation type="decimal" operator="greaterThanOrEqual" allowBlank="1" showInputMessage="1" showErrorMessage="1" sqref="Q489">
      <formula1>0</formula1>
    </dataValidation>
    <dataValidation type="decimal" operator="greaterThanOrEqual" allowBlank="1" showInputMessage="1" showErrorMessage="1" sqref="R489">
      <formula1>0</formula1>
    </dataValidation>
    <dataValidation type="whole" allowBlank="1" showInputMessage="1" showErrorMessage="1" sqref="U489">
      <formula1>1</formula1>
      <formula2>5</formula2>
    </dataValidation>
    <dataValidation type="whole" allowBlank="1" showInputMessage="1" showErrorMessage="1" sqref="V489">
      <formula1>1</formula1>
      <formula2>5</formula2>
    </dataValidation>
    <dataValidation type="whole" allowBlank="1" showInputMessage="1" showErrorMessage="1" sqref="X489">
      <formula1>1</formula1>
      <formula2>5</formula2>
    </dataValidation>
    <dataValidation type="decimal" operator="greaterThanOrEqual" allowBlank="1" showInputMessage="1" showErrorMessage="1" sqref="Y489">
      <formula1>0</formula1>
    </dataValidation>
    <dataValidation type="whole" operator="greaterThanOrEqual" allowBlank="1" showInputMessage="1" showErrorMessage="1" sqref="Z489">
      <formula1>0</formula1>
    </dataValidation>
    <dataValidation type="whole" allowBlank="1" showInputMessage="1" showErrorMessage="1" sqref="AA489">
      <formula1>1</formula1>
      <formula2>5</formula2>
    </dataValidation>
    <dataValidation type="decimal" allowBlank="1" showInputMessage="1" showErrorMessage="1" sqref="AB489">
      <formula1>0</formula1>
      <formula2>1</formula2>
    </dataValidation>
    <dataValidation type="list" allowBlank="1" showInputMessage="1" showErrorMessage="1" sqref="O489">
      <formula1>liste_statuts</formula1>
    </dataValidation>
    <dataValidation type="list" allowBlank="1" showInputMessage="1" showErrorMessage="1" sqref="B490">
      <formula1>liste_programmes</formula1>
    </dataValidation>
    <dataValidation type="list" allowBlank="1" showInputMessage="1" showErrorMessage="1" sqref="D490">
      <formula1>liste_types</formula1>
    </dataValidation>
    <dataValidation type="list" allowBlank="1" showInputMessage="1" showErrorMessage="1" sqref="F490">
      <formula1>liste_categories</formula1>
    </dataValidation>
    <dataValidation type="list" allowBlank="1" showInputMessage="1" showErrorMessage="1" sqref="G490">
      <formula1>liste_responsables</formula1>
    </dataValidation>
    <dataValidation type="list" allowBlank="1" showInputMessage="1" showErrorMessage="1" sqref="H490">
      <formula1>liste_sites</formula1>
    </dataValidation>
    <dataValidation type="list" allowBlank="1" showInputMessage="1" showErrorMessage="1" sqref="I490">
      <formula1>liste_priorites</formula1>
    </dataValidation>
    <dataValidation type="date" operator="greaterThanOrEqual" allowBlank="1" showInputMessage="1" showErrorMessage="1" sqref="J490">
      <formula1>730120</formula1>
    </dataValidation>
    <dataValidation type="date" operator="greaterThanOrEqual" allowBlank="1" showInputMessage="1" showErrorMessage="1" sqref="K490">
      <formula1>730120</formula1>
    </dataValidation>
    <dataValidation type="date" operator="greaterThanOrEqual" allowBlank="1" showInputMessage="1" showErrorMessage="1" sqref="L490">
      <formula1>730120</formula1>
    </dataValidation>
    <dataValidation type="whole" allowBlank="1" showInputMessage="1" showErrorMessage="1" sqref="P490">
      <formula1>0</formula1>
      <formula2>100</formula2>
    </dataValidation>
    <dataValidation type="decimal" operator="greaterThanOrEqual" allowBlank="1" showInputMessage="1" showErrorMessage="1" sqref="Q490">
      <formula1>0</formula1>
    </dataValidation>
    <dataValidation type="decimal" operator="greaterThanOrEqual" allowBlank="1" showInputMessage="1" showErrorMessage="1" sqref="R490">
      <formula1>0</formula1>
    </dataValidation>
    <dataValidation type="whole" allowBlank="1" showInputMessage="1" showErrorMessage="1" sqref="U490">
      <formula1>1</formula1>
      <formula2>5</formula2>
    </dataValidation>
    <dataValidation type="whole" allowBlank="1" showInputMessage="1" showErrorMessage="1" sqref="V490">
      <formula1>1</formula1>
      <formula2>5</formula2>
    </dataValidation>
    <dataValidation type="whole" allowBlank="1" showInputMessage="1" showErrorMessage="1" sqref="X490">
      <formula1>1</formula1>
      <formula2>5</formula2>
    </dataValidation>
    <dataValidation type="decimal" operator="greaterThanOrEqual" allowBlank="1" showInputMessage="1" showErrorMessage="1" sqref="Y490">
      <formula1>0</formula1>
    </dataValidation>
    <dataValidation type="whole" operator="greaterThanOrEqual" allowBlank="1" showInputMessage="1" showErrorMessage="1" sqref="Z490">
      <formula1>0</formula1>
    </dataValidation>
    <dataValidation type="whole" allowBlank="1" showInputMessage="1" showErrorMessage="1" sqref="AA490">
      <formula1>1</formula1>
      <formula2>5</formula2>
    </dataValidation>
    <dataValidation type="decimal" allowBlank="1" showInputMessage="1" showErrorMessage="1" sqref="AB490">
      <formula1>0</formula1>
      <formula2>1</formula2>
    </dataValidation>
    <dataValidation type="list" allowBlank="1" showInputMessage="1" showErrorMessage="1" sqref="O490">
      <formula1>liste_statuts</formula1>
    </dataValidation>
    <dataValidation type="list" allowBlank="1" showInputMessage="1" showErrorMessage="1" sqref="B491">
      <formula1>liste_programmes</formula1>
    </dataValidation>
    <dataValidation type="list" allowBlank="1" showInputMessage="1" showErrorMessage="1" sqref="D491">
      <formula1>liste_types</formula1>
    </dataValidation>
    <dataValidation type="list" allowBlank="1" showInputMessage="1" showErrorMessage="1" sqref="F491">
      <formula1>liste_categories</formula1>
    </dataValidation>
    <dataValidation type="list" allowBlank="1" showInputMessage="1" showErrorMessage="1" sqref="G491">
      <formula1>liste_responsables</formula1>
    </dataValidation>
    <dataValidation type="list" allowBlank="1" showInputMessage="1" showErrorMessage="1" sqref="H491">
      <formula1>liste_sites</formula1>
    </dataValidation>
    <dataValidation type="list" allowBlank="1" showInputMessage="1" showErrorMessage="1" sqref="I491">
      <formula1>liste_priorites</formula1>
    </dataValidation>
    <dataValidation type="date" operator="greaterThanOrEqual" allowBlank="1" showInputMessage="1" showErrorMessage="1" sqref="J491">
      <formula1>730120</formula1>
    </dataValidation>
    <dataValidation type="date" operator="greaterThanOrEqual" allowBlank="1" showInputMessage="1" showErrorMessage="1" sqref="K491">
      <formula1>730120</formula1>
    </dataValidation>
    <dataValidation type="date" operator="greaterThanOrEqual" allowBlank="1" showInputMessage="1" showErrorMessage="1" sqref="L491">
      <formula1>730120</formula1>
    </dataValidation>
    <dataValidation type="whole" allowBlank="1" showInputMessage="1" showErrorMessage="1" sqref="P491">
      <formula1>0</formula1>
      <formula2>100</formula2>
    </dataValidation>
    <dataValidation type="decimal" operator="greaterThanOrEqual" allowBlank="1" showInputMessage="1" showErrorMessage="1" sqref="Q491">
      <formula1>0</formula1>
    </dataValidation>
    <dataValidation type="decimal" operator="greaterThanOrEqual" allowBlank="1" showInputMessage="1" showErrorMessage="1" sqref="R491">
      <formula1>0</formula1>
    </dataValidation>
    <dataValidation type="whole" allowBlank="1" showInputMessage="1" showErrorMessage="1" sqref="U491">
      <formula1>1</formula1>
      <formula2>5</formula2>
    </dataValidation>
    <dataValidation type="whole" allowBlank="1" showInputMessage="1" showErrorMessage="1" sqref="V491">
      <formula1>1</formula1>
      <formula2>5</formula2>
    </dataValidation>
    <dataValidation type="whole" allowBlank="1" showInputMessage="1" showErrorMessage="1" sqref="X491">
      <formula1>1</formula1>
      <formula2>5</formula2>
    </dataValidation>
    <dataValidation type="decimal" operator="greaterThanOrEqual" allowBlank="1" showInputMessage="1" showErrorMessage="1" sqref="Y491">
      <formula1>0</formula1>
    </dataValidation>
    <dataValidation type="whole" operator="greaterThanOrEqual" allowBlank="1" showInputMessage="1" showErrorMessage="1" sqref="Z491">
      <formula1>0</formula1>
    </dataValidation>
    <dataValidation type="whole" allowBlank="1" showInputMessage="1" showErrorMessage="1" sqref="AA491">
      <formula1>1</formula1>
      <formula2>5</formula2>
    </dataValidation>
    <dataValidation type="decimal" allowBlank="1" showInputMessage="1" showErrorMessage="1" sqref="AB491">
      <formula1>0</formula1>
      <formula2>1</formula2>
    </dataValidation>
    <dataValidation type="list" allowBlank="1" showInputMessage="1" showErrorMessage="1" sqref="O491">
      <formula1>liste_statuts</formula1>
    </dataValidation>
    <dataValidation type="list" allowBlank="1" showInputMessage="1" showErrorMessage="1" sqref="B492">
      <formula1>liste_programmes</formula1>
    </dataValidation>
    <dataValidation type="list" allowBlank="1" showInputMessage="1" showErrorMessage="1" sqref="D492">
      <formula1>liste_types</formula1>
    </dataValidation>
    <dataValidation type="list" allowBlank="1" showInputMessage="1" showErrorMessage="1" sqref="F492">
      <formula1>liste_categories</formula1>
    </dataValidation>
    <dataValidation type="list" allowBlank="1" showInputMessage="1" showErrorMessage="1" sqref="G492">
      <formula1>liste_responsables</formula1>
    </dataValidation>
    <dataValidation type="list" allowBlank="1" showInputMessage="1" showErrorMessage="1" sqref="H492">
      <formula1>liste_sites</formula1>
    </dataValidation>
    <dataValidation type="list" allowBlank="1" showInputMessage="1" showErrorMessage="1" sqref="I492">
      <formula1>liste_priorites</formula1>
    </dataValidation>
    <dataValidation type="date" operator="greaterThanOrEqual" allowBlank="1" showInputMessage="1" showErrorMessage="1" sqref="J492">
      <formula1>730120</formula1>
    </dataValidation>
    <dataValidation type="date" operator="greaterThanOrEqual" allowBlank="1" showInputMessage="1" showErrorMessage="1" sqref="K492">
      <formula1>730120</formula1>
    </dataValidation>
    <dataValidation type="date" operator="greaterThanOrEqual" allowBlank="1" showInputMessage="1" showErrorMessage="1" sqref="L492">
      <formula1>730120</formula1>
    </dataValidation>
    <dataValidation type="whole" allowBlank="1" showInputMessage="1" showErrorMessage="1" sqref="P492">
      <formula1>0</formula1>
      <formula2>100</formula2>
    </dataValidation>
    <dataValidation type="decimal" operator="greaterThanOrEqual" allowBlank="1" showInputMessage="1" showErrorMessage="1" sqref="Q492">
      <formula1>0</formula1>
    </dataValidation>
    <dataValidation type="decimal" operator="greaterThanOrEqual" allowBlank="1" showInputMessage="1" showErrorMessage="1" sqref="R492">
      <formula1>0</formula1>
    </dataValidation>
    <dataValidation type="whole" allowBlank="1" showInputMessage="1" showErrorMessage="1" sqref="U492">
      <formula1>1</formula1>
      <formula2>5</formula2>
    </dataValidation>
    <dataValidation type="whole" allowBlank="1" showInputMessage="1" showErrorMessage="1" sqref="V492">
      <formula1>1</formula1>
      <formula2>5</formula2>
    </dataValidation>
    <dataValidation type="whole" allowBlank="1" showInputMessage="1" showErrorMessage="1" sqref="X492">
      <formula1>1</formula1>
      <formula2>5</formula2>
    </dataValidation>
    <dataValidation type="decimal" operator="greaterThanOrEqual" allowBlank="1" showInputMessage="1" showErrorMessage="1" sqref="Y492">
      <formula1>0</formula1>
    </dataValidation>
    <dataValidation type="whole" operator="greaterThanOrEqual" allowBlank="1" showInputMessage="1" showErrorMessage="1" sqref="Z492">
      <formula1>0</formula1>
    </dataValidation>
    <dataValidation type="whole" allowBlank="1" showInputMessage="1" showErrorMessage="1" sqref="AA492">
      <formula1>1</formula1>
      <formula2>5</formula2>
    </dataValidation>
    <dataValidation type="decimal" allowBlank="1" showInputMessage="1" showErrorMessage="1" sqref="AB492">
      <formula1>0</formula1>
      <formula2>1</formula2>
    </dataValidation>
    <dataValidation type="list" allowBlank="1" showInputMessage="1" showErrorMessage="1" sqref="O492">
      <formula1>liste_statuts</formula1>
    </dataValidation>
    <dataValidation type="list" allowBlank="1" showInputMessage="1" showErrorMessage="1" sqref="B493">
      <formula1>liste_programmes</formula1>
    </dataValidation>
    <dataValidation type="list" allowBlank="1" showInputMessage="1" showErrorMessage="1" sqref="D493">
      <formula1>liste_types</formula1>
    </dataValidation>
    <dataValidation type="list" allowBlank="1" showInputMessage="1" showErrorMessage="1" sqref="F493">
      <formula1>liste_categories</formula1>
    </dataValidation>
    <dataValidation type="list" allowBlank="1" showInputMessage="1" showErrorMessage="1" sqref="G493">
      <formula1>liste_responsables</formula1>
    </dataValidation>
    <dataValidation type="list" allowBlank="1" showInputMessage="1" showErrorMessage="1" sqref="H493">
      <formula1>liste_sites</formula1>
    </dataValidation>
    <dataValidation type="list" allowBlank="1" showInputMessage="1" showErrorMessage="1" sqref="I493">
      <formula1>liste_priorites</formula1>
    </dataValidation>
    <dataValidation type="date" operator="greaterThanOrEqual" allowBlank="1" showInputMessage="1" showErrorMessage="1" sqref="J493">
      <formula1>730120</formula1>
    </dataValidation>
    <dataValidation type="date" operator="greaterThanOrEqual" allowBlank="1" showInputMessage="1" showErrorMessage="1" sqref="K493">
      <formula1>730120</formula1>
    </dataValidation>
    <dataValidation type="date" operator="greaterThanOrEqual" allowBlank="1" showInputMessage="1" showErrorMessage="1" sqref="L493">
      <formula1>730120</formula1>
    </dataValidation>
    <dataValidation type="whole" allowBlank="1" showInputMessage="1" showErrorMessage="1" sqref="P493">
      <formula1>0</formula1>
      <formula2>100</formula2>
    </dataValidation>
    <dataValidation type="decimal" operator="greaterThanOrEqual" allowBlank="1" showInputMessage="1" showErrorMessage="1" sqref="Q493">
      <formula1>0</formula1>
    </dataValidation>
    <dataValidation type="decimal" operator="greaterThanOrEqual" allowBlank="1" showInputMessage="1" showErrorMessage="1" sqref="R493">
      <formula1>0</formula1>
    </dataValidation>
    <dataValidation type="whole" allowBlank="1" showInputMessage="1" showErrorMessage="1" sqref="U493">
      <formula1>1</formula1>
      <formula2>5</formula2>
    </dataValidation>
    <dataValidation type="whole" allowBlank="1" showInputMessage="1" showErrorMessage="1" sqref="V493">
      <formula1>1</formula1>
      <formula2>5</formula2>
    </dataValidation>
    <dataValidation type="whole" allowBlank="1" showInputMessage="1" showErrorMessage="1" sqref="X493">
      <formula1>1</formula1>
      <formula2>5</formula2>
    </dataValidation>
    <dataValidation type="decimal" operator="greaterThanOrEqual" allowBlank="1" showInputMessage="1" showErrorMessage="1" sqref="Y493">
      <formula1>0</formula1>
    </dataValidation>
    <dataValidation type="whole" operator="greaterThanOrEqual" allowBlank="1" showInputMessage="1" showErrorMessage="1" sqref="Z493">
      <formula1>0</formula1>
    </dataValidation>
    <dataValidation type="whole" allowBlank="1" showInputMessage="1" showErrorMessage="1" sqref="AA493">
      <formula1>1</formula1>
      <formula2>5</formula2>
    </dataValidation>
    <dataValidation type="decimal" allowBlank="1" showInputMessage="1" showErrorMessage="1" sqref="AB493">
      <formula1>0</formula1>
      <formula2>1</formula2>
    </dataValidation>
    <dataValidation type="list" allowBlank="1" showInputMessage="1" showErrorMessage="1" sqref="O493">
      <formula1>liste_statuts</formula1>
    </dataValidation>
    <dataValidation type="list" allowBlank="1" showInputMessage="1" showErrorMessage="1" sqref="B494">
      <formula1>liste_programmes</formula1>
    </dataValidation>
    <dataValidation type="list" allowBlank="1" showInputMessage="1" showErrorMessage="1" sqref="D494">
      <formula1>liste_types</formula1>
    </dataValidation>
    <dataValidation type="list" allowBlank="1" showInputMessage="1" showErrorMessage="1" sqref="F494">
      <formula1>liste_categories</formula1>
    </dataValidation>
    <dataValidation type="list" allowBlank="1" showInputMessage="1" showErrorMessage="1" sqref="G494">
      <formula1>liste_responsables</formula1>
    </dataValidation>
    <dataValidation type="list" allowBlank="1" showInputMessage="1" showErrorMessage="1" sqref="H494">
      <formula1>liste_sites</formula1>
    </dataValidation>
    <dataValidation type="list" allowBlank="1" showInputMessage="1" showErrorMessage="1" sqref="I494">
      <formula1>liste_priorites</formula1>
    </dataValidation>
    <dataValidation type="date" operator="greaterThanOrEqual" allowBlank="1" showInputMessage="1" showErrorMessage="1" sqref="J494">
      <formula1>730120</formula1>
    </dataValidation>
    <dataValidation type="date" operator="greaterThanOrEqual" allowBlank="1" showInputMessage="1" showErrorMessage="1" sqref="K494">
      <formula1>730120</formula1>
    </dataValidation>
    <dataValidation type="date" operator="greaterThanOrEqual" allowBlank="1" showInputMessage="1" showErrorMessage="1" sqref="L494">
      <formula1>730120</formula1>
    </dataValidation>
    <dataValidation type="whole" allowBlank="1" showInputMessage="1" showErrorMessage="1" sqref="P494">
      <formula1>0</formula1>
      <formula2>100</formula2>
    </dataValidation>
    <dataValidation type="decimal" operator="greaterThanOrEqual" allowBlank="1" showInputMessage="1" showErrorMessage="1" sqref="Q494">
      <formula1>0</formula1>
    </dataValidation>
    <dataValidation type="decimal" operator="greaterThanOrEqual" allowBlank="1" showInputMessage="1" showErrorMessage="1" sqref="R494">
      <formula1>0</formula1>
    </dataValidation>
    <dataValidation type="whole" allowBlank="1" showInputMessage="1" showErrorMessage="1" sqref="U494">
      <formula1>1</formula1>
      <formula2>5</formula2>
    </dataValidation>
    <dataValidation type="whole" allowBlank="1" showInputMessage="1" showErrorMessage="1" sqref="V494">
      <formula1>1</formula1>
      <formula2>5</formula2>
    </dataValidation>
    <dataValidation type="whole" allowBlank="1" showInputMessage="1" showErrorMessage="1" sqref="X494">
      <formula1>1</formula1>
      <formula2>5</formula2>
    </dataValidation>
    <dataValidation type="decimal" operator="greaterThanOrEqual" allowBlank="1" showInputMessage="1" showErrorMessage="1" sqref="Y494">
      <formula1>0</formula1>
    </dataValidation>
    <dataValidation type="whole" operator="greaterThanOrEqual" allowBlank="1" showInputMessage="1" showErrorMessage="1" sqref="Z494">
      <formula1>0</formula1>
    </dataValidation>
    <dataValidation type="whole" allowBlank="1" showInputMessage="1" showErrorMessage="1" sqref="AA494">
      <formula1>1</formula1>
      <formula2>5</formula2>
    </dataValidation>
    <dataValidation type="decimal" allowBlank="1" showInputMessage="1" showErrorMessage="1" sqref="AB494">
      <formula1>0</formula1>
      <formula2>1</formula2>
    </dataValidation>
    <dataValidation type="list" allowBlank="1" showInputMessage="1" showErrorMessage="1" sqref="O494">
      <formula1>liste_statuts</formula1>
    </dataValidation>
    <dataValidation type="list" allowBlank="1" showInputMessage="1" showErrorMessage="1" sqref="B495">
      <formula1>liste_programmes</formula1>
    </dataValidation>
    <dataValidation type="list" allowBlank="1" showInputMessage="1" showErrorMessage="1" sqref="D495">
      <formula1>liste_types</formula1>
    </dataValidation>
    <dataValidation type="list" allowBlank="1" showInputMessage="1" showErrorMessage="1" sqref="F495">
      <formula1>liste_categories</formula1>
    </dataValidation>
    <dataValidation type="list" allowBlank="1" showInputMessage="1" showErrorMessage="1" sqref="G495">
      <formula1>liste_responsables</formula1>
    </dataValidation>
    <dataValidation type="list" allowBlank="1" showInputMessage="1" showErrorMessage="1" sqref="H495">
      <formula1>liste_sites</formula1>
    </dataValidation>
    <dataValidation type="list" allowBlank="1" showInputMessage="1" showErrorMessage="1" sqref="I495">
      <formula1>liste_priorites</formula1>
    </dataValidation>
    <dataValidation type="date" operator="greaterThanOrEqual" allowBlank="1" showInputMessage="1" showErrorMessage="1" sqref="J495">
      <formula1>730120</formula1>
    </dataValidation>
    <dataValidation type="date" operator="greaterThanOrEqual" allowBlank="1" showInputMessage="1" showErrorMessage="1" sqref="K495">
      <formula1>730120</formula1>
    </dataValidation>
    <dataValidation type="date" operator="greaterThanOrEqual" allowBlank="1" showInputMessage="1" showErrorMessage="1" sqref="L495">
      <formula1>730120</formula1>
    </dataValidation>
    <dataValidation type="whole" allowBlank="1" showInputMessage="1" showErrorMessage="1" sqref="P495">
      <formula1>0</formula1>
      <formula2>100</formula2>
    </dataValidation>
    <dataValidation type="decimal" operator="greaterThanOrEqual" allowBlank="1" showInputMessage="1" showErrorMessage="1" sqref="Q495">
      <formula1>0</formula1>
    </dataValidation>
    <dataValidation type="decimal" operator="greaterThanOrEqual" allowBlank="1" showInputMessage="1" showErrorMessage="1" sqref="R495">
      <formula1>0</formula1>
    </dataValidation>
    <dataValidation type="whole" allowBlank="1" showInputMessage="1" showErrorMessage="1" sqref="U495">
      <formula1>1</formula1>
      <formula2>5</formula2>
    </dataValidation>
    <dataValidation type="whole" allowBlank="1" showInputMessage="1" showErrorMessage="1" sqref="V495">
      <formula1>1</formula1>
      <formula2>5</formula2>
    </dataValidation>
    <dataValidation type="whole" allowBlank="1" showInputMessage="1" showErrorMessage="1" sqref="X495">
      <formula1>1</formula1>
      <formula2>5</formula2>
    </dataValidation>
    <dataValidation type="decimal" operator="greaterThanOrEqual" allowBlank="1" showInputMessage="1" showErrorMessage="1" sqref="Y495">
      <formula1>0</formula1>
    </dataValidation>
    <dataValidation type="whole" operator="greaterThanOrEqual" allowBlank="1" showInputMessage="1" showErrorMessage="1" sqref="Z495">
      <formula1>0</formula1>
    </dataValidation>
    <dataValidation type="whole" allowBlank="1" showInputMessage="1" showErrorMessage="1" sqref="AA495">
      <formula1>1</formula1>
      <formula2>5</formula2>
    </dataValidation>
    <dataValidation type="decimal" allowBlank="1" showInputMessage="1" showErrorMessage="1" sqref="AB495">
      <formula1>0</formula1>
      <formula2>1</formula2>
    </dataValidation>
    <dataValidation type="list" allowBlank="1" showInputMessage="1" showErrorMessage="1" sqref="O495">
      <formula1>liste_statuts</formula1>
    </dataValidation>
    <dataValidation type="list" allowBlank="1" showInputMessage="1" showErrorMessage="1" sqref="B496">
      <formula1>liste_programmes</formula1>
    </dataValidation>
    <dataValidation type="list" allowBlank="1" showInputMessage="1" showErrorMessage="1" sqref="D496">
      <formula1>liste_types</formula1>
    </dataValidation>
    <dataValidation type="list" allowBlank="1" showInputMessage="1" showErrorMessage="1" sqref="F496">
      <formula1>liste_categories</formula1>
    </dataValidation>
    <dataValidation type="list" allowBlank="1" showInputMessage="1" showErrorMessage="1" sqref="G496">
      <formula1>liste_responsables</formula1>
    </dataValidation>
    <dataValidation type="list" allowBlank="1" showInputMessage="1" showErrorMessage="1" sqref="H496">
      <formula1>liste_sites</formula1>
    </dataValidation>
    <dataValidation type="list" allowBlank="1" showInputMessage="1" showErrorMessage="1" sqref="I496">
      <formula1>liste_priorites</formula1>
    </dataValidation>
    <dataValidation type="date" operator="greaterThanOrEqual" allowBlank="1" showInputMessage="1" showErrorMessage="1" sqref="J496">
      <formula1>730120</formula1>
    </dataValidation>
    <dataValidation type="date" operator="greaterThanOrEqual" allowBlank="1" showInputMessage="1" showErrorMessage="1" sqref="K496">
      <formula1>730120</formula1>
    </dataValidation>
    <dataValidation type="date" operator="greaterThanOrEqual" allowBlank="1" showInputMessage="1" showErrorMessage="1" sqref="L496">
      <formula1>730120</formula1>
    </dataValidation>
    <dataValidation type="whole" allowBlank="1" showInputMessage="1" showErrorMessage="1" sqref="P496">
      <formula1>0</formula1>
      <formula2>100</formula2>
    </dataValidation>
    <dataValidation type="decimal" operator="greaterThanOrEqual" allowBlank="1" showInputMessage="1" showErrorMessage="1" sqref="Q496">
      <formula1>0</formula1>
    </dataValidation>
    <dataValidation type="decimal" operator="greaterThanOrEqual" allowBlank="1" showInputMessage="1" showErrorMessage="1" sqref="R496">
      <formula1>0</formula1>
    </dataValidation>
    <dataValidation type="whole" allowBlank="1" showInputMessage="1" showErrorMessage="1" sqref="U496">
      <formula1>1</formula1>
      <formula2>5</formula2>
    </dataValidation>
    <dataValidation type="whole" allowBlank="1" showInputMessage="1" showErrorMessage="1" sqref="V496">
      <formula1>1</formula1>
      <formula2>5</formula2>
    </dataValidation>
    <dataValidation type="whole" allowBlank="1" showInputMessage="1" showErrorMessage="1" sqref="X496">
      <formula1>1</formula1>
      <formula2>5</formula2>
    </dataValidation>
    <dataValidation type="decimal" operator="greaterThanOrEqual" allowBlank="1" showInputMessage="1" showErrorMessage="1" sqref="Y496">
      <formula1>0</formula1>
    </dataValidation>
    <dataValidation type="whole" operator="greaterThanOrEqual" allowBlank="1" showInputMessage="1" showErrorMessage="1" sqref="Z496">
      <formula1>0</formula1>
    </dataValidation>
    <dataValidation type="whole" allowBlank="1" showInputMessage="1" showErrorMessage="1" sqref="AA496">
      <formula1>1</formula1>
      <formula2>5</formula2>
    </dataValidation>
    <dataValidation type="decimal" allowBlank="1" showInputMessage="1" showErrorMessage="1" sqref="AB496">
      <formula1>0</formula1>
      <formula2>1</formula2>
    </dataValidation>
    <dataValidation type="list" allowBlank="1" showInputMessage="1" showErrorMessage="1" sqref="O496">
      <formula1>liste_statuts</formula1>
    </dataValidation>
    <dataValidation type="list" allowBlank="1" showInputMessage="1" showErrorMessage="1" sqref="B497">
      <formula1>liste_programmes</formula1>
    </dataValidation>
    <dataValidation type="list" allowBlank="1" showInputMessage="1" showErrorMessage="1" sqref="D497">
      <formula1>liste_types</formula1>
    </dataValidation>
    <dataValidation type="list" allowBlank="1" showInputMessage="1" showErrorMessage="1" sqref="F497">
      <formula1>liste_categories</formula1>
    </dataValidation>
    <dataValidation type="list" allowBlank="1" showInputMessage="1" showErrorMessage="1" sqref="G497">
      <formula1>liste_responsables</formula1>
    </dataValidation>
    <dataValidation type="list" allowBlank="1" showInputMessage="1" showErrorMessage="1" sqref="H497">
      <formula1>liste_sites</formula1>
    </dataValidation>
    <dataValidation type="list" allowBlank="1" showInputMessage="1" showErrorMessage="1" sqref="I497">
      <formula1>liste_priorites</formula1>
    </dataValidation>
    <dataValidation type="date" operator="greaterThanOrEqual" allowBlank="1" showInputMessage="1" showErrorMessage="1" sqref="J497">
      <formula1>730120</formula1>
    </dataValidation>
    <dataValidation type="date" operator="greaterThanOrEqual" allowBlank="1" showInputMessage="1" showErrorMessage="1" sqref="K497">
      <formula1>730120</formula1>
    </dataValidation>
    <dataValidation type="date" operator="greaterThanOrEqual" allowBlank="1" showInputMessage="1" showErrorMessage="1" sqref="L497">
      <formula1>730120</formula1>
    </dataValidation>
    <dataValidation type="whole" allowBlank="1" showInputMessage="1" showErrorMessage="1" sqref="P497">
      <formula1>0</formula1>
      <formula2>100</formula2>
    </dataValidation>
    <dataValidation type="decimal" operator="greaterThanOrEqual" allowBlank="1" showInputMessage="1" showErrorMessage="1" sqref="Q497">
      <formula1>0</formula1>
    </dataValidation>
    <dataValidation type="decimal" operator="greaterThanOrEqual" allowBlank="1" showInputMessage="1" showErrorMessage="1" sqref="R497">
      <formula1>0</formula1>
    </dataValidation>
    <dataValidation type="whole" allowBlank="1" showInputMessage="1" showErrorMessage="1" sqref="U497">
      <formula1>1</formula1>
      <formula2>5</formula2>
    </dataValidation>
    <dataValidation type="whole" allowBlank="1" showInputMessage="1" showErrorMessage="1" sqref="V497">
      <formula1>1</formula1>
      <formula2>5</formula2>
    </dataValidation>
    <dataValidation type="whole" allowBlank="1" showInputMessage="1" showErrorMessage="1" sqref="X497">
      <formula1>1</formula1>
      <formula2>5</formula2>
    </dataValidation>
    <dataValidation type="decimal" operator="greaterThanOrEqual" allowBlank="1" showInputMessage="1" showErrorMessage="1" sqref="Y497">
      <formula1>0</formula1>
    </dataValidation>
    <dataValidation type="whole" operator="greaterThanOrEqual" allowBlank="1" showInputMessage="1" showErrorMessage="1" sqref="Z497">
      <formula1>0</formula1>
    </dataValidation>
    <dataValidation type="whole" allowBlank="1" showInputMessage="1" showErrorMessage="1" sqref="AA497">
      <formula1>1</formula1>
      <formula2>5</formula2>
    </dataValidation>
    <dataValidation type="decimal" allowBlank="1" showInputMessage="1" showErrorMessage="1" sqref="AB497">
      <formula1>0</formula1>
      <formula2>1</formula2>
    </dataValidation>
    <dataValidation type="list" allowBlank="1" showInputMessage="1" showErrorMessage="1" sqref="O497">
      <formula1>liste_statuts</formula1>
    </dataValidation>
    <dataValidation type="list" allowBlank="1" showInputMessage="1" showErrorMessage="1" sqref="B498">
      <formula1>liste_programmes</formula1>
    </dataValidation>
    <dataValidation type="list" allowBlank="1" showInputMessage="1" showErrorMessage="1" sqref="D498">
      <formula1>liste_types</formula1>
    </dataValidation>
    <dataValidation type="list" allowBlank="1" showInputMessage="1" showErrorMessage="1" sqref="F498">
      <formula1>liste_categories</formula1>
    </dataValidation>
    <dataValidation type="list" allowBlank="1" showInputMessage="1" showErrorMessage="1" sqref="G498">
      <formula1>liste_responsables</formula1>
    </dataValidation>
    <dataValidation type="list" allowBlank="1" showInputMessage="1" showErrorMessage="1" sqref="H498">
      <formula1>liste_sites</formula1>
    </dataValidation>
    <dataValidation type="list" allowBlank="1" showInputMessage="1" showErrorMessage="1" sqref="I498">
      <formula1>liste_priorites</formula1>
    </dataValidation>
    <dataValidation type="date" operator="greaterThanOrEqual" allowBlank="1" showInputMessage="1" showErrorMessage="1" sqref="J498">
      <formula1>730120</formula1>
    </dataValidation>
    <dataValidation type="date" operator="greaterThanOrEqual" allowBlank="1" showInputMessage="1" showErrorMessage="1" sqref="K498">
      <formula1>730120</formula1>
    </dataValidation>
    <dataValidation type="date" operator="greaterThanOrEqual" allowBlank="1" showInputMessage="1" showErrorMessage="1" sqref="L498">
      <formula1>730120</formula1>
    </dataValidation>
    <dataValidation type="whole" allowBlank="1" showInputMessage="1" showErrorMessage="1" sqref="P498">
      <formula1>0</formula1>
      <formula2>100</formula2>
    </dataValidation>
    <dataValidation type="decimal" operator="greaterThanOrEqual" allowBlank="1" showInputMessage="1" showErrorMessage="1" sqref="Q498">
      <formula1>0</formula1>
    </dataValidation>
    <dataValidation type="decimal" operator="greaterThanOrEqual" allowBlank="1" showInputMessage="1" showErrorMessage="1" sqref="R498">
      <formula1>0</formula1>
    </dataValidation>
    <dataValidation type="whole" allowBlank="1" showInputMessage="1" showErrorMessage="1" sqref="U498">
      <formula1>1</formula1>
      <formula2>5</formula2>
    </dataValidation>
    <dataValidation type="whole" allowBlank="1" showInputMessage="1" showErrorMessage="1" sqref="V498">
      <formula1>1</formula1>
      <formula2>5</formula2>
    </dataValidation>
    <dataValidation type="whole" allowBlank="1" showInputMessage="1" showErrorMessage="1" sqref="X498">
      <formula1>1</formula1>
      <formula2>5</formula2>
    </dataValidation>
    <dataValidation type="decimal" operator="greaterThanOrEqual" allowBlank="1" showInputMessage="1" showErrorMessage="1" sqref="Y498">
      <formula1>0</formula1>
    </dataValidation>
    <dataValidation type="whole" operator="greaterThanOrEqual" allowBlank="1" showInputMessage="1" showErrorMessage="1" sqref="Z498">
      <formula1>0</formula1>
    </dataValidation>
    <dataValidation type="whole" allowBlank="1" showInputMessage="1" showErrorMessage="1" sqref="AA498">
      <formula1>1</formula1>
      <formula2>5</formula2>
    </dataValidation>
    <dataValidation type="decimal" allowBlank="1" showInputMessage="1" showErrorMessage="1" sqref="AB498">
      <formula1>0</formula1>
      <formula2>1</formula2>
    </dataValidation>
    <dataValidation type="list" allowBlank="1" showInputMessage="1" showErrorMessage="1" sqref="O498">
      <formula1>liste_statuts</formula1>
    </dataValidation>
    <dataValidation type="list" allowBlank="1" showInputMessage="1" showErrorMessage="1" sqref="B499">
      <formula1>liste_programmes</formula1>
    </dataValidation>
    <dataValidation type="list" allowBlank="1" showInputMessage="1" showErrorMessage="1" sqref="D499">
      <formula1>liste_types</formula1>
    </dataValidation>
    <dataValidation type="list" allowBlank="1" showInputMessage="1" showErrorMessage="1" sqref="F499">
      <formula1>liste_categories</formula1>
    </dataValidation>
    <dataValidation type="list" allowBlank="1" showInputMessage="1" showErrorMessage="1" sqref="G499">
      <formula1>liste_responsables</formula1>
    </dataValidation>
    <dataValidation type="list" allowBlank="1" showInputMessage="1" showErrorMessage="1" sqref="H499">
      <formula1>liste_sites</formula1>
    </dataValidation>
    <dataValidation type="list" allowBlank="1" showInputMessage="1" showErrorMessage="1" sqref="I499">
      <formula1>liste_priorites</formula1>
    </dataValidation>
    <dataValidation type="date" operator="greaterThanOrEqual" allowBlank="1" showInputMessage="1" showErrorMessage="1" sqref="J499">
      <formula1>730120</formula1>
    </dataValidation>
    <dataValidation type="date" operator="greaterThanOrEqual" allowBlank="1" showInputMessage="1" showErrorMessage="1" sqref="K499">
      <formula1>730120</formula1>
    </dataValidation>
    <dataValidation type="date" operator="greaterThanOrEqual" allowBlank="1" showInputMessage="1" showErrorMessage="1" sqref="L499">
      <formula1>730120</formula1>
    </dataValidation>
    <dataValidation type="whole" allowBlank="1" showInputMessage="1" showErrorMessage="1" sqref="P499">
      <formula1>0</formula1>
      <formula2>100</formula2>
    </dataValidation>
    <dataValidation type="decimal" operator="greaterThanOrEqual" allowBlank="1" showInputMessage="1" showErrorMessage="1" sqref="Q499">
      <formula1>0</formula1>
    </dataValidation>
    <dataValidation type="decimal" operator="greaterThanOrEqual" allowBlank="1" showInputMessage="1" showErrorMessage="1" sqref="R499">
      <formula1>0</formula1>
    </dataValidation>
    <dataValidation type="whole" allowBlank="1" showInputMessage="1" showErrorMessage="1" sqref="U499">
      <formula1>1</formula1>
      <formula2>5</formula2>
    </dataValidation>
    <dataValidation type="whole" allowBlank="1" showInputMessage="1" showErrorMessage="1" sqref="V499">
      <formula1>1</formula1>
      <formula2>5</formula2>
    </dataValidation>
    <dataValidation type="whole" allowBlank="1" showInputMessage="1" showErrorMessage="1" sqref="X499">
      <formula1>1</formula1>
      <formula2>5</formula2>
    </dataValidation>
    <dataValidation type="decimal" operator="greaterThanOrEqual" allowBlank="1" showInputMessage="1" showErrorMessage="1" sqref="Y499">
      <formula1>0</formula1>
    </dataValidation>
    <dataValidation type="whole" operator="greaterThanOrEqual" allowBlank="1" showInputMessage="1" showErrorMessage="1" sqref="Z499">
      <formula1>0</formula1>
    </dataValidation>
    <dataValidation type="whole" allowBlank="1" showInputMessage="1" showErrorMessage="1" sqref="AA499">
      <formula1>1</formula1>
      <formula2>5</formula2>
    </dataValidation>
    <dataValidation type="decimal" allowBlank="1" showInputMessage="1" showErrorMessage="1" sqref="AB499">
      <formula1>0</formula1>
      <formula2>1</formula2>
    </dataValidation>
    <dataValidation type="list" allowBlank="1" showInputMessage="1" showErrorMessage="1" sqref="O499">
      <formula1>liste_statuts</formula1>
    </dataValidation>
    <dataValidation type="list" allowBlank="1" showInputMessage="1" showErrorMessage="1" sqref="B500">
      <formula1>liste_programmes</formula1>
    </dataValidation>
    <dataValidation type="list" allowBlank="1" showInputMessage="1" showErrorMessage="1" sqref="D500">
      <formula1>liste_types</formula1>
    </dataValidation>
    <dataValidation type="list" allowBlank="1" showInputMessage="1" showErrorMessage="1" sqref="F500">
      <formula1>liste_categories</formula1>
    </dataValidation>
    <dataValidation type="list" allowBlank="1" showInputMessage="1" showErrorMessage="1" sqref="G500">
      <formula1>liste_responsables</formula1>
    </dataValidation>
    <dataValidation type="list" allowBlank="1" showInputMessage="1" showErrorMessage="1" sqref="H500">
      <formula1>liste_sites</formula1>
    </dataValidation>
    <dataValidation type="list" allowBlank="1" showInputMessage="1" showErrorMessage="1" sqref="I500">
      <formula1>liste_priorites</formula1>
    </dataValidation>
    <dataValidation type="date" operator="greaterThanOrEqual" allowBlank="1" showInputMessage="1" showErrorMessage="1" sqref="J500">
      <formula1>730120</formula1>
    </dataValidation>
    <dataValidation type="date" operator="greaterThanOrEqual" allowBlank="1" showInputMessage="1" showErrorMessage="1" sqref="K500">
      <formula1>730120</formula1>
    </dataValidation>
    <dataValidation type="date" operator="greaterThanOrEqual" allowBlank="1" showInputMessage="1" showErrorMessage="1" sqref="L500">
      <formula1>730120</formula1>
    </dataValidation>
    <dataValidation type="whole" allowBlank="1" showInputMessage="1" showErrorMessage="1" sqref="P500">
      <formula1>0</formula1>
      <formula2>100</formula2>
    </dataValidation>
    <dataValidation type="decimal" operator="greaterThanOrEqual" allowBlank="1" showInputMessage="1" showErrorMessage="1" sqref="Q500">
      <formula1>0</formula1>
    </dataValidation>
    <dataValidation type="decimal" operator="greaterThanOrEqual" allowBlank="1" showInputMessage="1" showErrorMessage="1" sqref="R500">
      <formula1>0</formula1>
    </dataValidation>
    <dataValidation type="whole" allowBlank="1" showInputMessage="1" showErrorMessage="1" sqref="U500">
      <formula1>1</formula1>
      <formula2>5</formula2>
    </dataValidation>
    <dataValidation type="whole" allowBlank="1" showInputMessage="1" showErrorMessage="1" sqref="V500">
      <formula1>1</formula1>
      <formula2>5</formula2>
    </dataValidation>
    <dataValidation type="whole" allowBlank="1" showInputMessage="1" showErrorMessage="1" sqref="X500">
      <formula1>1</formula1>
      <formula2>5</formula2>
    </dataValidation>
    <dataValidation type="decimal" operator="greaterThanOrEqual" allowBlank="1" showInputMessage="1" showErrorMessage="1" sqref="Y500">
      <formula1>0</formula1>
    </dataValidation>
    <dataValidation type="whole" operator="greaterThanOrEqual" allowBlank="1" showInputMessage="1" showErrorMessage="1" sqref="Z500">
      <formula1>0</formula1>
    </dataValidation>
    <dataValidation type="whole" allowBlank="1" showInputMessage="1" showErrorMessage="1" sqref="AA500">
      <formula1>1</formula1>
      <formula2>5</formula2>
    </dataValidation>
    <dataValidation type="decimal" allowBlank="1" showInputMessage="1" showErrorMessage="1" sqref="AB500">
      <formula1>0</formula1>
      <formula2>1</formula2>
    </dataValidation>
    <dataValidation type="list" allowBlank="1" showInputMessage="1" showErrorMessage="1" sqref="O500">
      <formula1>liste_statuts</formula1>
    </dataValidation>
    <dataValidation type="list" allowBlank="1" showInputMessage="1" showErrorMessage="1" sqref="B501">
      <formula1>liste_programmes</formula1>
    </dataValidation>
    <dataValidation type="list" allowBlank="1" showInputMessage="1" showErrorMessage="1" sqref="D501">
      <formula1>liste_types</formula1>
    </dataValidation>
    <dataValidation type="list" allowBlank="1" showInputMessage="1" showErrorMessage="1" sqref="F501">
      <formula1>liste_categories</formula1>
    </dataValidation>
    <dataValidation type="list" allowBlank="1" showInputMessage="1" showErrorMessage="1" sqref="G501">
      <formula1>liste_responsables</formula1>
    </dataValidation>
    <dataValidation type="list" allowBlank="1" showInputMessage="1" showErrorMessage="1" sqref="H501">
      <formula1>liste_sites</formula1>
    </dataValidation>
    <dataValidation type="list" allowBlank="1" showInputMessage="1" showErrorMessage="1" sqref="I501">
      <formula1>liste_priorites</formula1>
    </dataValidation>
    <dataValidation type="date" operator="greaterThanOrEqual" allowBlank="1" showInputMessage="1" showErrorMessage="1" sqref="J501">
      <formula1>730120</formula1>
    </dataValidation>
    <dataValidation type="date" operator="greaterThanOrEqual" allowBlank="1" showInputMessage="1" showErrorMessage="1" sqref="K501">
      <formula1>730120</formula1>
    </dataValidation>
    <dataValidation type="date" operator="greaterThanOrEqual" allowBlank="1" showInputMessage="1" showErrorMessage="1" sqref="L501">
      <formula1>730120</formula1>
    </dataValidation>
    <dataValidation type="whole" allowBlank="1" showInputMessage="1" showErrorMessage="1" sqref="P501">
      <formula1>0</formula1>
      <formula2>100</formula2>
    </dataValidation>
    <dataValidation type="decimal" operator="greaterThanOrEqual" allowBlank="1" showInputMessage="1" showErrorMessage="1" sqref="Q501">
      <formula1>0</formula1>
    </dataValidation>
    <dataValidation type="decimal" operator="greaterThanOrEqual" allowBlank="1" showInputMessage="1" showErrorMessage="1" sqref="R501">
      <formula1>0</formula1>
    </dataValidation>
    <dataValidation type="whole" allowBlank="1" showInputMessage="1" showErrorMessage="1" sqref="U501">
      <formula1>1</formula1>
      <formula2>5</formula2>
    </dataValidation>
    <dataValidation type="whole" allowBlank="1" showInputMessage="1" showErrorMessage="1" sqref="V501">
      <formula1>1</formula1>
      <formula2>5</formula2>
    </dataValidation>
    <dataValidation type="whole" allowBlank="1" showInputMessage="1" showErrorMessage="1" sqref="X501">
      <formula1>1</formula1>
      <formula2>5</formula2>
    </dataValidation>
    <dataValidation type="decimal" operator="greaterThanOrEqual" allowBlank="1" showInputMessage="1" showErrorMessage="1" sqref="Y501">
      <formula1>0</formula1>
    </dataValidation>
    <dataValidation type="whole" operator="greaterThanOrEqual" allowBlank="1" showInputMessage="1" showErrorMessage="1" sqref="Z501">
      <formula1>0</formula1>
    </dataValidation>
    <dataValidation type="whole" allowBlank="1" showInputMessage="1" showErrorMessage="1" sqref="AA501">
      <formula1>1</formula1>
      <formula2>5</formula2>
    </dataValidation>
    <dataValidation type="decimal" allowBlank="1" showInputMessage="1" showErrorMessage="1" sqref="AB501">
      <formula1>0</formula1>
      <formula2>1</formula2>
    </dataValidation>
    <dataValidation type="list" allowBlank="1" showInputMessage="1" showErrorMessage="1" sqref="O501">
      <formula1>liste_statuts</formula1>
    </dataValidation>
    <dataValidation type="list" allowBlank="1" showInputMessage="1" showErrorMessage="1" sqref="B502">
      <formula1>liste_programmes</formula1>
    </dataValidation>
    <dataValidation type="list" allowBlank="1" showInputMessage="1" showErrorMessage="1" sqref="D502">
      <formula1>liste_types</formula1>
    </dataValidation>
    <dataValidation type="list" allowBlank="1" showInputMessage="1" showErrorMessage="1" sqref="F502">
      <formula1>liste_categories</formula1>
    </dataValidation>
    <dataValidation type="list" allowBlank="1" showInputMessage="1" showErrorMessage="1" sqref="G502">
      <formula1>liste_responsables</formula1>
    </dataValidation>
    <dataValidation type="list" allowBlank="1" showInputMessage="1" showErrorMessage="1" sqref="H502">
      <formula1>liste_sites</formula1>
    </dataValidation>
    <dataValidation type="list" allowBlank="1" showInputMessage="1" showErrorMessage="1" sqref="I502">
      <formula1>liste_priorites</formula1>
    </dataValidation>
    <dataValidation type="date" operator="greaterThanOrEqual" allowBlank="1" showInputMessage="1" showErrorMessage="1" sqref="J502">
      <formula1>730120</formula1>
    </dataValidation>
    <dataValidation type="date" operator="greaterThanOrEqual" allowBlank="1" showInputMessage="1" showErrorMessage="1" sqref="K502">
      <formula1>730120</formula1>
    </dataValidation>
    <dataValidation type="date" operator="greaterThanOrEqual" allowBlank="1" showInputMessage="1" showErrorMessage="1" sqref="L502">
      <formula1>730120</formula1>
    </dataValidation>
    <dataValidation type="whole" allowBlank="1" showInputMessage="1" showErrorMessage="1" sqref="P502">
      <formula1>0</formula1>
      <formula2>100</formula2>
    </dataValidation>
    <dataValidation type="decimal" operator="greaterThanOrEqual" allowBlank="1" showInputMessage="1" showErrorMessage="1" sqref="Q502">
      <formula1>0</formula1>
    </dataValidation>
    <dataValidation type="decimal" operator="greaterThanOrEqual" allowBlank="1" showInputMessage="1" showErrorMessage="1" sqref="R502">
      <formula1>0</formula1>
    </dataValidation>
    <dataValidation type="whole" allowBlank="1" showInputMessage="1" showErrorMessage="1" sqref="U502">
      <formula1>1</formula1>
      <formula2>5</formula2>
    </dataValidation>
    <dataValidation type="whole" allowBlank="1" showInputMessage="1" showErrorMessage="1" sqref="V502">
      <formula1>1</formula1>
      <formula2>5</formula2>
    </dataValidation>
    <dataValidation type="whole" allowBlank="1" showInputMessage="1" showErrorMessage="1" sqref="X502">
      <formula1>1</formula1>
      <formula2>5</formula2>
    </dataValidation>
    <dataValidation type="decimal" operator="greaterThanOrEqual" allowBlank="1" showInputMessage="1" showErrorMessage="1" sqref="Y502">
      <formula1>0</formula1>
    </dataValidation>
    <dataValidation type="whole" operator="greaterThanOrEqual" allowBlank="1" showInputMessage="1" showErrorMessage="1" sqref="Z502">
      <formula1>0</formula1>
    </dataValidation>
    <dataValidation type="whole" allowBlank="1" showInputMessage="1" showErrorMessage="1" sqref="AA502">
      <formula1>1</formula1>
      <formula2>5</formula2>
    </dataValidation>
    <dataValidation type="decimal" allowBlank="1" showInputMessage="1" showErrorMessage="1" sqref="AB502">
      <formula1>0</formula1>
      <formula2>1</formula2>
    </dataValidation>
    <dataValidation type="list" allowBlank="1" showInputMessage="1" showErrorMessage="1" sqref="O502">
      <formula1>liste_statuts</formula1>
    </dataValidation>
    <dataValidation type="list" allowBlank="1" showInputMessage="1" showErrorMessage="1" sqref="B503">
      <formula1>liste_programmes</formula1>
    </dataValidation>
    <dataValidation type="list" allowBlank="1" showInputMessage="1" showErrorMessage="1" sqref="D503">
      <formula1>liste_types</formula1>
    </dataValidation>
    <dataValidation type="list" allowBlank="1" showInputMessage="1" showErrorMessage="1" sqref="F503">
      <formula1>liste_categories</formula1>
    </dataValidation>
    <dataValidation type="list" allowBlank="1" showInputMessage="1" showErrorMessage="1" sqref="G503">
      <formula1>liste_responsables</formula1>
    </dataValidation>
    <dataValidation type="list" allowBlank="1" showInputMessage="1" showErrorMessage="1" sqref="H503">
      <formula1>liste_sites</formula1>
    </dataValidation>
    <dataValidation type="list" allowBlank="1" showInputMessage="1" showErrorMessage="1" sqref="I503">
      <formula1>liste_priorites</formula1>
    </dataValidation>
    <dataValidation type="date" operator="greaterThanOrEqual" allowBlank="1" showInputMessage="1" showErrorMessage="1" sqref="J503">
      <formula1>730120</formula1>
    </dataValidation>
    <dataValidation type="date" operator="greaterThanOrEqual" allowBlank="1" showInputMessage="1" showErrorMessage="1" sqref="K503">
      <formula1>730120</formula1>
    </dataValidation>
    <dataValidation type="date" operator="greaterThanOrEqual" allowBlank="1" showInputMessage="1" showErrorMessage="1" sqref="L503">
      <formula1>730120</formula1>
    </dataValidation>
    <dataValidation type="whole" allowBlank="1" showInputMessage="1" showErrorMessage="1" sqref="P503">
      <formula1>0</formula1>
      <formula2>100</formula2>
    </dataValidation>
    <dataValidation type="decimal" operator="greaterThanOrEqual" allowBlank="1" showInputMessage="1" showErrorMessage="1" sqref="Q503">
      <formula1>0</formula1>
    </dataValidation>
    <dataValidation type="decimal" operator="greaterThanOrEqual" allowBlank="1" showInputMessage="1" showErrorMessage="1" sqref="R503">
      <formula1>0</formula1>
    </dataValidation>
    <dataValidation type="whole" allowBlank="1" showInputMessage="1" showErrorMessage="1" sqref="U503">
      <formula1>1</formula1>
      <formula2>5</formula2>
    </dataValidation>
    <dataValidation type="whole" allowBlank="1" showInputMessage="1" showErrorMessage="1" sqref="V503">
      <formula1>1</formula1>
      <formula2>5</formula2>
    </dataValidation>
    <dataValidation type="whole" allowBlank="1" showInputMessage="1" showErrorMessage="1" sqref="X503">
      <formula1>1</formula1>
      <formula2>5</formula2>
    </dataValidation>
    <dataValidation type="decimal" operator="greaterThanOrEqual" allowBlank="1" showInputMessage="1" showErrorMessage="1" sqref="Y503">
      <formula1>0</formula1>
    </dataValidation>
    <dataValidation type="whole" operator="greaterThanOrEqual" allowBlank="1" showInputMessage="1" showErrorMessage="1" sqref="Z503">
      <formula1>0</formula1>
    </dataValidation>
    <dataValidation type="whole" allowBlank="1" showInputMessage="1" showErrorMessage="1" sqref="AA503">
      <formula1>1</formula1>
      <formula2>5</formula2>
    </dataValidation>
    <dataValidation type="decimal" allowBlank="1" showInputMessage="1" showErrorMessage="1" sqref="AB503">
      <formula1>0</formula1>
      <formula2>1</formula2>
    </dataValidation>
    <dataValidation type="list" allowBlank="1" showInputMessage="1" showErrorMessage="1" sqref="O503">
      <formula1>liste_statuts</formula1>
    </dataValidation>
    <dataValidation type="list" allowBlank="1" showInputMessage="1" showErrorMessage="1" sqref="B504">
      <formula1>liste_programmes</formula1>
    </dataValidation>
    <dataValidation type="list" allowBlank="1" showInputMessage="1" showErrorMessage="1" sqref="D504">
      <formula1>liste_types</formula1>
    </dataValidation>
    <dataValidation type="list" allowBlank="1" showInputMessage="1" showErrorMessage="1" sqref="F504">
      <formula1>liste_categories</formula1>
    </dataValidation>
    <dataValidation type="list" allowBlank="1" showInputMessage="1" showErrorMessage="1" sqref="G504">
      <formula1>liste_responsables</formula1>
    </dataValidation>
    <dataValidation type="list" allowBlank="1" showInputMessage="1" showErrorMessage="1" sqref="H504">
      <formula1>liste_sites</formula1>
    </dataValidation>
    <dataValidation type="list" allowBlank="1" showInputMessage="1" showErrorMessage="1" sqref="I504">
      <formula1>liste_priorites</formula1>
    </dataValidation>
    <dataValidation type="date" operator="greaterThanOrEqual" allowBlank="1" showInputMessage="1" showErrorMessage="1" sqref="J504">
      <formula1>730120</formula1>
    </dataValidation>
    <dataValidation type="date" operator="greaterThanOrEqual" allowBlank="1" showInputMessage="1" showErrorMessage="1" sqref="K504">
      <formula1>730120</formula1>
    </dataValidation>
    <dataValidation type="date" operator="greaterThanOrEqual" allowBlank="1" showInputMessage="1" showErrorMessage="1" sqref="L504">
      <formula1>730120</formula1>
    </dataValidation>
    <dataValidation type="whole" allowBlank="1" showInputMessage="1" showErrorMessage="1" sqref="P504">
      <formula1>0</formula1>
      <formula2>100</formula2>
    </dataValidation>
    <dataValidation type="decimal" operator="greaterThanOrEqual" allowBlank="1" showInputMessage="1" showErrorMessage="1" sqref="Q504">
      <formula1>0</formula1>
    </dataValidation>
    <dataValidation type="decimal" operator="greaterThanOrEqual" allowBlank="1" showInputMessage="1" showErrorMessage="1" sqref="R504">
      <formula1>0</formula1>
    </dataValidation>
    <dataValidation type="whole" allowBlank="1" showInputMessage="1" showErrorMessage="1" sqref="U504">
      <formula1>1</formula1>
      <formula2>5</formula2>
    </dataValidation>
    <dataValidation type="whole" allowBlank="1" showInputMessage="1" showErrorMessage="1" sqref="V504">
      <formula1>1</formula1>
      <formula2>5</formula2>
    </dataValidation>
    <dataValidation type="whole" allowBlank="1" showInputMessage="1" showErrorMessage="1" sqref="X504">
      <formula1>1</formula1>
      <formula2>5</formula2>
    </dataValidation>
    <dataValidation type="decimal" operator="greaterThanOrEqual" allowBlank="1" showInputMessage="1" showErrorMessage="1" sqref="Y504">
      <formula1>0</formula1>
    </dataValidation>
    <dataValidation type="whole" operator="greaterThanOrEqual" allowBlank="1" showInputMessage="1" showErrorMessage="1" sqref="Z504">
      <formula1>0</formula1>
    </dataValidation>
    <dataValidation type="whole" allowBlank="1" showInputMessage="1" showErrorMessage="1" sqref="AA504">
      <formula1>1</formula1>
      <formula2>5</formula2>
    </dataValidation>
    <dataValidation type="decimal" allowBlank="1" showInputMessage="1" showErrorMessage="1" sqref="AB504">
      <formula1>0</formula1>
      <formula2>1</formula2>
    </dataValidation>
    <dataValidation type="list" allowBlank="1" showInputMessage="1" showErrorMessage="1" sqref="O504">
      <formula1>liste_statuts</formula1>
    </dataValidation>
    <dataValidation type="list" allowBlank="1" showInputMessage="1" showErrorMessage="1" sqref="B505">
      <formula1>liste_programmes</formula1>
    </dataValidation>
    <dataValidation type="list" allowBlank="1" showInputMessage="1" showErrorMessage="1" sqref="D505">
      <formula1>liste_types</formula1>
    </dataValidation>
    <dataValidation type="list" allowBlank="1" showInputMessage="1" showErrorMessage="1" sqref="F505">
      <formula1>liste_categories</formula1>
    </dataValidation>
    <dataValidation type="list" allowBlank="1" showInputMessage="1" showErrorMessage="1" sqref="G505">
      <formula1>liste_responsables</formula1>
    </dataValidation>
    <dataValidation type="list" allowBlank="1" showInputMessage="1" showErrorMessage="1" sqref="H505">
      <formula1>liste_sites</formula1>
    </dataValidation>
    <dataValidation type="list" allowBlank="1" showInputMessage="1" showErrorMessage="1" sqref="I505">
      <formula1>liste_priorites</formula1>
    </dataValidation>
    <dataValidation type="date" operator="greaterThanOrEqual" allowBlank="1" showInputMessage="1" showErrorMessage="1" sqref="J505">
      <formula1>730120</formula1>
    </dataValidation>
    <dataValidation type="date" operator="greaterThanOrEqual" allowBlank="1" showInputMessage="1" showErrorMessage="1" sqref="K505">
      <formula1>730120</formula1>
    </dataValidation>
    <dataValidation type="date" operator="greaterThanOrEqual" allowBlank="1" showInputMessage="1" showErrorMessage="1" sqref="L505">
      <formula1>730120</formula1>
    </dataValidation>
    <dataValidation type="whole" allowBlank="1" showInputMessage="1" showErrorMessage="1" sqref="P505">
      <formula1>0</formula1>
      <formula2>100</formula2>
    </dataValidation>
    <dataValidation type="decimal" operator="greaterThanOrEqual" allowBlank="1" showInputMessage="1" showErrorMessage="1" sqref="Q505">
      <formula1>0</formula1>
    </dataValidation>
    <dataValidation type="decimal" operator="greaterThanOrEqual" allowBlank="1" showInputMessage="1" showErrorMessage="1" sqref="R505">
      <formula1>0</formula1>
    </dataValidation>
    <dataValidation type="whole" allowBlank="1" showInputMessage="1" showErrorMessage="1" sqref="U505">
      <formula1>1</formula1>
      <formula2>5</formula2>
    </dataValidation>
    <dataValidation type="whole" allowBlank="1" showInputMessage="1" showErrorMessage="1" sqref="V505">
      <formula1>1</formula1>
      <formula2>5</formula2>
    </dataValidation>
    <dataValidation type="whole" allowBlank="1" showInputMessage="1" showErrorMessage="1" sqref="X505">
      <formula1>1</formula1>
      <formula2>5</formula2>
    </dataValidation>
    <dataValidation type="decimal" operator="greaterThanOrEqual" allowBlank="1" showInputMessage="1" showErrorMessage="1" sqref="Y505">
      <formula1>0</formula1>
    </dataValidation>
    <dataValidation type="whole" operator="greaterThanOrEqual" allowBlank="1" showInputMessage="1" showErrorMessage="1" sqref="Z505">
      <formula1>0</formula1>
    </dataValidation>
    <dataValidation type="whole" allowBlank="1" showInputMessage="1" showErrorMessage="1" sqref="AA505">
      <formula1>1</formula1>
      <formula2>5</formula2>
    </dataValidation>
    <dataValidation type="decimal" allowBlank="1" showInputMessage="1" showErrorMessage="1" sqref="AB505">
      <formula1>0</formula1>
      <formula2>1</formula2>
    </dataValidation>
    <dataValidation type="list" allowBlank="1" showInputMessage="1" showErrorMessage="1" sqref="O505">
      <formula1>liste_statuts</formula1>
    </dataValidation>
    <dataValidation type="list" allowBlank="1" showInputMessage="1" showErrorMessage="1" sqref="B506">
      <formula1>liste_programmes</formula1>
    </dataValidation>
    <dataValidation type="list" allowBlank="1" showInputMessage="1" showErrorMessage="1" sqref="D506">
      <formula1>liste_types</formula1>
    </dataValidation>
    <dataValidation type="list" allowBlank="1" showInputMessage="1" showErrorMessage="1" sqref="F506">
      <formula1>liste_categories</formula1>
    </dataValidation>
    <dataValidation type="list" allowBlank="1" showInputMessage="1" showErrorMessage="1" sqref="G506">
      <formula1>liste_responsables</formula1>
    </dataValidation>
    <dataValidation type="list" allowBlank="1" showInputMessage="1" showErrorMessage="1" sqref="H506">
      <formula1>liste_sites</formula1>
    </dataValidation>
    <dataValidation type="list" allowBlank="1" showInputMessage="1" showErrorMessage="1" sqref="I506">
      <formula1>liste_priorites</formula1>
    </dataValidation>
    <dataValidation type="date" operator="greaterThanOrEqual" allowBlank="1" showInputMessage="1" showErrorMessage="1" sqref="J506">
      <formula1>730120</formula1>
    </dataValidation>
    <dataValidation type="date" operator="greaterThanOrEqual" allowBlank="1" showInputMessage="1" showErrorMessage="1" sqref="K506">
      <formula1>730120</formula1>
    </dataValidation>
    <dataValidation type="date" operator="greaterThanOrEqual" allowBlank="1" showInputMessage="1" showErrorMessage="1" sqref="L506">
      <formula1>730120</formula1>
    </dataValidation>
    <dataValidation type="whole" allowBlank="1" showInputMessage="1" showErrorMessage="1" sqref="P506">
      <formula1>0</formula1>
      <formula2>100</formula2>
    </dataValidation>
    <dataValidation type="decimal" operator="greaterThanOrEqual" allowBlank="1" showInputMessage="1" showErrorMessage="1" sqref="Q506">
      <formula1>0</formula1>
    </dataValidation>
    <dataValidation type="decimal" operator="greaterThanOrEqual" allowBlank="1" showInputMessage="1" showErrorMessage="1" sqref="R506">
      <formula1>0</formula1>
    </dataValidation>
    <dataValidation type="whole" allowBlank="1" showInputMessage="1" showErrorMessage="1" sqref="U506">
      <formula1>1</formula1>
      <formula2>5</formula2>
    </dataValidation>
    <dataValidation type="whole" allowBlank="1" showInputMessage="1" showErrorMessage="1" sqref="V506">
      <formula1>1</formula1>
      <formula2>5</formula2>
    </dataValidation>
    <dataValidation type="whole" allowBlank="1" showInputMessage="1" showErrorMessage="1" sqref="X506">
      <formula1>1</formula1>
      <formula2>5</formula2>
    </dataValidation>
    <dataValidation type="decimal" operator="greaterThanOrEqual" allowBlank="1" showInputMessage="1" showErrorMessage="1" sqref="Y506">
      <formula1>0</formula1>
    </dataValidation>
    <dataValidation type="whole" operator="greaterThanOrEqual" allowBlank="1" showInputMessage="1" showErrorMessage="1" sqref="Z506">
      <formula1>0</formula1>
    </dataValidation>
    <dataValidation type="whole" allowBlank="1" showInputMessage="1" showErrorMessage="1" sqref="AA506">
      <formula1>1</formula1>
      <formula2>5</formula2>
    </dataValidation>
    <dataValidation type="decimal" allowBlank="1" showInputMessage="1" showErrorMessage="1" sqref="AB506">
      <formula1>0</formula1>
      <formula2>1</formula2>
    </dataValidation>
    <dataValidation type="list" allowBlank="1" showInputMessage="1" showErrorMessage="1" sqref="O506">
      <formula1>liste_statuts</formula1>
    </dataValidation>
    <dataValidation type="list" allowBlank="1" showInputMessage="1" showErrorMessage="1" sqref="B507">
      <formula1>liste_programmes</formula1>
    </dataValidation>
    <dataValidation type="list" allowBlank="1" showInputMessage="1" showErrorMessage="1" sqref="D507">
      <formula1>liste_types</formula1>
    </dataValidation>
    <dataValidation type="list" allowBlank="1" showInputMessage="1" showErrorMessage="1" sqref="F507">
      <formula1>liste_categories</formula1>
    </dataValidation>
    <dataValidation type="list" allowBlank="1" showInputMessage="1" showErrorMessage="1" sqref="G507">
      <formula1>liste_responsables</formula1>
    </dataValidation>
    <dataValidation type="list" allowBlank="1" showInputMessage="1" showErrorMessage="1" sqref="H507">
      <formula1>liste_sites</formula1>
    </dataValidation>
    <dataValidation type="list" allowBlank="1" showInputMessage="1" showErrorMessage="1" sqref="I507">
      <formula1>liste_priorites</formula1>
    </dataValidation>
    <dataValidation type="date" operator="greaterThanOrEqual" allowBlank="1" showInputMessage="1" showErrorMessage="1" sqref="J507">
      <formula1>730120</formula1>
    </dataValidation>
    <dataValidation type="date" operator="greaterThanOrEqual" allowBlank="1" showInputMessage="1" showErrorMessage="1" sqref="K507">
      <formula1>730120</formula1>
    </dataValidation>
    <dataValidation type="date" operator="greaterThanOrEqual" allowBlank="1" showInputMessage="1" showErrorMessage="1" sqref="L507">
      <formula1>730120</formula1>
    </dataValidation>
    <dataValidation type="whole" allowBlank="1" showInputMessage="1" showErrorMessage="1" sqref="P507">
      <formula1>0</formula1>
      <formula2>100</formula2>
    </dataValidation>
    <dataValidation type="decimal" operator="greaterThanOrEqual" allowBlank="1" showInputMessage="1" showErrorMessage="1" sqref="Q507">
      <formula1>0</formula1>
    </dataValidation>
    <dataValidation type="decimal" operator="greaterThanOrEqual" allowBlank="1" showInputMessage="1" showErrorMessage="1" sqref="R507">
      <formula1>0</formula1>
    </dataValidation>
    <dataValidation type="whole" allowBlank="1" showInputMessage="1" showErrorMessage="1" sqref="U507">
      <formula1>1</formula1>
      <formula2>5</formula2>
    </dataValidation>
    <dataValidation type="whole" allowBlank="1" showInputMessage="1" showErrorMessage="1" sqref="V507">
      <formula1>1</formula1>
      <formula2>5</formula2>
    </dataValidation>
    <dataValidation type="whole" allowBlank="1" showInputMessage="1" showErrorMessage="1" sqref="X507">
      <formula1>1</formula1>
      <formula2>5</formula2>
    </dataValidation>
    <dataValidation type="decimal" operator="greaterThanOrEqual" allowBlank="1" showInputMessage="1" showErrorMessage="1" sqref="Y507">
      <formula1>0</formula1>
    </dataValidation>
    <dataValidation type="whole" operator="greaterThanOrEqual" allowBlank="1" showInputMessage="1" showErrorMessage="1" sqref="Z507">
      <formula1>0</formula1>
    </dataValidation>
    <dataValidation type="whole" allowBlank="1" showInputMessage="1" showErrorMessage="1" sqref="AA507">
      <formula1>1</formula1>
      <formula2>5</formula2>
    </dataValidation>
    <dataValidation type="decimal" allowBlank="1" showInputMessage="1" showErrorMessage="1" sqref="AB507">
      <formula1>0</formula1>
      <formula2>1</formula2>
    </dataValidation>
    <dataValidation type="list" allowBlank="1" showInputMessage="1" showErrorMessage="1" sqref="O507">
      <formula1>liste_statuts</formula1>
    </dataValidation>
    <dataValidation type="list" allowBlank="1" showInputMessage="1" showErrorMessage="1" sqref="B508">
      <formula1>liste_programmes</formula1>
    </dataValidation>
    <dataValidation type="list" allowBlank="1" showInputMessage="1" showErrorMessage="1" sqref="D508">
      <formula1>liste_types</formula1>
    </dataValidation>
    <dataValidation type="list" allowBlank="1" showInputMessage="1" showErrorMessage="1" sqref="F508">
      <formula1>liste_categories</formula1>
    </dataValidation>
    <dataValidation type="list" allowBlank="1" showInputMessage="1" showErrorMessage="1" sqref="G508">
      <formula1>liste_responsables</formula1>
    </dataValidation>
    <dataValidation type="list" allowBlank="1" showInputMessage="1" showErrorMessage="1" sqref="H508">
      <formula1>liste_sites</formula1>
    </dataValidation>
    <dataValidation type="list" allowBlank="1" showInputMessage="1" showErrorMessage="1" sqref="I508">
      <formula1>liste_priorites</formula1>
    </dataValidation>
    <dataValidation type="date" operator="greaterThanOrEqual" allowBlank="1" showInputMessage="1" showErrorMessage="1" sqref="J508">
      <formula1>730120</formula1>
    </dataValidation>
    <dataValidation type="date" operator="greaterThanOrEqual" allowBlank="1" showInputMessage="1" showErrorMessage="1" sqref="K508">
      <formula1>730120</formula1>
    </dataValidation>
    <dataValidation type="date" operator="greaterThanOrEqual" allowBlank="1" showInputMessage="1" showErrorMessage="1" sqref="L508">
      <formula1>730120</formula1>
    </dataValidation>
    <dataValidation type="whole" allowBlank="1" showInputMessage="1" showErrorMessage="1" sqref="P508">
      <formula1>0</formula1>
      <formula2>100</formula2>
    </dataValidation>
    <dataValidation type="decimal" operator="greaterThanOrEqual" allowBlank="1" showInputMessage="1" showErrorMessage="1" sqref="Q508">
      <formula1>0</formula1>
    </dataValidation>
    <dataValidation type="decimal" operator="greaterThanOrEqual" allowBlank="1" showInputMessage="1" showErrorMessage="1" sqref="R508">
      <formula1>0</formula1>
    </dataValidation>
    <dataValidation type="whole" allowBlank="1" showInputMessage="1" showErrorMessage="1" sqref="U508">
      <formula1>1</formula1>
      <formula2>5</formula2>
    </dataValidation>
    <dataValidation type="whole" allowBlank="1" showInputMessage="1" showErrorMessage="1" sqref="V508">
      <formula1>1</formula1>
      <formula2>5</formula2>
    </dataValidation>
    <dataValidation type="whole" allowBlank="1" showInputMessage="1" showErrorMessage="1" sqref="X508">
      <formula1>1</formula1>
      <formula2>5</formula2>
    </dataValidation>
    <dataValidation type="decimal" operator="greaterThanOrEqual" allowBlank="1" showInputMessage="1" showErrorMessage="1" sqref="Y508">
      <formula1>0</formula1>
    </dataValidation>
    <dataValidation type="whole" operator="greaterThanOrEqual" allowBlank="1" showInputMessage="1" showErrorMessage="1" sqref="Z508">
      <formula1>0</formula1>
    </dataValidation>
    <dataValidation type="whole" allowBlank="1" showInputMessage="1" showErrorMessage="1" sqref="AA508">
      <formula1>1</formula1>
      <formula2>5</formula2>
    </dataValidation>
    <dataValidation type="decimal" allowBlank="1" showInputMessage="1" showErrorMessage="1" sqref="AB508">
      <formula1>0</formula1>
      <formula2>1</formula2>
    </dataValidation>
    <dataValidation type="list" allowBlank="1" showInputMessage="1" showErrorMessage="1" sqref="O508">
      <formula1>liste_statuts</formula1>
    </dataValidation>
    <dataValidation type="list" allowBlank="1" showInputMessage="1" showErrorMessage="1" sqref="B509">
      <formula1>liste_programmes</formula1>
    </dataValidation>
    <dataValidation type="list" allowBlank="1" showInputMessage="1" showErrorMessage="1" sqref="D509">
      <formula1>liste_types</formula1>
    </dataValidation>
    <dataValidation type="list" allowBlank="1" showInputMessage="1" showErrorMessage="1" sqref="F509">
      <formula1>liste_categories</formula1>
    </dataValidation>
    <dataValidation type="list" allowBlank="1" showInputMessage="1" showErrorMessage="1" sqref="G509">
      <formula1>liste_responsables</formula1>
    </dataValidation>
    <dataValidation type="list" allowBlank="1" showInputMessage="1" showErrorMessage="1" sqref="H509">
      <formula1>liste_sites</formula1>
    </dataValidation>
    <dataValidation type="list" allowBlank="1" showInputMessage="1" showErrorMessage="1" sqref="I509">
      <formula1>liste_priorites</formula1>
    </dataValidation>
    <dataValidation type="date" operator="greaterThanOrEqual" allowBlank="1" showInputMessage="1" showErrorMessage="1" sqref="J509">
      <formula1>730120</formula1>
    </dataValidation>
    <dataValidation type="date" operator="greaterThanOrEqual" allowBlank="1" showInputMessage="1" showErrorMessage="1" sqref="K509">
      <formula1>730120</formula1>
    </dataValidation>
    <dataValidation type="date" operator="greaterThanOrEqual" allowBlank="1" showInputMessage="1" showErrorMessage="1" sqref="L509">
      <formula1>730120</formula1>
    </dataValidation>
    <dataValidation type="whole" allowBlank="1" showInputMessage="1" showErrorMessage="1" sqref="P509">
      <formula1>0</formula1>
      <formula2>100</formula2>
    </dataValidation>
    <dataValidation type="decimal" operator="greaterThanOrEqual" allowBlank="1" showInputMessage="1" showErrorMessage="1" sqref="Q509">
      <formula1>0</formula1>
    </dataValidation>
    <dataValidation type="decimal" operator="greaterThanOrEqual" allowBlank="1" showInputMessage="1" showErrorMessage="1" sqref="R509">
      <formula1>0</formula1>
    </dataValidation>
    <dataValidation type="whole" allowBlank="1" showInputMessage="1" showErrorMessage="1" sqref="U509">
      <formula1>1</formula1>
      <formula2>5</formula2>
    </dataValidation>
    <dataValidation type="whole" allowBlank="1" showInputMessage="1" showErrorMessage="1" sqref="V509">
      <formula1>1</formula1>
      <formula2>5</formula2>
    </dataValidation>
    <dataValidation type="whole" allowBlank="1" showInputMessage="1" showErrorMessage="1" sqref="X509">
      <formula1>1</formula1>
      <formula2>5</formula2>
    </dataValidation>
    <dataValidation type="decimal" operator="greaterThanOrEqual" allowBlank="1" showInputMessage="1" showErrorMessage="1" sqref="Y509">
      <formula1>0</formula1>
    </dataValidation>
    <dataValidation type="whole" operator="greaterThanOrEqual" allowBlank="1" showInputMessage="1" showErrorMessage="1" sqref="Z509">
      <formula1>0</formula1>
    </dataValidation>
    <dataValidation type="whole" allowBlank="1" showInputMessage="1" showErrorMessage="1" sqref="AA509">
      <formula1>1</formula1>
      <formula2>5</formula2>
    </dataValidation>
    <dataValidation type="decimal" allowBlank="1" showInputMessage="1" showErrorMessage="1" sqref="AB509">
      <formula1>0</formula1>
      <formula2>1</formula2>
    </dataValidation>
    <dataValidation type="list" allowBlank="1" showInputMessage="1" showErrorMessage="1" sqref="O509">
      <formula1>liste_statuts</formula1>
    </dataValidation>
    <dataValidation type="list" allowBlank="1" showInputMessage="1" showErrorMessage="1" sqref="B510">
      <formula1>liste_programmes</formula1>
    </dataValidation>
    <dataValidation type="list" allowBlank="1" showInputMessage="1" showErrorMessage="1" sqref="D510">
      <formula1>liste_types</formula1>
    </dataValidation>
    <dataValidation type="list" allowBlank="1" showInputMessage="1" showErrorMessage="1" sqref="F510">
      <formula1>liste_categories</formula1>
    </dataValidation>
    <dataValidation type="list" allowBlank="1" showInputMessage="1" showErrorMessage="1" sqref="G510">
      <formula1>liste_responsables</formula1>
    </dataValidation>
    <dataValidation type="list" allowBlank="1" showInputMessage="1" showErrorMessage="1" sqref="H510">
      <formula1>liste_sites</formula1>
    </dataValidation>
    <dataValidation type="list" allowBlank="1" showInputMessage="1" showErrorMessage="1" sqref="I510">
      <formula1>liste_priorites</formula1>
    </dataValidation>
    <dataValidation type="date" operator="greaterThanOrEqual" allowBlank="1" showInputMessage="1" showErrorMessage="1" sqref="J510">
      <formula1>730120</formula1>
    </dataValidation>
    <dataValidation type="date" operator="greaterThanOrEqual" allowBlank="1" showInputMessage="1" showErrorMessage="1" sqref="K510">
      <formula1>730120</formula1>
    </dataValidation>
    <dataValidation type="date" operator="greaterThanOrEqual" allowBlank="1" showInputMessage="1" showErrorMessage="1" sqref="L510">
      <formula1>730120</formula1>
    </dataValidation>
    <dataValidation type="whole" allowBlank="1" showInputMessage="1" showErrorMessage="1" sqref="P510">
      <formula1>0</formula1>
      <formula2>100</formula2>
    </dataValidation>
    <dataValidation type="decimal" operator="greaterThanOrEqual" allowBlank="1" showInputMessage="1" showErrorMessage="1" sqref="Q510">
      <formula1>0</formula1>
    </dataValidation>
    <dataValidation type="decimal" operator="greaterThanOrEqual" allowBlank="1" showInputMessage="1" showErrorMessage="1" sqref="R510">
      <formula1>0</formula1>
    </dataValidation>
    <dataValidation type="whole" allowBlank="1" showInputMessage="1" showErrorMessage="1" sqref="U510">
      <formula1>1</formula1>
      <formula2>5</formula2>
    </dataValidation>
    <dataValidation type="whole" allowBlank="1" showInputMessage="1" showErrorMessage="1" sqref="V510">
      <formula1>1</formula1>
      <formula2>5</formula2>
    </dataValidation>
    <dataValidation type="whole" allowBlank="1" showInputMessage="1" showErrorMessage="1" sqref="X510">
      <formula1>1</formula1>
      <formula2>5</formula2>
    </dataValidation>
    <dataValidation type="decimal" operator="greaterThanOrEqual" allowBlank="1" showInputMessage="1" showErrorMessage="1" sqref="Y510">
      <formula1>0</formula1>
    </dataValidation>
    <dataValidation type="whole" operator="greaterThanOrEqual" allowBlank="1" showInputMessage="1" showErrorMessage="1" sqref="Z510">
      <formula1>0</formula1>
    </dataValidation>
    <dataValidation type="whole" allowBlank="1" showInputMessage="1" showErrorMessage="1" sqref="AA510">
      <formula1>1</formula1>
      <formula2>5</formula2>
    </dataValidation>
    <dataValidation type="decimal" allowBlank="1" showInputMessage="1" showErrorMessage="1" sqref="AB510">
      <formula1>0</formula1>
      <formula2>1</formula2>
    </dataValidation>
    <dataValidation type="list" allowBlank="1" showInputMessage="1" showErrorMessage="1" sqref="O510">
      <formula1>liste_statuts</formula1>
    </dataValidation>
    <dataValidation type="list" allowBlank="1" showInputMessage="1" showErrorMessage="1" sqref="B511">
      <formula1>liste_programmes</formula1>
    </dataValidation>
    <dataValidation type="list" allowBlank="1" showInputMessage="1" showErrorMessage="1" sqref="D511">
      <formula1>liste_types</formula1>
    </dataValidation>
    <dataValidation type="list" allowBlank="1" showInputMessage="1" showErrorMessage="1" sqref="F511">
      <formula1>liste_categories</formula1>
    </dataValidation>
    <dataValidation type="list" allowBlank="1" showInputMessage="1" showErrorMessage="1" sqref="G511">
      <formula1>liste_responsables</formula1>
    </dataValidation>
    <dataValidation type="list" allowBlank="1" showInputMessage="1" showErrorMessage="1" sqref="H511">
      <formula1>liste_sites</formula1>
    </dataValidation>
    <dataValidation type="list" allowBlank="1" showInputMessage="1" showErrorMessage="1" sqref="I511">
      <formula1>liste_priorites</formula1>
    </dataValidation>
    <dataValidation type="date" operator="greaterThanOrEqual" allowBlank="1" showInputMessage="1" showErrorMessage="1" sqref="J511">
      <formula1>730120</formula1>
    </dataValidation>
    <dataValidation type="date" operator="greaterThanOrEqual" allowBlank="1" showInputMessage="1" showErrorMessage="1" sqref="K511">
      <formula1>730120</formula1>
    </dataValidation>
    <dataValidation type="date" operator="greaterThanOrEqual" allowBlank="1" showInputMessage="1" showErrorMessage="1" sqref="L511">
      <formula1>730120</formula1>
    </dataValidation>
    <dataValidation type="whole" allowBlank="1" showInputMessage="1" showErrorMessage="1" sqref="P511">
      <formula1>0</formula1>
      <formula2>100</formula2>
    </dataValidation>
    <dataValidation type="decimal" operator="greaterThanOrEqual" allowBlank="1" showInputMessage="1" showErrorMessage="1" sqref="Q511">
      <formula1>0</formula1>
    </dataValidation>
    <dataValidation type="decimal" operator="greaterThanOrEqual" allowBlank="1" showInputMessage="1" showErrorMessage="1" sqref="R511">
      <formula1>0</formula1>
    </dataValidation>
    <dataValidation type="whole" allowBlank="1" showInputMessage="1" showErrorMessage="1" sqref="U511">
      <formula1>1</formula1>
      <formula2>5</formula2>
    </dataValidation>
    <dataValidation type="whole" allowBlank="1" showInputMessage="1" showErrorMessage="1" sqref="V511">
      <formula1>1</formula1>
      <formula2>5</formula2>
    </dataValidation>
    <dataValidation type="whole" allowBlank="1" showInputMessage="1" showErrorMessage="1" sqref="X511">
      <formula1>1</formula1>
      <formula2>5</formula2>
    </dataValidation>
    <dataValidation type="decimal" operator="greaterThanOrEqual" allowBlank="1" showInputMessage="1" showErrorMessage="1" sqref="Y511">
      <formula1>0</formula1>
    </dataValidation>
    <dataValidation type="whole" operator="greaterThanOrEqual" allowBlank="1" showInputMessage="1" showErrorMessage="1" sqref="Z511">
      <formula1>0</formula1>
    </dataValidation>
    <dataValidation type="whole" allowBlank="1" showInputMessage="1" showErrorMessage="1" sqref="AA511">
      <formula1>1</formula1>
      <formula2>5</formula2>
    </dataValidation>
    <dataValidation type="decimal" allowBlank="1" showInputMessage="1" showErrorMessage="1" sqref="AB511">
      <formula1>0</formula1>
      <formula2>1</formula2>
    </dataValidation>
    <dataValidation type="list" allowBlank="1" showInputMessage="1" showErrorMessage="1" sqref="O511">
      <formula1>liste_statuts</formula1>
    </dataValidation>
    <dataValidation type="list" allowBlank="1" showInputMessage="1" showErrorMessage="1" sqref="B512">
      <formula1>liste_programmes</formula1>
    </dataValidation>
    <dataValidation type="list" allowBlank="1" showInputMessage="1" showErrorMessage="1" sqref="D512">
      <formula1>liste_types</formula1>
    </dataValidation>
    <dataValidation type="list" allowBlank="1" showInputMessage="1" showErrorMessage="1" sqref="F512">
      <formula1>liste_categories</formula1>
    </dataValidation>
    <dataValidation type="list" allowBlank="1" showInputMessage="1" showErrorMessage="1" sqref="G512">
      <formula1>liste_responsables</formula1>
    </dataValidation>
    <dataValidation type="list" allowBlank="1" showInputMessage="1" showErrorMessage="1" sqref="H512">
      <formula1>liste_sites</formula1>
    </dataValidation>
    <dataValidation type="list" allowBlank="1" showInputMessage="1" showErrorMessage="1" sqref="I512">
      <formula1>liste_priorites</formula1>
    </dataValidation>
    <dataValidation type="date" operator="greaterThanOrEqual" allowBlank="1" showInputMessage="1" showErrorMessage="1" sqref="J512">
      <formula1>730120</formula1>
    </dataValidation>
    <dataValidation type="date" operator="greaterThanOrEqual" allowBlank="1" showInputMessage="1" showErrorMessage="1" sqref="K512">
      <formula1>730120</formula1>
    </dataValidation>
    <dataValidation type="date" operator="greaterThanOrEqual" allowBlank="1" showInputMessage="1" showErrorMessage="1" sqref="L512">
      <formula1>730120</formula1>
    </dataValidation>
    <dataValidation type="whole" allowBlank="1" showInputMessage="1" showErrorMessage="1" sqref="P512">
      <formula1>0</formula1>
      <formula2>100</formula2>
    </dataValidation>
    <dataValidation type="decimal" operator="greaterThanOrEqual" allowBlank="1" showInputMessage="1" showErrorMessage="1" sqref="Q512">
      <formula1>0</formula1>
    </dataValidation>
    <dataValidation type="decimal" operator="greaterThanOrEqual" allowBlank="1" showInputMessage="1" showErrorMessage="1" sqref="R512">
      <formula1>0</formula1>
    </dataValidation>
    <dataValidation type="whole" allowBlank="1" showInputMessage="1" showErrorMessage="1" sqref="U512">
      <formula1>1</formula1>
      <formula2>5</formula2>
    </dataValidation>
    <dataValidation type="whole" allowBlank="1" showInputMessage="1" showErrorMessage="1" sqref="V512">
      <formula1>1</formula1>
      <formula2>5</formula2>
    </dataValidation>
    <dataValidation type="whole" allowBlank="1" showInputMessage="1" showErrorMessage="1" sqref="X512">
      <formula1>1</formula1>
      <formula2>5</formula2>
    </dataValidation>
    <dataValidation type="decimal" operator="greaterThanOrEqual" allowBlank="1" showInputMessage="1" showErrorMessage="1" sqref="Y512">
      <formula1>0</formula1>
    </dataValidation>
    <dataValidation type="whole" operator="greaterThanOrEqual" allowBlank="1" showInputMessage="1" showErrorMessage="1" sqref="Z512">
      <formula1>0</formula1>
    </dataValidation>
    <dataValidation type="whole" allowBlank="1" showInputMessage="1" showErrorMessage="1" sqref="AA512">
      <formula1>1</formula1>
      <formula2>5</formula2>
    </dataValidation>
    <dataValidation type="decimal" allowBlank="1" showInputMessage="1" showErrorMessage="1" sqref="AB512">
      <formula1>0</formula1>
      <formula2>1</formula2>
    </dataValidation>
    <dataValidation type="list" allowBlank="1" showInputMessage="1" showErrorMessage="1" sqref="O512">
      <formula1>liste_statuts</formula1>
    </dataValidation>
    <dataValidation type="list" allowBlank="1" showInputMessage="1" showErrorMessage="1" sqref="B513">
      <formula1>liste_programmes</formula1>
    </dataValidation>
    <dataValidation type="list" allowBlank="1" showInputMessage="1" showErrorMessage="1" sqref="D513">
      <formula1>liste_types</formula1>
    </dataValidation>
    <dataValidation type="list" allowBlank="1" showInputMessage="1" showErrorMessage="1" sqref="F513">
      <formula1>liste_categories</formula1>
    </dataValidation>
    <dataValidation type="list" allowBlank="1" showInputMessage="1" showErrorMessage="1" sqref="G513">
      <formula1>liste_responsables</formula1>
    </dataValidation>
    <dataValidation type="list" allowBlank="1" showInputMessage="1" showErrorMessage="1" sqref="H513">
      <formula1>liste_sites</formula1>
    </dataValidation>
    <dataValidation type="list" allowBlank="1" showInputMessage="1" showErrorMessage="1" sqref="I513">
      <formula1>liste_priorites</formula1>
    </dataValidation>
    <dataValidation type="date" operator="greaterThanOrEqual" allowBlank="1" showInputMessage="1" showErrorMessage="1" sqref="J513">
      <formula1>730120</formula1>
    </dataValidation>
    <dataValidation type="date" operator="greaterThanOrEqual" allowBlank="1" showInputMessage="1" showErrorMessage="1" sqref="K513">
      <formula1>730120</formula1>
    </dataValidation>
    <dataValidation type="date" operator="greaterThanOrEqual" allowBlank="1" showInputMessage="1" showErrorMessage="1" sqref="L513">
      <formula1>730120</formula1>
    </dataValidation>
    <dataValidation type="whole" allowBlank="1" showInputMessage="1" showErrorMessage="1" sqref="P513">
      <formula1>0</formula1>
      <formula2>100</formula2>
    </dataValidation>
    <dataValidation type="decimal" operator="greaterThanOrEqual" allowBlank="1" showInputMessage="1" showErrorMessage="1" sqref="Q513">
      <formula1>0</formula1>
    </dataValidation>
    <dataValidation type="decimal" operator="greaterThanOrEqual" allowBlank="1" showInputMessage="1" showErrorMessage="1" sqref="R513">
      <formula1>0</formula1>
    </dataValidation>
    <dataValidation type="whole" allowBlank="1" showInputMessage="1" showErrorMessage="1" sqref="U513">
      <formula1>1</formula1>
      <formula2>5</formula2>
    </dataValidation>
    <dataValidation type="whole" allowBlank="1" showInputMessage="1" showErrorMessage="1" sqref="V513">
      <formula1>1</formula1>
      <formula2>5</formula2>
    </dataValidation>
    <dataValidation type="whole" allowBlank="1" showInputMessage="1" showErrorMessage="1" sqref="X513">
      <formula1>1</formula1>
      <formula2>5</formula2>
    </dataValidation>
    <dataValidation type="decimal" operator="greaterThanOrEqual" allowBlank="1" showInputMessage="1" showErrorMessage="1" sqref="Y513">
      <formula1>0</formula1>
    </dataValidation>
    <dataValidation type="whole" operator="greaterThanOrEqual" allowBlank="1" showInputMessage="1" showErrorMessage="1" sqref="Z513">
      <formula1>0</formula1>
    </dataValidation>
    <dataValidation type="whole" allowBlank="1" showInputMessage="1" showErrorMessage="1" sqref="AA513">
      <formula1>1</formula1>
      <formula2>5</formula2>
    </dataValidation>
    <dataValidation type="decimal" allowBlank="1" showInputMessage="1" showErrorMessage="1" sqref="AB513">
      <formula1>0</formula1>
      <formula2>1</formula2>
    </dataValidation>
    <dataValidation type="list" allowBlank="1" showInputMessage="1" showErrorMessage="1" sqref="O513">
      <formula1>liste_statuts</formula1>
    </dataValidation>
    <dataValidation type="list" allowBlank="1" showInputMessage="1" showErrorMessage="1" sqref="B514">
      <formula1>liste_programmes</formula1>
    </dataValidation>
    <dataValidation type="list" allowBlank="1" showInputMessage="1" showErrorMessage="1" sqref="D514">
      <formula1>liste_types</formula1>
    </dataValidation>
    <dataValidation type="list" allowBlank="1" showInputMessage="1" showErrorMessage="1" sqref="F514">
      <formula1>liste_categories</formula1>
    </dataValidation>
    <dataValidation type="list" allowBlank="1" showInputMessage="1" showErrorMessage="1" sqref="G514">
      <formula1>liste_responsables</formula1>
    </dataValidation>
    <dataValidation type="list" allowBlank="1" showInputMessage="1" showErrorMessage="1" sqref="H514">
      <formula1>liste_sites</formula1>
    </dataValidation>
    <dataValidation type="list" allowBlank="1" showInputMessage="1" showErrorMessage="1" sqref="I514">
      <formula1>liste_priorites</formula1>
    </dataValidation>
    <dataValidation type="date" operator="greaterThanOrEqual" allowBlank="1" showInputMessage="1" showErrorMessage="1" sqref="J514">
      <formula1>730120</formula1>
    </dataValidation>
    <dataValidation type="date" operator="greaterThanOrEqual" allowBlank="1" showInputMessage="1" showErrorMessage="1" sqref="K514">
      <formula1>730120</formula1>
    </dataValidation>
    <dataValidation type="date" operator="greaterThanOrEqual" allowBlank="1" showInputMessage="1" showErrorMessage="1" sqref="L514">
      <formula1>730120</formula1>
    </dataValidation>
    <dataValidation type="whole" allowBlank="1" showInputMessage="1" showErrorMessage="1" sqref="P514">
      <formula1>0</formula1>
      <formula2>100</formula2>
    </dataValidation>
    <dataValidation type="decimal" operator="greaterThanOrEqual" allowBlank="1" showInputMessage="1" showErrorMessage="1" sqref="Q514">
      <formula1>0</formula1>
    </dataValidation>
    <dataValidation type="decimal" operator="greaterThanOrEqual" allowBlank="1" showInputMessage="1" showErrorMessage="1" sqref="R514">
      <formula1>0</formula1>
    </dataValidation>
    <dataValidation type="whole" allowBlank="1" showInputMessage="1" showErrorMessage="1" sqref="U514">
      <formula1>1</formula1>
      <formula2>5</formula2>
    </dataValidation>
    <dataValidation type="whole" allowBlank="1" showInputMessage="1" showErrorMessage="1" sqref="V514">
      <formula1>1</formula1>
      <formula2>5</formula2>
    </dataValidation>
    <dataValidation type="whole" allowBlank="1" showInputMessage="1" showErrorMessage="1" sqref="X514">
      <formula1>1</formula1>
      <formula2>5</formula2>
    </dataValidation>
    <dataValidation type="decimal" operator="greaterThanOrEqual" allowBlank="1" showInputMessage="1" showErrorMessage="1" sqref="Y514">
      <formula1>0</formula1>
    </dataValidation>
    <dataValidation type="whole" operator="greaterThanOrEqual" allowBlank="1" showInputMessage="1" showErrorMessage="1" sqref="Z514">
      <formula1>0</formula1>
    </dataValidation>
    <dataValidation type="whole" allowBlank="1" showInputMessage="1" showErrorMessage="1" sqref="AA514">
      <formula1>1</formula1>
      <formula2>5</formula2>
    </dataValidation>
    <dataValidation type="decimal" allowBlank="1" showInputMessage="1" showErrorMessage="1" sqref="AB514">
      <formula1>0</formula1>
      <formula2>1</formula2>
    </dataValidation>
    <dataValidation type="list" allowBlank="1" showInputMessage="1" showErrorMessage="1" sqref="O514">
      <formula1>liste_statuts</formula1>
    </dataValidation>
    <dataValidation type="list" allowBlank="1" showInputMessage="1" showErrorMessage="1" sqref="B515">
      <formula1>liste_programmes</formula1>
    </dataValidation>
    <dataValidation type="list" allowBlank="1" showInputMessage="1" showErrorMessage="1" sqref="D515">
      <formula1>liste_types</formula1>
    </dataValidation>
    <dataValidation type="list" allowBlank="1" showInputMessage="1" showErrorMessage="1" sqref="F515">
      <formula1>liste_categories</formula1>
    </dataValidation>
    <dataValidation type="list" allowBlank="1" showInputMessage="1" showErrorMessage="1" sqref="G515">
      <formula1>liste_responsables</formula1>
    </dataValidation>
    <dataValidation type="list" allowBlank="1" showInputMessage="1" showErrorMessage="1" sqref="H515">
      <formula1>liste_sites</formula1>
    </dataValidation>
    <dataValidation type="list" allowBlank="1" showInputMessage="1" showErrorMessage="1" sqref="I515">
      <formula1>liste_priorites</formula1>
    </dataValidation>
    <dataValidation type="date" operator="greaterThanOrEqual" allowBlank="1" showInputMessage="1" showErrorMessage="1" sqref="J515">
      <formula1>730120</formula1>
    </dataValidation>
    <dataValidation type="date" operator="greaterThanOrEqual" allowBlank="1" showInputMessage="1" showErrorMessage="1" sqref="K515">
      <formula1>730120</formula1>
    </dataValidation>
    <dataValidation type="date" operator="greaterThanOrEqual" allowBlank="1" showInputMessage="1" showErrorMessage="1" sqref="L515">
      <formula1>730120</formula1>
    </dataValidation>
    <dataValidation type="whole" allowBlank="1" showInputMessage="1" showErrorMessage="1" sqref="P515">
      <formula1>0</formula1>
      <formula2>100</formula2>
    </dataValidation>
    <dataValidation type="decimal" operator="greaterThanOrEqual" allowBlank="1" showInputMessage="1" showErrorMessage="1" sqref="Q515">
      <formula1>0</formula1>
    </dataValidation>
    <dataValidation type="decimal" operator="greaterThanOrEqual" allowBlank="1" showInputMessage="1" showErrorMessage="1" sqref="R515">
      <formula1>0</formula1>
    </dataValidation>
    <dataValidation type="whole" allowBlank="1" showInputMessage="1" showErrorMessage="1" sqref="U515">
      <formula1>1</formula1>
      <formula2>5</formula2>
    </dataValidation>
    <dataValidation type="whole" allowBlank="1" showInputMessage="1" showErrorMessage="1" sqref="V515">
      <formula1>1</formula1>
      <formula2>5</formula2>
    </dataValidation>
    <dataValidation type="whole" allowBlank="1" showInputMessage="1" showErrorMessage="1" sqref="X515">
      <formula1>1</formula1>
      <formula2>5</formula2>
    </dataValidation>
    <dataValidation type="decimal" operator="greaterThanOrEqual" allowBlank="1" showInputMessage="1" showErrorMessage="1" sqref="Y515">
      <formula1>0</formula1>
    </dataValidation>
    <dataValidation type="whole" operator="greaterThanOrEqual" allowBlank="1" showInputMessage="1" showErrorMessage="1" sqref="Z515">
      <formula1>0</formula1>
    </dataValidation>
    <dataValidation type="whole" allowBlank="1" showInputMessage="1" showErrorMessage="1" sqref="AA515">
      <formula1>1</formula1>
      <formula2>5</formula2>
    </dataValidation>
    <dataValidation type="decimal" allowBlank="1" showInputMessage="1" showErrorMessage="1" sqref="AB515">
      <formula1>0</formula1>
      <formula2>1</formula2>
    </dataValidation>
    <dataValidation type="list" allowBlank="1" showInputMessage="1" showErrorMessage="1" sqref="O515">
      <formula1>liste_statuts</formula1>
    </dataValidation>
    <dataValidation type="list" allowBlank="1" showInputMessage="1" showErrorMessage="1" sqref="B516">
      <formula1>liste_programmes</formula1>
    </dataValidation>
    <dataValidation type="list" allowBlank="1" showInputMessage="1" showErrorMessage="1" sqref="D516">
      <formula1>liste_types</formula1>
    </dataValidation>
    <dataValidation type="list" allowBlank="1" showInputMessage="1" showErrorMessage="1" sqref="F516">
      <formula1>liste_categories</formula1>
    </dataValidation>
    <dataValidation type="list" allowBlank="1" showInputMessage="1" showErrorMessage="1" sqref="G516">
      <formula1>liste_responsables</formula1>
    </dataValidation>
    <dataValidation type="list" allowBlank="1" showInputMessage="1" showErrorMessage="1" sqref="H516">
      <formula1>liste_sites</formula1>
    </dataValidation>
    <dataValidation type="list" allowBlank="1" showInputMessage="1" showErrorMessage="1" sqref="I516">
      <formula1>liste_priorites</formula1>
    </dataValidation>
    <dataValidation type="date" operator="greaterThanOrEqual" allowBlank="1" showInputMessage="1" showErrorMessage="1" sqref="J516">
      <formula1>730120</formula1>
    </dataValidation>
    <dataValidation type="date" operator="greaterThanOrEqual" allowBlank="1" showInputMessage="1" showErrorMessage="1" sqref="K516">
      <formula1>730120</formula1>
    </dataValidation>
    <dataValidation type="date" operator="greaterThanOrEqual" allowBlank="1" showInputMessage="1" showErrorMessage="1" sqref="L516">
      <formula1>730120</formula1>
    </dataValidation>
    <dataValidation type="whole" allowBlank="1" showInputMessage="1" showErrorMessage="1" sqref="P516">
      <formula1>0</formula1>
      <formula2>100</formula2>
    </dataValidation>
    <dataValidation type="decimal" operator="greaterThanOrEqual" allowBlank="1" showInputMessage="1" showErrorMessage="1" sqref="Q516">
      <formula1>0</formula1>
    </dataValidation>
    <dataValidation type="decimal" operator="greaterThanOrEqual" allowBlank="1" showInputMessage="1" showErrorMessage="1" sqref="R516">
      <formula1>0</formula1>
    </dataValidation>
    <dataValidation type="whole" allowBlank="1" showInputMessage="1" showErrorMessage="1" sqref="U516">
      <formula1>1</formula1>
      <formula2>5</formula2>
    </dataValidation>
    <dataValidation type="whole" allowBlank="1" showInputMessage="1" showErrorMessage="1" sqref="V516">
      <formula1>1</formula1>
      <formula2>5</formula2>
    </dataValidation>
    <dataValidation type="whole" allowBlank="1" showInputMessage="1" showErrorMessage="1" sqref="X516">
      <formula1>1</formula1>
      <formula2>5</formula2>
    </dataValidation>
    <dataValidation type="decimal" operator="greaterThanOrEqual" allowBlank="1" showInputMessage="1" showErrorMessage="1" sqref="Y516">
      <formula1>0</formula1>
    </dataValidation>
    <dataValidation type="whole" operator="greaterThanOrEqual" allowBlank="1" showInputMessage="1" showErrorMessage="1" sqref="Z516">
      <formula1>0</formula1>
    </dataValidation>
    <dataValidation type="whole" allowBlank="1" showInputMessage="1" showErrorMessage="1" sqref="AA516">
      <formula1>1</formula1>
      <formula2>5</formula2>
    </dataValidation>
    <dataValidation type="decimal" allowBlank="1" showInputMessage="1" showErrorMessage="1" sqref="AB516">
      <formula1>0</formula1>
      <formula2>1</formula2>
    </dataValidation>
    <dataValidation type="list" allowBlank="1" showInputMessage="1" showErrorMessage="1" sqref="O516">
      <formula1>liste_statuts</formula1>
    </dataValidation>
    <dataValidation type="list" allowBlank="1" showInputMessage="1" showErrorMessage="1" sqref="B517">
      <formula1>liste_programmes</formula1>
    </dataValidation>
    <dataValidation type="list" allowBlank="1" showInputMessage="1" showErrorMessage="1" sqref="D517">
      <formula1>liste_types</formula1>
    </dataValidation>
    <dataValidation type="list" allowBlank="1" showInputMessage="1" showErrorMessage="1" sqref="F517">
      <formula1>liste_categories</formula1>
    </dataValidation>
    <dataValidation type="list" allowBlank="1" showInputMessage="1" showErrorMessage="1" sqref="G517">
      <formula1>liste_responsables</formula1>
    </dataValidation>
    <dataValidation type="list" allowBlank="1" showInputMessage="1" showErrorMessage="1" sqref="H517">
      <formula1>liste_sites</formula1>
    </dataValidation>
    <dataValidation type="list" allowBlank="1" showInputMessage="1" showErrorMessage="1" sqref="I517">
      <formula1>liste_priorites</formula1>
    </dataValidation>
    <dataValidation type="date" operator="greaterThanOrEqual" allowBlank="1" showInputMessage="1" showErrorMessage="1" sqref="J517">
      <formula1>730120</formula1>
    </dataValidation>
    <dataValidation type="date" operator="greaterThanOrEqual" allowBlank="1" showInputMessage="1" showErrorMessage="1" sqref="K517">
      <formula1>730120</formula1>
    </dataValidation>
    <dataValidation type="date" operator="greaterThanOrEqual" allowBlank="1" showInputMessage="1" showErrorMessage="1" sqref="L517">
      <formula1>730120</formula1>
    </dataValidation>
    <dataValidation type="whole" allowBlank="1" showInputMessage="1" showErrorMessage="1" sqref="P517">
      <formula1>0</formula1>
      <formula2>100</formula2>
    </dataValidation>
    <dataValidation type="decimal" operator="greaterThanOrEqual" allowBlank="1" showInputMessage="1" showErrorMessage="1" sqref="Q517">
      <formula1>0</formula1>
    </dataValidation>
    <dataValidation type="decimal" operator="greaterThanOrEqual" allowBlank="1" showInputMessage="1" showErrorMessage="1" sqref="R517">
      <formula1>0</formula1>
    </dataValidation>
    <dataValidation type="whole" allowBlank="1" showInputMessage="1" showErrorMessage="1" sqref="U517">
      <formula1>1</formula1>
      <formula2>5</formula2>
    </dataValidation>
    <dataValidation type="whole" allowBlank="1" showInputMessage="1" showErrorMessage="1" sqref="V517">
      <formula1>1</formula1>
      <formula2>5</formula2>
    </dataValidation>
    <dataValidation type="whole" allowBlank="1" showInputMessage="1" showErrorMessage="1" sqref="X517">
      <formula1>1</formula1>
      <formula2>5</formula2>
    </dataValidation>
    <dataValidation type="decimal" operator="greaterThanOrEqual" allowBlank="1" showInputMessage="1" showErrorMessage="1" sqref="Y517">
      <formula1>0</formula1>
    </dataValidation>
    <dataValidation type="whole" operator="greaterThanOrEqual" allowBlank="1" showInputMessage="1" showErrorMessage="1" sqref="Z517">
      <formula1>0</formula1>
    </dataValidation>
    <dataValidation type="whole" allowBlank="1" showInputMessage="1" showErrorMessage="1" sqref="AA517">
      <formula1>1</formula1>
      <formula2>5</formula2>
    </dataValidation>
    <dataValidation type="decimal" allowBlank="1" showInputMessage="1" showErrorMessage="1" sqref="AB517">
      <formula1>0</formula1>
      <formula2>1</formula2>
    </dataValidation>
    <dataValidation type="list" allowBlank="1" showInputMessage="1" showErrorMessage="1" sqref="O517">
      <formula1>liste_statuts</formula1>
    </dataValidation>
    <dataValidation type="list" allowBlank="1" showInputMessage="1" showErrorMessage="1" sqref="B518">
      <formula1>liste_programmes</formula1>
    </dataValidation>
    <dataValidation type="list" allowBlank="1" showInputMessage="1" showErrorMessage="1" sqref="D518">
      <formula1>liste_types</formula1>
    </dataValidation>
    <dataValidation type="list" allowBlank="1" showInputMessage="1" showErrorMessage="1" sqref="F518">
      <formula1>liste_categories</formula1>
    </dataValidation>
    <dataValidation type="list" allowBlank="1" showInputMessage="1" showErrorMessage="1" sqref="G518">
      <formula1>liste_responsables</formula1>
    </dataValidation>
    <dataValidation type="list" allowBlank="1" showInputMessage="1" showErrorMessage="1" sqref="H518">
      <formula1>liste_sites</formula1>
    </dataValidation>
    <dataValidation type="list" allowBlank="1" showInputMessage="1" showErrorMessage="1" sqref="I518">
      <formula1>liste_priorites</formula1>
    </dataValidation>
    <dataValidation type="date" operator="greaterThanOrEqual" allowBlank="1" showInputMessage="1" showErrorMessage="1" sqref="J518">
      <formula1>730120</formula1>
    </dataValidation>
    <dataValidation type="date" operator="greaterThanOrEqual" allowBlank="1" showInputMessage="1" showErrorMessage="1" sqref="K518">
      <formula1>730120</formula1>
    </dataValidation>
    <dataValidation type="date" operator="greaterThanOrEqual" allowBlank="1" showInputMessage="1" showErrorMessage="1" sqref="L518">
      <formula1>730120</formula1>
    </dataValidation>
    <dataValidation type="whole" allowBlank="1" showInputMessage="1" showErrorMessage="1" sqref="P518">
      <formula1>0</formula1>
      <formula2>100</formula2>
    </dataValidation>
    <dataValidation type="decimal" operator="greaterThanOrEqual" allowBlank="1" showInputMessage="1" showErrorMessage="1" sqref="Q518">
      <formula1>0</formula1>
    </dataValidation>
    <dataValidation type="decimal" operator="greaterThanOrEqual" allowBlank="1" showInputMessage="1" showErrorMessage="1" sqref="R518">
      <formula1>0</formula1>
    </dataValidation>
    <dataValidation type="whole" allowBlank="1" showInputMessage="1" showErrorMessage="1" sqref="U518">
      <formula1>1</formula1>
      <formula2>5</formula2>
    </dataValidation>
    <dataValidation type="whole" allowBlank="1" showInputMessage="1" showErrorMessage="1" sqref="V518">
      <formula1>1</formula1>
      <formula2>5</formula2>
    </dataValidation>
    <dataValidation type="whole" allowBlank="1" showInputMessage="1" showErrorMessage="1" sqref="X518">
      <formula1>1</formula1>
      <formula2>5</formula2>
    </dataValidation>
    <dataValidation type="decimal" operator="greaterThanOrEqual" allowBlank="1" showInputMessage="1" showErrorMessage="1" sqref="Y518">
      <formula1>0</formula1>
    </dataValidation>
    <dataValidation type="whole" operator="greaterThanOrEqual" allowBlank="1" showInputMessage="1" showErrorMessage="1" sqref="Z518">
      <formula1>0</formula1>
    </dataValidation>
    <dataValidation type="whole" allowBlank="1" showInputMessage="1" showErrorMessage="1" sqref="AA518">
      <formula1>1</formula1>
      <formula2>5</formula2>
    </dataValidation>
    <dataValidation type="decimal" allowBlank="1" showInputMessage="1" showErrorMessage="1" sqref="AB518">
      <formula1>0</formula1>
      <formula2>1</formula2>
    </dataValidation>
    <dataValidation type="list" allowBlank="1" showInputMessage="1" showErrorMessage="1" sqref="O518">
      <formula1>liste_statuts</formula1>
    </dataValidation>
    <dataValidation type="list" allowBlank="1" showInputMessage="1" showErrorMessage="1" sqref="B519">
      <formula1>liste_programmes</formula1>
    </dataValidation>
    <dataValidation type="list" allowBlank="1" showInputMessage="1" showErrorMessage="1" sqref="D519">
      <formula1>liste_types</formula1>
    </dataValidation>
    <dataValidation type="list" allowBlank="1" showInputMessage="1" showErrorMessage="1" sqref="F519">
      <formula1>liste_categories</formula1>
    </dataValidation>
    <dataValidation type="list" allowBlank="1" showInputMessage="1" showErrorMessage="1" sqref="G519">
      <formula1>liste_responsables</formula1>
    </dataValidation>
    <dataValidation type="list" allowBlank="1" showInputMessage="1" showErrorMessage="1" sqref="H519">
      <formula1>liste_sites</formula1>
    </dataValidation>
    <dataValidation type="list" allowBlank="1" showInputMessage="1" showErrorMessage="1" sqref="I519">
      <formula1>liste_priorites</formula1>
    </dataValidation>
    <dataValidation type="date" operator="greaterThanOrEqual" allowBlank="1" showInputMessage="1" showErrorMessage="1" sqref="J519">
      <formula1>730120</formula1>
    </dataValidation>
    <dataValidation type="date" operator="greaterThanOrEqual" allowBlank="1" showInputMessage="1" showErrorMessage="1" sqref="K519">
      <formula1>730120</formula1>
    </dataValidation>
    <dataValidation type="date" operator="greaterThanOrEqual" allowBlank="1" showInputMessage="1" showErrorMessage="1" sqref="L519">
      <formula1>730120</formula1>
    </dataValidation>
    <dataValidation type="whole" allowBlank="1" showInputMessage="1" showErrorMessage="1" sqref="P519">
      <formula1>0</formula1>
      <formula2>100</formula2>
    </dataValidation>
    <dataValidation type="decimal" operator="greaterThanOrEqual" allowBlank="1" showInputMessage="1" showErrorMessage="1" sqref="Q519">
      <formula1>0</formula1>
    </dataValidation>
    <dataValidation type="decimal" operator="greaterThanOrEqual" allowBlank="1" showInputMessage="1" showErrorMessage="1" sqref="R519">
      <formula1>0</formula1>
    </dataValidation>
    <dataValidation type="whole" allowBlank="1" showInputMessage="1" showErrorMessage="1" sqref="U519">
      <formula1>1</formula1>
      <formula2>5</formula2>
    </dataValidation>
    <dataValidation type="whole" allowBlank="1" showInputMessage="1" showErrorMessage="1" sqref="V519">
      <formula1>1</formula1>
      <formula2>5</formula2>
    </dataValidation>
    <dataValidation type="whole" allowBlank="1" showInputMessage="1" showErrorMessage="1" sqref="X519">
      <formula1>1</formula1>
      <formula2>5</formula2>
    </dataValidation>
    <dataValidation type="decimal" operator="greaterThanOrEqual" allowBlank="1" showInputMessage="1" showErrorMessage="1" sqref="Y519">
      <formula1>0</formula1>
    </dataValidation>
    <dataValidation type="whole" operator="greaterThanOrEqual" allowBlank="1" showInputMessage="1" showErrorMessage="1" sqref="Z519">
      <formula1>0</formula1>
    </dataValidation>
    <dataValidation type="whole" allowBlank="1" showInputMessage="1" showErrorMessage="1" sqref="AA519">
      <formula1>1</formula1>
      <formula2>5</formula2>
    </dataValidation>
    <dataValidation type="decimal" allowBlank="1" showInputMessage="1" showErrorMessage="1" sqref="AB519">
      <formula1>0</formula1>
      <formula2>1</formula2>
    </dataValidation>
    <dataValidation type="list" allowBlank="1" showInputMessage="1" showErrorMessage="1" sqref="O519">
      <formula1>liste_statuts</formula1>
    </dataValidation>
    <dataValidation type="list" allowBlank="1" showInputMessage="1" showErrorMessage="1" sqref="B520">
      <formula1>liste_programmes</formula1>
    </dataValidation>
    <dataValidation type="list" allowBlank="1" showInputMessage="1" showErrorMessage="1" sqref="D520">
      <formula1>liste_types</formula1>
    </dataValidation>
    <dataValidation type="list" allowBlank="1" showInputMessage="1" showErrorMessage="1" sqref="F520">
      <formula1>liste_categories</formula1>
    </dataValidation>
    <dataValidation type="list" allowBlank="1" showInputMessage="1" showErrorMessage="1" sqref="G520">
      <formula1>liste_responsables</formula1>
    </dataValidation>
    <dataValidation type="list" allowBlank="1" showInputMessage="1" showErrorMessage="1" sqref="H520">
      <formula1>liste_sites</formula1>
    </dataValidation>
    <dataValidation type="list" allowBlank="1" showInputMessage="1" showErrorMessage="1" sqref="I520">
      <formula1>liste_priorites</formula1>
    </dataValidation>
    <dataValidation type="date" operator="greaterThanOrEqual" allowBlank="1" showInputMessage="1" showErrorMessage="1" sqref="J520">
      <formula1>730120</formula1>
    </dataValidation>
    <dataValidation type="date" operator="greaterThanOrEqual" allowBlank="1" showInputMessage="1" showErrorMessage="1" sqref="K520">
      <formula1>730120</formula1>
    </dataValidation>
    <dataValidation type="date" operator="greaterThanOrEqual" allowBlank="1" showInputMessage="1" showErrorMessage="1" sqref="L520">
      <formula1>730120</formula1>
    </dataValidation>
    <dataValidation type="whole" allowBlank="1" showInputMessage="1" showErrorMessage="1" sqref="P520">
      <formula1>0</formula1>
      <formula2>100</formula2>
    </dataValidation>
    <dataValidation type="decimal" operator="greaterThanOrEqual" allowBlank="1" showInputMessage="1" showErrorMessage="1" sqref="Q520">
      <formula1>0</formula1>
    </dataValidation>
    <dataValidation type="decimal" operator="greaterThanOrEqual" allowBlank="1" showInputMessage="1" showErrorMessage="1" sqref="R520">
      <formula1>0</formula1>
    </dataValidation>
    <dataValidation type="whole" allowBlank="1" showInputMessage="1" showErrorMessage="1" sqref="U520">
      <formula1>1</formula1>
      <formula2>5</formula2>
    </dataValidation>
    <dataValidation type="whole" allowBlank="1" showInputMessage="1" showErrorMessage="1" sqref="V520">
      <formula1>1</formula1>
      <formula2>5</formula2>
    </dataValidation>
    <dataValidation type="whole" allowBlank="1" showInputMessage="1" showErrorMessage="1" sqref="X520">
      <formula1>1</formula1>
      <formula2>5</formula2>
    </dataValidation>
    <dataValidation type="decimal" operator="greaterThanOrEqual" allowBlank="1" showInputMessage="1" showErrorMessage="1" sqref="Y520">
      <formula1>0</formula1>
    </dataValidation>
    <dataValidation type="whole" operator="greaterThanOrEqual" allowBlank="1" showInputMessage="1" showErrorMessage="1" sqref="Z520">
      <formula1>0</formula1>
    </dataValidation>
    <dataValidation type="whole" allowBlank="1" showInputMessage="1" showErrorMessage="1" sqref="AA520">
      <formula1>1</formula1>
      <formula2>5</formula2>
    </dataValidation>
    <dataValidation type="decimal" allowBlank="1" showInputMessage="1" showErrorMessage="1" sqref="AB520">
      <formula1>0</formula1>
      <formula2>1</formula2>
    </dataValidation>
    <dataValidation type="list" allowBlank="1" showInputMessage="1" showErrorMessage="1" sqref="O520">
      <formula1>liste_statuts</formula1>
    </dataValidation>
    <dataValidation type="list" allowBlank="1" showInputMessage="1" showErrorMessage="1" sqref="B521">
      <formula1>liste_programmes</formula1>
    </dataValidation>
    <dataValidation type="list" allowBlank="1" showInputMessage="1" showErrorMessage="1" sqref="D521">
      <formula1>liste_types</formula1>
    </dataValidation>
    <dataValidation type="list" allowBlank="1" showInputMessage="1" showErrorMessage="1" sqref="F521">
      <formula1>liste_categories</formula1>
    </dataValidation>
    <dataValidation type="list" allowBlank="1" showInputMessage="1" showErrorMessage="1" sqref="G521">
      <formula1>liste_responsables</formula1>
    </dataValidation>
    <dataValidation type="list" allowBlank="1" showInputMessage="1" showErrorMessage="1" sqref="H521">
      <formula1>liste_sites</formula1>
    </dataValidation>
    <dataValidation type="list" allowBlank="1" showInputMessage="1" showErrorMessage="1" sqref="I521">
      <formula1>liste_priorites</formula1>
    </dataValidation>
    <dataValidation type="date" operator="greaterThanOrEqual" allowBlank="1" showInputMessage="1" showErrorMessage="1" sqref="J521">
      <formula1>730120</formula1>
    </dataValidation>
    <dataValidation type="date" operator="greaterThanOrEqual" allowBlank="1" showInputMessage="1" showErrorMessage="1" sqref="K521">
      <formula1>730120</formula1>
    </dataValidation>
    <dataValidation type="date" operator="greaterThanOrEqual" allowBlank="1" showInputMessage="1" showErrorMessage="1" sqref="L521">
      <formula1>730120</formula1>
    </dataValidation>
    <dataValidation type="whole" allowBlank="1" showInputMessage="1" showErrorMessage="1" sqref="P521">
      <formula1>0</formula1>
      <formula2>100</formula2>
    </dataValidation>
    <dataValidation type="decimal" operator="greaterThanOrEqual" allowBlank="1" showInputMessage="1" showErrorMessage="1" sqref="Q521">
      <formula1>0</formula1>
    </dataValidation>
    <dataValidation type="decimal" operator="greaterThanOrEqual" allowBlank="1" showInputMessage="1" showErrorMessage="1" sqref="R521">
      <formula1>0</formula1>
    </dataValidation>
    <dataValidation type="whole" allowBlank="1" showInputMessage="1" showErrorMessage="1" sqref="U521">
      <formula1>1</formula1>
      <formula2>5</formula2>
    </dataValidation>
    <dataValidation type="whole" allowBlank="1" showInputMessage="1" showErrorMessage="1" sqref="V521">
      <formula1>1</formula1>
      <formula2>5</formula2>
    </dataValidation>
    <dataValidation type="whole" allowBlank="1" showInputMessage="1" showErrorMessage="1" sqref="X521">
      <formula1>1</formula1>
      <formula2>5</formula2>
    </dataValidation>
    <dataValidation type="decimal" operator="greaterThanOrEqual" allowBlank="1" showInputMessage="1" showErrorMessage="1" sqref="Y521">
      <formula1>0</formula1>
    </dataValidation>
    <dataValidation type="whole" operator="greaterThanOrEqual" allowBlank="1" showInputMessage="1" showErrorMessage="1" sqref="Z521">
      <formula1>0</formula1>
    </dataValidation>
    <dataValidation type="whole" allowBlank="1" showInputMessage="1" showErrorMessage="1" sqref="AA521">
      <formula1>1</formula1>
      <formula2>5</formula2>
    </dataValidation>
    <dataValidation type="decimal" allowBlank="1" showInputMessage="1" showErrorMessage="1" sqref="AB521">
      <formula1>0</formula1>
      <formula2>1</formula2>
    </dataValidation>
    <dataValidation type="list" allowBlank="1" showInputMessage="1" showErrorMessage="1" sqref="O521">
      <formula1>liste_statuts</formula1>
    </dataValidation>
    <dataValidation type="list" allowBlank="1" showInputMessage="1" showErrorMessage="1" sqref="B522">
      <formula1>liste_programmes</formula1>
    </dataValidation>
    <dataValidation type="list" allowBlank="1" showInputMessage="1" showErrorMessage="1" sqref="D522">
      <formula1>liste_types</formula1>
    </dataValidation>
    <dataValidation type="list" allowBlank="1" showInputMessage="1" showErrorMessage="1" sqref="F522">
      <formula1>liste_categories</formula1>
    </dataValidation>
    <dataValidation type="list" allowBlank="1" showInputMessage="1" showErrorMessage="1" sqref="G522">
      <formula1>liste_responsables</formula1>
    </dataValidation>
    <dataValidation type="list" allowBlank="1" showInputMessage="1" showErrorMessage="1" sqref="H522">
      <formula1>liste_sites</formula1>
    </dataValidation>
    <dataValidation type="list" allowBlank="1" showInputMessage="1" showErrorMessage="1" sqref="I522">
      <formula1>liste_priorites</formula1>
    </dataValidation>
    <dataValidation type="date" operator="greaterThanOrEqual" allowBlank="1" showInputMessage="1" showErrorMessage="1" sqref="J522">
      <formula1>730120</formula1>
    </dataValidation>
    <dataValidation type="date" operator="greaterThanOrEqual" allowBlank="1" showInputMessage="1" showErrorMessage="1" sqref="K522">
      <formula1>730120</formula1>
    </dataValidation>
    <dataValidation type="date" operator="greaterThanOrEqual" allowBlank="1" showInputMessage="1" showErrorMessage="1" sqref="L522">
      <formula1>730120</formula1>
    </dataValidation>
    <dataValidation type="whole" allowBlank="1" showInputMessage="1" showErrorMessage="1" sqref="P522">
      <formula1>0</formula1>
      <formula2>100</formula2>
    </dataValidation>
    <dataValidation type="decimal" operator="greaterThanOrEqual" allowBlank="1" showInputMessage="1" showErrorMessage="1" sqref="Q522">
      <formula1>0</formula1>
    </dataValidation>
    <dataValidation type="decimal" operator="greaterThanOrEqual" allowBlank="1" showInputMessage="1" showErrorMessage="1" sqref="R522">
      <formula1>0</formula1>
    </dataValidation>
    <dataValidation type="whole" allowBlank="1" showInputMessage="1" showErrorMessage="1" sqref="U522">
      <formula1>1</formula1>
      <formula2>5</formula2>
    </dataValidation>
    <dataValidation type="whole" allowBlank="1" showInputMessage="1" showErrorMessage="1" sqref="V522">
      <formula1>1</formula1>
      <formula2>5</formula2>
    </dataValidation>
    <dataValidation type="whole" allowBlank="1" showInputMessage="1" showErrorMessage="1" sqref="X522">
      <formula1>1</formula1>
      <formula2>5</formula2>
    </dataValidation>
    <dataValidation type="decimal" operator="greaterThanOrEqual" allowBlank="1" showInputMessage="1" showErrorMessage="1" sqref="Y522">
      <formula1>0</formula1>
    </dataValidation>
    <dataValidation type="whole" operator="greaterThanOrEqual" allowBlank="1" showInputMessage="1" showErrorMessage="1" sqref="Z522">
      <formula1>0</formula1>
    </dataValidation>
    <dataValidation type="whole" allowBlank="1" showInputMessage="1" showErrorMessage="1" sqref="AA522">
      <formula1>1</formula1>
      <formula2>5</formula2>
    </dataValidation>
    <dataValidation type="decimal" allowBlank="1" showInputMessage="1" showErrorMessage="1" sqref="AB522">
      <formula1>0</formula1>
      <formula2>1</formula2>
    </dataValidation>
    <dataValidation type="list" allowBlank="1" showInputMessage="1" showErrorMessage="1" sqref="O522">
      <formula1>liste_statuts</formula1>
    </dataValidation>
    <dataValidation type="list" allowBlank="1" showInputMessage="1" showErrorMessage="1" sqref="B523">
      <formula1>liste_programmes</formula1>
    </dataValidation>
    <dataValidation type="list" allowBlank="1" showInputMessage="1" showErrorMessage="1" sqref="D523">
      <formula1>liste_types</formula1>
    </dataValidation>
    <dataValidation type="list" allowBlank="1" showInputMessage="1" showErrorMessage="1" sqref="F523">
      <formula1>liste_categories</formula1>
    </dataValidation>
    <dataValidation type="list" allowBlank="1" showInputMessage="1" showErrorMessage="1" sqref="G523">
      <formula1>liste_responsables</formula1>
    </dataValidation>
    <dataValidation type="list" allowBlank="1" showInputMessage="1" showErrorMessage="1" sqref="H523">
      <formula1>liste_sites</formula1>
    </dataValidation>
    <dataValidation type="list" allowBlank="1" showInputMessage="1" showErrorMessage="1" sqref="I523">
      <formula1>liste_priorites</formula1>
    </dataValidation>
    <dataValidation type="date" operator="greaterThanOrEqual" allowBlank="1" showInputMessage="1" showErrorMessage="1" sqref="J523">
      <formula1>730120</formula1>
    </dataValidation>
    <dataValidation type="date" operator="greaterThanOrEqual" allowBlank="1" showInputMessage="1" showErrorMessage="1" sqref="K523">
      <formula1>730120</formula1>
    </dataValidation>
    <dataValidation type="date" operator="greaterThanOrEqual" allowBlank="1" showInputMessage="1" showErrorMessage="1" sqref="L523">
      <formula1>730120</formula1>
    </dataValidation>
    <dataValidation type="whole" allowBlank="1" showInputMessage="1" showErrorMessage="1" sqref="P523">
      <formula1>0</formula1>
      <formula2>100</formula2>
    </dataValidation>
    <dataValidation type="decimal" operator="greaterThanOrEqual" allowBlank="1" showInputMessage="1" showErrorMessage="1" sqref="Q523">
      <formula1>0</formula1>
    </dataValidation>
    <dataValidation type="decimal" operator="greaterThanOrEqual" allowBlank="1" showInputMessage="1" showErrorMessage="1" sqref="R523">
      <formula1>0</formula1>
    </dataValidation>
    <dataValidation type="whole" allowBlank="1" showInputMessage="1" showErrorMessage="1" sqref="U523">
      <formula1>1</formula1>
      <formula2>5</formula2>
    </dataValidation>
    <dataValidation type="whole" allowBlank="1" showInputMessage="1" showErrorMessage="1" sqref="V523">
      <formula1>1</formula1>
      <formula2>5</formula2>
    </dataValidation>
    <dataValidation type="whole" allowBlank="1" showInputMessage="1" showErrorMessage="1" sqref="X523">
      <formula1>1</formula1>
      <formula2>5</formula2>
    </dataValidation>
    <dataValidation type="decimal" operator="greaterThanOrEqual" allowBlank="1" showInputMessage="1" showErrorMessage="1" sqref="Y523">
      <formula1>0</formula1>
    </dataValidation>
    <dataValidation type="whole" operator="greaterThanOrEqual" allowBlank="1" showInputMessage="1" showErrorMessage="1" sqref="Z523">
      <formula1>0</formula1>
    </dataValidation>
    <dataValidation type="whole" allowBlank="1" showInputMessage="1" showErrorMessage="1" sqref="AA523">
      <formula1>1</formula1>
      <formula2>5</formula2>
    </dataValidation>
    <dataValidation type="decimal" allowBlank="1" showInputMessage="1" showErrorMessage="1" sqref="AB523">
      <formula1>0</formula1>
      <formula2>1</formula2>
    </dataValidation>
    <dataValidation type="list" allowBlank="1" showInputMessage="1" showErrorMessage="1" sqref="O523">
      <formula1>liste_statuts</formula1>
    </dataValidation>
    <dataValidation type="list" allowBlank="1" showInputMessage="1" showErrorMessage="1" sqref="B524">
      <formula1>liste_programmes</formula1>
    </dataValidation>
    <dataValidation type="list" allowBlank="1" showInputMessage="1" showErrorMessage="1" sqref="D524">
      <formula1>liste_types</formula1>
    </dataValidation>
    <dataValidation type="list" allowBlank="1" showInputMessage="1" showErrorMessage="1" sqref="F524">
      <formula1>liste_categories</formula1>
    </dataValidation>
    <dataValidation type="list" allowBlank="1" showInputMessage="1" showErrorMessage="1" sqref="G524">
      <formula1>liste_responsables</formula1>
    </dataValidation>
    <dataValidation type="list" allowBlank="1" showInputMessage="1" showErrorMessage="1" sqref="H524">
      <formula1>liste_sites</formula1>
    </dataValidation>
    <dataValidation type="list" allowBlank="1" showInputMessage="1" showErrorMessage="1" sqref="I524">
      <formula1>liste_priorites</formula1>
    </dataValidation>
    <dataValidation type="date" operator="greaterThanOrEqual" allowBlank="1" showInputMessage="1" showErrorMessage="1" sqref="J524">
      <formula1>730120</formula1>
    </dataValidation>
    <dataValidation type="date" operator="greaterThanOrEqual" allowBlank="1" showInputMessage="1" showErrorMessage="1" sqref="K524">
      <formula1>730120</formula1>
    </dataValidation>
    <dataValidation type="date" operator="greaterThanOrEqual" allowBlank="1" showInputMessage="1" showErrorMessage="1" sqref="L524">
      <formula1>730120</formula1>
    </dataValidation>
    <dataValidation type="whole" allowBlank="1" showInputMessage="1" showErrorMessage="1" sqref="P524">
      <formula1>0</formula1>
      <formula2>100</formula2>
    </dataValidation>
    <dataValidation type="decimal" operator="greaterThanOrEqual" allowBlank="1" showInputMessage="1" showErrorMessage="1" sqref="Q524">
      <formula1>0</formula1>
    </dataValidation>
    <dataValidation type="decimal" operator="greaterThanOrEqual" allowBlank="1" showInputMessage="1" showErrorMessage="1" sqref="R524">
      <formula1>0</formula1>
    </dataValidation>
    <dataValidation type="whole" allowBlank="1" showInputMessage="1" showErrorMessage="1" sqref="U524">
      <formula1>1</formula1>
      <formula2>5</formula2>
    </dataValidation>
    <dataValidation type="whole" allowBlank="1" showInputMessage="1" showErrorMessage="1" sqref="V524">
      <formula1>1</formula1>
      <formula2>5</formula2>
    </dataValidation>
    <dataValidation type="whole" allowBlank="1" showInputMessage="1" showErrorMessage="1" sqref="X524">
      <formula1>1</formula1>
      <formula2>5</formula2>
    </dataValidation>
    <dataValidation type="decimal" operator="greaterThanOrEqual" allowBlank="1" showInputMessage="1" showErrorMessage="1" sqref="Y524">
      <formula1>0</formula1>
    </dataValidation>
    <dataValidation type="whole" operator="greaterThanOrEqual" allowBlank="1" showInputMessage="1" showErrorMessage="1" sqref="Z524">
      <formula1>0</formula1>
    </dataValidation>
    <dataValidation type="whole" allowBlank="1" showInputMessage="1" showErrorMessage="1" sqref="AA524">
      <formula1>1</formula1>
      <formula2>5</formula2>
    </dataValidation>
    <dataValidation type="decimal" allowBlank="1" showInputMessage="1" showErrorMessage="1" sqref="AB524">
      <formula1>0</formula1>
      <formula2>1</formula2>
    </dataValidation>
    <dataValidation type="list" allowBlank="1" showInputMessage="1" showErrorMessage="1" sqref="O524">
      <formula1>liste_statuts</formula1>
    </dataValidation>
    <dataValidation type="list" allowBlank="1" showInputMessage="1" showErrorMessage="1" sqref="B525">
      <formula1>liste_programmes</formula1>
    </dataValidation>
    <dataValidation type="list" allowBlank="1" showInputMessage="1" showErrorMessage="1" sqref="D525">
      <formula1>liste_types</formula1>
    </dataValidation>
    <dataValidation type="list" allowBlank="1" showInputMessage="1" showErrorMessage="1" sqref="F525">
      <formula1>liste_categories</formula1>
    </dataValidation>
    <dataValidation type="list" allowBlank="1" showInputMessage="1" showErrorMessage="1" sqref="G525">
      <formula1>liste_responsables</formula1>
    </dataValidation>
    <dataValidation type="list" allowBlank="1" showInputMessage="1" showErrorMessage="1" sqref="H525">
      <formula1>liste_sites</formula1>
    </dataValidation>
    <dataValidation type="list" allowBlank="1" showInputMessage="1" showErrorMessage="1" sqref="I525">
      <formula1>liste_priorites</formula1>
    </dataValidation>
    <dataValidation type="date" operator="greaterThanOrEqual" allowBlank="1" showInputMessage="1" showErrorMessage="1" sqref="J525">
      <formula1>730120</formula1>
    </dataValidation>
    <dataValidation type="date" operator="greaterThanOrEqual" allowBlank="1" showInputMessage="1" showErrorMessage="1" sqref="K525">
      <formula1>730120</formula1>
    </dataValidation>
    <dataValidation type="date" operator="greaterThanOrEqual" allowBlank="1" showInputMessage="1" showErrorMessage="1" sqref="L525">
      <formula1>730120</formula1>
    </dataValidation>
    <dataValidation type="whole" allowBlank="1" showInputMessage="1" showErrorMessage="1" sqref="P525">
      <formula1>0</formula1>
      <formula2>100</formula2>
    </dataValidation>
    <dataValidation type="decimal" operator="greaterThanOrEqual" allowBlank="1" showInputMessage="1" showErrorMessage="1" sqref="Q525">
      <formula1>0</formula1>
    </dataValidation>
    <dataValidation type="decimal" operator="greaterThanOrEqual" allowBlank="1" showInputMessage="1" showErrorMessage="1" sqref="R525">
      <formula1>0</formula1>
    </dataValidation>
    <dataValidation type="whole" allowBlank="1" showInputMessage="1" showErrorMessage="1" sqref="U525">
      <formula1>1</formula1>
      <formula2>5</formula2>
    </dataValidation>
    <dataValidation type="whole" allowBlank="1" showInputMessage="1" showErrorMessage="1" sqref="V525">
      <formula1>1</formula1>
      <formula2>5</formula2>
    </dataValidation>
    <dataValidation type="whole" allowBlank="1" showInputMessage="1" showErrorMessage="1" sqref="X525">
      <formula1>1</formula1>
      <formula2>5</formula2>
    </dataValidation>
    <dataValidation type="decimal" operator="greaterThanOrEqual" allowBlank="1" showInputMessage="1" showErrorMessage="1" sqref="Y525">
      <formula1>0</formula1>
    </dataValidation>
    <dataValidation type="whole" operator="greaterThanOrEqual" allowBlank="1" showInputMessage="1" showErrorMessage="1" sqref="Z525">
      <formula1>0</formula1>
    </dataValidation>
    <dataValidation type="whole" allowBlank="1" showInputMessage="1" showErrorMessage="1" sqref="AA525">
      <formula1>1</formula1>
      <formula2>5</formula2>
    </dataValidation>
    <dataValidation type="decimal" allowBlank="1" showInputMessage="1" showErrorMessage="1" sqref="AB525">
      <formula1>0</formula1>
      <formula2>1</formula2>
    </dataValidation>
    <dataValidation type="list" allowBlank="1" showInputMessage="1" showErrorMessage="1" sqref="O525">
      <formula1>liste_statuts</formula1>
    </dataValidation>
    <dataValidation type="list" allowBlank="1" showInputMessage="1" showErrorMessage="1" sqref="B526">
      <formula1>liste_programmes</formula1>
    </dataValidation>
    <dataValidation type="list" allowBlank="1" showInputMessage="1" showErrorMessage="1" sqref="D526">
      <formula1>liste_types</formula1>
    </dataValidation>
    <dataValidation type="list" allowBlank="1" showInputMessage="1" showErrorMessage="1" sqref="F526">
      <formula1>liste_categories</formula1>
    </dataValidation>
    <dataValidation type="list" allowBlank="1" showInputMessage="1" showErrorMessage="1" sqref="G526">
      <formula1>liste_responsables</formula1>
    </dataValidation>
    <dataValidation type="list" allowBlank="1" showInputMessage="1" showErrorMessage="1" sqref="H526">
      <formula1>liste_sites</formula1>
    </dataValidation>
    <dataValidation type="list" allowBlank="1" showInputMessage="1" showErrorMessage="1" sqref="I526">
      <formula1>liste_priorites</formula1>
    </dataValidation>
    <dataValidation type="date" operator="greaterThanOrEqual" allowBlank="1" showInputMessage="1" showErrorMessage="1" sqref="J526">
      <formula1>730120</formula1>
    </dataValidation>
    <dataValidation type="date" operator="greaterThanOrEqual" allowBlank="1" showInputMessage="1" showErrorMessage="1" sqref="K526">
      <formula1>730120</formula1>
    </dataValidation>
    <dataValidation type="date" operator="greaterThanOrEqual" allowBlank="1" showInputMessage="1" showErrorMessage="1" sqref="L526">
      <formula1>730120</formula1>
    </dataValidation>
    <dataValidation type="whole" allowBlank="1" showInputMessage="1" showErrorMessage="1" sqref="P526">
      <formula1>0</formula1>
      <formula2>100</formula2>
    </dataValidation>
    <dataValidation type="decimal" operator="greaterThanOrEqual" allowBlank="1" showInputMessage="1" showErrorMessage="1" sqref="Q526">
      <formula1>0</formula1>
    </dataValidation>
    <dataValidation type="decimal" operator="greaterThanOrEqual" allowBlank="1" showInputMessage="1" showErrorMessage="1" sqref="R526">
      <formula1>0</formula1>
    </dataValidation>
    <dataValidation type="whole" allowBlank="1" showInputMessage="1" showErrorMessage="1" sqref="U526">
      <formula1>1</formula1>
      <formula2>5</formula2>
    </dataValidation>
    <dataValidation type="whole" allowBlank="1" showInputMessage="1" showErrorMessage="1" sqref="V526">
      <formula1>1</formula1>
      <formula2>5</formula2>
    </dataValidation>
    <dataValidation type="whole" allowBlank="1" showInputMessage="1" showErrorMessage="1" sqref="X526">
      <formula1>1</formula1>
      <formula2>5</formula2>
    </dataValidation>
    <dataValidation type="decimal" operator="greaterThanOrEqual" allowBlank="1" showInputMessage="1" showErrorMessage="1" sqref="Y526">
      <formula1>0</formula1>
    </dataValidation>
    <dataValidation type="whole" operator="greaterThanOrEqual" allowBlank="1" showInputMessage="1" showErrorMessage="1" sqref="Z526">
      <formula1>0</formula1>
    </dataValidation>
    <dataValidation type="whole" allowBlank="1" showInputMessage="1" showErrorMessage="1" sqref="AA526">
      <formula1>1</formula1>
      <formula2>5</formula2>
    </dataValidation>
    <dataValidation type="decimal" allowBlank="1" showInputMessage="1" showErrorMessage="1" sqref="AB526">
      <formula1>0</formula1>
      <formula2>1</formula2>
    </dataValidation>
    <dataValidation type="list" allowBlank="1" showInputMessage="1" showErrorMessage="1" sqref="O526">
      <formula1>liste_statuts</formula1>
    </dataValidation>
    <dataValidation type="list" allowBlank="1" showInputMessage="1" showErrorMessage="1" sqref="B527">
      <formula1>liste_programmes</formula1>
    </dataValidation>
    <dataValidation type="list" allowBlank="1" showInputMessage="1" showErrorMessage="1" sqref="D527">
      <formula1>liste_types</formula1>
    </dataValidation>
    <dataValidation type="list" allowBlank="1" showInputMessage="1" showErrorMessage="1" sqref="F527">
      <formula1>liste_categories</formula1>
    </dataValidation>
    <dataValidation type="list" allowBlank="1" showInputMessage="1" showErrorMessage="1" sqref="G527">
      <formula1>liste_responsables</formula1>
    </dataValidation>
    <dataValidation type="list" allowBlank="1" showInputMessage="1" showErrorMessage="1" sqref="H527">
      <formula1>liste_sites</formula1>
    </dataValidation>
    <dataValidation type="list" allowBlank="1" showInputMessage="1" showErrorMessage="1" sqref="I527">
      <formula1>liste_priorites</formula1>
    </dataValidation>
    <dataValidation type="date" operator="greaterThanOrEqual" allowBlank="1" showInputMessage="1" showErrorMessage="1" sqref="J527">
      <formula1>730120</formula1>
    </dataValidation>
    <dataValidation type="date" operator="greaterThanOrEqual" allowBlank="1" showInputMessage="1" showErrorMessage="1" sqref="K527">
      <formula1>730120</formula1>
    </dataValidation>
    <dataValidation type="date" operator="greaterThanOrEqual" allowBlank="1" showInputMessage="1" showErrorMessage="1" sqref="L527">
      <formula1>730120</formula1>
    </dataValidation>
    <dataValidation type="whole" allowBlank="1" showInputMessage="1" showErrorMessage="1" sqref="P527">
      <formula1>0</formula1>
      <formula2>100</formula2>
    </dataValidation>
    <dataValidation type="decimal" operator="greaterThanOrEqual" allowBlank="1" showInputMessage="1" showErrorMessage="1" sqref="Q527">
      <formula1>0</formula1>
    </dataValidation>
    <dataValidation type="decimal" operator="greaterThanOrEqual" allowBlank="1" showInputMessage="1" showErrorMessage="1" sqref="R527">
      <formula1>0</formula1>
    </dataValidation>
    <dataValidation type="whole" allowBlank="1" showInputMessage="1" showErrorMessage="1" sqref="U527">
      <formula1>1</formula1>
      <formula2>5</formula2>
    </dataValidation>
    <dataValidation type="whole" allowBlank="1" showInputMessage="1" showErrorMessage="1" sqref="V527">
      <formula1>1</formula1>
      <formula2>5</formula2>
    </dataValidation>
    <dataValidation type="whole" allowBlank="1" showInputMessage="1" showErrorMessage="1" sqref="X527">
      <formula1>1</formula1>
      <formula2>5</formula2>
    </dataValidation>
    <dataValidation type="decimal" operator="greaterThanOrEqual" allowBlank="1" showInputMessage="1" showErrorMessage="1" sqref="Y527">
      <formula1>0</formula1>
    </dataValidation>
    <dataValidation type="whole" operator="greaterThanOrEqual" allowBlank="1" showInputMessage="1" showErrorMessage="1" sqref="Z527">
      <formula1>0</formula1>
    </dataValidation>
    <dataValidation type="whole" allowBlank="1" showInputMessage="1" showErrorMessage="1" sqref="AA527">
      <formula1>1</formula1>
      <formula2>5</formula2>
    </dataValidation>
    <dataValidation type="decimal" allowBlank="1" showInputMessage="1" showErrorMessage="1" sqref="AB527">
      <formula1>0</formula1>
      <formula2>1</formula2>
    </dataValidation>
    <dataValidation type="list" allowBlank="1" showInputMessage="1" showErrorMessage="1" sqref="O527">
      <formula1>liste_statuts</formula1>
    </dataValidation>
    <dataValidation type="list" allowBlank="1" showInputMessage="1" showErrorMessage="1" sqref="B528">
      <formula1>liste_programmes</formula1>
    </dataValidation>
    <dataValidation type="list" allowBlank="1" showInputMessage="1" showErrorMessage="1" sqref="D528">
      <formula1>liste_types</formula1>
    </dataValidation>
    <dataValidation type="list" allowBlank="1" showInputMessage="1" showErrorMessage="1" sqref="F528">
      <formula1>liste_categories</formula1>
    </dataValidation>
    <dataValidation type="list" allowBlank="1" showInputMessage="1" showErrorMessage="1" sqref="G528">
      <formula1>liste_responsables</formula1>
    </dataValidation>
    <dataValidation type="list" allowBlank="1" showInputMessage="1" showErrorMessage="1" sqref="H528">
      <formula1>liste_sites</formula1>
    </dataValidation>
    <dataValidation type="list" allowBlank="1" showInputMessage="1" showErrorMessage="1" sqref="I528">
      <formula1>liste_priorites</formula1>
    </dataValidation>
    <dataValidation type="date" operator="greaterThanOrEqual" allowBlank="1" showInputMessage="1" showErrorMessage="1" sqref="J528">
      <formula1>730120</formula1>
    </dataValidation>
    <dataValidation type="date" operator="greaterThanOrEqual" allowBlank="1" showInputMessage="1" showErrorMessage="1" sqref="K528">
      <formula1>730120</formula1>
    </dataValidation>
    <dataValidation type="date" operator="greaterThanOrEqual" allowBlank="1" showInputMessage="1" showErrorMessage="1" sqref="L528">
      <formula1>730120</formula1>
    </dataValidation>
    <dataValidation type="whole" allowBlank="1" showInputMessage="1" showErrorMessage="1" sqref="P528">
      <formula1>0</formula1>
      <formula2>100</formula2>
    </dataValidation>
    <dataValidation type="decimal" operator="greaterThanOrEqual" allowBlank="1" showInputMessage="1" showErrorMessage="1" sqref="Q528">
      <formula1>0</formula1>
    </dataValidation>
    <dataValidation type="decimal" operator="greaterThanOrEqual" allowBlank="1" showInputMessage="1" showErrorMessage="1" sqref="R528">
      <formula1>0</formula1>
    </dataValidation>
    <dataValidation type="whole" allowBlank="1" showInputMessage="1" showErrorMessage="1" sqref="U528">
      <formula1>1</formula1>
      <formula2>5</formula2>
    </dataValidation>
    <dataValidation type="whole" allowBlank="1" showInputMessage="1" showErrorMessage="1" sqref="V528">
      <formula1>1</formula1>
      <formula2>5</formula2>
    </dataValidation>
    <dataValidation type="whole" allowBlank="1" showInputMessage="1" showErrorMessage="1" sqref="X528">
      <formula1>1</formula1>
      <formula2>5</formula2>
    </dataValidation>
    <dataValidation type="decimal" operator="greaterThanOrEqual" allowBlank="1" showInputMessage="1" showErrorMessage="1" sqref="Y528">
      <formula1>0</formula1>
    </dataValidation>
    <dataValidation type="whole" operator="greaterThanOrEqual" allowBlank="1" showInputMessage="1" showErrorMessage="1" sqref="Z528">
      <formula1>0</formula1>
    </dataValidation>
    <dataValidation type="whole" allowBlank="1" showInputMessage="1" showErrorMessage="1" sqref="AA528">
      <formula1>1</formula1>
      <formula2>5</formula2>
    </dataValidation>
    <dataValidation type="decimal" allowBlank="1" showInputMessage="1" showErrorMessage="1" sqref="AB528">
      <formula1>0</formula1>
      <formula2>1</formula2>
    </dataValidation>
    <dataValidation type="list" allowBlank="1" showInputMessage="1" showErrorMessage="1" sqref="O528">
      <formula1>liste_statuts</formula1>
    </dataValidation>
    <dataValidation type="list" allowBlank="1" showInputMessage="1" showErrorMessage="1" sqref="B529">
      <formula1>liste_programmes</formula1>
    </dataValidation>
    <dataValidation type="list" allowBlank="1" showInputMessage="1" showErrorMessage="1" sqref="D529">
      <formula1>liste_types</formula1>
    </dataValidation>
    <dataValidation type="list" allowBlank="1" showInputMessage="1" showErrorMessage="1" sqref="F529">
      <formula1>liste_categories</formula1>
    </dataValidation>
    <dataValidation type="list" allowBlank="1" showInputMessage="1" showErrorMessage="1" sqref="G529">
      <formula1>liste_responsables</formula1>
    </dataValidation>
    <dataValidation type="list" allowBlank="1" showInputMessage="1" showErrorMessage="1" sqref="H529">
      <formula1>liste_sites</formula1>
    </dataValidation>
    <dataValidation type="list" allowBlank="1" showInputMessage="1" showErrorMessage="1" sqref="I529">
      <formula1>liste_priorites</formula1>
    </dataValidation>
    <dataValidation type="date" operator="greaterThanOrEqual" allowBlank="1" showInputMessage="1" showErrorMessage="1" sqref="J529">
      <formula1>730120</formula1>
    </dataValidation>
    <dataValidation type="date" operator="greaterThanOrEqual" allowBlank="1" showInputMessage="1" showErrorMessage="1" sqref="K529">
      <formula1>730120</formula1>
    </dataValidation>
    <dataValidation type="date" operator="greaterThanOrEqual" allowBlank="1" showInputMessage="1" showErrorMessage="1" sqref="L529">
      <formula1>730120</formula1>
    </dataValidation>
    <dataValidation type="whole" allowBlank="1" showInputMessage="1" showErrorMessage="1" sqref="P529">
      <formula1>0</formula1>
      <formula2>100</formula2>
    </dataValidation>
    <dataValidation type="decimal" operator="greaterThanOrEqual" allowBlank="1" showInputMessage="1" showErrorMessage="1" sqref="Q529">
      <formula1>0</formula1>
    </dataValidation>
    <dataValidation type="decimal" operator="greaterThanOrEqual" allowBlank="1" showInputMessage="1" showErrorMessage="1" sqref="R529">
      <formula1>0</formula1>
    </dataValidation>
    <dataValidation type="whole" allowBlank="1" showInputMessage="1" showErrorMessage="1" sqref="U529">
      <formula1>1</formula1>
      <formula2>5</formula2>
    </dataValidation>
    <dataValidation type="whole" allowBlank="1" showInputMessage="1" showErrorMessage="1" sqref="V529">
      <formula1>1</formula1>
      <formula2>5</formula2>
    </dataValidation>
    <dataValidation type="whole" allowBlank="1" showInputMessage="1" showErrorMessage="1" sqref="X529">
      <formula1>1</formula1>
      <formula2>5</formula2>
    </dataValidation>
    <dataValidation type="decimal" operator="greaterThanOrEqual" allowBlank="1" showInputMessage="1" showErrorMessage="1" sqref="Y529">
      <formula1>0</formula1>
    </dataValidation>
    <dataValidation type="whole" operator="greaterThanOrEqual" allowBlank="1" showInputMessage="1" showErrorMessage="1" sqref="Z529">
      <formula1>0</formula1>
    </dataValidation>
    <dataValidation type="whole" allowBlank="1" showInputMessage="1" showErrorMessage="1" sqref="AA529">
      <formula1>1</formula1>
      <formula2>5</formula2>
    </dataValidation>
    <dataValidation type="decimal" allowBlank="1" showInputMessage="1" showErrorMessage="1" sqref="AB529">
      <formula1>0</formula1>
      <formula2>1</formula2>
    </dataValidation>
    <dataValidation type="list" allowBlank="1" showInputMessage="1" showErrorMessage="1" sqref="O529">
      <formula1>liste_statuts</formula1>
    </dataValidation>
    <dataValidation type="list" allowBlank="1" showInputMessage="1" showErrorMessage="1" sqref="B530">
      <formula1>liste_programmes</formula1>
    </dataValidation>
    <dataValidation type="list" allowBlank="1" showInputMessage="1" showErrorMessage="1" sqref="D530">
      <formula1>liste_types</formula1>
    </dataValidation>
    <dataValidation type="list" allowBlank="1" showInputMessage="1" showErrorMessage="1" sqref="F530">
      <formula1>liste_categories</formula1>
    </dataValidation>
    <dataValidation type="list" allowBlank="1" showInputMessage="1" showErrorMessage="1" sqref="G530">
      <formula1>liste_responsables</formula1>
    </dataValidation>
    <dataValidation type="list" allowBlank="1" showInputMessage="1" showErrorMessage="1" sqref="H530">
      <formula1>liste_sites</formula1>
    </dataValidation>
    <dataValidation type="list" allowBlank="1" showInputMessage="1" showErrorMessage="1" sqref="I530">
      <formula1>liste_priorites</formula1>
    </dataValidation>
    <dataValidation type="date" operator="greaterThanOrEqual" allowBlank="1" showInputMessage="1" showErrorMessage="1" sqref="J530">
      <formula1>730120</formula1>
    </dataValidation>
    <dataValidation type="date" operator="greaterThanOrEqual" allowBlank="1" showInputMessage="1" showErrorMessage="1" sqref="K530">
      <formula1>730120</formula1>
    </dataValidation>
    <dataValidation type="date" operator="greaterThanOrEqual" allowBlank="1" showInputMessage="1" showErrorMessage="1" sqref="L530">
      <formula1>730120</formula1>
    </dataValidation>
    <dataValidation type="whole" allowBlank="1" showInputMessage="1" showErrorMessage="1" sqref="P530">
      <formula1>0</formula1>
      <formula2>100</formula2>
    </dataValidation>
    <dataValidation type="decimal" operator="greaterThanOrEqual" allowBlank="1" showInputMessage="1" showErrorMessage="1" sqref="Q530">
      <formula1>0</formula1>
    </dataValidation>
    <dataValidation type="decimal" operator="greaterThanOrEqual" allowBlank="1" showInputMessage="1" showErrorMessage="1" sqref="R530">
      <formula1>0</formula1>
    </dataValidation>
    <dataValidation type="whole" allowBlank="1" showInputMessage="1" showErrorMessage="1" sqref="U530">
      <formula1>1</formula1>
      <formula2>5</formula2>
    </dataValidation>
    <dataValidation type="whole" allowBlank="1" showInputMessage="1" showErrorMessage="1" sqref="V530">
      <formula1>1</formula1>
      <formula2>5</formula2>
    </dataValidation>
    <dataValidation type="whole" allowBlank="1" showInputMessage="1" showErrorMessage="1" sqref="X530">
      <formula1>1</formula1>
      <formula2>5</formula2>
    </dataValidation>
    <dataValidation type="decimal" operator="greaterThanOrEqual" allowBlank="1" showInputMessage="1" showErrorMessage="1" sqref="Y530">
      <formula1>0</formula1>
    </dataValidation>
    <dataValidation type="whole" operator="greaterThanOrEqual" allowBlank="1" showInputMessage="1" showErrorMessage="1" sqref="Z530">
      <formula1>0</formula1>
    </dataValidation>
    <dataValidation type="whole" allowBlank="1" showInputMessage="1" showErrorMessage="1" sqref="AA530">
      <formula1>1</formula1>
      <formula2>5</formula2>
    </dataValidation>
    <dataValidation type="decimal" allowBlank="1" showInputMessage="1" showErrorMessage="1" sqref="AB530">
      <formula1>0</formula1>
      <formula2>1</formula2>
    </dataValidation>
    <dataValidation type="list" allowBlank="1" showInputMessage="1" showErrorMessage="1" sqref="O530">
      <formula1>liste_statuts</formula1>
    </dataValidation>
    <dataValidation type="list" allowBlank="1" showInputMessage="1" showErrorMessage="1" sqref="B531">
      <formula1>liste_programmes</formula1>
    </dataValidation>
    <dataValidation type="list" allowBlank="1" showInputMessage="1" showErrorMessage="1" sqref="D531">
      <formula1>liste_types</formula1>
    </dataValidation>
    <dataValidation type="list" allowBlank="1" showInputMessage="1" showErrorMessage="1" sqref="F531">
      <formula1>liste_categories</formula1>
    </dataValidation>
    <dataValidation type="list" allowBlank="1" showInputMessage="1" showErrorMessage="1" sqref="G531">
      <formula1>liste_responsables</formula1>
    </dataValidation>
    <dataValidation type="list" allowBlank="1" showInputMessage="1" showErrorMessage="1" sqref="H531">
      <formula1>liste_sites</formula1>
    </dataValidation>
    <dataValidation type="list" allowBlank="1" showInputMessage="1" showErrorMessage="1" sqref="I531">
      <formula1>liste_priorites</formula1>
    </dataValidation>
    <dataValidation type="date" operator="greaterThanOrEqual" allowBlank="1" showInputMessage="1" showErrorMessage="1" sqref="J531">
      <formula1>730120</formula1>
    </dataValidation>
    <dataValidation type="date" operator="greaterThanOrEqual" allowBlank="1" showInputMessage="1" showErrorMessage="1" sqref="K531">
      <formula1>730120</formula1>
    </dataValidation>
    <dataValidation type="date" operator="greaterThanOrEqual" allowBlank="1" showInputMessage="1" showErrorMessage="1" sqref="L531">
      <formula1>730120</formula1>
    </dataValidation>
    <dataValidation type="whole" allowBlank="1" showInputMessage="1" showErrorMessage="1" sqref="P531">
      <formula1>0</formula1>
      <formula2>100</formula2>
    </dataValidation>
    <dataValidation type="decimal" operator="greaterThanOrEqual" allowBlank="1" showInputMessage="1" showErrorMessage="1" sqref="Q531">
      <formula1>0</formula1>
    </dataValidation>
    <dataValidation type="decimal" operator="greaterThanOrEqual" allowBlank="1" showInputMessage="1" showErrorMessage="1" sqref="R531">
      <formula1>0</formula1>
    </dataValidation>
    <dataValidation type="whole" allowBlank="1" showInputMessage="1" showErrorMessage="1" sqref="U531">
      <formula1>1</formula1>
      <formula2>5</formula2>
    </dataValidation>
    <dataValidation type="whole" allowBlank="1" showInputMessage="1" showErrorMessage="1" sqref="V531">
      <formula1>1</formula1>
      <formula2>5</formula2>
    </dataValidation>
    <dataValidation type="whole" allowBlank="1" showInputMessage="1" showErrorMessage="1" sqref="X531">
      <formula1>1</formula1>
      <formula2>5</formula2>
    </dataValidation>
    <dataValidation type="decimal" operator="greaterThanOrEqual" allowBlank="1" showInputMessage="1" showErrorMessage="1" sqref="Y531">
      <formula1>0</formula1>
    </dataValidation>
    <dataValidation type="whole" operator="greaterThanOrEqual" allowBlank="1" showInputMessage="1" showErrorMessage="1" sqref="Z531">
      <formula1>0</formula1>
    </dataValidation>
    <dataValidation type="whole" allowBlank="1" showInputMessage="1" showErrorMessage="1" sqref="AA531">
      <formula1>1</formula1>
      <formula2>5</formula2>
    </dataValidation>
    <dataValidation type="decimal" allowBlank="1" showInputMessage="1" showErrorMessage="1" sqref="AB531">
      <formula1>0</formula1>
      <formula2>1</formula2>
    </dataValidation>
    <dataValidation type="list" allowBlank="1" showInputMessage="1" showErrorMessage="1" sqref="O531">
      <formula1>liste_statuts</formula1>
    </dataValidation>
    <dataValidation type="list" allowBlank="1" showInputMessage="1" showErrorMessage="1" sqref="B532">
      <formula1>liste_programmes</formula1>
    </dataValidation>
    <dataValidation type="list" allowBlank="1" showInputMessage="1" showErrorMessage="1" sqref="D532">
      <formula1>liste_types</formula1>
    </dataValidation>
    <dataValidation type="list" allowBlank="1" showInputMessage="1" showErrorMessage="1" sqref="F532">
      <formula1>liste_categories</formula1>
    </dataValidation>
    <dataValidation type="list" allowBlank="1" showInputMessage="1" showErrorMessage="1" sqref="G532">
      <formula1>liste_responsables</formula1>
    </dataValidation>
    <dataValidation type="list" allowBlank="1" showInputMessage="1" showErrorMessage="1" sqref="H532">
      <formula1>liste_sites</formula1>
    </dataValidation>
    <dataValidation type="list" allowBlank="1" showInputMessage="1" showErrorMessage="1" sqref="I532">
      <formula1>liste_priorites</formula1>
    </dataValidation>
    <dataValidation type="date" operator="greaterThanOrEqual" allowBlank="1" showInputMessage="1" showErrorMessage="1" sqref="J532">
      <formula1>730120</formula1>
    </dataValidation>
    <dataValidation type="date" operator="greaterThanOrEqual" allowBlank="1" showInputMessage="1" showErrorMessage="1" sqref="K532">
      <formula1>730120</formula1>
    </dataValidation>
    <dataValidation type="date" operator="greaterThanOrEqual" allowBlank="1" showInputMessage="1" showErrorMessage="1" sqref="L532">
      <formula1>730120</formula1>
    </dataValidation>
    <dataValidation type="whole" allowBlank="1" showInputMessage="1" showErrorMessage="1" sqref="P532">
      <formula1>0</formula1>
      <formula2>100</formula2>
    </dataValidation>
    <dataValidation type="decimal" operator="greaterThanOrEqual" allowBlank="1" showInputMessage="1" showErrorMessage="1" sqref="Q532">
      <formula1>0</formula1>
    </dataValidation>
    <dataValidation type="decimal" operator="greaterThanOrEqual" allowBlank="1" showInputMessage="1" showErrorMessage="1" sqref="R532">
      <formula1>0</formula1>
    </dataValidation>
    <dataValidation type="whole" allowBlank="1" showInputMessage="1" showErrorMessage="1" sqref="U532">
      <formula1>1</formula1>
      <formula2>5</formula2>
    </dataValidation>
    <dataValidation type="whole" allowBlank="1" showInputMessage="1" showErrorMessage="1" sqref="V532">
      <formula1>1</formula1>
      <formula2>5</formula2>
    </dataValidation>
    <dataValidation type="whole" allowBlank="1" showInputMessage="1" showErrorMessage="1" sqref="X532">
      <formula1>1</formula1>
      <formula2>5</formula2>
    </dataValidation>
    <dataValidation type="decimal" operator="greaterThanOrEqual" allowBlank="1" showInputMessage="1" showErrorMessage="1" sqref="Y532">
      <formula1>0</formula1>
    </dataValidation>
    <dataValidation type="whole" operator="greaterThanOrEqual" allowBlank="1" showInputMessage="1" showErrorMessage="1" sqref="Z532">
      <formula1>0</formula1>
    </dataValidation>
    <dataValidation type="whole" allowBlank="1" showInputMessage="1" showErrorMessage="1" sqref="AA532">
      <formula1>1</formula1>
      <formula2>5</formula2>
    </dataValidation>
    <dataValidation type="decimal" allowBlank="1" showInputMessage="1" showErrorMessage="1" sqref="AB532">
      <formula1>0</formula1>
      <formula2>1</formula2>
    </dataValidation>
    <dataValidation type="list" allowBlank="1" showInputMessage="1" showErrorMessage="1" sqref="O532">
      <formula1>liste_statuts</formula1>
    </dataValidation>
    <dataValidation type="list" allowBlank="1" showInputMessage="1" showErrorMessage="1" sqref="B533">
      <formula1>liste_programmes</formula1>
    </dataValidation>
    <dataValidation type="list" allowBlank="1" showInputMessage="1" showErrorMessage="1" sqref="D533">
      <formula1>liste_types</formula1>
    </dataValidation>
    <dataValidation type="list" allowBlank="1" showInputMessage="1" showErrorMessage="1" sqref="F533">
      <formula1>liste_categories</formula1>
    </dataValidation>
    <dataValidation type="list" allowBlank="1" showInputMessage="1" showErrorMessage="1" sqref="G533">
      <formula1>liste_responsables</formula1>
    </dataValidation>
    <dataValidation type="list" allowBlank="1" showInputMessage="1" showErrorMessage="1" sqref="H533">
      <formula1>liste_sites</formula1>
    </dataValidation>
    <dataValidation type="list" allowBlank="1" showInputMessage="1" showErrorMessage="1" sqref="I533">
      <formula1>liste_priorites</formula1>
    </dataValidation>
    <dataValidation type="date" operator="greaterThanOrEqual" allowBlank="1" showInputMessage="1" showErrorMessage="1" sqref="J533">
      <formula1>730120</formula1>
    </dataValidation>
    <dataValidation type="date" operator="greaterThanOrEqual" allowBlank="1" showInputMessage="1" showErrorMessage="1" sqref="K533">
      <formula1>730120</formula1>
    </dataValidation>
    <dataValidation type="date" operator="greaterThanOrEqual" allowBlank="1" showInputMessage="1" showErrorMessage="1" sqref="L533">
      <formula1>730120</formula1>
    </dataValidation>
    <dataValidation type="whole" allowBlank="1" showInputMessage="1" showErrorMessage="1" sqref="P533">
      <formula1>0</formula1>
      <formula2>100</formula2>
    </dataValidation>
    <dataValidation type="decimal" operator="greaterThanOrEqual" allowBlank="1" showInputMessage="1" showErrorMessage="1" sqref="Q533">
      <formula1>0</formula1>
    </dataValidation>
    <dataValidation type="decimal" operator="greaterThanOrEqual" allowBlank="1" showInputMessage="1" showErrorMessage="1" sqref="R533">
      <formula1>0</formula1>
    </dataValidation>
    <dataValidation type="whole" allowBlank="1" showInputMessage="1" showErrorMessage="1" sqref="U533">
      <formula1>1</formula1>
      <formula2>5</formula2>
    </dataValidation>
    <dataValidation type="whole" allowBlank="1" showInputMessage="1" showErrorMessage="1" sqref="V533">
      <formula1>1</formula1>
      <formula2>5</formula2>
    </dataValidation>
    <dataValidation type="whole" allowBlank="1" showInputMessage="1" showErrorMessage="1" sqref="X533">
      <formula1>1</formula1>
      <formula2>5</formula2>
    </dataValidation>
    <dataValidation type="decimal" operator="greaterThanOrEqual" allowBlank="1" showInputMessage="1" showErrorMessage="1" sqref="Y533">
      <formula1>0</formula1>
    </dataValidation>
    <dataValidation type="whole" operator="greaterThanOrEqual" allowBlank="1" showInputMessage="1" showErrorMessage="1" sqref="Z533">
      <formula1>0</formula1>
    </dataValidation>
    <dataValidation type="whole" allowBlank="1" showInputMessage="1" showErrorMessage="1" sqref="AA533">
      <formula1>1</formula1>
      <formula2>5</formula2>
    </dataValidation>
    <dataValidation type="decimal" allowBlank="1" showInputMessage="1" showErrorMessage="1" sqref="AB533">
      <formula1>0</formula1>
      <formula2>1</formula2>
    </dataValidation>
    <dataValidation type="list" allowBlank="1" showInputMessage="1" showErrorMessage="1" sqref="O533">
      <formula1>liste_statuts</formula1>
    </dataValidation>
    <dataValidation type="list" allowBlank="1" showInputMessage="1" showErrorMessage="1" sqref="B534">
      <formula1>liste_programmes</formula1>
    </dataValidation>
    <dataValidation type="list" allowBlank="1" showInputMessage="1" showErrorMessage="1" sqref="D534">
      <formula1>liste_types</formula1>
    </dataValidation>
    <dataValidation type="list" allowBlank="1" showInputMessage="1" showErrorMessage="1" sqref="F534">
      <formula1>liste_categories</formula1>
    </dataValidation>
    <dataValidation type="list" allowBlank="1" showInputMessage="1" showErrorMessage="1" sqref="G534">
      <formula1>liste_responsables</formula1>
    </dataValidation>
    <dataValidation type="list" allowBlank="1" showInputMessage="1" showErrorMessage="1" sqref="H534">
      <formula1>liste_sites</formula1>
    </dataValidation>
    <dataValidation type="list" allowBlank="1" showInputMessage="1" showErrorMessage="1" sqref="I534">
      <formula1>liste_priorites</formula1>
    </dataValidation>
    <dataValidation type="date" operator="greaterThanOrEqual" allowBlank="1" showInputMessage="1" showErrorMessage="1" sqref="J534">
      <formula1>730120</formula1>
    </dataValidation>
    <dataValidation type="date" operator="greaterThanOrEqual" allowBlank="1" showInputMessage="1" showErrorMessage="1" sqref="K534">
      <formula1>730120</formula1>
    </dataValidation>
    <dataValidation type="date" operator="greaterThanOrEqual" allowBlank="1" showInputMessage="1" showErrorMessage="1" sqref="L534">
      <formula1>730120</formula1>
    </dataValidation>
    <dataValidation type="whole" allowBlank="1" showInputMessage="1" showErrorMessage="1" sqref="P534">
      <formula1>0</formula1>
      <formula2>100</formula2>
    </dataValidation>
    <dataValidation type="decimal" operator="greaterThanOrEqual" allowBlank="1" showInputMessage="1" showErrorMessage="1" sqref="Q534">
      <formula1>0</formula1>
    </dataValidation>
    <dataValidation type="decimal" operator="greaterThanOrEqual" allowBlank="1" showInputMessage="1" showErrorMessage="1" sqref="R534">
      <formula1>0</formula1>
    </dataValidation>
    <dataValidation type="whole" allowBlank="1" showInputMessage="1" showErrorMessage="1" sqref="U534">
      <formula1>1</formula1>
      <formula2>5</formula2>
    </dataValidation>
    <dataValidation type="whole" allowBlank="1" showInputMessage="1" showErrorMessage="1" sqref="V534">
      <formula1>1</formula1>
      <formula2>5</formula2>
    </dataValidation>
    <dataValidation type="whole" allowBlank="1" showInputMessage="1" showErrorMessage="1" sqref="X534">
      <formula1>1</formula1>
      <formula2>5</formula2>
    </dataValidation>
    <dataValidation type="decimal" operator="greaterThanOrEqual" allowBlank="1" showInputMessage="1" showErrorMessage="1" sqref="Y534">
      <formula1>0</formula1>
    </dataValidation>
    <dataValidation type="whole" operator="greaterThanOrEqual" allowBlank="1" showInputMessage="1" showErrorMessage="1" sqref="Z534">
      <formula1>0</formula1>
    </dataValidation>
    <dataValidation type="whole" allowBlank="1" showInputMessage="1" showErrorMessage="1" sqref="AA534">
      <formula1>1</formula1>
      <formula2>5</formula2>
    </dataValidation>
    <dataValidation type="decimal" allowBlank="1" showInputMessage="1" showErrorMessage="1" sqref="AB534">
      <formula1>0</formula1>
      <formula2>1</formula2>
    </dataValidation>
    <dataValidation type="list" allowBlank="1" showInputMessage="1" showErrorMessage="1" sqref="O534">
      <formula1>liste_statuts</formula1>
    </dataValidation>
    <dataValidation type="list" allowBlank="1" showInputMessage="1" showErrorMessage="1" sqref="B535">
      <formula1>liste_programmes</formula1>
    </dataValidation>
    <dataValidation type="list" allowBlank="1" showInputMessage="1" showErrorMessage="1" sqref="D535">
      <formula1>liste_types</formula1>
    </dataValidation>
    <dataValidation type="list" allowBlank="1" showInputMessage="1" showErrorMessage="1" sqref="F535">
      <formula1>liste_categories</formula1>
    </dataValidation>
    <dataValidation type="list" allowBlank="1" showInputMessage="1" showErrorMessage="1" sqref="G535">
      <formula1>liste_responsables</formula1>
    </dataValidation>
    <dataValidation type="list" allowBlank="1" showInputMessage="1" showErrorMessage="1" sqref="H535">
      <formula1>liste_sites</formula1>
    </dataValidation>
    <dataValidation type="list" allowBlank="1" showInputMessage="1" showErrorMessage="1" sqref="I535">
      <formula1>liste_priorites</formula1>
    </dataValidation>
    <dataValidation type="date" operator="greaterThanOrEqual" allowBlank="1" showInputMessage="1" showErrorMessage="1" sqref="J535">
      <formula1>730120</formula1>
    </dataValidation>
    <dataValidation type="date" operator="greaterThanOrEqual" allowBlank="1" showInputMessage="1" showErrorMessage="1" sqref="K535">
      <formula1>730120</formula1>
    </dataValidation>
    <dataValidation type="date" operator="greaterThanOrEqual" allowBlank="1" showInputMessage="1" showErrorMessage="1" sqref="L535">
      <formula1>730120</formula1>
    </dataValidation>
    <dataValidation type="whole" allowBlank="1" showInputMessage="1" showErrorMessage="1" sqref="P535">
      <formula1>0</formula1>
      <formula2>100</formula2>
    </dataValidation>
    <dataValidation type="decimal" operator="greaterThanOrEqual" allowBlank="1" showInputMessage="1" showErrorMessage="1" sqref="Q535">
      <formula1>0</formula1>
    </dataValidation>
    <dataValidation type="decimal" operator="greaterThanOrEqual" allowBlank="1" showInputMessage="1" showErrorMessage="1" sqref="R535">
      <formula1>0</formula1>
    </dataValidation>
    <dataValidation type="whole" allowBlank="1" showInputMessage="1" showErrorMessage="1" sqref="U535">
      <formula1>1</formula1>
      <formula2>5</formula2>
    </dataValidation>
    <dataValidation type="whole" allowBlank="1" showInputMessage="1" showErrorMessage="1" sqref="V535">
      <formula1>1</formula1>
      <formula2>5</formula2>
    </dataValidation>
    <dataValidation type="whole" allowBlank="1" showInputMessage="1" showErrorMessage="1" sqref="X535">
      <formula1>1</formula1>
      <formula2>5</formula2>
    </dataValidation>
    <dataValidation type="decimal" operator="greaterThanOrEqual" allowBlank="1" showInputMessage="1" showErrorMessage="1" sqref="Y535">
      <formula1>0</formula1>
    </dataValidation>
    <dataValidation type="whole" operator="greaterThanOrEqual" allowBlank="1" showInputMessage="1" showErrorMessage="1" sqref="Z535">
      <formula1>0</formula1>
    </dataValidation>
    <dataValidation type="whole" allowBlank="1" showInputMessage="1" showErrorMessage="1" sqref="AA535">
      <formula1>1</formula1>
      <formula2>5</formula2>
    </dataValidation>
    <dataValidation type="decimal" allowBlank="1" showInputMessage="1" showErrorMessage="1" sqref="AB535">
      <formula1>0</formula1>
      <formula2>1</formula2>
    </dataValidation>
    <dataValidation type="list" allowBlank="1" showInputMessage="1" showErrorMessage="1" sqref="O535">
      <formula1>liste_statuts</formula1>
    </dataValidation>
    <dataValidation type="list" allowBlank="1" showInputMessage="1" showErrorMessage="1" sqref="B536">
      <formula1>liste_programmes</formula1>
    </dataValidation>
    <dataValidation type="list" allowBlank="1" showInputMessage="1" showErrorMessage="1" sqref="D536">
      <formula1>liste_types</formula1>
    </dataValidation>
    <dataValidation type="list" allowBlank="1" showInputMessage="1" showErrorMessage="1" sqref="F536">
      <formula1>liste_categories</formula1>
    </dataValidation>
    <dataValidation type="list" allowBlank="1" showInputMessage="1" showErrorMessage="1" sqref="G536">
      <formula1>liste_responsables</formula1>
    </dataValidation>
    <dataValidation type="list" allowBlank="1" showInputMessage="1" showErrorMessage="1" sqref="H536">
      <formula1>liste_sites</formula1>
    </dataValidation>
    <dataValidation type="list" allowBlank="1" showInputMessage="1" showErrorMessage="1" sqref="I536">
      <formula1>liste_priorites</formula1>
    </dataValidation>
    <dataValidation type="date" operator="greaterThanOrEqual" allowBlank="1" showInputMessage="1" showErrorMessage="1" sqref="J536">
      <formula1>730120</formula1>
    </dataValidation>
    <dataValidation type="date" operator="greaterThanOrEqual" allowBlank="1" showInputMessage="1" showErrorMessage="1" sqref="K536">
      <formula1>730120</formula1>
    </dataValidation>
    <dataValidation type="date" operator="greaterThanOrEqual" allowBlank="1" showInputMessage="1" showErrorMessage="1" sqref="L536">
      <formula1>730120</formula1>
    </dataValidation>
    <dataValidation type="whole" allowBlank="1" showInputMessage="1" showErrorMessage="1" sqref="P536">
      <formula1>0</formula1>
      <formula2>100</formula2>
    </dataValidation>
    <dataValidation type="decimal" operator="greaterThanOrEqual" allowBlank="1" showInputMessage="1" showErrorMessage="1" sqref="Q536">
      <formula1>0</formula1>
    </dataValidation>
    <dataValidation type="decimal" operator="greaterThanOrEqual" allowBlank="1" showInputMessage="1" showErrorMessage="1" sqref="R536">
      <formula1>0</formula1>
    </dataValidation>
    <dataValidation type="whole" allowBlank="1" showInputMessage="1" showErrorMessage="1" sqref="U536">
      <formula1>1</formula1>
      <formula2>5</formula2>
    </dataValidation>
    <dataValidation type="whole" allowBlank="1" showInputMessage="1" showErrorMessage="1" sqref="V536">
      <formula1>1</formula1>
      <formula2>5</formula2>
    </dataValidation>
    <dataValidation type="whole" allowBlank="1" showInputMessage="1" showErrorMessage="1" sqref="X536">
      <formula1>1</formula1>
      <formula2>5</formula2>
    </dataValidation>
    <dataValidation type="decimal" operator="greaterThanOrEqual" allowBlank="1" showInputMessage="1" showErrorMessage="1" sqref="Y536">
      <formula1>0</formula1>
    </dataValidation>
    <dataValidation type="whole" operator="greaterThanOrEqual" allowBlank="1" showInputMessage="1" showErrorMessage="1" sqref="Z536">
      <formula1>0</formula1>
    </dataValidation>
    <dataValidation type="whole" allowBlank="1" showInputMessage="1" showErrorMessage="1" sqref="AA536">
      <formula1>1</formula1>
      <formula2>5</formula2>
    </dataValidation>
    <dataValidation type="decimal" allowBlank="1" showInputMessage="1" showErrorMessage="1" sqref="AB536">
      <formula1>0</formula1>
      <formula2>1</formula2>
    </dataValidation>
    <dataValidation type="list" allowBlank="1" showInputMessage="1" showErrorMessage="1" sqref="O536">
      <formula1>liste_statuts</formula1>
    </dataValidation>
    <dataValidation type="list" allowBlank="1" showInputMessage="1" showErrorMessage="1" sqref="B537">
      <formula1>liste_programmes</formula1>
    </dataValidation>
    <dataValidation type="list" allowBlank="1" showInputMessage="1" showErrorMessage="1" sqref="D537">
      <formula1>liste_types</formula1>
    </dataValidation>
    <dataValidation type="list" allowBlank="1" showInputMessage="1" showErrorMessage="1" sqref="F537">
      <formula1>liste_categories</formula1>
    </dataValidation>
    <dataValidation type="list" allowBlank="1" showInputMessage="1" showErrorMessage="1" sqref="G537">
      <formula1>liste_responsables</formula1>
    </dataValidation>
    <dataValidation type="list" allowBlank="1" showInputMessage="1" showErrorMessage="1" sqref="H537">
      <formula1>liste_sites</formula1>
    </dataValidation>
    <dataValidation type="list" allowBlank="1" showInputMessage="1" showErrorMessage="1" sqref="I537">
      <formula1>liste_priorites</formula1>
    </dataValidation>
    <dataValidation type="date" operator="greaterThanOrEqual" allowBlank="1" showInputMessage="1" showErrorMessage="1" sqref="J537">
      <formula1>730120</formula1>
    </dataValidation>
    <dataValidation type="date" operator="greaterThanOrEqual" allowBlank="1" showInputMessage="1" showErrorMessage="1" sqref="K537">
      <formula1>730120</formula1>
    </dataValidation>
    <dataValidation type="date" operator="greaterThanOrEqual" allowBlank="1" showInputMessage="1" showErrorMessage="1" sqref="L537">
      <formula1>730120</formula1>
    </dataValidation>
    <dataValidation type="whole" allowBlank="1" showInputMessage="1" showErrorMessage="1" sqref="P537">
      <formula1>0</formula1>
      <formula2>100</formula2>
    </dataValidation>
    <dataValidation type="decimal" operator="greaterThanOrEqual" allowBlank="1" showInputMessage="1" showErrorMessage="1" sqref="Q537">
      <formula1>0</formula1>
    </dataValidation>
    <dataValidation type="decimal" operator="greaterThanOrEqual" allowBlank="1" showInputMessage="1" showErrorMessage="1" sqref="R537">
      <formula1>0</formula1>
    </dataValidation>
    <dataValidation type="whole" allowBlank="1" showInputMessage="1" showErrorMessage="1" sqref="U537">
      <formula1>1</formula1>
      <formula2>5</formula2>
    </dataValidation>
    <dataValidation type="whole" allowBlank="1" showInputMessage="1" showErrorMessage="1" sqref="V537">
      <formula1>1</formula1>
      <formula2>5</formula2>
    </dataValidation>
    <dataValidation type="whole" allowBlank="1" showInputMessage="1" showErrorMessage="1" sqref="X537">
      <formula1>1</formula1>
      <formula2>5</formula2>
    </dataValidation>
    <dataValidation type="decimal" operator="greaterThanOrEqual" allowBlank="1" showInputMessage="1" showErrorMessage="1" sqref="Y537">
      <formula1>0</formula1>
    </dataValidation>
    <dataValidation type="whole" operator="greaterThanOrEqual" allowBlank="1" showInputMessage="1" showErrorMessage="1" sqref="Z537">
      <formula1>0</formula1>
    </dataValidation>
    <dataValidation type="whole" allowBlank="1" showInputMessage="1" showErrorMessage="1" sqref="AA537">
      <formula1>1</formula1>
      <formula2>5</formula2>
    </dataValidation>
    <dataValidation type="decimal" allowBlank="1" showInputMessage="1" showErrorMessage="1" sqref="AB537">
      <formula1>0</formula1>
      <formula2>1</formula2>
    </dataValidation>
    <dataValidation type="list" allowBlank="1" showInputMessage="1" showErrorMessage="1" sqref="O537">
      <formula1>liste_statuts</formula1>
    </dataValidation>
    <dataValidation type="list" allowBlank="1" showInputMessage="1" showErrorMessage="1" sqref="B538">
      <formula1>liste_programmes</formula1>
    </dataValidation>
    <dataValidation type="list" allowBlank="1" showInputMessage="1" showErrorMessage="1" sqref="D538">
      <formula1>liste_types</formula1>
    </dataValidation>
    <dataValidation type="list" allowBlank="1" showInputMessage="1" showErrorMessage="1" sqref="F538">
      <formula1>liste_categories</formula1>
    </dataValidation>
    <dataValidation type="list" allowBlank="1" showInputMessage="1" showErrorMessage="1" sqref="G538">
      <formula1>liste_responsables</formula1>
    </dataValidation>
    <dataValidation type="list" allowBlank="1" showInputMessage="1" showErrorMessage="1" sqref="H538">
      <formula1>liste_sites</formula1>
    </dataValidation>
    <dataValidation type="list" allowBlank="1" showInputMessage="1" showErrorMessage="1" sqref="I538">
      <formula1>liste_priorites</formula1>
    </dataValidation>
    <dataValidation type="date" operator="greaterThanOrEqual" allowBlank="1" showInputMessage="1" showErrorMessage="1" sqref="J538">
      <formula1>730120</formula1>
    </dataValidation>
    <dataValidation type="date" operator="greaterThanOrEqual" allowBlank="1" showInputMessage="1" showErrorMessage="1" sqref="K538">
      <formula1>730120</formula1>
    </dataValidation>
    <dataValidation type="date" operator="greaterThanOrEqual" allowBlank="1" showInputMessage="1" showErrorMessage="1" sqref="L538">
      <formula1>730120</formula1>
    </dataValidation>
    <dataValidation type="whole" allowBlank="1" showInputMessage="1" showErrorMessage="1" sqref="P538">
      <formula1>0</formula1>
      <formula2>100</formula2>
    </dataValidation>
    <dataValidation type="decimal" operator="greaterThanOrEqual" allowBlank="1" showInputMessage="1" showErrorMessage="1" sqref="Q538">
      <formula1>0</formula1>
    </dataValidation>
    <dataValidation type="decimal" operator="greaterThanOrEqual" allowBlank="1" showInputMessage="1" showErrorMessage="1" sqref="R538">
      <formula1>0</formula1>
    </dataValidation>
    <dataValidation type="whole" allowBlank="1" showInputMessage="1" showErrorMessage="1" sqref="U538">
      <formula1>1</formula1>
      <formula2>5</formula2>
    </dataValidation>
    <dataValidation type="whole" allowBlank="1" showInputMessage="1" showErrorMessage="1" sqref="V538">
      <formula1>1</formula1>
      <formula2>5</formula2>
    </dataValidation>
    <dataValidation type="whole" allowBlank="1" showInputMessage="1" showErrorMessage="1" sqref="X538">
      <formula1>1</formula1>
      <formula2>5</formula2>
    </dataValidation>
    <dataValidation type="decimal" operator="greaterThanOrEqual" allowBlank="1" showInputMessage="1" showErrorMessage="1" sqref="Y538">
      <formula1>0</formula1>
    </dataValidation>
    <dataValidation type="whole" operator="greaterThanOrEqual" allowBlank="1" showInputMessage="1" showErrorMessage="1" sqref="Z538">
      <formula1>0</formula1>
    </dataValidation>
    <dataValidation type="whole" allowBlank="1" showInputMessage="1" showErrorMessage="1" sqref="AA538">
      <formula1>1</formula1>
      <formula2>5</formula2>
    </dataValidation>
    <dataValidation type="decimal" allowBlank="1" showInputMessage="1" showErrorMessage="1" sqref="AB538">
      <formula1>0</formula1>
      <formula2>1</formula2>
    </dataValidation>
    <dataValidation type="list" allowBlank="1" showInputMessage="1" showErrorMessage="1" sqref="O538">
      <formula1>liste_statuts</formula1>
    </dataValidation>
    <dataValidation type="list" allowBlank="1" showInputMessage="1" showErrorMessage="1" sqref="B539">
      <formula1>liste_programmes</formula1>
    </dataValidation>
    <dataValidation type="list" allowBlank="1" showInputMessage="1" showErrorMessage="1" sqref="D539">
      <formula1>liste_types</formula1>
    </dataValidation>
    <dataValidation type="list" allowBlank="1" showInputMessage="1" showErrorMessage="1" sqref="F539">
      <formula1>liste_categories</formula1>
    </dataValidation>
    <dataValidation type="list" allowBlank="1" showInputMessage="1" showErrorMessage="1" sqref="G539">
      <formula1>liste_responsables</formula1>
    </dataValidation>
    <dataValidation type="list" allowBlank="1" showInputMessage="1" showErrorMessage="1" sqref="H539">
      <formula1>liste_sites</formula1>
    </dataValidation>
    <dataValidation type="list" allowBlank="1" showInputMessage="1" showErrorMessage="1" sqref="I539">
      <formula1>liste_priorites</formula1>
    </dataValidation>
    <dataValidation type="date" operator="greaterThanOrEqual" allowBlank="1" showInputMessage="1" showErrorMessage="1" sqref="J539">
      <formula1>730120</formula1>
    </dataValidation>
    <dataValidation type="date" operator="greaterThanOrEqual" allowBlank="1" showInputMessage="1" showErrorMessage="1" sqref="K539">
      <formula1>730120</formula1>
    </dataValidation>
    <dataValidation type="date" operator="greaterThanOrEqual" allowBlank="1" showInputMessage="1" showErrorMessage="1" sqref="L539">
      <formula1>730120</formula1>
    </dataValidation>
    <dataValidation type="whole" allowBlank="1" showInputMessage="1" showErrorMessage="1" sqref="P539">
      <formula1>0</formula1>
      <formula2>100</formula2>
    </dataValidation>
    <dataValidation type="decimal" operator="greaterThanOrEqual" allowBlank="1" showInputMessage="1" showErrorMessage="1" sqref="Q539">
      <formula1>0</formula1>
    </dataValidation>
    <dataValidation type="decimal" operator="greaterThanOrEqual" allowBlank="1" showInputMessage="1" showErrorMessage="1" sqref="R539">
      <formula1>0</formula1>
    </dataValidation>
    <dataValidation type="whole" allowBlank="1" showInputMessage="1" showErrorMessage="1" sqref="U539">
      <formula1>1</formula1>
      <formula2>5</formula2>
    </dataValidation>
    <dataValidation type="whole" allowBlank="1" showInputMessage="1" showErrorMessage="1" sqref="V539">
      <formula1>1</formula1>
      <formula2>5</formula2>
    </dataValidation>
    <dataValidation type="whole" allowBlank="1" showInputMessage="1" showErrorMessage="1" sqref="X539">
      <formula1>1</formula1>
      <formula2>5</formula2>
    </dataValidation>
    <dataValidation type="decimal" operator="greaterThanOrEqual" allowBlank="1" showInputMessage="1" showErrorMessage="1" sqref="Y539">
      <formula1>0</formula1>
    </dataValidation>
    <dataValidation type="whole" operator="greaterThanOrEqual" allowBlank="1" showInputMessage="1" showErrorMessage="1" sqref="Z539">
      <formula1>0</formula1>
    </dataValidation>
    <dataValidation type="whole" allowBlank="1" showInputMessage="1" showErrorMessage="1" sqref="AA539">
      <formula1>1</formula1>
      <formula2>5</formula2>
    </dataValidation>
    <dataValidation type="decimal" allowBlank="1" showInputMessage="1" showErrorMessage="1" sqref="AB539">
      <formula1>0</formula1>
      <formula2>1</formula2>
    </dataValidation>
    <dataValidation type="list" allowBlank="1" showInputMessage="1" showErrorMessage="1" sqref="O539">
      <formula1>liste_statuts</formula1>
    </dataValidation>
    <dataValidation type="list" allowBlank="1" showInputMessage="1" showErrorMessage="1" sqref="B540">
      <formula1>liste_programmes</formula1>
    </dataValidation>
    <dataValidation type="list" allowBlank="1" showInputMessage="1" showErrorMessage="1" sqref="D540">
      <formula1>liste_types</formula1>
    </dataValidation>
    <dataValidation type="list" allowBlank="1" showInputMessage="1" showErrorMessage="1" sqref="F540">
      <formula1>liste_categories</formula1>
    </dataValidation>
    <dataValidation type="list" allowBlank="1" showInputMessage="1" showErrorMessage="1" sqref="G540">
      <formula1>liste_responsables</formula1>
    </dataValidation>
    <dataValidation type="list" allowBlank="1" showInputMessage="1" showErrorMessage="1" sqref="H540">
      <formula1>liste_sites</formula1>
    </dataValidation>
    <dataValidation type="list" allowBlank="1" showInputMessage="1" showErrorMessage="1" sqref="I540">
      <formula1>liste_priorites</formula1>
    </dataValidation>
    <dataValidation type="date" operator="greaterThanOrEqual" allowBlank="1" showInputMessage="1" showErrorMessage="1" sqref="J540">
      <formula1>730120</formula1>
    </dataValidation>
    <dataValidation type="date" operator="greaterThanOrEqual" allowBlank="1" showInputMessage="1" showErrorMessage="1" sqref="K540">
      <formula1>730120</formula1>
    </dataValidation>
    <dataValidation type="date" operator="greaterThanOrEqual" allowBlank="1" showInputMessage="1" showErrorMessage="1" sqref="L540">
      <formula1>730120</formula1>
    </dataValidation>
    <dataValidation type="whole" allowBlank="1" showInputMessage="1" showErrorMessage="1" sqref="P540">
      <formula1>0</formula1>
      <formula2>100</formula2>
    </dataValidation>
    <dataValidation type="decimal" operator="greaterThanOrEqual" allowBlank="1" showInputMessage="1" showErrorMessage="1" sqref="Q540">
      <formula1>0</formula1>
    </dataValidation>
    <dataValidation type="decimal" operator="greaterThanOrEqual" allowBlank="1" showInputMessage="1" showErrorMessage="1" sqref="R540">
      <formula1>0</formula1>
    </dataValidation>
    <dataValidation type="whole" allowBlank="1" showInputMessage="1" showErrorMessage="1" sqref="U540">
      <formula1>1</formula1>
      <formula2>5</formula2>
    </dataValidation>
    <dataValidation type="whole" allowBlank="1" showInputMessage="1" showErrorMessage="1" sqref="V540">
      <formula1>1</formula1>
      <formula2>5</formula2>
    </dataValidation>
    <dataValidation type="whole" allowBlank="1" showInputMessage="1" showErrorMessage="1" sqref="X540">
      <formula1>1</formula1>
      <formula2>5</formula2>
    </dataValidation>
    <dataValidation type="decimal" operator="greaterThanOrEqual" allowBlank="1" showInputMessage="1" showErrorMessage="1" sqref="Y540">
      <formula1>0</formula1>
    </dataValidation>
    <dataValidation type="whole" operator="greaterThanOrEqual" allowBlank="1" showInputMessage="1" showErrorMessage="1" sqref="Z540">
      <formula1>0</formula1>
    </dataValidation>
    <dataValidation type="whole" allowBlank="1" showInputMessage="1" showErrorMessage="1" sqref="AA540">
      <formula1>1</formula1>
      <formula2>5</formula2>
    </dataValidation>
    <dataValidation type="decimal" allowBlank="1" showInputMessage="1" showErrorMessage="1" sqref="AB540">
      <formula1>0</formula1>
      <formula2>1</formula2>
    </dataValidation>
    <dataValidation type="list" allowBlank="1" showInputMessage="1" showErrorMessage="1" sqref="O540">
      <formula1>liste_statuts</formula1>
    </dataValidation>
    <dataValidation type="list" allowBlank="1" showInputMessage="1" showErrorMessage="1" sqref="B541">
      <formula1>liste_programmes</formula1>
    </dataValidation>
    <dataValidation type="list" allowBlank="1" showInputMessage="1" showErrorMessage="1" sqref="D541">
      <formula1>liste_types</formula1>
    </dataValidation>
    <dataValidation type="list" allowBlank="1" showInputMessage="1" showErrorMessage="1" sqref="F541">
      <formula1>liste_categories</formula1>
    </dataValidation>
    <dataValidation type="list" allowBlank="1" showInputMessage="1" showErrorMessage="1" sqref="G541">
      <formula1>liste_responsables</formula1>
    </dataValidation>
    <dataValidation type="list" allowBlank="1" showInputMessage="1" showErrorMessage="1" sqref="H541">
      <formula1>liste_sites</formula1>
    </dataValidation>
    <dataValidation type="list" allowBlank="1" showInputMessage="1" showErrorMessage="1" sqref="I541">
      <formula1>liste_priorites</formula1>
    </dataValidation>
    <dataValidation type="date" operator="greaterThanOrEqual" allowBlank="1" showInputMessage="1" showErrorMessage="1" sqref="J541">
      <formula1>730120</formula1>
    </dataValidation>
    <dataValidation type="date" operator="greaterThanOrEqual" allowBlank="1" showInputMessage="1" showErrorMessage="1" sqref="K541">
      <formula1>730120</formula1>
    </dataValidation>
    <dataValidation type="date" operator="greaterThanOrEqual" allowBlank="1" showInputMessage="1" showErrorMessage="1" sqref="L541">
      <formula1>730120</formula1>
    </dataValidation>
    <dataValidation type="whole" allowBlank="1" showInputMessage="1" showErrorMessage="1" sqref="P541">
      <formula1>0</formula1>
      <formula2>100</formula2>
    </dataValidation>
    <dataValidation type="decimal" operator="greaterThanOrEqual" allowBlank="1" showInputMessage="1" showErrorMessage="1" sqref="Q541">
      <formula1>0</formula1>
    </dataValidation>
    <dataValidation type="decimal" operator="greaterThanOrEqual" allowBlank="1" showInputMessage="1" showErrorMessage="1" sqref="R541">
      <formula1>0</formula1>
    </dataValidation>
    <dataValidation type="whole" allowBlank="1" showInputMessage="1" showErrorMessage="1" sqref="U541">
      <formula1>1</formula1>
      <formula2>5</formula2>
    </dataValidation>
    <dataValidation type="whole" allowBlank="1" showInputMessage="1" showErrorMessage="1" sqref="V541">
      <formula1>1</formula1>
      <formula2>5</formula2>
    </dataValidation>
    <dataValidation type="whole" allowBlank="1" showInputMessage="1" showErrorMessage="1" sqref="X541">
      <formula1>1</formula1>
      <formula2>5</formula2>
    </dataValidation>
    <dataValidation type="decimal" operator="greaterThanOrEqual" allowBlank="1" showInputMessage="1" showErrorMessage="1" sqref="Y541">
      <formula1>0</formula1>
    </dataValidation>
    <dataValidation type="whole" operator="greaterThanOrEqual" allowBlank="1" showInputMessage="1" showErrorMessage="1" sqref="Z541">
      <formula1>0</formula1>
    </dataValidation>
    <dataValidation type="whole" allowBlank="1" showInputMessage="1" showErrorMessage="1" sqref="AA541">
      <formula1>1</formula1>
      <formula2>5</formula2>
    </dataValidation>
    <dataValidation type="decimal" allowBlank="1" showInputMessage="1" showErrorMessage="1" sqref="AB541">
      <formula1>0</formula1>
      <formula2>1</formula2>
    </dataValidation>
    <dataValidation type="list" allowBlank="1" showInputMessage="1" showErrorMessage="1" sqref="O541">
      <formula1>liste_statuts</formula1>
    </dataValidation>
    <dataValidation type="list" allowBlank="1" showInputMessage="1" showErrorMessage="1" sqref="B542">
      <formula1>liste_programmes</formula1>
    </dataValidation>
    <dataValidation type="list" allowBlank="1" showInputMessage="1" showErrorMessage="1" sqref="D542">
      <formula1>liste_types</formula1>
    </dataValidation>
    <dataValidation type="list" allowBlank="1" showInputMessage="1" showErrorMessage="1" sqref="F542">
      <formula1>liste_categories</formula1>
    </dataValidation>
    <dataValidation type="list" allowBlank="1" showInputMessage="1" showErrorMessage="1" sqref="G542">
      <formula1>liste_responsables</formula1>
    </dataValidation>
    <dataValidation type="list" allowBlank="1" showInputMessage="1" showErrorMessage="1" sqref="H542">
      <formula1>liste_sites</formula1>
    </dataValidation>
    <dataValidation type="list" allowBlank="1" showInputMessage="1" showErrorMessage="1" sqref="I542">
      <formula1>liste_priorites</formula1>
    </dataValidation>
    <dataValidation type="date" operator="greaterThanOrEqual" allowBlank="1" showInputMessage="1" showErrorMessage="1" sqref="J542">
      <formula1>730120</formula1>
    </dataValidation>
    <dataValidation type="date" operator="greaterThanOrEqual" allowBlank="1" showInputMessage="1" showErrorMessage="1" sqref="K542">
      <formula1>730120</formula1>
    </dataValidation>
    <dataValidation type="date" operator="greaterThanOrEqual" allowBlank="1" showInputMessage="1" showErrorMessage="1" sqref="L542">
      <formula1>730120</formula1>
    </dataValidation>
    <dataValidation type="whole" allowBlank="1" showInputMessage="1" showErrorMessage="1" sqref="P542">
      <formula1>0</formula1>
      <formula2>100</formula2>
    </dataValidation>
    <dataValidation type="decimal" operator="greaterThanOrEqual" allowBlank="1" showInputMessage="1" showErrorMessage="1" sqref="Q542">
      <formula1>0</formula1>
    </dataValidation>
    <dataValidation type="decimal" operator="greaterThanOrEqual" allowBlank="1" showInputMessage="1" showErrorMessage="1" sqref="R542">
      <formula1>0</formula1>
    </dataValidation>
    <dataValidation type="whole" allowBlank="1" showInputMessage="1" showErrorMessage="1" sqref="U542">
      <formula1>1</formula1>
      <formula2>5</formula2>
    </dataValidation>
    <dataValidation type="whole" allowBlank="1" showInputMessage="1" showErrorMessage="1" sqref="V542">
      <formula1>1</formula1>
      <formula2>5</formula2>
    </dataValidation>
    <dataValidation type="whole" allowBlank="1" showInputMessage="1" showErrorMessage="1" sqref="X542">
      <formula1>1</formula1>
      <formula2>5</formula2>
    </dataValidation>
    <dataValidation type="decimal" operator="greaterThanOrEqual" allowBlank="1" showInputMessage="1" showErrorMessage="1" sqref="Y542">
      <formula1>0</formula1>
    </dataValidation>
    <dataValidation type="whole" operator="greaterThanOrEqual" allowBlank="1" showInputMessage="1" showErrorMessage="1" sqref="Z542">
      <formula1>0</formula1>
    </dataValidation>
    <dataValidation type="whole" allowBlank="1" showInputMessage="1" showErrorMessage="1" sqref="AA542">
      <formula1>1</formula1>
      <formula2>5</formula2>
    </dataValidation>
    <dataValidation type="decimal" allowBlank="1" showInputMessage="1" showErrorMessage="1" sqref="AB542">
      <formula1>0</formula1>
      <formula2>1</formula2>
    </dataValidation>
    <dataValidation type="list" allowBlank="1" showInputMessage="1" showErrorMessage="1" sqref="O542">
      <formula1>liste_statuts</formula1>
    </dataValidation>
    <dataValidation type="list" allowBlank="1" showInputMessage="1" showErrorMessage="1" sqref="B543">
      <formula1>liste_programmes</formula1>
    </dataValidation>
    <dataValidation type="list" allowBlank="1" showInputMessage="1" showErrorMessage="1" sqref="D543">
      <formula1>liste_types</formula1>
    </dataValidation>
    <dataValidation type="list" allowBlank="1" showInputMessage="1" showErrorMessage="1" sqref="F543">
      <formula1>liste_categories</formula1>
    </dataValidation>
    <dataValidation type="list" allowBlank="1" showInputMessage="1" showErrorMessage="1" sqref="G543">
      <formula1>liste_responsables</formula1>
    </dataValidation>
    <dataValidation type="list" allowBlank="1" showInputMessage="1" showErrorMessage="1" sqref="H543">
      <formula1>liste_sites</formula1>
    </dataValidation>
    <dataValidation type="list" allowBlank="1" showInputMessage="1" showErrorMessage="1" sqref="I543">
      <formula1>liste_priorites</formula1>
    </dataValidation>
    <dataValidation type="date" operator="greaterThanOrEqual" allowBlank="1" showInputMessage="1" showErrorMessage="1" sqref="J543">
      <formula1>730120</formula1>
    </dataValidation>
    <dataValidation type="date" operator="greaterThanOrEqual" allowBlank="1" showInputMessage="1" showErrorMessage="1" sqref="K543">
      <formula1>730120</formula1>
    </dataValidation>
    <dataValidation type="date" operator="greaterThanOrEqual" allowBlank="1" showInputMessage="1" showErrorMessage="1" sqref="L543">
      <formula1>730120</formula1>
    </dataValidation>
    <dataValidation type="whole" allowBlank="1" showInputMessage="1" showErrorMessage="1" sqref="P543">
      <formula1>0</formula1>
      <formula2>100</formula2>
    </dataValidation>
    <dataValidation type="decimal" operator="greaterThanOrEqual" allowBlank="1" showInputMessage="1" showErrorMessage="1" sqref="Q543">
      <formula1>0</formula1>
    </dataValidation>
    <dataValidation type="decimal" operator="greaterThanOrEqual" allowBlank="1" showInputMessage="1" showErrorMessage="1" sqref="R543">
      <formula1>0</formula1>
    </dataValidation>
    <dataValidation type="whole" allowBlank="1" showInputMessage="1" showErrorMessage="1" sqref="U543">
      <formula1>1</formula1>
      <formula2>5</formula2>
    </dataValidation>
    <dataValidation type="whole" allowBlank="1" showInputMessage="1" showErrorMessage="1" sqref="V543">
      <formula1>1</formula1>
      <formula2>5</formula2>
    </dataValidation>
    <dataValidation type="whole" allowBlank="1" showInputMessage="1" showErrorMessage="1" sqref="X543">
      <formula1>1</formula1>
      <formula2>5</formula2>
    </dataValidation>
    <dataValidation type="decimal" operator="greaterThanOrEqual" allowBlank="1" showInputMessage="1" showErrorMessage="1" sqref="Y543">
      <formula1>0</formula1>
    </dataValidation>
    <dataValidation type="whole" operator="greaterThanOrEqual" allowBlank="1" showInputMessage="1" showErrorMessage="1" sqref="Z543">
      <formula1>0</formula1>
    </dataValidation>
    <dataValidation type="whole" allowBlank="1" showInputMessage="1" showErrorMessage="1" sqref="AA543">
      <formula1>1</formula1>
      <formula2>5</formula2>
    </dataValidation>
    <dataValidation type="decimal" allowBlank="1" showInputMessage="1" showErrorMessage="1" sqref="AB543">
      <formula1>0</formula1>
      <formula2>1</formula2>
    </dataValidation>
    <dataValidation type="list" allowBlank="1" showInputMessage="1" showErrorMessage="1" sqref="O543">
      <formula1>liste_statuts</formula1>
    </dataValidation>
    <dataValidation type="list" allowBlank="1" showInputMessage="1" showErrorMessage="1" sqref="B544">
      <formula1>liste_programmes</formula1>
    </dataValidation>
    <dataValidation type="list" allowBlank="1" showInputMessage="1" showErrorMessage="1" sqref="D544">
      <formula1>liste_types</formula1>
    </dataValidation>
    <dataValidation type="list" allowBlank="1" showInputMessage="1" showErrorMessage="1" sqref="F544">
      <formula1>liste_categories</formula1>
    </dataValidation>
    <dataValidation type="list" allowBlank="1" showInputMessage="1" showErrorMessage="1" sqref="G544">
      <formula1>liste_responsables</formula1>
    </dataValidation>
    <dataValidation type="list" allowBlank="1" showInputMessage="1" showErrorMessage="1" sqref="H544">
      <formula1>liste_sites</formula1>
    </dataValidation>
    <dataValidation type="list" allowBlank="1" showInputMessage="1" showErrorMessage="1" sqref="I544">
      <formula1>liste_priorites</formula1>
    </dataValidation>
    <dataValidation type="date" operator="greaterThanOrEqual" allowBlank="1" showInputMessage="1" showErrorMessage="1" sqref="J544">
      <formula1>730120</formula1>
    </dataValidation>
    <dataValidation type="date" operator="greaterThanOrEqual" allowBlank="1" showInputMessage="1" showErrorMessage="1" sqref="K544">
      <formula1>730120</formula1>
    </dataValidation>
    <dataValidation type="date" operator="greaterThanOrEqual" allowBlank="1" showInputMessage="1" showErrorMessage="1" sqref="L544">
      <formula1>730120</formula1>
    </dataValidation>
    <dataValidation type="whole" allowBlank="1" showInputMessage="1" showErrorMessage="1" sqref="P544">
      <formula1>0</formula1>
      <formula2>100</formula2>
    </dataValidation>
    <dataValidation type="decimal" operator="greaterThanOrEqual" allowBlank="1" showInputMessage="1" showErrorMessage="1" sqref="Q544">
      <formula1>0</formula1>
    </dataValidation>
    <dataValidation type="decimal" operator="greaterThanOrEqual" allowBlank="1" showInputMessage="1" showErrorMessage="1" sqref="R544">
      <formula1>0</formula1>
    </dataValidation>
    <dataValidation type="whole" allowBlank="1" showInputMessage="1" showErrorMessage="1" sqref="U544">
      <formula1>1</formula1>
      <formula2>5</formula2>
    </dataValidation>
    <dataValidation type="whole" allowBlank="1" showInputMessage="1" showErrorMessage="1" sqref="V544">
      <formula1>1</formula1>
      <formula2>5</formula2>
    </dataValidation>
    <dataValidation type="whole" allowBlank="1" showInputMessage="1" showErrorMessage="1" sqref="X544">
      <formula1>1</formula1>
      <formula2>5</formula2>
    </dataValidation>
    <dataValidation type="decimal" operator="greaterThanOrEqual" allowBlank="1" showInputMessage="1" showErrorMessage="1" sqref="Y544">
      <formula1>0</formula1>
    </dataValidation>
    <dataValidation type="whole" operator="greaterThanOrEqual" allowBlank="1" showInputMessage="1" showErrorMessage="1" sqref="Z544">
      <formula1>0</formula1>
    </dataValidation>
    <dataValidation type="whole" allowBlank="1" showInputMessage="1" showErrorMessage="1" sqref="AA544">
      <formula1>1</formula1>
      <formula2>5</formula2>
    </dataValidation>
    <dataValidation type="decimal" allowBlank="1" showInputMessage="1" showErrorMessage="1" sqref="AB544">
      <formula1>0</formula1>
      <formula2>1</formula2>
    </dataValidation>
    <dataValidation type="list" allowBlank="1" showInputMessage="1" showErrorMessage="1" sqref="O544">
      <formula1>liste_statuts</formula1>
    </dataValidation>
    <dataValidation type="list" allowBlank="1" showInputMessage="1" showErrorMessage="1" sqref="B545">
      <formula1>liste_programmes</formula1>
    </dataValidation>
    <dataValidation type="list" allowBlank="1" showInputMessage="1" showErrorMessage="1" sqref="D545">
      <formula1>liste_types</formula1>
    </dataValidation>
    <dataValidation type="list" allowBlank="1" showInputMessage="1" showErrorMessage="1" sqref="F545">
      <formula1>liste_categories</formula1>
    </dataValidation>
    <dataValidation type="list" allowBlank="1" showInputMessage="1" showErrorMessage="1" sqref="G545">
      <formula1>liste_responsables</formula1>
    </dataValidation>
    <dataValidation type="list" allowBlank="1" showInputMessage="1" showErrorMessage="1" sqref="H545">
      <formula1>liste_sites</formula1>
    </dataValidation>
    <dataValidation type="list" allowBlank="1" showInputMessage="1" showErrorMessage="1" sqref="I545">
      <formula1>liste_priorites</formula1>
    </dataValidation>
    <dataValidation type="date" operator="greaterThanOrEqual" allowBlank="1" showInputMessage="1" showErrorMessage="1" sqref="J545">
      <formula1>730120</formula1>
    </dataValidation>
    <dataValidation type="date" operator="greaterThanOrEqual" allowBlank="1" showInputMessage="1" showErrorMessage="1" sqref="K545">
      <formula1>730120</formula1>
    </dataValidation>
    <dataValidation type="date" operator="greaterThanOrEqual" allowBlank="1" showInputMessage="1" showErrorMessage="1" sqref="L545">
      <formula1>730120</formula1>
    </dataValidation>
    <dataValidation type="whole" allowBlank="1" showInputMessage="1" showErrorMessage="1" sqref="P545">
      <formula1>0</formula1>
      <formula2>100</formula2>
    </dataValidation>
    <dataValidation type="decimal" operator="greaterThanOrEqual" allowBlank="1" showInputMessage="1" showErrorMessage="1" sqref="Q545">
      <formula1>0</formula1>
    </dataValidation>
    <dataValidation type="decimal" operator="greaterThanOrEqual" allowBlank="1" showInputMessage="1" showErrorMessage="1" sqref="R545">
      <formula1>0</formula1>
    </dataValidation>
    <dataValidation type="whole" allowBlank="1" showInputMessage="1" showErrorMessage="1" sqref="U545">
      <formula1>1</formula1>
      <formula2>5</formula2>
    </dataValidation>
    <dataValidation type="whole" allowBlank="1" showInputMessage="1" showErrorMessage="1" sqref="V545">
      <formula1>1</formula1>
      <formula2>5</formula2>
    </dataValidation>
    <dataValidation type="whole" allowBlank="1" showInputMessage="1" showErrorMessage="1" sqref="X545">
      <formula1>1</formula1>
      <formula2>5</formula2>
    </dataValidation>
    <dataValidation type="decimal" operator="greaterThanOrEqual" allowBlank="1" showInputMessage="1" showErrorMessage="1" sqref="Y545">
      <formula1>0</formula1>
    </dataValidation>
    <dataValidation type="whole" operator="greaterThanOrEqual" allowBlank="1" showInputMessage="1" showErrorMessage="1" sqref="Z545">
      <formula1>0</formula1>
    </dataValidation>
    <dataValidation type="whole" allowBlank="1" showInputMessage="1" showErrorMessage="1" sqref="AA545">
      <formula1>1</formula1>
      <formula2>5</formula2>
    </dataValidation>
    <dataValidation type="decimal" allowBlank="1" showInputMessage="1" showErrorMessage="1" sqref="AB545">
      <formula1>0</formula1>
      <formula2>1</formula2>
    </dataValidation>
    <dataValidation type="list" allowBlank="1" showInputMessage="1" showErrorMessage="1" sqref="O545">
      <formula1>liste_statuts</formula1>
    </dataValidation>
    <dataValidation type="list" allowBlank="1" showInputMessage="1" showErrorMessage="1" sqref="B546">
      <formula1>liste_programmes</formula1>
    </dataValidation>
    <dataValidation type="list" allowBlank="1" showInputMessage="1" showErrorMessage="1" sqref="D546">
      <formula1>liste_types</formula1>
    </dataValidation>
    <dataValidation type="list" allowBlank="1" showInputMessage="1" showErrorMessage="1" sqref="F546">
      <formula1>liste_categories</formula1>
    </dataValidation>
    <dataValidation type="list" allowBlank="1" showInputMessage="1" showErrorMessage="1" sqref="G546">
      <formula1>liste_responsables</formula1>
    </dataValidation>
    <dataValidation type="list" allowBlank="1" showInputMessage="1" showErrorMessage="1" sqref="H546">
      <formula1>liste_sites</formula1>
    </dataValidation>
    <dataValidation type="list" allowBlank="1" showInputMessage="1" showErrorMessage="1" sqref="I546">
      <formula1>liste_priorites</formula1>
    </dataValidation>
    <dataValidation type="date" operator="greaterThanOrEqual" allowBlank="1" showInputMessage="1" showErrorMessage="1" sqref="J546">
      <formula1>730120</formula1>
    </dataValidation>
    <dataValidation type="date" operator="greaterThanOrEqual" allowBlank="1" showInputMessage="1" showErrorMessage="1" sqref="K546">
      <formula1>730120</formula1>
    </dataValidation>
    <dataValidation type="date" operator="greaterThanOrEqual" allowBlank="1" showInputMessage="1" showErrorMessage="1" sqref="L546">
      <formula1>730120</formula1>
    </dataValidation>
    <dataValidation type="whole" allowBlank="1" showInputMessage="1" showErrorMessage="1" sqref="P546">
      <formula1>0</formula1>
      <formula2>100</formula2>
    </dataValidation>
    <dataValidation type="decimal" operator="greaterThanOrEqual" allowBlank="1" showInputMessage="1" showErrorMessage="1" sqref="Q546">
      <formula1>0</formula1>
    </dataValidation>
    <dataValidation type="decimal" operator="greaterThanOrEqual" allowBlank="1" showInputMessage="1" showErrorMessage="1" sqref="R546">
      <formula1>0</formula1>
    </dataValidation>
    <dataValidation type="whole" allowBlank="1" showInputMessage="1" showErrorMessage="1" sqref="U546">
      <formula1>1</formula1>
      <formula2>5</formula2>
    </dataValidation>
    <dataValidation type="whole" allowBlank="1" showInputMessage="1" showErrorMessage="1" sqref="V546">
      <formula1>1</formula1>
      <formula2>5</formula2>
    </dataValidation>
    <dataValidation type="whole" allowBlank="1" showInputMessage="1" showErrorMessage="1" sqref="X546">
      <formula1>1</formula1>
      <formula2>5</formula2>
    </dataValidation>
    <dataValidation type="decimal" operator="greaterThanOrEqual" allowBlank="1" showInputMessage="1" showErrorMessage="1" sqref="Y546">
      <formula1>0</formula1>
    </dataValidation>
    <dataValidation type="whole" operator="greaterThanOrEqual" allowBlank="1" showInputMessage="1" showErrorMessage="1" sqref="Z546">
      <formula1>0</formula1>
    </dataValidation>
    <dataValidation type="whole" allowBlank="1" showInputMessage="1" showErrorMessage="1" sqref="AA546">
      <formula1>1</formula1>
      <formula2>5</formula2>
    </dataValidation>
    <dataValidation type="decimal" allowBlank="1" showInputMessage="1" showErrorMessage="1" sqref="AB546">
      <formula1>0</formula1>
      <formula2>1</formula2>
    </dataValidation>
    <dataValidation type="list" allowBlank="1" showInputMessage="1" showErrorMessage="1" sqref="O546">
      <formula1>liste_statuts</formula1>
    </dataValidation>
    <dataValidation type="list" allowBlank="1" showInputMessage="1" showErrorMessage="1" sqref="B547">
      <formula1>liste_programmes</formula1>
    </dataValidation>
    <dataValidation type="list" allowBlank="1" showInputMessage="1" showErrorMessage="1" sqref="D547">
      <formula1>liste_types</formula1>
    </dataValidation>
    <dataValidation type="list" allowBlank="1" showInputMessage="1" showErrorMessage="1" sqref="F547">
      <formula1>liste_categories</formula1>
    </dataValidation>
    <dataValidation type="list" allowBlank="1" showInputMessage="1" showErrorMessage="1" sqref="G547">
      <formula1>liste_responsables</formula1>
    </dataValidation>
    <dataValidation type="list" allowBlank="1" showInputMessage="1" showErrorMessage="1" sqref="H547">
      <formula1>liste_sites</formula1>
    </dataValidation>
    <dataValidation type="list" allowBlank="1" showInputMessage="1" showErrorMessage="1" sqref="I547">
      <formula1>liste_priorites</formula1>
    </dataValidation>
    <dataValidation type="date" operator="greaterThanOrEqual" allowBlank="1" showInputMessage="1" showErrorMessage="1" sqref="J547">
      <formula1>730120</formula1>
    </dataValidation>
    <dataValidation type="date" operator="greaterThanOrEqual" allowBlank="1" showInputMessage="1" showErrorMessage="1" sqref="K547">
      <formula1>730120</formula1>
    </dataValidation>
    <dataValidation type="date" operator="greaterThanOrEqual" allowBlank="1" showInputMessage="1" showErrorMessage="1" sqref="L547">
      <formula1>730120</formula1>
    </dataValidation>
    <dataValidation type="whole" allowBlank="1" showInputMessage="1" showErrorMessage="1" sqref="P547">
      <formula1>0</formula1>
      <formula2>100</formula2>
    </dataValidation>
    <dataValidation type="decimal" operator="greaterThanOrEqual" allowBlank="1" showInputMessage="1" showErrorMessage="1" sqref="Q547">
      <formula1>0</formula1>
    </dataValidation>
    <dataValidation type="decimal" operator="greaterThanOrEqual" allowBlank="1" showInputMessage="1" showErrorMessage="1" sqref="R547">
      <formula1>0</formula1>
    </dataValidation>
    <dataValidation type="whole" allowBlank="1" showInputMessage="1" showErrorMessage="1" sqref="U547">
      <formula1>1</formula1>
      <formula2>5</formula2>
    </dataValidation>
    <dataValidation type="whole" allowBlank="1" showInputMessage="1" showErrorMessage="1" sqref="V547">
      <formula1>1</formula1>
      <formula2>5</formula2>
    </dataValidation>
    <dataValidation type="whole" allowBlank="1" showInputMessage="1" showErrorMessage="1" sqref="X547">
      <formula1>1</formula1>
      <formula2>5</formula2>
    </dataValidation>
    <dataValidation type="decimal" operator="greaterThanOrEqual" allowBlank="1" showInputMessage="1" showErrorMessage="1" sqref="Y547">
      <formula1>0</formula1>
    </dataValidation>
    <dataValidation type="whole" operator="greaterThanOrEqual" allowBlank="1" showInputMessage="1" showErrorMessage="1" sqref="Z547">
      <formula1>0</formula1>
    </dataValidation>
    <dataValidation type="whole" allowBlank="1" showInputMessage="1" showErrorMessage="1" sqref="AA547">
      <formula1>1</formula1>
      <formula2>5</formula2>
    </dataValidation>
    <dataValidation type="decimal" allowBlank="1" showInputMessage="1" showErrorMessage="1" sqref="AB547">
      <formula1>0</formula1>
      <formula2>1</formula2>
    </dataValidation>
    <dataValidation type="list" allowBlank="1" showInputMessage="1" showErrorMessage="1" sqref="O547">
      <formula1>liste_statuts</formula1>
    </dataValidation>
    <dataValidation type="list" allowBlank="1" showInputMessage="1" showErrorMessage="1" sqref="B548">
      <formula1>liste_programmes</formula1>
    </dataValidation>
    <dataValidation type="list" allowBlank="1" showInputMessage="1" showErrorMessage="1" sqref="D548">
      <formula1>liste_types</formula1>
    </dataValidation>
    <dataValidation type="list" allowBlank="1" showInputMessage="1" showErrorMessage="1" sqref="F548">
      <formula1>liste_categories</formula1>
    </dataValidation>
    <dataValidation type="list" allowBlank="1" showInputMessage="1" showErrorMessage="1" sqref="G548">
      <formula1>liste_responsables</formula1>
    </dataValidation>
    <dataValidation type="list" allowBlank="1" showInputMessage="1" showErrorMessage="1" sqref="H548">
      <formula1>liste_sites</formula1>
    </dataValidation>
    <dataValidation type="list" allowBlank="1" showInputMessage="1" showErrorMessage="1" sqref="I548">
      <formula1>liste_priorites</formula1>
    </dataValidation>
    <dataValidation type="date" operator="greaterThanOrEqual" allowBlank="1" showInputMessage="1" showErrorMessage="1" sqref="J548">
      <formula1>730120</formula1>
    </dataValidation>
    <dataValidation type="date" operator="greaterThanOrEqual" allowBlank="1" showInputMessage="1" showErrorMessage="1" sqref="K548">
      <formula1>730120</formula1>
    </dataValidation>
    <dataValidation type="date" operator="greaterThanOrEqual" allowBlank="1" showInputMessage="1" showErrorMessage="1" sqref="L548">
      <formula1>730120</formula1>
    </dataValidation>
    <dataValidation type="whole" allowBlank="1" showInputMessage="1" showErrorMessage="1" sqref="P548">
      <formula1>0</formula1>
      <formula2>100</formula2>
    </dataValidation>
    <dataValidation type="decimal" operator="greaterThanOrEqual" allowBlank="1" showInputMessage="1" showErrorMessage="1" sqref="Q548">
      <formula1>0</formula1>
    </dataValidation>
    <dataValidation type="decimal" operator="greaterThanOrEqual" allowBlank="1" showInputMessage="1" showErrorMessage="1" sqref="R548">
      <formula1>0</formula1>
    </dataValidation>
    <dataValidation type="whole" allowBlank="1" showInputMessage="1" showErrorMessage="1" sqref="U548">
      <formula1>1</formula1>
      <formula2>5</formula2>
    </dataValidation>
    <dataValidation type="whole" allowBlank="1" showInputMessage="1" showErrorMessage="1" sqref="V548">
      <formula1>1</formula1>
      <formula2>5</formula2>
    </dataValidation>
    <dataValidation type="whole" allowBlank="1" showInputMessage="1" showErrorMessage="1" sqref="X548">
      <formula1>1</formula1>
      <formula2>5</formula2>
    </dataValidation>
    <dataValidation type="decimal" operator="greaterThanOrEqual" allowBlank="1" showInputMessage="1" showErrorMessage="1" sqref="Y548">
      <formula1>0</formula1>
    </dataValidation>
    <dataValidation type="whole" operator="greaterThanOrEqual" allowBlank="1" showInputMessage="1" showErrorMessage="1" sqref="Z548">
      <formula1>0</formula1>
    </dataValidation>
    <dataValidation type="whole" allowBlank="1" showInputMessage="1" showErrorMessage="1" sqref="AA548">
      <formula1>1</formula1>
      <formula2>5</formula2>
    </dataValidation>
    <dataValidation type="decimal" allowBlank="1" showInputMessage="1" showErrorMessage="1" sqref="AB548">
      <formula1>0</formula1>
      <formula2>1</formula2>
    </dataValidation>
    <dataValidation type="list" allowBlank="1" showInputMessage="1" showErrorMessage="1" sqref="O548">
      <formula1>liste_statuts</formula1>
    </dataValidation>
    <dataValidation type="list" allowBlank="1" showInputMessage="1" showErrorMessage="1" sqref="B549">
      <formula1>liste_programmes</formula1>
    </dataValidation>
    <dataValidation type="list" allowBlank="1" showInputMessage="1" showErrorMessage="1" sqref="D549">
      <formula1>liste_types</formula1>
    </dataValidation>
    <dataValidation type="list" allowBlank="1" showInputMessage="1" showErrorMessage="1" sqref="F549">
      <formula1>liste_categories</formula1>
    </dataValidation>
    <dataValidation type="list" allowBlank="1" showInputMessage="1" showErrorMessage="1" sqref="G549">
      <formula1>liste_responsables</formula1>
    </dataValidation>
    <dataValidation type="list" allowBlank="1" showInputMessage="1" showErrorMessage="1" sqref="H549">
      <formula1>liste_sites</formula1>
    </dataValidation>
    <dataValidation type="list" allowBlank="1" showInputMessage="1" showErrorMessage="1" sqref="I549">
      <formula1>liste_priorites</formula1>
    </dataValidation>
    <dataValidation type="date" operator="greaterThanOrEqual" allowBlank="1" showInputMessage="1" showErrorMessage="1" sqref="J549">
      <formula1>730120</formula1>
    </dataValidation>
    <dataValidation type="date" operator="greaterThanOrEqual" allowBlank="1" showInputMessage="1" showErrorMessage="1" sqref="K549">
      <formula1>730120</formula1>
    </dataValidation>
    <dataValidation type="date" operator="greaterThanOrEqual" allowBlank="1" showInputMessage="1" showErrorMessage="1" sqref="L549">
      <formula1>730120</formula1>
    </dataValidation>
    <dataValidation type="whole" allowBlank="1" showInputMessage="1" showErrorMessage="1" sqref="P549">
      <formula1>0</formula1>
      <formula2>100</formula2>
    </dataValidation>
    <dataValidation type="decimal" operator="greaterThanOrEqual" allowBlank="1" showInputMessage="1" showErrorMessage="1" sqref="Q549">
      <formula1>0</formula1>
    </dataValidation>
    <dataValidation type="decimal" operator="greaterThanOrEqual" allowBlank="1" showInputMessage="1" showErrorMessage="1" sqref="R549">
      <formula1>0</formula1>
    </dataValidation>
    <dataValidation type="whole" allowBlank="1" showInputMessage="1" showErrorMessage="1" sqref="U549">
      <formula1>1</formula1>
      <formula2>5</formula2>
    </dataValidation>
    <dataValidation type="whole" allowBlank="1" showInputMessage="1" showErrorMessage="1" sqref="V549">
      <formula1>1</formula1>
      <formula2>5</formula2>
    </dataValidation>
    <dataValidation type="whole" allowBlank="1" showInputMessage="1" showErrorMessage="1" sqref="X549">
      <formula1>1</formula1>
      <formula2>5</formula2>
    </dataValidation>
    <dataValidation type="decimal" operator="greaterThanOrEqual" allowBlank="1" showInputMessage="1" showErrorMessage="1" sqref="Y549">
      <formula1>0</formula1>
    </dataValidation>
    <dataValidation type="whole" operator="greaterThanOrEqual" allowBlank="1" showInputMessage="1" showErrorMessage="1" sqref="Z549">
      <formula1>0</formula1>
    </dataValidation>
    <dataValidation type="whole" allowBlank="1" showInputMessage="1" showErrorMessage="1" sqref="AA549">
      <formula1>1</formula1>
      <formula2>5</formula2>
    </dataValidation>
    <dataValidation type="decimal" allowBlank="1" showInputMessage="1" showErrorMessage="1" sqref="AB549">
      <formula1>0</formula1>
      <formula2>1</formula2>
    </dataValidation>
    <dataValidation type="list" allowBlank="1" showInputMessage="1" showErrorMessage="1" sqref="O549">
      <formula1>liste_statuts</formula1>
    </dataValidation>
    <dataValidation type="list" allowBlank="1" showInputMessage="1" showErrorMessage="1" sqref="B550">
      <formula1>liste_programmes</formula1>
    </dataValidation>
    <dataValidation type="list" allowBlank="1" showInputMessage="1" showErrorMessage="1" sqref="D550">
      <formula1>liste_types</formula1>
    </dataValidation>
    <dataValidation type="list" allowBlank="1" showInputMessage="1" showErrorMessage="1" sqref="F550">
      <formula1>liste_categories</formula1>
    </dataValidation>
    <dataValidation type="list" allowBlank="1" showInputMessage="1" showErrorMessage="1" sqref="G550">
      <formula1>liste_responsables</formula1>
    </dataValidation>
    <dataValidation type="list" allowBlank="1" showInputMessage="1" showErrorMessage="1" sqref="H550">
      <formula1>liste_sites</formula1>
    </dataValidation>
    <dataValidation type="list" allowBlank="1" showInputMessage="1" showErrorMessage="1" sqref="I550">
      <formula1>liste_priorites</formula1>
    </dataValidation>
    <dataValidation type="date" operator="greaterThanOrEqual" allowBlank="1" showInputMessage="1" showErrorMessage="1" sqref="J550">
      <formula1>730120</formula1>
    </dataValidation>
    <dataValidation type="date" operator="greaterThanOrEqual" allowBlank="1" showInputMessage="1" showErrorMessage="1" sqref="K550">
      <formula1>730120</formula1>
    </dataValidation>
    <dataValidation type="date" operator="greaterThanOrEqual" allowBlank="1" showInputMessage="1" showErrorMessage="1" sqref="L550">
      <formula1>730120</formula1>
    </dataValidation>
    <dataValidation type="whole" allowBlank="1" showInputMessage="1" showErrorMessage="1" sqref="P550">
      <formula1>0</formula1>
      <formula2>100</formula2>
    </dataValidation>
    <dataValidation type="decimal" operator="greaterThanOrEqual" allowBlank="1" showInputMessage="1" showErrorMessage="1" sqref="Q550">
      <formula1>0</formula1>
    </dataValidation>
    <dataValidation type="decimal" operator="greaterThanOrEqual" allowBlank="1" showInputMessage="1" showErrorMessage="1" sqref="R550">
      <formula1>0</formula1>
    </dataValidation>
    <dataValidation type="whole" allowBlank="1" showInputMessage="1" showErrorMessage="1" sqref="U550">
      <formula1>1</formula1>
      <formula2>5</formula2>
    </dataValidation>
    <dataValidation type="whole" allowBlank="1" showInputMessage="1" showErrorMessage="1" sqref="V550">
      <formula1>1</formula1>
      <formula2>5</formula2>
    </dataValidation>
    <dataValidation type="whole" allowBlank="1" showInputMessage="1" showErrorMessage="1" sqref="X550">
      <formula1>1</formula1>
      <formula2>5</formula2>
    </dataValidation>
    <dataValidation type="decimal" operator="greaterThanOrEqual" allowBlank="1" showInputMessage="1" showErrorMessage="1" sqref="Y550">
      <formula1>0</formula1>
    </dataValidation>
    <dataValidation type="whole" operator="greaterThanOrEqual" allowBlank="1" showInputMessage="1" showErrorMessage="1" sqref="Z550">
      <formula1>0</formula1>
    </dataValidation>
    <dataValidation type="whole" allowBlank="1" showInputMessage="1" showErrorMessage="1" sqref="AA550">
      <formula1>1</formula1>
      <formula2>5</formula2>
    </dataValidation>
    <dataValidation type="decimal" allowBlank="1" showInputMessage="1" showErrorMessage="1" sqref="AB550">
      <formula1>0</formula1>
      <formula2>1</formula2>
    </dataValidation>
    <dataValidation type="list" allowBlank="1" showInputMessage="1" showErrorMessage="1" sqref="O550">
      <formula1>liste_statuts</formula1>
    </dataValidation>
    <dataValidation type="list" allowBlank="1" showInputMessage="1" showErrorMessage="1" sqref="B551">
      <formula1>liste_programmes</formula1>
    </dataValidation>
    <dataValidation type="list" allowBlank="1" showInputMessage="1" showErrorMessage="1" sqref="D551">
      <formula1>liste_types</formula1>
    </dataValidation>
    <dataValidation type="list" allowBlank="1" showInputMessage="1" showErrorMessage="1" sqref="F551">
      <formula1>liste_categories</formula1>
    </dataValidation>
    <dataValidation type="list" allowBlank="1" showInputMessage="1" showErrorMessage="1" sqref="G551">
      <formula1>liste_responsables</formula1>
    </dataValidation>
    <dataValidation type="list" allowBlank="1" showInputMessage="1" showErrorMessage="1" sqref="H551">
      <formula1>liste_sites</formula1>
    </dataValidation>
    <dataValidation type="list" allowBlank="1" showInputMessage="1" showErrorMessage="1" sqref="I551">
      <formula1>liste_priorites</formula1>
    </dataValidation>
    <dataValidation type="date" operator="greaterThanOrEqual" allowBlank="1" showInputMessage="1" showErrorMessage="1" sqref="J551">
      <formula1>730120</formula1>
    </dataValidation>
    <dataValidation type="date" operator="greaterThanOrEqual" allowBlank="1" showInputMessage="1" showErrorMessage="1" sqref="K551">
      <formula1>730120</formula1>
    </dataValidation>
    <dataValidation type="date" operator="greaterThanOrEqual" allowBlank="1" showInputMessage="1" showErrorMessage="1" sqref="L551">
      <formula1>730120</formula1>
    </dataValidation>
    <dataValidation type="whole" allowBlank="1" showInputMessage="1" showErrorMessage="1" sqref="P551">
      <formula1>0</formula1>
      <formula2>100</formula2>
    </dataValidation>
    <dataValidation type="decimal" operator="greaterThanOrEqual" allowBlank="1" showInputMessage="1" showErrorMessage="1" sqref="Q551">
      <formula1>0</formula1>
    </dataValidation>
    <dataValidation type="decimal" operator="greaterThanOrEqual" allowBlank="1" showInputMessage="1" showErrorMessage="1" sqref="R551">
      <formula1>0</formula1>
    </dataValidation>
    <dataValidation type="whole" allowBlank="1" showInputMessage="1" showErrorMessage="1" sqref="U551">
      <formula1>1</formula1>
      <formula2>5</formula2>
    </dataValidation>
    <dataValidation type="whole" allowBlank="1" showInputMessage="1" showErrorMessage="1" sqref="V551">
      <formula1>1</formula1>
      <formula2>5</formula2>
    </dataValidation>
    <dataValidation type="whole" allowBlank="1" showInputMessage="1" showErrorMessage="1" sqref="X551">
      <formula1>1</formula1>
      <formula2>5</formula2>
    </dataValidation>
    <dataValidation type="decimal" operator="greaterThanOrEqual" allowBlank="1" showInputMessage="1" showErrorMessage="1" sqref="Y551">
      <formula1>0</formula1>
    </dataValidation>
    <dataValidation type="whole" operator="greaterThanOrEqual" allowBlank="1" showInputMessage="1" showErrorMessage="1" sqref="Z551">
      <formula1>0</formula1>
    </dataValidation>
    <dataValidation type="whole" allowBlank="1" showInputMessage="1" showErrorMessage="1" sqref="AA551">
      <formula1>1</formula1>
      <formula2>5</formula2>
    </dataValidation>
    <dataValidation type="decimal" allowBlank="1" showInputMessage="1" showErrorMessage="1" sqref="AB551">
      <formula1>0</formula1>
      <formula2>1</formula2>
    </dataValidation>
    <dataValidation type="list" allowBlank="1" showInputMessage="1" showErrorMessage="1" sqref="O551">
      <formula1>liste_statuts</formula1>
    </dataValidation>
    <dataValidation type="list" allowBlank="1" showInputMessage="1" showErrorMessage="1" sqref="B552">
      <formula1>liste_programmes</formula1>
    </dataValidation>
    <dataValidation type="list" allowBlank="1" showInputMessage="1" showErrorMessage="1" sqref="D552">
      <formula1>liste_types</formula1>
    </dataValidation>
    <dataValidation type="list" allowBlank="1" showInputMessage="1" showErrorMessage="1" sqref="F552">
      <formula1>liste_categories</formula1>
    </dataValidation>
    <dataValidation type="list" allowBlank="1" showInputMessage="1" showErrorMessage="1" sqref="G552">
      <formula1>liste_responsables</formula1>
    </dataValidation>
    <dataValidation type="list" allowBlank="1" showInputMessage="1" showErrorMessage="1" sqref="H552">
      <formula1>liste_sites</formula1>
    </dataValidation>
    <dataValidation type="list" allowBlank="1" showInputMessage="1" showErrorMessage="1" sqref="I552">
      <formula1>liste_priorites</formula1>
    </dataValidation>
    <dataValidation type="date" operator="greaterThanOrEqual" allowBlank="1" showInputMessage="1" showErrorMessage="1" sqref="J552">
      <formula1>730120</formula1>
    </dataValidation>
    <dataValidation type="date" operator="greaterThanOrEqual" allowBlank="1" showInputMessage="1" showErrorMessage="1" sqref="K552">
      <formula1>730120</formula1>
    </dataValidation>
    <dataValidation type="date" operator="greaterThanOrEqual" allowBlank="1" showInputMessage="1" showErrorMessage="1" sqref="L552">
      <formula1>730120</formula1>
    </dataValidation>
    <dataValidation type="whole" allowBlank="1" showInputMessage="1" showErrorMessage="1" sqref="P552">
      <formula1>0</formula1>
      <formula2>100</formula2>
    </dataValidation>
    <dataValidation type="decimal" operator="greaterThanOrEqual" allowBlank="1" showInputMessage="1" showErrorMessage="1" sqref="Q552">
      <formula1>0</formula1>
    </dataValidation>
    <dataValidation type="decimal" operator="greaterThanOrEqual" allowBlank="1" showInputMessage="1" showErrorMessage="1" sqref="R552">
      <formula1>0</formula1>
    </dataValidation>
    <dataValidation type="whole" allowBlank="1" showInputMessage="1" showErrorMessage="1" sqref="U552">
      <formula1>1</formula1>
      <formula2>5</formula2>
    </dataValidation>
    <dataValidation type="whole" allowBlank="1" showInputMessage="1" showErrorMessage="1" sqref="V552">
      <formula1>1</formula1>
      <formula2>5</formula2>
    </dataValidation>
    <dataValidation type="whole" allowBlank="1" showInputMessage="1" showErrorMessage="1" sqref="X552">
      <formula1>1</formula1>
      <formula2>5</formula2>
    </dataValidation>
    <dataValidation type="decimal" operator="greaterThanOrEqual" allowBlank="1" showInputMessage="1" showErrorMessage="1" sqref="Y552">
      <formula1>0</formula1>
    </dataValidation>
    <dataValidation type="whole" operator="greaterThanOrEqual" allowBlank="1" showInputMessage="1" showErrorMessage="1" sqref="Z552">
      <formula1>0</formula1>
    </dataValidation>
    <dataValidation type="whole" allowBlank="1" showInputMessage="1" showErrorMessage="1" sqref="AA552">
      <formula1>1</formula1>
      <formula2>5</formula2>
    </dataValidation>
    <dataValidation type="decimal" allowBlank="1" showInputMessage="1" showErrorMessage="1" sqref="AB552">
      <formula1>0</formula1>
      <formula2>1</formula2>
    </dataValidation>
    <dataValidation type="list" allowBlank="1" showInputMessage="1" showErrorMessage="1" sqref="O552">
      <formula1>liste_statuts</formula1>
    </dataValidation>
    <dataValidation type="list" allowBlank="1" showInputMessage="1" showErrorMessage="1" sqref="B553">
      <formula1>liste_programmes</formula1>
    </dataValidation>
    <dataValidation type="list" allowBlank="1" showInputMessage="1" showErrorMessage="1" sqref="D553">
      <formula1>liste_types</formula1>
    </dataValidation>
    <dataValidation type="list" allowBlank="1" showInputMessage="1" showErrorMessage="1" sqref="F553">
      <formula1>liste_categories</formula1>
    </dataValidation>
    <dataValidation type="list" allowBlank="1" showInputMessage="1" showErrorMessage="1" sqref="G553">
      <formula1>liste_responsables</formula1>
    </dataValidation>
    <dataValidation type="list" allowBlank="1" showInputMessage="1" showErrorMessage="1" sqref="H553">
      <formula1>liste_sites</formula1>
    </dataValidation>
    <dataValidation type="list" allowBlank="1" showInputMessage="1" showErrorMessage="1" sqref="I553">
      <formula1>liste_priorites</formula1>
    </dataValidation>
    <dataValidation type="date" operator="greaterThanOrEqual" allowBlank="1" showInputMessage="1" showErrorMessage="1" sqref="J553">
      <formula1>730120</formula1>
    </dataValidation>
    <dataValidation type="date" operator="greaterThanOrEqual" allowBlank="1" showInputMessage="1" showErrorMessage="1" sqref="K553">
      <formula1>730120</formula1>
    </dataValidation>
    <dataValidation type="date" operator="greaterThanOrEqual" allowBlank="1" showInputMessage="1" showErrorMessage="1" sqref="L553">
      <formula1>730120</formula1>
    </dataValidation>
    <dataValidation type="whole" allowBlank="1" showInputMessage="1" showErrorMessage="1" sqref="P553">
      <formula1>0</formula1>
      <formula2>100</formula2>
    </dataValidation>
    <dataValidation type="decimal" operator="greaterThanOrEqual" allowBlank="1" showInputMessage="1" showErrorMessage="1" sqref="Q553">
      <formula1>0</formula1>
    </dataValidation>
    <dataValidation type="decimal" operator="greaterThanOrEqual" allowBlank="1" showInputMessage="1" showErrorMessage="1" sqref="R553">
      <formula1>0</formula1>
    </dataValidation>
    <dataValidation type="whole" allowBlank="1" showInputMessage="1" showErrorMessage="1" sqref="U553">
      <formula1>1</formula1>
      <formula2>5</formula2>
    </dataValidation>
    <dataValidation type="whole" allowBlank="1" showInputMessage="1" showErrorMessage="1" sqref="V553">
      <formula1>1</formula1>
      <formula2>5</formula2>
    </dataValidation>
    <dataValidation type="whole" allowBlank="1" showInputMessage="1" showErrorMessage="1" sqref="X553">
      <formula1>1</formula1>
      <formula2>5</formula2>
    </dataValidation>
    <dataValidation type="decimal" operator="greaterThanOrEqual" allowBlank="1" showInputMessage="1" showErrorMessage="1" sqref="Y553">
      <formula1>0</formula1>
    </dataValidation>
    <dataValidation type="whole" operator="greaterThanOrEqual" allowBlank="1" showInputMessage="1" showErrorMessage="1" sqref="Z553">
      <formula1>0</formula1>
    </dataValidation>
    <dataValidation type="whole" allowBlank="1" showInputMessage="1" showErrorMessage="1" sqref="AA553">
      <formula1>1</formula1>
      <formula2>5</formula2>
    </dataValidation>
    <dataValidation type="decimal" allowBlank="1" showInputMessage="1" showErrorMessage="1" sqref="AB553">
      <formula1>0</formula1>
      <formula2>1</formula2>
    </dataValidation>
    <dataValidation type="list" allowBlank="1" showInputMessage="1" showErrorMessage="1" sqref="O553">
      <formula1>liste_statuts</formula1>
    </dataValidation>
    <dataValidation type="list" allowBlank="1" showInputMessage="1" showErrorMessage="1" sqref="B554">
      <formula1>liste_programmes</formula1>
    </dataValidation>
    <dataValidation type="list" allowBlank="1" showInputMessage="1" showErrorMessage="1" sqref="D554">
      <formula1>liste_types</formula1>
    </dataValidation>
    <dataValidation type="list" allowBlank="1" showInputMessage="1" showErrorMessage="1" sqref="F554">
      <formula1>liste_categories</formula1>
    </dataValidation>
    <dataValidation type="list" allowBlank="1" showInputMessage="1" showErrorMessage="1" sqref="G554">
      <formula1>liste_responsables</formula1>
    </dataValidation>
    <dataValidation type="list" allowBlank="1" showInputMessage="1" showErrorMessage="1" sqref="H554">
      <formula1>liste_sites</formula1>
    </dataValidation>
    <dataValidation type="list" allowBlank="1" showInputMessage="1" showErrorMessage="1" sqref="I554">
      <formula1>liste_priorites</formula1>
    </dataValidation>
    <dataValidation type="date" operator="greaterThanOrEqual" allowBlank="1" showInputMessage="1" showErrorMessage="1" sqref="J554">
      <formula1>730120</formula1>
    </dataValidation>
    <dataValidation type="date" operator="greaterThanOrEqual" allowBlank="1" showInputMessage="1" showErrorMessage="1" sqref="K554">
      <formula1>730120</formula1>
    </dataValidation>
    <dataValidation type="date" operator="greaterThanOrEqual" allowBlank="1" showInputMessage="1" showErrorMessage="1" sqref="L554">
      <formula1>730120</formula1>
    </dataValidation>
    <dataValidation type="whole" allowBlank="1" showInputMessage="1" showErrorMessage="1" sqref="P554">
      <formula1>0</formula1>
      <formula2>100</formula2>
    </dataValidation>
    <dataValidation type="decimal" operator="greaterThanOrEqual" allowBlank="1" showInputMessage="1" showErrorMessage="1" sqref="Q554">
      <formula1>0</formula1>
    </dataValidation>
    <dataValidation type="decimal" operator="greaterThanOrEqual" allowBlank="1" showInputMessage="1" showErrorMessage="1" sqref="R554">
      <formula1>0</formula1>
    </dataValidation>
    <dataValidation type="whole" allowBlank="1" showInputMessage="1" showErrorMessage="1" sqref="U554">
      <formula1>1</formula1>
      <formula2>5</formula2>
    </dataValidation>
    <dataValidation type="whole" allowBlank="1" showInputMessage="1" showErrorMessage="1" sqref="V554">
      <formula1>1</formula1>
      <formula2>5</formula2>
    </dataValidation>
    <dataValidation type="whole" allowBlank="1" showInputMessage="1" showErrorMessage="1" sqref="X554">
      <formula1>1</formula1>
      <formula2>5</formula2>
    </dataValidation>
    <dataValidation type="decimal" operator="greaterThanOrEqual" allowBlank="1" showInputMessage="1" showErrorMessage="1" sqref="Y554">
      <formula1>0</formula1>
    </dataValidation>
    <dataValidation type="whole" operator="greaterThanOrEqual" allowBlank="1" showInputMessage="1" showErrorMessage="1" sqref="Z554">
      <formula1>0</formula1>
    </dataValidation>
    <dataValidation type="whole" allowBlank="1" showInputMessage="1" showErrorMessage="1" sqref="AA554">
      <formula1>1</formula1>
      <formula2>5</formula2>
    </dataValidation>
    <dataValidation type="decimal" allowBlank="1" showInputMessage="1" showErrorMessage="1" sqref="AB554">
      <formula1>0</formula1>
      <formula2>1</formula2>
    </dataValidation>
    <dataValidation type="list" allowBlank="1" showInputMessage="1" showErrorMessage="1" sqref="O554">
      <formula1>liste_statuts</formula1>
    </dataValidation>
    <dataValidation type="list" allowBlank="1" showInputMessage="1" showErrorMessage="1" sqref="B555">
      <formula1>liste_programmes</formula1>
    </dataValidation>
    <dataValidation type="list" allowBlank="1" showInputMessage="1" showErrorMessage="1" sqref="D555">
      <formula1>liste_types</formula1>
    </dataValidation>
    <dataValidation type="list" allowBlank="1" showInputMessage="1" showErrorMessage="1" sqref="F555">
      <formula1>liste_categories</formula1>
    </dataValidation>
    <dataValidation type="list" allowBlank="1" showInputMessage="1" showErrorMessage="1" sqref="G555">
      <formula1>liste_responsables</formula1>
    </dataValidation>
    <dataValidation type="list" allowBlank="1" showInputMessage="1" showErrorMessage="1" sqref="H555">
      <formula1>liste_sites</formula1>
    </dataValidation>
    <dataValidation type="list" allowBlank="1" showInputMessage="1" showErrorMessage="1" sqref="I555">
      <formula1>liste_priorites</formula1>
    </dataValidation>
    <dataValidation type="date" operator="greaterThanOrEqual" allowBlank="1" showInputMessage="1" showErrorMessage="1" sqref="J555">
      <formula1>730120</formula1>
    </dataValidation>
    <dataValidation type="date" operator="greaterThanOrEqual" allowBlank="1" showInputMessage="1" showErrorMessage="1" sqref="K555">
      <formula1>730120</formula1>
    </dataValidation>
    <dataValidation type="date" operator="greaterThanOrEqual" allowBlank="1" showInputMessage="1" showErrorMessage="1" sqref="L555">
      <formula1>730120</formula1>
    </dataValidation>
    <dataValidation type="whole" allowBlank="1" showInputMessage="1" showErrorMessage="1" sqref="P555">
      <formula1>0</formula1>
      <formula2>100</formula2>
    </dataValidation>
    <dataValidation type="decimal" operator="greaterThanOrEqual" allowBlank="1" showInputMessage="1" showErrorMessage="1" sqref="Q555">
      <formula1>0</formula1>
    </dataValidation>
    <dataValidation type="decimal" operator="greaterThanOrEqual" allowBlank="1" showInputMessage="1" showErrorMessage="1" sqref="R555">
      <formula1>0</formula1>
    </dataValidation>
    <dataValidation type="whole" allowBlank="1" showInputMessage="1" showErrorMessage="1" sqref="U555">
      <formula1>1</formula1>
      <formula2>5</formula2>
    </dataValidation>
    <dataValidation type="whole" allowBlank="1" showInputMessage="1" showErrorMessage="1" sqref="V555">
      <formula1>1</formula1>
      <formula2>5</formula2>
    </dataValidation>
    <dataValidation type="whole" allowBlank="1" showInputMessage="1" showErrorMessage="1" sqref="X555">
      <formula1>1</formula1>
      <formula2>5</formula2>
    </dataValidation>
    <dataValidation type="decimal" operator="greaterThanOrEqual" allowBlank="1" showInputMessage="1" showErrorMessage="1" sqref="Y555">
      <formula1>0</formula1>
    </dataValidation>
    <dataValidation type="whole" operator="greaterThanOrEqual" allowBlank="1" showInputMessage="1" showErrorMessage="1" sqref="Z555">
      <formula1>0</formula1>
    </dataValidation>
    <dataValidation type="whole" allowBlank="1" showInputMessage="1" showErrorMessage="1" sqref="AA555">
      <formula1>1</formula1>
      <formula2>5</formula2>
    </dataValidation>
    <dataValidation type="decimal" allowBlank="1" showInputMessage="1" showErrorMessage="1" sqref="AB555">
      <formula1>0</formula1>
      <formula2>1</formula2>
    </dataValidation>
    <dataValidation type="list" allowBlank="1" showInputMessage="1" showErrorMessage="1" sqref="O555">
      <formula1>liste_statuts</formula1>
    </dataValidation>
    <dataValidation type="list" allowBlank="1" showInputMessage="1" showErrorMessage="1" sqref="B556">
      <formula1>liste_programmes</formula1>
    </dataValidation>
    <dataValidation type="list" allowBlank="1" showInputMessage="1" showErrorMessage="1" sqref="D556">
      <formula1>liste_types</formula1>
    </dataValidation>
    <dataValidation type="list" allowBlank="1" showInputMessage="1" showErrorMessage="1" sqref="F556">
      <formula1>liste_categories</formula1>
    </dataValidation>
    <dataValidation type="list" allowBlank="1" showInputMessage="1" showErrorMessage="1" sqref="G556">
      <formula1>liste_responsables</formula1>
    </dataValidation>
    <dataValidation type="list" allowBlank="1" showInputMessage="1" showErrorMessage="1" sqref="H556">
      <formula1>liste_sites</formula1>
    </dataValidation>
    <dataValidation type="list" allowBlank="1" showInputMessage="1" showErrorMessage="1" sqref="I556">
      <formula1>liste_priorites</formula1>
    </dataValidation>
    <dataValidation type="date" operator="greaterThanOrEqual" allowBlank="1" showInputMessage="1" showErrorMessage="1" sqref="J556">
      <formula1>730120</formula1>
    </dataValidation>
    <dataValidation type="date" operator="greaterThanOrEqual" allowBlank="1" showInputMessage="1" showErrorMessage="1" sqref="K556">
      <formula1>730120</formula1>
    </dataValidation>
    <dataValidation type="date" operator="greaterThanOrEqual" allowBlank="1" showInputMessage="1" showErrorMessage="1" sqref="L556">
      <formula1>730120</formula1>
    </dataValidation>
    <dataValidation type="whole" allowBlank="1" showInputMessage="1" showErrorMessage="1" sqref="P556">
      <formula1>0</formula1>
      <formula2>100</formula2>
    </dataValidation>
    <dataValidation type="decimal" operator="greaterThanOrEqual" allowBlank="1" showInputMessage="1" showErrorMessage="1" sqref="Q556">
      <formula1>0</formula1>
    </dataValidation>
    <dataValidation type="decimal" operator="greaterThanOrEqual" allowBlank="1" showInputMessage="1" showErrorMessage="1" sqref="R556">
      <formula1>0</formula1>
    </dataValidation>
    <dataValidation type="whole" allowBlank="1" showInputMessage="1" showErrorMessage="1" sqref="U556">
      <formula1>1</formula1>
      <formula2>5</formula2>
    </dataValidation>
    <dataValidation type="whole" allowBlank="1" showInputMessage="1" showErrorMessage="1" sqref="V556">
      <formula1>1</formula1>
      <formula2>5</formula2>
    </dataValidation>
    <dataValidation type="whole" allowBlank="1" showInputMessage="1" showErrorMessage="1" sqref="X556">
      <formula1>1</formula1>
      <formula2>5</formula2>
    </dataValidation>
    <dataValidation type="decimal" operator="greaterThanOrEqual" allowBlank="1" showInputMessage="1" showErrorMessage="1" sqref="Y556">
      <formula1>0</formula1>
    </dataValidation>
    <dataValidation type="whole" operator="greaterThanOrEqual" allowBlank="1" showInputMessage="1" showErrorMessage="1" sqref="Z556">
      <formula1>0</formula1>
    </dataValidation>
    <dataValidation type="whole" allowBlank="1" showInputMessage="1" showErrorMessage="1" sqref="AA556">
      <formula1>1</formula1>
      <formula2>5</formula2>
    </dataValidation>
    <dataValidation type="decimal" allowBlank="1" showInputMessage="1" showErrorMessage="1" sqref="AB556">
      <formula1>0</formula1>
      <formula2>1</formula2>
    </dataValidation>
    <dataValidation type="list" allowBlank="1" showInputMessage="1" showErrorMessage="1" sqref="O556">
      <formula1>liste_statuts</formula1>
    </dataValidation>
    <dataValidation type="list" allowBlank="1" showInputMessage="1" showErrorMessage="1" sqref="B557">
      <formula1>liste_programmes</formula1>
    </dataValidation>
    <dataValidation type="list" allowBlank="1" showInputMessage="1" showErrorMessage="1" sqref="D557">
      <formula1>liste_types</formula1>
    </dataValidation>
    <dataValidation type="list" allowBlank="1" showInputMessage="1" showErrorMessage="1" sqref="F557">
      <formula1>liste_categories</formula1>
    </dataValidation>
    <dataValidation type="list" allowBlank="1" showInputMessage="1" showErrorMessage="1" sqref="G557">
      <formula1>liste_responsables</formula1>
    </dataValidation>
    <dataValidation type="list" allowBlank="1" showInputMessage="1" showErrorMessage="1" sqref="H557">
      <formula1>liste_sites</formula1>
    </dataValidation>
    <dataValidation type="list" allowBlank="1" showInputMessage="1" showErrorMessage="1" sqref="I557">
      <formula1>liste_priorites</formula1>
    </dataValidation>
    <dataValidation type="date" operator="greaterThanOrEqual" allowBlank="1" showInputMessage="1" showErrorMessage="1" sqref="J557">
      <formula1>730120</formula1>
    </dataValidation>
    <dataValidation type="date" operator="greaterThanOrEqual" allowBlank="1" showInputMessage="1" showErrorMessage="1" sqref="K557">
      <formula1>730120</formula1>
    </dataValidation>
    <dataValidation type="date" operator="greaterThanOrEqual" allowBlank="1" showInputMessage="1" showErrorMessage="1" sqref="L557">
      <formula1>730120</formula1>
    </dataValidation>
    <dataValidation type="whole" allowBlank="1" showInputMessage="1" showErrorMessage="1" sqref="P557">
      <formula1>0</formula1>
      <formula2>100</formula2>
    </dataValidation>
    <dataValidation type="decimal" operator="greaterThanOrEqual" allowBlank="1" showInputMessage="1" showErrorMessage="1" sqref="Q557">
      <formula1>0</formula1>
    </dataValidation>
    <dataValidation type="decimal" operator="greaterThanOrEqual" allowBlank="1" showInputMessage="1" showErrorMessage="1" sqref="R557">
      <formula1>0</formula1>
    </dataValidation>
    <dataValidation type="whole" allowBlank="1" showInputMessage="1" showErrorMessage="1" sqref="U557">
      <formula1>1</formula1>
      <formula2>5</formula2>
    </dataValidation>
    <dataValidation type="whole" allowBlank="1" showInputMessage="1" showErrorMessage="1" sqref="V557">
      <formula1>1</formula1>
      <formula2>5</formula2>
    </dataValidation>
    <dataValidation type="whole" allowBlank="1" showInputMessage="1" showErrorMessage="1" sqref="X557">
      <formula1>1</formula1>
      <formula2>5</formula2>
    </dataValidation>
    <dataValidation type="decimal" operator="greaterThanOrEqual" allowBlank="1" showInputMessage="1" showErrorMessage="1" sqref="Y557">
      <formula1>0</formula1>
    </dataValidation>
    <dataValidation type="whole" operator="greaterThanOrEqual" allowBlank="1" showInputMessage="1" showErrorMessage="1" sqref="Z557">
      <formula1>0</formula1>
    </dataValidation>
    <dataValidation type="whole" allowBlank="1" showInputMessage="1" showErrorMessage="1" sqref="AA557">
      <formula1>1</formula1>
      <formula2>5</formula2>
    </dataValidation>
    <dataValidation type="decimal" allowBlank="1" showInputMessage="1" showErrorMessage="1" sqref="AB557">
      <formula1>0</formula1>
      <formula2>1</formula2>
    </dataValidation>
    <dataValidation type="list" allowBlank="1" showInputMessage="1" showErrorMessage="1" sqref="O557">
      <formula1>liste_statuts</formula1>
    </dataValidation>
    <dataValidation type="list" allowBlank="1" showInputMessage="1" showErrorMessage="1" sqref="B558">
      <formula1>liste_programmes</formula1>
    </dataValidation>
    <dataValidation type="list" allowBlank="1" showInputMessage="1" showErrorMessage="1" sqref="D558">
      <formula1>liste_types</formula1>
    </dataValidation>
    <dataValidation type="list" allowBlank="1" showInputMessage="1" showErrorMessage="1" sqref="F558">
      <formula1>liste_categories</formula1>
    </dataValidation>
    <dataValidation type="list" allowBlank="1" showInputMessage="1" showErrorMessage="1" sqref="G558">
      <formula1>liste_responsables</formula1>
    </dataValidation>
    <dataValidation type="list" allowBlank="1" showInputMessage="1" showErrorMessage="1" sqref="H558">
      <formula1>liste_sites</formula1>
    </dataValidation>
    <dataValidation type="list" allowBlank="1" showInputMessage="1" showErrorMessage="1" sqref="I558">
      <formula1>liste_priorites</formula1>
    </dataValidation>
    <dataValidation type="date" operator="greaterThanOrEqual" allowBlank="1" showInputMessage="1" showErrorMessage="1" sqref="J558">
      <formula1>730120</formula1>
    </dataValidation>
    <dataValidation type="date" operator="greaterThanOrEqual" allowBlank="1" showInputMessage="1" showErrorMessage="1" sqref="K558">
      <formula1>730120</formula1>
    </dataValidation>
    <dataValidation type="date" operator="greaterThanOrEqual" allowBlank="1" showInputMessage="1" showErrorMessage="1" sqref="L558">
      <formula1>730120</formula1>
    </dataValidation>
    <dataValidation type="whole" allowBlank="1" showInputMessage="1" showErrorMessage="1" sqref="P558">
      <formula1>0</formula1>
      <formula2>100</formula2>
    </dataValidation>
    <dataValidation type="decimal" operator="greaterThanOrEqual" allowBlank="1" showInputMessage="1" showErrorMessage="1" sqref="Q558">
      <formula1>0</formula1>
    </dataValidation>
    <dataValidation type="decimal" operator="greaterThanOrEqual" allowBlank="1" showInputMessage="1" showErrorMessage="1" sqref="R558">
      <formula1>0</formula1>
    </dataValidation>
    <dataValidation type="whole" allowBlank="1" showInputMessage="1" showErrorMessage="1" sqref="U558">
      <formula1>1</formula1>
      <formula2>5</formula2>
    </dataValidation>
    <dataValidation type="whole" allowBlank="1" showInputMessage="1" showErrorMessage="1" sqref="V558">
      <formula1>1</formula1>
      <formula2>5</formula2>
    </dataValidation>
    <dataValidation type="whole" allowBlank="1" showInputMessage="1" showErrorMessage="1" sqref="X558">
      <formula1>1</formula1>
      <formula2>5</formula2>
    </dataValidation>
    <dataValidation type="decimal" operator="greaterThanOrEqual" allowBlank="1" showInputMessage="1" showErrorMessage="1" sqref="Y558">
      <formula1>0</formula1>
    </dataValidation>
    <dataValidation type="whole" operator="greaterThanOrEqual" allowBlank="1" showInputMessage="1" showErrorMessage="1" sqref="Z558">
      <formula1>0</formula1>
    </dataValidation>
    <dataValidation type="whole" allowBlank="1" showInputMessage="1" showErrorMessage="1" sqref="AA558">
      <formula1>1</formula1>
      <formula2>5</formula2>
    </dataValidation>
    <dataValidation type="decimal" allowBlank="1" showInputMessage="1" showErrorMessage="1" sqref="AB558">
      <formula1>0</formula1>
      <formula2>1</formula2>
    </dataValidation>
    <dataValidation type="list" allowBlank="1" showInputMessage="1" showErrorMessage="1" sqref="O558">
      <formula1>liste_statuts</formula1>
    </dataValidation>
    <dataValidation type="list" allowBlank="1" showInputMessage="1" showErrorMessage="1" sqref="B559">
      <formula1>liste_programmes</formula1>
    </dataValidation>
    <dataValidation type="list" allowBlank="1" showInputMessage="1" showErrorMessage="1" sqref="D559">
      <formula1>liste_types</formula1>
    </dataValidation>
    <dataValidation type="list" allowBlank="1" showInputMessage="1" showErrorMessage="1" sqref="F559">
      <formula1>liste_categories</formula1>
    </dataValidation>
    <dataValidation type="list" allowBlank="1" showInputMessage="1" showErrorMessage="1" sqref="G559">
      <formula1>liste_responsables</formula1>
    </dataValidation>
    <dataValidation type="list" allowBlank="1" showInputMessage="1" showErrorMessage="1" sqref="H559">
      <formula1>liste_sites</formula1>
    </dataValidation>
    <dataValidation type="list" allowBlank="1" showInputMessage="1" showErrorMessage="1" sqref="I559">
      <formula1>liste_priorites</formula1>
    </dataValidation>
    <dataValidation type="date" operator="greaterThanOrEqual" allowBlank="1" showInputMessage="1" showErrorMessage="1" sqref="J559">
      <formula1>730120</formula1>
    </dataValidation>
    <dataValidation type="date" operator="greaterThanOrEqual" allowBlank="1" showInputMessage="1" showErrorMessage="1" sqref="K559">
      <formula1>730120</formula1>
    </dataValidation>
    <dataValidation type="date" operator="greaterThanOrEqual" allowBlank="1" showInputMessage="1" showErrorMessage="1" sqref="L559">
      <formula1>730120</formula1>
    </dataValidation>
    <dataValidation type="whole" allowBlank="1" showInputMessage="1" showErrorMessage="1" sqref="P559">
      <formula1>0</formula1>
      <formula2>100</formula2>
    </dataValidation>
    <dataValidation type="decimal" operator="greaterThanOrEqual" allowBlank="1" showInputMessage="1" showErrorMessage="1" sqref="Q559">
      <formula1>0</formula1>
    </dataValidation>
    <dataValidation type="decimal" operator="greaterThanOrEqual" allowBlank="1" showInputMessage="1" showErrorMessage="1" sqref="R559">
      <formula1>0</formula1>
    </dataValidation>
    <dataValidation type="whole" allowBlank="1" showInputMessage="1" showErrorMessage="1" sqref="U559">
      <formula1>1</formula1>
      <formula2>5</formula2>
    </dataValidation>
    <dataValidation type="whole" allowBlank="1" showInputMessage="1" showErrorMessage="1" sqref="V559">
      <formula1>1</formula1>
      <formula2>5</formula2>
    </dataValidation>
    <dataValidation type="whole" allowBlank="1" showInputMessage="1" showErrorMessage="1" sqref="X559">
      <formula1>1</formula1>
      <formula2>5</formula2>
    </dataValidation>
    <dataValidation type="decimal" operator="greaterThanOrEqual" allowBlank="1" showInputMessage="1" showErrorMessage="1" sqref="Y559">
      <formula1>0</formula1>
    </dataValidation>
    <dataValidation type="whole" operator="greaterThanOrEqual" allowBlank="1" showInputMessage="1" showErrorMessage="1" sqref="Z559">
      <formula1>0</formula1>
    </dataValidation>
    <dataValidation type="whole" allowBlank="1" showInputMessage="1" showErrorMessage="1" sqref="AA559">
      <formula1>1</formula1>
      <formula2>5</formula2>
    </dataValidation>
    <dataValidation type="decimal" allowBlank="1" showInputMessage="1" showErrorMessage="1" sqref="AB559">
      <formula1>0</formula1>
      <formula2>1</formula2>
    </dataValidation>
    <dataValidation type="list" allowBlank="1" showInputMessage="1" showErrorMessage="1" sqref="O559">
      <formula1>liste_statuts</formula1>
    </dataValidation>
    <dataValidation type="list" allowBlank="1" showInputMessage="1" showErrorMessage="1" sqref="B560">
      <formula1>liste_programmes</formula1>
    </dataValidation>
    <dataValidation type="list" allowBlank="1" showInputMessage="1" showErrorMessage="1" sqref="D560">
      <formula1>liste_types</formula1>
    </dataValidation>
    <dataValidation type="list" allowBlank="1" showInputMessage="1" showErrorMessage="1" sqref="F560">
      <formula1>liste_categories</formula1>
    </dataValidation>
    <dataValidation type="list" allowBlank="1" showInputMessage="1" showErrorMessage="1" sqref="G560">
      <formula1>liste_responsables</formula1>
    </dataValidation>
    <dataValidation type="list" allowBlank="1" showInputMessage="1" showErrorMessage="1" sqref="H560">
      <formula1>liste_sites</formula1>
    </dataValidation>
    <dataValidation type="list" allowBlank="1" showInputMessage="1" showErrorMessage="1" sqref="I560">
      <formula1>liste_priorites</formula1>
    </dataValidation>
    <dataValidation type="date" operator="greaterThanOrEqual" allowBlank="1" showInputMessage="1" showErrorMessage="1" sqref="J560">
      <formula1>730120</formula1>
    </dataValidation>
    <dataValidation type="date" operator="greaterThanOrEqual" allowBlank="1" showInputMessage="1" showErrorMessage="1" sqref="K560">
      <formula1>730120</formula1>
    </dataValidation>
    <dataValidation type="date" operator="greaterThanOrEqual" allowBlank="1" showInputMessage="1" showErrorMessage="1" sqref="L560">
      <formula1>730120</formula1>
    </dataValidation>
    <dataValidation type="whole" allowBlank="1" showInputMessage="1" showErrorMessage="1" sqref="P560">
      <formula1>0</formula1>
      <formula2>100</formula2>
    </dataValidation>
    <dataValidation type="decimal" operator="greaterThanOrEqual" allowBlank="1" showInputMessage="1" showErrorMessage="1" sqref="Q560">
      <formula1>0</formula1>
    </dataValidation>
    <dataValidation type="decimal" operator="greaterThanOrEqual" allowBlank="1" showInputMessage="1" showErrorMessage="1" sqref="R560">
      <formula1>0</formula1>
    </dataValidation>
    <dataValidation type="whole" allowBlank="1" showInputMessage="1" showErrorMessage="1" sqref="U560">
      <formula1>1</formula1>
      <formula2>5</formula2>
    </dataValidation>
    <dataValidation type="whole" allowBlank="1" showInputMessage="1" showErrorMessage="1" sqref="V560">
      <formula1>1</formula1>
      <formula2>5</formula2>
    </dataValidation>
    <dataValidation type="whole" allowBlank="1" showInputMessage="1" showErrorMessage="1" sqref="X560">
      <formula1>1</formula1>
      <formula2>5</formula2>
    </dataValidation>
    <dataValidation type="decimal" operator="greaterThanOrEqual" allowBlank="1" showInputMessage="1" showErrorMessage="1" sqref="Y560">
      <formula1>0</formula1>
    </dataValidation>
    <dataValidation type="whole" operator="greaterThanOrEqual" allowBlank="1" showInputMessage="1" showErrorMessage="1" sqref="Z560">
      <formula1>0</formula1>
    </dataValidation>
    <dataValidation type="whole" allowBlank="1" showInputMessage="1" showErrorMessage="1" sqref="AA560">
      <formula1>1</formula1>
      <formula2>5</formula2>
    </dataValidation>
    <dataValidation type="decimal" allowBlank="1" showInputMessage="1" showErrorMessage="1" sqref="AB560">
      <formula1>0</formula1>
      <formula2>1</formula2>
    </dataValidation>
    <dataValidation type="list" allowBlank="1" showInputMessage="1" showErrorMessage="1" sqref="O560">
      <formula1>liste_statuts</formula1>
    </dataValidation>
    <dataValidation type="list" allowBlank="1" showInputMessage="1" showErrorMessage="1" sqref="B561">
      <formula1>liste_programmes</formula1>
    </dataValidation>
    <dataValidation type="list" allowBlank="1" showInputMessage="1" showErrorMessage="1" sqref="D561">
      <formula1>liste_types</formula1>
    </dataValidation>
    <dataValidation type="list" allowBlank="1" showInputMessage="1" showErrorMessage="1" sqref="F561">
      <formula1>liste_categories</formula1>
    </dataValidation>
    <dataValidation type="list" allowBlank="1" showInputMessage="1" showErrorMessage="1" sqref="G561">
      <formula1>liste_responsables</formula1>
    </dataValidation>
    <dataValidation type="list" allowBlank="1" showInputMessage="1" showErrorMessage="1" sqref="H561">
      <formula1>liste_sites</formula1>
    </dataValidation>
    <dataValidation type="list" allowBlank="1" showInputMessage="1" showErrorMessage="1" sqref="I561">
      <formula1>liste_priorites</formula1>
    </dataValidation>
    <dataValidation type="date" operator="greaterThanOrEqual" allowBlank="1" showInputMessage="1" showErrorMessage="1" sqref="J561">
      <formula1>730120</formula1>
    </dataValidation>
    <dataValidation type="date" operator="greaterThanOrEqual" allowBlank="1" showInputMessage="1" showErrorMessage="1" sqref="K561">
      <formula1>730120</formula1>
    </dataValidation>
    <dataValidation type="date" operator="greaterThanOrEqual" allowBlank="1" showInputMessage="1" showErrorMessage="1" sqref="L561">
      <formula1>730120</formula1>
    </dataValidation>
    <dataValidation type="whole" allowBlank="1" showInputMessage="1" showErrorMessage="1" sqref="P561">
      <formula1>0</formula1>
      <formula2>100</formula2>
    </dataValidation>
    <dataValidation type="decimal" operator="greaterThanOrEqual" allowBlank="1" showInputMessage="1" showErrorMessage="1" sqref="Q561">
      <formula1>0</formula1>
    </dataValidation>
    <dataValidation type="decimal" operator="greaterThanOrEqual" allowBlank="1" showInputMessage="1" showErrorMessage="1" sqref="R561">
      <formula1>0</formula1>
    </dataValidation>
    <dataValidation type="whole" allowBlank="1" showInputMessage="1" showErrorMessage="1" sqref="U561">
      <formula1>1</formula1>
      <formula2>5</formula2>
    </dataValidation>
    <dataValidation type="whole" allowBlank="1" showInputMessage="1" showErrorMessage="1" sqref="V561">
      <formula1>1</formula1>
      <formula2>5</formula2>
    </dataValidation>
    <dataValidation type="whole" allowBlank="1" showInputMessage="1" showErrorMessage="1" sqref="X561">
      <formula1>1</formula1>
      <formula2>5</formula2>
    </dataValidation>
    <dataValidation type="decimal" operator="greaterThanOrEqual" allowBlank="1" showInputMessage="1" showErrorMessage="1" sqref="Y561">
      <formula1>0</formula1>
    </dataValidation>
    <dataValidation type="whole" operator="greaterThanOrEqual" allowBlank="1" showInputMessage="1" showErrorMessage="1" sqref="Z561">
      <formula1>0</formula1>
    </dataValidation>
    <dataValidation type="whole" allowBlank="1" showInputMessage="1" showErrorMessage="1" sqref="AA561">
      <formula1>1</formula1>
      <formula2>5</formula2>
    </dataValidation>
    <dataValidation type="decimal" allowBlank="1" showInputMessage="1" showErrorMessage="1" sqref="AB561">
      <formula1>0</formula1>
      <formula2>1</formula2>
    </dataValidation>
    <dataValidation type="list" allowBlank="1" showInputMessage="1" showErrorMessage="1" sqref="O561">
      <formula1>liste_statuts</formula1>
    </dataValidation>
    <dataValidation type="list" allowBlank="1" showInputMessage="1" showErrorMessage="1" sqref="B562">
      <formula1>liste_programmes</formula1>
    </dataValidation>
    <dataValidation type="list" allowBlank="1" showInputMessage="1" showErrorMessage="1" sqref="D562">
      <formula1>liste_types</formula1>
    </dataValidation>
    <dataValidation type="list" allowBlank="1" showInputMessage="1" showErrorMessage="1" sqref="F562">
      <formula1>liste_categories</formula1>
    </dataValidation>
    <dataValidation type="list" allowBlank="1" showInputMessage="1" showErrorMessage="1" sqref="G562">
      <formula1>liste_responsables</formula1>
    </dataValidation>
    <dataValidation type="list" allowBlank="1" showInputMessage="1" showErrorMessage="1" sqref="H562">
      <formula1>liste_sites</formula1>
    </dataValidation>
    <dataValidation type="list" allowBlank="1" showInputMessage="1" showErrorMessage="1" sqref="I562">
      <formula1>liste_priorites</formula1>
    </dataValidation>
    <dataValidation type="date" operator="greaterThanOrEqual" allowBlank="1" showInputMessage="1" showErrorMessage="1" sqref="J562">
      <formula1>730120</formula1>
    </dataValidation>
    <dataValidation type="date" operator="greaterThanOrEqual" allowBlank="1" showInputMessage="1" showErrorMessage="1" sqref="K562">
      <formula1>730120</formula1>
    </dataValidation>
    <dataValidation type="date" operator="greaterThanOrEqual" allowBlank="1" showInputMessage="1" showErrorMessage="1" sqref="L562">
      <formula1>730120</formula1>
    </dataValidation>
    <dataValidation type="whole" allowBlank="1" showInputMessage="1" showErrorMessage="1" sqref="P562">
      <formula1>0</formula1>
      <formula2>100</formula2>
    </dataValidation>
    <dataValidation type="decimal" operator="greaterThanOrEqual" allowBlank="1" showInputMessage="1" showErrorMessage="1" sqref="Q562">
      <formula1>0</formula1>
    </dataValidation>
    <dataValidation type="decimal" operator="greaterThanOrEqual" allowBlank="1" showInputMessage="1" showErrorMessage="1" sqref="R562">
      <formula1>0</formula1>
    </dataValidation>
    <dataValidation type="whole" allowBlank="1" showInputMessage="1" showErrorMessage="1" sqref="U562">
      <formula1>1</formula1>
      <formula2>5</formula2>
    </dataValidation>
    <dataValidation type="whole" allowBlank="1" showInputMessage="1" showErrorMessage="1" sqref="V562">
      <formula1>1</formula1>
      <formula2>5</formula2>
    </dataValidation>
    <dataValidation type="whole" allowBlank="1" showInputMessage="1" showErrorMessage="1" sqref="X562">
      <formula1>1</formula1>
      <formula2>5</formula2>
    </dataValidation>
    <dataValidation type="decimal" operator="greaterThanOrEqual" allowBlank="1" showInputMessage="1" showErrorMessage="1" sqref="Y562">
      <formula1>0</formula1>
    </dataValidation>
    <dataValidation type="whole" operator="greaterThanOrEqual" allowBlank="1" showInputMessage="1" showErrorMessage="1" sqref="Z562">
      <formula1>0</formula1>
    </dataValidation>
    <dataValidation type="whole" allowBlank="1" showInputMessage="1" showErrorMessage="1" sqref="AA562">
      <formula1>1</formula1>
      <formula2>5</formula2>
    </dataValidation>
    <dataValidation type="decimal" allowBlank="1" showInputMessage="1" showErrorMessage="1" sqref="AB562">
      <formula1>0</formula1>
      <formula2>1</formula2>
    </dataValidation>
    <dataValidation type="list" allowBlank="1" showInputMessage="1" showErrorMessage="1" sqref="O562">
      <formula1>liste_statuts</formula1>
    </dataValidation>
    <dataValidation type="list" allowBlank="1" showInputMessage="1" showErrorMessage="1" sqref="B563">
      <formula1>liste_programmes</formula1>
    </dataValidation>
    <dataValidation type="list" allowBlank="1" showInputMessage="1" showErrorMessage="1" sqref="D563">
      <formula1>liste_types</formula1>
    </dataValidation>
    <dataValidation type="list" allowBlank="1" showInputMessage="1" showErrorMessage="1" sqref="F563">
      <formula1>liste_categories</formula1>
    </dataValidation>
    <dataValidation type="list" allowBlank="1" showInputMessage="1" showErrorMessage="1" sqref="G563">
      <formula1>liste_responsables</formula1>
    </dataValidation>
    <dataValidation type="list" allowBlank="1" showInputMessage="1" showErrorMessage="1" sqref="H563">
      <formula1>liste_sites</formula1>
    </dataValidation>
    <dataValidation type="list" allowBlank="1" showInputMessage="1" showErrorMessage="1" sqref="I563">
      <formula1>liste_priorites</formula1>
    </dataValidation>
    <dataValidation type="date" operator="greaterThanOrEqual" allowBlank="1" showInputMessage="1" showErrorMessage="1" sqref="J563">
      <formula1>730120</formula1>
    </dataValidation>
    <dataValidation type="date" operator="greaterThanOrEqual" allowBlank="1" showInputMessage="1" showErrorMessage="1" sqref="K563">
      <formula1>730120</formula1>
    </dataValidation>
    <dataValidation type="date" operator="greaterThanOrEqual" allowBlank="1" showInputMessage="1" showErrorMessage="1" sqref="L563">
      <formula1>730120</formula1>
    </dataValidation>
    <dataValidation type="whole" allowBlank="1" showInputMessage="1" showErrorMessage="1" sqref="P563">
      <formula1>0</formula1>
      <formula2>100</formula2>
    </dataValidation>
    <dataValidation type="decimal" operator="greaterThanOrEqual" allowBlank="1" showInputMessage="1" showErrorMessage="1" sqref="Q563">
      <formula1>0</formula1>
    </dataValidation>
    <dataValidation type="decimal" operator="greaterThanOrEqual" allowBlank="1" showInputMessage="1" showErrorMessage="1" sqref="R563">
      <formula1>0</formula1>
    </dataValidation>
    <dataValidation type="whole" allowBlank="1" showInputMessage="1" showErrorMessage="1" sqref="U563">
      <formula1>1</formula1>
      <formula2>5</formula2>
    </dataValidation>
    <dataValidation type="whole" allowBlank="1" showInputMessage="1" showErrorMessage="1" sqref="V563">
      <formula1>1</formula1>
      <formula2>5</formula2>
    </dataValidation>
    <dataValidation type="whole" allowBlank="1" showInputMessage="1" showErrorMessage="1" sqref="X563">
      <formula1>1</formula1>
      <formula2>5</formula2>
    </dataValidation>
    <dataValidation type="decimal" operator="greaterThanOrEqual" allowBlank="1" showInputMessage="1" showErrorMessage="1" sqref="Y563">
      <formula1>0</formula1>
    </dataValidation>
    <dataValidation type="whole" operator="greaterThanOrEqual" allowBlank="1" showInputMessage="1" showErrorMessage="1" sqref="Z563">
      <formula1>0</formula1>
    </dataValidation>
    <dataValidation type="whole" allowBlank="1" showInputMessage="1" showErrorMessage="1" sqref="AA563">
      <formula1>1</formula1>
      <formula2>5</formula2>
    </dataValidation>
    <dataValidation type="decimal" allowBlank="1" showInputMessage="1" showErrorMessage="1" sqref="AB563">
      <formula1>0</formula1>
      <formula2>1</formula2>
    </dataValidation>
    <dataValidation type="list" allowBlank="1" showInputMessage="1" showErrorMessage="1" sqref="O563">
      <formula1>liste_statuts</formula1>
    </dataValidation>
    <dataValidation type="list" allowBlank="1" showInputMessage="1" showErrorMessage="1" sqref="B564">
      <formula1>liste_programmes</formula1>
    </dataValidation>
    <dataValidation type="list" allowBlank="1" showInputMessage="1" showErrorMessage="1" sqref="D564">
      <formula1>liste_types</formula1>
    </dataValidation>
    <dataValidation type="list" allowBlank="1" showInputMessage="1" showErrorMessage="1" sqref="F564">
      <formula1>liste_categories</formula1>
    </dataValidation>
    <dataValidation type="list" allowBlank="1" showInputMessage="1" showErrorMessage="1" sqref="G564">
      <formula1>liste_responsables</formula1>
    </dataValidation>
    <dataValidation type="list" allowBlank="1" showInputMessage="1" showErrorMessage="1" sqref="H564">
      <formula1>liste_sites</formula1>
    </dataValidation>
    <dataValidation type="list" allowBlank="1" showInputMessage="1" showErrorMessage="1" sqref="I564">
      <formula1>liste_priorites</formula1>
    </dataValidation>
    <dataValidation type="date" operator="greaterThanOrEqual" allowBlank="1" showInputMessage="1" showErrorMessage="1" sqref="J564">
      <formula1>730120</formula1>
    </dataValidation>
    <dataValidation type="date" operator="greaterThanOrEqual" allowBlank="1" showInputMessage="1" showErrorMessage="1" sqref="K564">
      <formula1>730120</formula1>
    </dataValidation>
    <dataValidation type="date" operator="greaterThanOrEqual" allowBlank="1" showInputMessage="1" showErrorMessage="1" sqref="L564">
      <formula1>730120</formula1>
    </dataValidation>
    <dataValidation type="whole" allowBlank="1" showInputMessage="1" showErrorMessage="1" sqref="P564">
      <formula1>0</formula1>
      <formula2>100</formula2>
    </dataValidation>
    <dataValidation type="decimal" operator="greaterThanOrEqual" allowBlank="1" showInputMessage="1" showErrorMessage="1" sqref="Q564">
      <formula1>0</formula1>
    </dataValidation>
    <dataValidation type="decimal" operator="greaterThanOrEqual" allowBlank="1" showInputMessage="1" showErrorMessage="1" sqref="R564">
      <formula1>0</formula1>
    </dataValidation>
    <dataValidation type="whole" allowBlank="1" showInputMessage="1" showErrorMessage="1" sqref="U564">
      <formula1>1</formula1>
      <formula2>5</formula2>
    </dataValidation>
    <dataValidation type="whole" allowBlank="1" showInputMessage="1" showErrorMessage="1" sqref="V564">
      <formula1>1</formula1>
      <formula2>5</formula2>
    </dataValidation>
    <dataValidation type="whole" allowBlank="1" showInputMessage="1" showErrorMessage="1" sqref="X564">
      <formula1>1</formula1>
      <formula2>5</formula2>
    </dataValidation>
    <dataValidation type="decimal" operator="greaterThanOrEqual" allowBlank="1" showInputMessage="1" showErrorMessage="1" sqref="Y564">
      <formula1>0</formula1>
    </dataValidation>
    <dataValidation type="whole" operator="greaterThanOrEqual" allowBlank="1" showInputMessage="1" showErrorMessage="1" sqref="Z564">
      <formula1>0</formula1>
    </dataValidation>
    <dataValidation type="whole" allowBlank="1" showInputMessage="1" showErrorMessage="1" sqref="AA564">
      <formula1>1</formula1>
      <formula2>5</formula2>
    </dataValidation>
    <dataValidation type="decimal" allowBlank="1" showInputMessage="1" showErrorMessage="1" sqref="AB564">
      <formula1>0</formula1>
      <formula2>1</formula2>
    </dataValidation>
    <dataValidation type="list" allowBlank="1" showInputMessage="1" showErrorMessage="1" sqref="O564">
      <formula1>liste_statuts</formula1>
    </dataValidation>
    <dataValidation type="list" allowBlank="1" showInputMessage="1" showErrorMessage="1" sqref="B565">
      <formula1>liste_programmes</formula1>
    </dataValidation>
    <dataValidation type="list" allowBlank="1" showInputMessage="1" showErrorMessage="1" sqref="D565">
      <formula1>liste_types</formula1>
    </dataValidation>
    <dataValidation type="list" allowBlank="1" showInputMessage="1" showErrorMessage="1" sqref="F565">
      <formula1>liste_categories</formula1>
    </dataValidation>
    <dataValidation type="list" allowBlank="1" showInputMessage="1" showErrorMessage="1" sqref="G565">
      <formula1>liste_responsables</formula1>
    </dataValidation>
    <dataValidation type="list" allowBlank="1" showInputMessage="1" showErrorMessage="1" sqref="H565">
      <formula1>liste_sites</formula1>
    </dataValidation>
    <dataValidation type="list" allowBlank="1" showInputMessage="1" showErrorMessage="1" sqref="I565">
      <formula1>liste_priorites</formula1>
    </dataValidation>
    <dataValidation type="date" operator="greaterThanOrEqual" allowBlank="1" showInputMessage="1" showErrorMessage="1" sqref="J565">
      <formula1>730120</formula1>
    </dataValidation>
    <dataValidation type="date" operator="greaterThanOrEqual" allowBlank="1" showInputMessage="1" showErrorMessage="1" sqref="K565">
      <formula1>730120</formula1>
    </dataValidation>
    <dataValidation type="date" operator="greaterThanOrEqual" allowBlank="1" showInputMessage="1" showErrorMessage="1" sqref="L565">
      <formula1>730120</formula1>
    </dataValidation>
    <dataValidation type="whole" allowBlank="1" showInputMessage="1" showErrorMessage="1" sqref="P565">
      <formula1>0</formula1>
      <formula2>100</formula2>
    </dataValidation>
    <dataValidation type="decimal" operator="greaterThanOrEqual" allowBlank="1" showInputMessage="1" showErrorMessage="1" sqref="Q565">
      <formula1>0</formula1>
    </dataValidation>
    <dataValidation type="decimal" operator="greaterThanOrEqual" allowBlank="1" showInputMessage="1" showErrorMessage="1" sqref="R565">
      <formula1>0</formula1>
    </dataValidation>
    <dataValidation type="whole" allowBlank="1" showInputMessage="1" showErrorMessage="1" sqref="U565">
      <formula1>1</formula1>
      <formula2>5</formula2>
    </dataValidation>
    <dataValidation type="whole" allowBlank="1" showInputMessage="1" showErrorMessage="1" sqref="V565">
      <formula1>1</formula1>
      <formula2>5</formula2>
    </dataValidation>
    <dataValidation type="whole" allowBlank="1" showInputMessage="1" showErrorMessage="1" sqref="X565">
      <formula1>1</formula1>
      <formula2>5</formula2>
    </dataValidation>
    <dataValidation type="decimal" operator="greaterThanOrEqual" allowBlank="1" showInputMessage="1" showErrorMessage="1" sqref="Y565">
      <formula1>0</formula1>
    </dataValidation>
    <dataValidation type="whole" operator="greaterThanOrEqual" allowBlank="1" showInputMessage="1" showErrorMessage="1" sqref="Z565">
      <formula1>0</formula1>
    </dataValidation>
    <dataValidation type="whole" allowBlank="1" showInputMessage="1" showErrorMessage="1" sqref="AA565">
      <formula1>1</formula1>
      <formula2>5</formula2>
    </dataValidation>
    <dataValidation type="decimal" allowBlank="1" showInputMessage="1" showErrorMessage="1" sqref="AB565">
      <formula1>0</formula1>
      <formula2>1</formula2>
    </dataValidation>
    <dataValidation type="list" allowBlank="1" showInputMessage="1" showErrorMessage="1" sqref="O565">
      <formula1>liste_statuts</formula1>
    </dataValidation>
    <dataValidation type="list" allowBlank="1" showInputMessage="1" showErrorMessage="1" sqref="B566">
      <formula1>liste_programmes</formula1>
    </dataValidation>
    <dataValidation type="list" allowBlank="1" showInputMessage="1" showErrorMessage="1" sqref="D566">
      <formula1>liste_types</formula1>
    </dataValidation>
    <dataValidation type="list" allowBlank="1" showInputMessage="1" showErrorMessage="1" sqref="F566">
      <formula1>liste_categories</formula1>
    </dataValidation>
    <dataValidation type="list" allowBlank="1" showInputMessage="1" showErrorMessage="1" sqref="G566">
      <formula1>liste_responsables</formula1>
    </dataValidation>
    <dataValidation type="list" allowBlank="1" showInputMessage="1" showErrorMessage="1" sqref="H566">
      <formula1>liste_sites</formula1>
    </dataValidation>
    <dataValidation type="list" allowBlank="1" showInputMessage="1" showErrorMessage="1" sqref="I566">
      <formula1>liste_priorites</formula1>
    </dataValidation>
    <dataValidation type="date" operator="greaterThanOrEqual" allowBlank="1" showInputMessage="1" showErrorMessage="1" sqref="J566">
      <formula1>730120</formula1>
    </dataValidation>
    <dataValidation type="date" operator="greaterThanOrEqual" allowBlank="1" showInputMessage="1" showErrorMessage="1" sqref="K566">
      <formula1>730120</formula1>
    </dataValidation>
    <dataValidation type="date" operator="greaterThanOrEqual" allowBlank="1" showInputMessage="1" showErrorMessage="1" sqref="L566">
      <formula1>730120</formula1>
    </dataValidation>
    <dataValidation type="whole" allowBlank="1" showInputMessage="1" showErrorMessage="1" sqref="P566">
      <formula1>0</formula1>
      <formula2>100</formula2>
    </dataValidation>
    <dataValidation type="decimal" operator="greaterThanOrEqual" allowBlank="1" showInputMessage="1" showErrorMessage="1" sqref="Q566">
      <formula1>0</formula1>
    </dataValidation>
    <dataValidation type="decimal" operator="greaterThanOrEqual" allowBlank="1" showInputMessage="1" showErrorMessage="1" sqref="R566">
      <formula1>0</formula1>
    </dataValidation>
    <dataValidation type="whole" allowBlank="1" showInputMessage="1" showErrorMessage="1" sqref="U566">
      <formula1>1</formula1>
      <formula2>5</formula2>
    </dataValidation>
    <dataValidation type="whole" allowBlank="1" showInputMessage="1" showErrorMessage="1" sqref="V566">
      <formula1>1</formula1>
      <formula2>5</formula2>
    </dataValidation>
    <dataValidation type="whole" allowBlank="1" showInputMessage="1" showErrorMessage="1" sqref="X566">
      <formula1>1</formula1>
      <formula2>5</formula2>
    </dataValidation>
    <dataValidation type="decimal" operator="greaterThanOrEqual" allowBlank="1" showInputMessage="1" showErrorMessage="1" sqref="Y566">
      <formula1>0</formula1>
    </dataValidation>
    <dataValidation type="whole" operator="greaterThanOrEqual" allowBlank="1" showInputMessage="1" showErrorMessage="1" sqref="Z566">
      <formula1>0</formula1>
    </dataValidation>
    <dataValidation type="whole" allowBlank="1" showInputMessage="1" showErrorMessage="1" sqref="AA566">
      <formula1>1</formula1>
      <formula2>5</formula2>
    </dataValidation>
    <dataValidation type="decimal" allowBlank="1" showInputMessage="1" showErrorMessage="1" sqref="AB566">
      <formula1>0</formula1>
      <formula2>1</formula2>
    </dataValidation>
    <dataValidation type="list" allowBlank="1" showInputMessage="1" showErrorMessage="1" sqref="O566">
      <formula1>liste_statuts</formula1>
    </dataValidation>
    <dataValidation type="list" allowBlank="1" showInputMessage="1" showErrorMessage="1" sqref="B567">
      <formula1>liste_programmes</formula1>
    </dataValidation>
    <dataValidation type="list" allowBlank="1" showInputMessage="1" showErrorMessage="1" sqref="D567">
      <formula1>liste_types</formula1>
    </dataValidation>
    <dataValidation type="list" allowBlank="1" showInputMessage="1" showErrorMessage="1" sqref="F567">
      <formula1>liste_categories</formula1>
    </dataValidation>
    <dataValidation type="list" allowBlank="1" showInputMessage="1" showErrorMessage="1" sqref="G567">
      <formula1>liste_responsables</formula1>
    </dataValidation>
    <dataValidation type="list" allowBlank="1" showInputMessage="1" showErrorMessage="1" sqref="H567">
      <formula1>liste_sites</formula1>
    </dataValidation>
    <dataValidation type="list" allowBlank="1" showInputMessage="1" showErrorMessage="1" sqref="I567">
      <formula1>liste_priorites</formula1>
    </dataValidation>
    <dataValidation type="date" operator="greaterThanOrEqual" allowBlank="1" showInputMessage="1" showErrorMessage="1" sqref="J567">
      <formula1>730120</formula1>
    </dataValidation>
    <dataValidation type="date" operator="greaterThanOrEqual" allowBlank="1" showInputMessage="1" showErrorMessage="1" sqref="K567">
      <formula1>730120</formula1>
    </dataValidation>
    <dataValidation type="date" operator="greaterThanOrEqual" allowBlank="1" showInputMessage="1" showErrorMessage="1" sqref="L567">
      <formula1>730120</formula1>
    </dataValidation>
    <dataValidation type="whole" allowBlank="1" showInputMessage="1" showErrorMessage="1" sqref="P567">
      <formula1>0</formula1>
      <formula2>100</formula2>
    </dataValidation>
    <dataValidation type="decimal" operator="greaterThanOrEqual" allowBlank="1" showInputMessage="1" showErrorMessage="1" sqref="Q567">
      <formula1>0</formula1>
    </dataValidation>
    <dataValidation type="decimal" operator="greaterThanOrEqual" allowBlank="1" showInputMessage="1" showErrorMessage="1" sqref="R567">
      <formula1>0</formula1>
    </dataValidation>
    <dataValidation type="whole" allowBlank="1" showInputMessage="1" showErrorMessage="1" sqref="U567">
      <formula1>1</formula1>
      <formula2>5</formula2>
    </dataValidation>
    <dataValidation type="whole" allowBlank="1" showInputMessage="1" showErrorMessage="1" sqref="V567">
      <formula1>1</formula1>
      <formula2>5</formula2>
    </dataValidation>
    <dataValidation type="whole" allowBlank="1" showInputMessage="1" showErrorMessage="1" sqref="X567">
      <formula1>1</formula1>
      <formula2>5</formula2>
    </dataValidation>
    <dataValidation type="decimal" operator="greaterThanOrEqual" allowBlank="1" showInputMessage="1" showErrorMessage="1" sqref="Y567">
      <formula1>0</formula1>
    </dataValidation>
    <dataValidation type="whole" operator="greaterThanOrEqual" allowBlank="1" showInputMessage="1" showErrorMessage="1" sqref="Z567">
      <formula1>0</formula1>
    </dataValidation>
    <dataValidation type="whole" allowBlank="1" showInputMessage="1" showErrorMessage="1" sqref="AA567">
      <formula1>1</formula1>
      <formula2>5</formula2>
    </dataValidation>
    <dataValidation type="decimal" allowBlank="1" showInputMessage="1" showErrorMessage="1" sqref="AB567">
      <formula1>0</formula1>
      <formula2>1</formula2>
    </dataValidation>
    <dataValidation type="list" allowBlank="1" showInputMessage="1" showErrorMessage="1" sqref="O567">
      <formula1>liste_statuts</formula1>
    </dataValidation>
    <dataValidation type="list" allowBlank="1" showInputMessage="1" showErrorMessage="1" sqref="B568">
      <formula1>liste_programmes</formula1>
    </dataValidation>
    <dataValidation type="list" allowBlank="1" showInputMessage="1" showErrorMessage="1" sqref="D568">
      <formula1>liste_types</formula1>
    </dataValidation>
    <dataValidation type="list" allowBlank="1" showInputMessage="1" showErrorMessage="1" sqref="F568">
      <formula1>liste_categories</formula1>
    </dataValidation>
    <dataValidation type="list" allowBlank="1" showInputMessage="1" showErrorMessage="1" sqref="G568">
      <formula1>liste_responsables</formula1>
    </dataValidation>
    <dataValidation type="list" allowBlank="1" showInputMessage="1" showErrorMessage="1" sqref="H568">
      <formula1>liste_sites</formula1>
    </dataValidation>
    <dataValidation type="list" allowBlank="1" showInputMessage="1" showErrorMessage="1" sqref="I568">
      <formula1>liste_priorites</formula1>
    </dataValidation>
    <dataValidation type="date" operator="greaterThanOrEqual" allowBlank="1" showInputMessage="1" showErrorMessage="1" sqref="J568">
      <formula1>730120</formula1>
    </dataValidation>
    <dataValidation type="date" operator="greaterThanOrEqual" allowBlank="1" showInputMessage="1" showErrorMessage="1" sqref="K568">
      <formula1>730120</formula1>
    </dataValidation>
    <dataValidation type="date" operator="greaterThanOrEqual" allowBlank="1" showInputMessage="1" showErrorMessage="1" sqref="L568">
      <formula1>730120</formula1>
    </dataValidation>
    <dataValidation type="whole" allowBlank="1" showInputMessage="1" showErrorMessage="1" sqref="P568">
      <formula1>0</formula1>
      <formula2>100</formula2>
    </dataValidation>
    <dataValidation type="decimal" operator="greaterThanOrEqual" allowBlank="1" showInputMessage="1" showErrorMessage="1" sqref="Q568">
      <formula1>0</formula1>
    </dataValidation>
    <dataValidation type="decimal" operator="greaterThanOrEqual" allowBlank="1" showInputMessage="1" showErrorMessage="1" sqref="R568">
      <formula1>0</formula1>
    </dataValidation>
    <dataValidation type="whole" allowBlank="1" showInputMessage="1" showErrorMessage="1" sqref="U568">
      <formula1>1</formula1>
      <formula2>5</formula2>
    </dataValidation>
    <dataValidation type="whole" allowBlank="1" showInputMessage="1" showErrorMessage="1" sqref="V568">
      <formula1>1</formula1>
      <formula2>5</formula2>
    </dataValidation>
    <dataValidation type="whole" allowBlank="1" showInputMessage="1" showErrorMessage="1" sqref="X568">
      <formula1>1</formula1>
      <formula2>5</formula2>
    </dataValidation>
    <dataValidation type="decimal" operator="greaterThanOrEqual" allowBlank="1" showInputMessage="1" showErrorMessage="1" sqref="Y568">
      <formula1>0</formula1>
    </dataValidation>
    <dataValidation type="whole" operator="greaterThanOrEqual" allowBlank="1" showInputMessage="1" showErrorMessage="1" sqref="Z568">
      <formula1>0</formula1>
    </dataValidation>
    <dataValidation type="whole" allowBlank="1" showInputMessage="1" showErrorMessage="1" sqref="AA568">
      <formula1>1</formula1>
      <formula2>5</formula2>
    </dataValidation>
    <dataValidation type="decimal" allowBlank="1" showInputMessage="1" showErrorMessage="1" sqref="AB568">
      <formula1>0</formula1>
      <formula2>1</formula2>
    </dataValidation>
    <dataValidation type="list" allowBlank="1" showInputMessage="1" showErrorMessage="1" sqref="O568">
      <formula1>liste_statuts</formula1>
    </dataValidation>
    <dataValidation type="list" allowBlank="1" showInputMessage="1" showErrorMessage="1" sqref="B569">
      <formula1>liste_programmes</formula1>
    </dataValidation>
    <dataValidation type="list" allowBlank="1" showInputMessage="1" showErrorMessage="1" sqref="D569">
      <formula1>liste_types</formula1>
    </dataValidation>
    <dataValidation type="list" allowBlank="1" showInputMessage="1" showErrorMessage="1" sqref="F569">
      <formula1>liste_categories</formula1>
    </dataValidation>
    <dataValidation type="list" allowBlank="1" showInputMessage="1" showErrorMessage="1" sqref="G569">
      <formula1>liste_responsables</formula1>
    </dataValidation>
    <dataValidation type="list" allowBlank="1" showInputMessage="1" showErrorMessage="1" sqref="H569">
      <formula1>liste_sites</formula1>
    </dataValidation>
    <dataValidation type="list" allowBlank="1" showInputMessage="1" showErrorMessage="1" sqref="I569">
      <formula1>liste_priorites</formula1>
    </dataValidation>
    <dataValidation type="date" operator="greaterThanOrEqual" allowBlank="1" showInputMessage="1" showErrorMessage="1" sqref="J569">
      <formula1>730120</formula1>
    </dataValidation>
    <dataValidation type="date" operator="greaterThanOrEqual" allowBlank="1" showInputMessage="1" showErrorMessage="1" sqref="K569">
      <formula1>730120</formula1>
    </dataValidation>
    <dataValidation type="date" operator="greaterThanOrEqual" allowBlank="1" showInputMessage="1" showErrorMessage="1" sqref="L569">
      <formula1>730120</formula1>
    </dataValidation>
    <dataValidation type="whole" allowBlank="1" showInputMessage="1" showErrorMessage="1" sqref="P569">
      <formula1>0</formula1>
      <formula2>100</formula2>
    </dataValidation>
    <dataValidation type="decimal" operator="greaterThanOrEqual" allowBlank="1" showInputMessage="1" showErrorMessage="1" sqref="Q569">
      <formula1>0</formula1>
    </dataValidation>
    <dataValidation type="decimal" operator="greaterThanOrEqual" allowBlank="1" showInputMessage="1" showErrorMessage="1" sqref="R569">
      <formula1>0</formula1>
    </dataValidation>
    <dataValidation type="whole" allowBlank="1" showInputMessage="1" showErrorMessage="1" sqref="U569">
      <formula1>1</formula1>
      <formula2>5</formula2>
    </dataValidation>
    <dataValidation type="whole" allowBlank="1" showInputMessage="1" showErrorMessage="1" sqref="V569">
      <formula1>1</formula1>
      <formula2>5</formula2>
    </dataValidation>
    <dataValidation type="whole" allowBlank="1" showInputMessage="1" showErrorMessage="1" sqref="X569">
      <formula1>1</formula1>
      <formula2>5</formula2>
    </dataValidation>
    <dataValidation type="decimal" operator="greaterThanOrEqual" allowBlank="1" showInputMessage="1" showErrorMessage="1" sqref="Y569">
      <formula1>0</formula1>
    </dataValidation>
    <dataValidation type="whole" operator="greaterThanOrEqual" allowBlank="1" showInputMessage="1" showErrorMessage="1" sqref="Z569">
      <formula1>0</formula1>
    </dataValidation>
    <dataValidation type="whole" allowBlank="1" showInputMessage="1" showErrorMessage="1" sqref="AA569">
      <formula1>1</formula1>
      <formula2>5</formula2>
    </dataValidation>
    <dataValidation type="decimal" allowBlank="1" showInputMessage="1" showErrorMessage="1" sqref="AB569">
      <formula1>0</formula1>
      <formula2>1</formula2>
    </dataValidation>
    <dataValidation type="list" allowBlank="1" showInputMessage="1" showErrorMessage="1" sqref="O569">
      <formula1>liste_statuts</formula1>
    </dataValidation>
    <dataValidation type="list" allowBlank="1" showInputMessage="1" showErrorMessage="1" sqref="B570">
      <formula1>liste_programmes</formula1>
    </dataValidation>
    <dataValidation type="list" allowBlank="1" showInputMessage="1" showErrorMessage="1" sqref="D570">
      <formula1>liste_types</formula1>
    </dataValidation>
    <dataValidation type="list" allowBlank="1" showInputMessage="1" showErrorMessage="1" sqref="F570">
      <formula1>liste_categories</formula1>
    </dataValidation>
    <dataValidation type="list" allowBlank="1" showInputMessage="1" showErrorMessage="1" sqref="G570">
      <formula1>liste_responsables</formula1>
    </dataValidation>
    <dataValidation type="list" allowBlank="1" showInputMessage="1" showErrorMessage="1" sqref="H570">
      <formula1>liste_sites</formula1>
    </dataValidation>
    <dataValidation type="list" allowBlank="1" showInputMessage="1" showErrorMessage="1" sqref="I570">
      <formula1>liste_priorites</formula1>
    </dataValidation>
    <dataValidation type="date" operator="greaterThanOrEqual" allowBlank="1" showInputMessage="1" showErrorMessage="1" sqref="J570">
      <formula1>730120</formula1>
    </dataValidation>
    <dataValidation type="date" operator="greaterThanOrEqual" allowBlank="1" showInputMessage="1" showErrorMessage="1" sqref="K570">
      <formula1>730120</formula1>
    </dataValidation>
    <dataValidation type="date" operator="greaterThanOrEqual" allowBlank="1" showInputMessage="1" showErrorMessage="1" sqref="L570">
      <formula1>730120</formula1>
    </dataValidation>
    <dataValidation type="whole" allowBlank="1" showInputMessage="1" showErrorMessage="1" sqref="P570">
      <formula1>0</formula1>
      <formula2>100</formula2>
    </dataValidation>
    <dataValidation type="decimal" operator="greaterThanOrEqual" allowBlank="1" showInputMessage="1" showErrorMessage="1" sqref="Q570">
      <formula1>0</formula1>
    </dataValidation>
    <dataValidation type="decimal" operator="greaterThanOrEqual" allowBlank="1" showInputMessage="1" showErrorMessage="1" sqref="R570">
      <formula1>0</formula1>
    </dataValidation>
    <dataValidation type="whole" allowBlank="1" showInputMessage="1" showErrorMessage="1" sqref="U570">
      <formula1>1</formula1>
      <formula2>5</formula2>
    </dataValidation>
    <dataValidation type="whole" allowBlank="1" showInputMessage="1" showErrorMessage="1" sqref="V570">
      <formula1>1</formula1>
      <formula2>5</formula2>
    </dataValidation>
    <dataValidation type="whole" allowBlank="1" showInputMessage="1" showErrorMessage="1" sqref="X570">
      <formula1>1</formula1>
      <formula2>5</formula2>
    </dataValidation>
    <dataValidation type="decimal" operator="greaterThanOrEqual" allowBlank="1" showInputMessage="1" showErrorMessage="1" sqref="Y570">
      <formula1>0</formula1>
    </dataValidation>
    <dataValidation type="whole" operator="greaterThanOrEqual" allowBlank="1" showInputMessage="1" showErrorMessage="1" sqref="Z570">
      <formula1>0</formula1>
    </dataValidation>
    <dataValidation type="whole" allowBlank="1" showInputMessage="1" showErrorMessage="1" sqref="AA570">
      <formula1>1</formula1>
      <formula2>5</formula2>
    </dataValidation>
    <dataValidation type="decimal" allowBlank="1" showInputMessage="1" showErrorMessage="1" sqref="AB570">
      <formula1>0</formula1>
      <formula2>1</formula2>
    </dataValidation>
    <dataValidation type="list" allowBlank="1" showInputMessage="1" showErrorMessage="1" sqref="O570">
      <formula1>liste_statuts</formula1>
    </dataValidation>
    <dataValidation type="list" allowBlank="1" showInputMessage="1" showErrorMessage="1" sqref="B571">
      <formula1>liste_programmes</formula1>
    </dataValidation>
    <dataValidation type="list" allowBlank="1" showInputMessage="1" showErrorMessage="1" sqref="D571">
      <formula1>liste_types</formula1>
    </dataValidation>
    <dataValidation type="list" allowBlank="1" showInputMessage="1" showErrorMessage="1" sqref="F571">
      <formula1>liste_categories</formula1>
    </dataValidation>
    <dataValidation type="list" allowBlank="1" showInputMessage="1" showErrorMessage="1" sqref="G571">
      <formula1>liste_responsables</formula1>
    </dataValidation>
    <dataValidation type="list" allowBlank="1" showInputMessage="1" showErrorMessage="1" sqref="H571">
      <formula1>liste_sites</formula1>
    </dataValidation>
    <dataValidation type="list" allowBlank="1" showInputMessage="1" showErrorMessage="1" sqref="I571">
      <formula1>liste_priorites</formula1>
    </dataValidation>
    <dataValidation type="date" operator="greaterThanOrEqual" allowBlank="1" showInputMessage="1" showErrorMessage="1" sqref="J571">
      <formula1>730120</formula1>
    </dataValidation>
    <dataValidation type="date" operator="greaterThanOrEqual" allowBlank="1" showInputMessage="1" showErrorMessage="1" sqref="K571">
      <formula1>730120</formula1>
    </dataValidation>
    <dataValidation type="date" operator="greaterThanOrEqual" allowBlank="1" showInputMessage="1" showErrorMessage="1" sqref="L571">
      <formula1>730120</formula1>
    </dataValidation>
    <dataValidation type="whole" allowBlank="1" showInputMessage="1" showErrorMessage="1" sqref="P571">
      <formula1>0</formula1>
      <formula2>100</formula2>
    </dataValidation>
    <dataValidation type="decimal" operator="greaterThanOrEqual" allowBlank="1" showInputMessage="1" showErrorMessage="1" sqref="Q571">
      <formula1>0</formula1>
    </dataValidation>
    <dataValidation type="decimal" operator="greaterThanOrEqual" allowBlank="1" showInputMessage="1" showErrorMessage="1" sqref="R571">
      <formula1>0</formula1>
    </dataValidation>
    <dataValidation type="whole" allowBlank="1" showInputMessage="1" showErrorMessage="1" sqref="U571">
      <formula1>1</formula1>
      <formula2>5</formula2>
    </dataValidation>
    <dataValidation type="whole" allowBlank="1" showInputMessage="1" showErrorMessage="1" sqref="V571">
      <formula1>1</formula1>
      <formula2>5</formula2>
    </dataValidation>
    <dataValidation type="whole" allowBlank="1" showInputMessage="1" showErrorMessage="1" sqref="X571">
      <formula1>1</formula1>
      <formula2>5</formula2>
    </dataValidation>
    <dataValidation type="decimal" operator="greaterThanOrEqual" allowBlank="1" showInputMessage="1" showErrorMessage="1" sqref="Y571">
      <formula1>0</formula1>
    </dataValidation>
    <dataValidation type="whole" operator="greaterThanOrEqual" allowBlank="1" showInputMessage="1" showErrorMessage="1" sqref="Z571">
      <formula1>0</formula1>
    </dataValidation>
    <dataValidation type="whole" allowBlank="1" showInputMessage="1" showErrorMessage="1" sqref="AA571">
      <formula1>1</formula1>
      <formula2>5</formula2>
    </dataValidation>
    <dataValidation type="decimal" allowBlank="1" showInputMessage="1" showErrorMessage="1" sqref="AB571">
      <formula1>0</formula1>
      <formula2>1</formula2>
    </dataValidation>
    <dataValidation type="list" allowBlank="1" showInputMessage="1" showErrorMessage="1" sqref="O571">
      <formula1>liste_statuts</formula1>
    </dataValidation>
    <dataValidation type="list" allowBlank="1" showInputMessage="1" showErrorMessage="1" sqref="B572">
      <formula1>liste_programmes</formula1>
    </dataValidation>
    <dataValidation type="list" allowBlank="1" showInputMessage="1" showErrorMessage="1" sqref="D572">
      <formula1>liste_types</formula1>
    </dataValidation>
    <dataValidation type="list" allowBlank="1" showInputMessage="1" showErrorMessage="1" sqref="F572">
      <formula1>liste_categories</formula1>
    </dataValidation>
    <dataValidation type="list" allowBlank="1" showInputMessage="1" showErrorMessage="1" sqref="G572">
      <formula1>liste_responsables</formula1>
    </dataValidation>
    <dataValidation type="list" allowBlank="1" showInputMessage="1" showErrorMessage="1" sqref="H572">
      <formula1>liste_sites</formula1>
    </dataValidation>
    <dataValidation type="list" allowBlank="1" showInputMessage="1" showErrorMessage="1" sqref="I572">
      <formula1>liste_priorites</formula1>
    </dataValidation>
    <dataValidation type="date" operator="greaterThanOrEqual" allowBlank="1" showInputMessage="1" showErrorMessage="1" sqref="J572">
      <formula1>730120</formula1>
    </dataValidation>
    <dataValidation type="date" operator="greaterThanOrEqual" allowBlank="1" showInputMessage="1" showErrorMessage="1" sqref="K572">
      <formula1>730120</formula1>
    </dataValidation>
    <dataValidation type="date" operator="greaterThanOrEqual" allowBlank="1" showInputMessage="1" showErrorMessage="1" sqref="L572">
      <formula1>730120</formula1>
    </dataValidation>
    <dataValidation type="whole" allowBlank="1" showInputMessage="1" showErrorMessage="1" sqref="P572">
      <formula1>0</formula1>
      <formula2>100</formula2>
    </dataValidation>
    <dataValidation type="decimal" operator="greaterThanOrEqual" allowBlank="1" showInputMessage="1" showErrorMessage="1" sqref="Q572">
      <formula1>0</formula1>
    </dataValidation>
    <dataValidation type="decimal" operator="greaterThanOrEqual" allowBlank="1" showInputMessage="1" showErrorMessage="1" sqref="R572">
      <formula1>0</formula1>
    </dataValidation>
    <dataValidation type="whole" allowBlank="1" showInputMessage="1" showErrorMessage="1" sqref="U572">
      <formula1>1</formula1>
      <formula2>5</formula2>
    </dataValidation>
    <dataValidation type="whole" allowBlank="1" showInputMessage="1" showErrorMessage="1" sqref="V572">
      <formula1>1</formula1>
      <formula2>5</formula2>
    </dataValidation>
    <dataValidation type="whole" allowBlank="1" showInputMessage="1" showErrorMessage="1" sqref="X572">
      <formula1>1</formula1>
      <formula2>5</formula2>
    </dataValidation>
    <dataValidation type="decimal" operator="greaterThanOrEqual" allowBlank="1" showInputMessage="1" showErrorMessage="1" sqref="Y572">
      <formula1>0</formula1>
    </dataValidation>
    <dataValidation type="whole" operator="greaterThanOrEqual" allowBlank="1" showInputMessage="1" showErrorMessage="1" sqref="Z572">
      <formula1>0</formula1>
    </dataValidation>
    <dataValidation type="whole" allowBlank="1" showInputMessage="1" showErrorMessage="1" sqref="AA572">
      <formula1>1</formula1>
      <formula2>5</formula2>
    </dataValidation>
    <dataValidation type="decimal" allowBlank="1" showInputMessage="1" showErrorMessage="1" sqref="AB572">
      <formula1>0</formula1>
      <formula2>1</formula2>
    </dataValidation>
    <dataValidation type="list" allowBlank="1" showInputMessage="1" showErrorMessage="1" sqref="O572">
      <formula1>liste_statuts</formula1>
    </dataValidation>
    <dataValidation type="list" allowBlank="1" showInputMessage="1" showErrorMessage="1" sqref="B573">
      <formula1>liste_programmes</formula1>
    </dataValidation>
    <dataValidation type="list" allowBlank="1" showInputMessage="1" showErrorMessage="1" sqref="D573">
      <formula1>liste_types</formula1>
    </dataValidation>
    <dataValidation type="list" allowBlank="1" showInputMessage="1" showErrorMessage="1" sqref="F573">
      <formula1>liste_categories</formula1>
    </dataValidation>
    <dataValidation type="list" allowBlank="1" showInputMessage="1" showErrorMessage="1" sqref="G573">
      <formula1>liste_responsables</formula1>
    </dataValidation>
    <dataValidation type="list" allowBlank="1" showInputMessage="1" showErrorMessage="1" sqref="H573">
      <formula1>liste_sites</formula1>
    </dataValidation>
    <dataValidation type="list" allowBlank="1" showInputMessage="1" showErrorMessage="1" sqref="I573">
      <formula1>liste_priorites</formula1>
    </dataValidation>
    <dataValidation type="date" operator="greaterThanOrEqual" allowBlank="1" showInputMessage="1" showErrorMessage="1" sqref="J573">
      <formula1>730120</formula1>
    </dataValidation>
    <dataValidation type="date" operator="greaterThanOrEqual" allowBlank="1" showInputMessage="1" showErrorMessage="1" sqref="K573">
      <formula1>730120</formula1>
    </dataValidation>
    <dataValidation type="date" operator="greaterThanOrEqual" allowBlank="1" showInputMessage="1" showErrorMessage="1" sqref="L573">
      <formula1>730120</formula1>
    </dataValidation>
    <dataValidation type="whole" allowBlank="1" showInputMessage="1" showErrorMessage="1" sqref="P573">
      <formula1>0</formula1>
      <formula2>100</formula2>
    </dataValidation>
    <dataValidation type="decimal" operator="greaterThanOrEqual" allowBlank="1" showInputMessage="1" showErrorMessage="1" sqref="Q573">
      <formula1>0</formula1>
    </dataValidation>
    <dataValidation type="decimal" operator="greaterThanOrEqual" allowBlank="1" showInputMessage="1" showErrorMessage="1" sqref="R573">
      <formula1>0</formula1>
    </dataValidation>
    <dataValidation type="whole" allowBlank="1" showInputMessage="1" showErrorMessage="1" sqref="U573">
      <formula1>1</formula1>
      <formula2>5</formula2>
    </dataValidation>
    <dataValidation type="whole" allowBlank="1" showInputMessage="1" showErrorMessage="1" sqref="V573">
      <formula1>1</formula1>
      <formula2>5</formula2>
    </dataValidation>
    <dataValidation type="whole" allowBlank="1" showInputMessage="1" showErrorMessage="1" sqref="X573">
      <formula1>1</formula1>
      <formula2>5</formula2>
    </dataValidation>
    <dataValidation type="decimal" operator="greaterThanOrEqual" allowBlank="1" showInputMessage="1" showErrorMessage="1" sqref="Y573">
      <formula1>0</formula1>
    </dataValidation>
    <dataValidation type="whole" operator="greaterThanOrEqual" allowBlank="1" showInputMessage="1" showErrorMessage="1" sqref="Z573">
      <formula1>0</formula1>
    </dataValidation>
    <dataValidation type="whole" allowBlank="1" showInputMessage="1" showErrorMessage="1" sqref="AA573">
      <formula1>1</formula1>
      <formula2>5</formula2>
    </dataValidation>
    <dataValidation type="decimal" allowBlank="1" showInputMessage="1" showErrorMessage="1" sqref="AB573">
      <formula1>0</formula1>
      <formula2>1</formula2>
    </dataValidation>
    <dataValidation type="list" allowBlank="1" showInputMessage="1" showErrorMessage="1" sqref="O573">
      <formula1>liste_statuts</formula1>
    </dataValidation>
    <dataValidation type="list" allowBlank="1" showInputMessage="1" showErrorMessage="1" sqref="B574">
      <formula1>liste_programmes</formula1>
    </dataValidation>
    <dataValidation type="list" allowBlank="1" showInputMessage="1" showErrorMessage="1" sqref="D574">
      <formula1>liste_types</formula1>
    </dataValidation>
    <dataValidation type="list" allowBlank="1" showInputMessage="1" showErrorMessage="1" sqref="F574">
      <formula1>liste_categories</formula1>
    </dataValidation>
    <dataValidation type="list" allowBlank="1" showInputMessage="1" showErrorMessage="1" sqref="G574">
      <formula1>liste_responsables</formula1>
    </dataValidation>
    <dataValidation type="list" allowBlank="1" showInputMessage="1" showErrorMessage="1" sqref="H574">
      <formula1>liste_sites</formula1>
    </dataValidation>
    <dataValidation type="list" allowBlank="1" showInputMessage="1" showErrorMessage="1" sqref="I574">
      <formula1>liste_priorites</formula1>
    </dataValidation>
    <dataValidation type="date" operator="greaterThanOrEqual" allowBlank="1" showInputMessage="1" showErrorMessage="1" sqref="J574">
      <formula1>730120</formula1>
    </dataValidation>
    <dataValidation type="date" operator="greaterThanOrEqual" allowBlank="1" showInputMessage="1" showErrorMessage="1" sqref="K574">
      <formula1>730120</formula1>
    </dataValidation>
    <dataValidation type="date" operator="greaterThanOrEqual" allowBlank="1" showInputMessage="1" showErrorMessage="1" sqref="L574">
      <formula1>730120</formula1>
    </dataValidation>
    <dataValidation type="whole" allowBlank="1" showInputMessage="1" showErrorMessage="1" sqref="P574">
      <formula1>0</formula1>
      <formula2>100</formula2>
    </dataValidation>
    <dataValidation type="decimal" operator="greaterThanOrEqual" allowBlank="1" showInputMessage="1" showErrorMessage="1" sqref="Q574">
      <formula1>0</formula1>
    </dataValidation>
    <dataValidation type="decimal" operator="greaterThanOrEqual" allowBlank="1" showInputMessage="1" showErrorMessage="1" sqref="R574">
      <formula1>0</formula1>
    </dataValidation>
    <dataValidation type="whole" allowBlank="1" showInputMessage="1" showErrorMessage="1" sqref="U574">
      <formula1>1</formula1>
      <formula2>5</formula2>
    </dataValidation>
    <dataValidation type="whole" allowBlank="1" showInputMessage="1" showErrorMessage="1" sqref="V574">
      <formula1>1</formula1>
      <formula2>5</formula2>
    </dataValidation>
    <dataValidation type="whole" allowBlank="1" showInputMessage="1" showErrorMessage="1" sqref="X574">
      <formula1>1</formula1>
      <formula2>5</formula2>
    </dataValidation>
    <dataValidation type="decimal" operator="greaterThanOrEqual" allowBlank="1" showInputMessage="1" showErrorMessage="1" sqref="Y574">
      <formula1>0</formula1>
    </dataValidation>
    <dataValidation type="whole" operator="greaterThanOrEqual" allowBlank="1" showInputMessage="1" showErrorMessage="1" sqref="Z574">
      <formula1>0</formula1>
    </dataValidation>
    <dataValidation type="whole" allowBlank="1" showInputMessage="1" showErrorMessage="1" sqref="AA574">
      <formula1>1</formula1>
      <formula2>5</formula2>
    </dataValidation>
    <dataValidation type="decimal" allowBlank="1" showInputMessage="1" showErrorMessage="1" sqref="AB574">
      <formula1>0</formula1>
      <formula2>1</formula2>
    </dataValidation>
    <dataValidation type="list" allowBlank="1" showInputMessage="1" showErrorMessage="1" sqref="O574">
      <formula1>liste_statuts</formula1>
    </dataValidation>
    <dataValidation type="list" allowBlank="1" showInputMessage="1" showErrorMessage="1" sqref="B575">
      <formula1>liste_programmes</formula1>
    </dataValidation>
    <dataValidation type="list" allowBlank="1" showInputMessage="1" showErrorMessage="1" sqref="D575">
      <formula1>liste_types</formula1>
    </dataValidation>
    <dataValidation type="list" allowBlank="1" showInputMessage="1" showErrorMessage="1" sqref="F575">
      <formula1>liste_categories</formula1>
    </dataValidation>
    <dataValidation type="list" allowBlank="1" showInputMessage="1" showErrorMessage="1" sqref="G575">
      <formula1>liste_responsables</formula1>
    </dataValidation>
    <dataValidation type="list" allowBlank="1" showInputMessage="1" showErrorMessage="1" sqref="H575">
      <formula1>liste_sites</formula1>
    </dataValidation>
    <dataValidation type="list" allowBlank="1" showInputMessage="1" showErrorMessage="1" sqref="I575">
      <formula1>liste_priorites</formula1>
    </dataValidation>
    <dataValidation type="date" operator="greaterThanOrEqual" allowBlank="1" showInputMessage="1" showErrorMessage="1" sqref="J575">
      <formula1>730120</formula1>
    </dataValidation>
    <dataValidation type="date" operator="greaterThanOrEqual" allowBlank="1" showInputMessage="1" showErrorMessage="1" sqref="K575">
      <formula1>730120</formula1>
    </dataValidation>
    <dataValidation type="date" operator="greaterThanOrEqual" allowBlank="1" showInputMessage="1" showErrorMessage="1" sqref="L575">
      <formula1>730120</formula1>
    </dataValidation>
    <dataValidation type="whole" allowBlank="1" showInputMessage="1" showErrorMessage="1" sqref="P575">
      <formula1>0</formula1>
      <formula2>100</formula2>
    </dataValidation>
    <dataValidation type="decimal" operator="greaterThanOrEqual" allowBlank="1" showInputMessage="1" showErrorMessage="1" sqref="Q575">
      <formula1>0</formula1>
    </dataValidation>
    <dataValidation type="decimal" operator="greaterThanOrEqual" allowBlank="1" showInputMessage="1" showErrorMessage="1" sqref="R575">
      <formula1>0</formula1>
    </dataValidation>
    <dataValidation type="whole" allowBlank="1" showInputMessage="1" showErrorMessage="1" sqref="U575">
      <formula1>1</formula1>
      <formula2>5</formula2>
    </dataValidation>
    <dataValidation type="whole" allowBlank="1" showInputMessage="1" showErrorMessage="1" sqref="V575">
      <formula1>1</formula1>
      <formula2>5</formula2>
    </dataValidation>
    <dataValidation type="whole" allowBlank="1" showInputMessage="1" showErrorMessage="1" sqref="X575">
      <formula1>1</formula1>
      <formula2>5</formula2>
    </dataValidation>
    <dataValidation type="decimal" operator="greaterThanOrEqual" allowBlank="1" showInputMessage="1" showErrorMessage="1" sqref="Y575">
      <formula1>0</formula1>
    </dataValidation>
    <dataValidation type="whole" operator="greaterThanOrEqual" allowBlank="1" showInputMessage="1" showErrorMessage="1" sqref="Z575">
      <formula1>0</formula1>
    </dataValidation>
    <dataValidation type="whole" allowBlank="1" showInputMessage="1" showErrorMessage="1" sqref="AA575">
      <formula1>1</formula1>
      <formula2>5</formula2>
    </dataValidation>
    <dataValidation type="decimal" allowBlank="1" showInputMessage="1" showErrorMessage="1" sqref="AB575">
      <formula1>0</formula1>
      <formula2>1</formula2>
    </dataValidation>
    <dataValidation type="list" allowBlank="1" showInputMessage="1" showErrorMessage="1" sqref="O575">
      <formula1>liste_statuts</formula1>
    </dataValidation>
    <dataValidation type="list" allowBlank="1" showInputMessage="1" showErrorMessage="1" sqref="B576">
      <formula1>liste_programmes</formula1>
    </dataValidation>
    <dataValidation type="list" allowBlank="1" showInputMessage="1" showErrorMessage="1" sqref="D576">
      <formula1>liste_types</formula1>
    </dataValidation>
    <dataValidation type="list" allowBlank="1" showInputMessage="1" showErrorMessage="1" sqref="F576">
      <formula1>liste_categories</formula1>
    </dataValidation>
    <dataValidation type="list" allowBlank="1" showInputMessage="1" showErrorMessage="1" sqref="G576">
      <formula1>liste_responsables</formula1>
    </dataValidation>
    <dataValidation type="list" allowBlank="1" showInputMessage="1" showErrorMessage="1" sqref="H576">
      <formula1>liste_sites</formula1>
    </dataValidation>
    <dataValidation type="list" allowBlank="1" showInputMessage="1" showErrorMessage="1" sqref="I576">
      <formula1>liste_priorites</formula1>
    </dataValidation>
    <dataValidation type="date" operator="greaterThanOrEqual" allowBlank="1" showInputMessage="1" showErrorMessage="1" sqref="J576">
      <formula1>730120</formula1>
    </dataValidation>
    <dataValidation type="date" operator="greaterThanOrEqual" allowBlank="1" showInputMessage="1" showErrorMessage="1" sqref="K576">
      <formula1>730120</formula1>
    </dataValidation>
    <dataValidation type="date" operator="greaterThanOrEqual" allowBlank="1" showInputMessage="1" showErrorMessage="1" sqref="L576">
      <formula1>730120</formula1>
    </dataValidation>
    <dataValidation type="whole" allowBlank="1" showInputMessage="1" showErrorMessage="1" sqref="P576">
      <formula1>0</formula1>
      <formula2>100</formula2>
    </dataValidation>
    <dataValidation type="decimal" operator="greaterThanOrEqual" allowBlank="1" showInputMessage="1" showErrorMessage="1" sqref="Q576">
      <formula1>0</formula1>
    </dataValidation>
    <dataValidation type="decimal" operator="greaterThanOrEqual" allowBlank="1" showInputMessage="1" showErrorMessage="1" sqref="R576">
      <formula1>0</formula1>
    </dataValidation>
    <dataValidation type="whole" allowBlank="1" showInputMessage="1" showErrorMessage="1" sqref="U576">
      <formula1>1</formula1>
      <formula2>5</formula2>
    </dataValidation>
    <dataValidation type="whole" allowBlank="1" showInputMessage="1" showErrorMessage="1" sqref="V576">
      <formula1>1</formula1>
      <formula2>5</formula2>
    </dataValidation>
    <dataValidation type="whole" allowBlank="1" showInputMessage="1" showErrorMessage="1" sqref="X576">
      <formula1>1</formula1>
      <formula2>5</formula2>
    </dataValidation>
    <dataValidation type="decimal" operator="greaterThanOrEqual" allowBlank="1" showInputMessage="1" showErrorMessage="1" sqref="Y576">
      <formula1>0</formula1>
    </dataValidation>
    <dataValidation type="whole" operator="greaterThanOrEqual" allowBlank="1" showInputMessage="1" showErrorMessage="1" sqref="Z576">
      <formula1>0</formula1>
    </dataValidation>
    <dataValidation type="whole" allowBlank="1" showInputMessage="1" showErrorMessage="1" sqref="AA576">
      <formula1>1</formula1>
      <formula2>5</formula2>
    </dataValidation>
    <dataValidation type="decimal" allowBlank="1" showInputMessage="1" showErrorMessage="1" sqref="AB576">
      <formula1>0</formula1>
      <formula2>1</formula2>
    </dataValidation>
    <dataValidation type="list" allowBlank="1" showInputMessage="1" showErrorMessage="1" sqref="O576">
      <formula1>liste_statuts</formula1>
    </dataValidation>
    <dataValidation type="list" allowBlank="1" showInputMessage="1" showErrorMessage="1" sqref="B577">
      <formula1>liste_programmes</formula1>
    </dataValidation>
    <dataValidation type="list" allowBlank="1" showInputMessage="1" showErrorMessage="1" sqref="D577">
      <formula1>liste_types</formula1>
    </dataValidation>
    <dataValidation type="list" allowBlank="1" showInputMessage="1" showErrorMessage="1" sqref="F577">
      <formula1>liste_categories</formula1>
    </dataValidation>
    <dataValidation type="list" allowBlank="1" showInputMessage="1" showErrorMessage="1" sqref="G577">
      <formula1>liste_responsables</formula1>
    </dataValidation>
    <dataValidation type="list" allowBlank="1" showInputMessage="1" showErrorMessage="1" sqref="H577">
      <formula1>liste_sites</formula1>
    </dataValidation>
    <dataValidation type="list" allowBlank="1" showInputMessage="1" showErrorMessage="1" sqref="I577">
      <formula1>liste_priorites</formula1>
    </dataValidation>
    <dataValidation type="date" operator="greaterThanOrEqual" allowBlank="1" showInputMessage="1" showErrorMessage="1" sqref="J577">
      <formula1>730120</formula1>
    </dataValidation>
    <dataValidation type="date" operator="greaterThanOrEqual" allowBlank="1" showInputMessage="1" showErrorMessage="1" sqref="K577">
      <formula1>730120</formula1>
    </dataValidation>
    <dataValidation type="date" operator="greaterThanOrEqual" allowBlank="1" showInputMessage="1" showErrorMessage="1" sqref="L577">
      <formula1>730120</formula1>
    </dataValidation>
    <dataValidation type="whole" allowBlank="1" showInputMessage="1" showErrorMessage="1" sqref="P577">
      <formula1>0</formula1>
      <formula2>100</formula2>
    </dataValidation>
    <dataValidation type="decimal" operator="greaterThanOrEqual" allowBlank="1" showInputMessage="1" showErrorMessage="1" sqref="Q577">
      <formula1>0</formula1>
    </dataValidation>
    <dataValidation type="decimal" operator="greaterThanOrEqual" allowBlank="1" showInputMessage="1" showErrorMessage="1" sqref="R577">
      <formula1>0</formula1>
    </dataValidation>
    <dataValidation type="whole" allowBlank="1" showInputMessage="1" showErrorMessage="1" sqref="U577">
      <formula1>1</formula1>
      <formula2>5</formula2>
    </dataValidation>
    <dataValidation type="whole" allowBlank="1" showInputMessage="1" showErrorMessage="1" sqref="V577">
      <formula1>1</formula1>
      <formula2>5</formula2>
    </dataValidation>
    <dataValidation type="whole" allowBlank="1" showInputMessage="1" showErrorMessage="1" sqref="X577">
      <formula1>1</formula1>
      <formula2>5</formula2>
    </dataValidation>
    <dataValidation type="decimal" operator="greaterThanOrEqual" allowBlank="1" showInputMessage="1" showErrorMessage="1" sqref="Y577">
      <formula1>0</formula1>
    </dataValidation>
    <dataValidation type="whole" operator="greaterThanOrEqual" allowBlank="1" showInputMessage="1" showErrorMessage="1" sqref="Z577">
      <formula1>0</formula1>
    </dataValidation>
    <dataValidation type="whole" allowBlank="1" showInputMessage="1" showErrorMessage="1" sqref="AA577">
      <formula1>1</formula1>
      <formula2>5</formula2>
    </dataValidation>
    <dataValidation type="decimal" allowBlank="1" showInputMessage="1" showErrorMessage="1" sqref="AB577">
      <formula1>0</formula1>
      <formula2>1</formula2>
    </dataValidation>
    <dataValidation type="list" allowBlank="1" showInputMessage="1" showErrorMessage="1" sqref="O577">
      <formula1>liste_statuts</formula1>
    </dataValidation>
    <dataValidation type="list" allowBlank="1" showInputMessage="1" showErrorMessage="1" sqref="B578">
      <formula1>liste_programmes</formula1>
    </dataValidation>
    <dataValidation type="list" allowBlank="1" showInputMessage="1" showErrorMessage="1" sqref="D578">
      <formula1>liste_types</formula1>
    </dataValidation>
    <dataValidation type="list" allowBlank="1" showInputMessage="1" showErrorMessage="1" sqref="F578">
      <formula1>liste_categories</formula1>
    </dataValidation>
    <dataValidation type="list" allowBlank="1" showInputMessage="1" showErrorMessage="1" sqref="G578">
      <formula1>liste_responsables</formula1>
    </dataValidation>
    <dataValidation type="list" allowBlank="1" showInputMessage="1" showErrorMessage="1" sqref="H578">
      <formula1>liste_sites</formula1>
    </dataValidation>
    <dataValidation type="list" allowBlank="1" showInputMessage="1" showErrorMessage="1" sqref="I578">
      <formula1>liste_priorites</formula1>
    </dataValidation>
    <dataValidation type="date" operator="greaterThanOrEqual" allowBlank="1" showInputMessage="1" showErrorMessage="1" sqref="J578">
      <formula1>730120</formula1>
    </dataValidation>
    <dataValidation type="date" operator="greaterThanOrEqual" allowBlank="1" showInputMessage="1" showErrorMessage="1" sqref="K578">
      <formula1>730120</formula1>
    </dataValidation>
    <dataValidation type="date" operator="greaterThanOrEqual" allowBlank="1" showInputMessage="1" showErrorMessage="1" sqref="L578">
      <formula1>730120</formula1>
    </dataValidation>
    <dataValidation type="whole" allowBlank="1" showInputMessage="1" showErrorMessage="1" sqref="P578">
      <formula1>0</formula1>
      <formula2>100</formula2>
    </dataValidation>
    <dataValidation type="decimal" operator="greaterThanOrEqual" allowBlank="1" showInputMessage="1" showErrorMessage="1" sqref="Q578">
      <formula1>0</formula1>
    </dataValidation>
    <dataValidation type="decimal" operator="greaterThanOrEqual" allowBlank="1" showInputMessage="1" showErrorMessage="1" sqref="R578">
      <formula1>0</formula1>
    </dataValidation>
    <dataValidation type="whole" allowBlank="1" showInputMessage="1" showErrorMessage="1" sqref="U578">
      <formula1>1</formula1>
      <formula2>5</formula2>
    </dataValidation>
    <dataValidation type="whole" allowBlank="1" showInputMessage="1" showErrorMessage="1" sqref="V578">
      <formula1>1</formula1>
      <formula2>5</formula2>
    </dataValidation>
    <dataValidation type="whole" allowBlank="1" showInputMessage="1" showErrorMessage="1" sqref="X578">
      <formula1>1</formula1>
      <formula2>5</formula2>
    </dataValidation>
    <dataValidation type="decimal" operator="greaterThanOrEqual" allowBlank="1" showInputMessage="1" showErrorMessage="1" sqref="Y578">
      <formula1>0</formula1>
    </dataValidation>
    <dataValidation type="whole" operator="greaterThanOrEqual" allowBlank="1" showInputMessage="1" showErrorMessage="1" sqref="Z578">
      <formula1>0</formula1>
    </dataValidation>
    <dataValidation type="whole" allowBlank="1" showInputMessage="1" showErrorMessage="1" sqref="AA578">
      <formula1>1</formula1>
      <formula2>5</formula2>
    </dataValidation>
    <dataValidation type="decimal" allowBlank="1" showInputMessage="1" showErrorMessage="1" sqref="AB578">
      <formula1>0</formula1>
      <formula2>1</formula2>
    </dataValidation>
    <dataValidation type="list" allowBlank="1" showInputMessage="1" showErrorMessage="1" sqref="O578">
      <formula1>liste_statuts</formula1>
    </dataValidation>
    <dataValidation type="list" allowBlank="1" showInputMessage="1" showErrorMessage="1" sqref="B579">
      <formula1>liste_programmes</formula1>
    </dataValidation>
    <dataValidation type="list" allowBlank="1" showInputMessage="1" showErrorMessage="1" sqref="D579">
      <formula1>liste_types</formula1>
    </dataValidation>
    <dataValidation type="list" allowBlank="1" showInputMessage="1" showErrorMessage="1" sqref="F579">
      <formula1>liste_categories</formula1>
    </dataValidation>
    <dataValidation type="list" allowBlank="1" showInputMessage="1" showErrorMessage="1" sqref="G579">
      <formula1>liste_responsables</formula1>
    </dataValidation>
    <dataValidation type="list" allowBlank="1" showInputMessage="1" showErrorMessage="1" sqref="H579">
      <formula1>liste_sites</formula1>
    </dataValidation>
    <dataValidation type="list" allowBlank="1" showInputMessage="1" showErrorMessage="1" sqref="I579">
      <formula1>liste_priorites</formula1>
    </dataValidation>
    <dataValidation type="date" operator="greaterThanOrEqual" allowBlank="1" showInputMessage="1" showErrorMessage="1" sqref="J579">
      <formula1>730120</formula1>
    </dataValidation>
    <dataValidation type="date" operator="greaterThanOrEqual" allowBlank="1" showInputMessage="1" showErrorMessage="1" sqref="K579">
      <formula1>730120</formula1>
    </dataValidation>
    <dataValidation type="date" operator="greaterThanOrEqual" allowBlank="1" showInputMessage="1" showErrorMessage="1" sqref="L579">
      <formula1>730120</formula1>
    </dataValidation>
    <dataValidation type="whole" allowBlank="1" showInputMessage="1" showErrorMessage="1" sqref="P579">
      <formula1>0</formula1>
      <formula2>100</formula2>
    </dataValidation>
    <dataValidation type="decimal" operator="greaterThanOrEqual" allowBlank="1" showInputMessage="1" showErrorMessage="1" sqref="Q579">
      <formula1>0</formula1>
    </dataValidation>
    <dataValidation type="decimal" operator="greaterThanOrEqual" allowBlank="1" showInputMessage="1" showErrorMessage="1" sqref="R579">
      <formula1>0</formula1>
    </dataValidation>
    <dataValidation type="whole" allowBlank="1" showInputMessage="1" showErrorMessage="1" sqref="U579">
      <formula1>1</formula1>
      <formula2>5</formula2>
    </dataValidation>
    <dataValidation type="whole" allowBlank="1" showInputMessage="1" showErrorMessage="1" sqref="V579">
      <formula1>1</formula1>
      <formula2>5</formula2>
    </dataValidation>
    <dataValidation type="whole" allowBlank="1" showInputMessage="1" showErrorMessage="1" sqref="X579">
      <formula1>1</formula1>
      <formula2>5</formula2>
    </dataValidation>
    <dataValidation type="decimal" operator="greaterThanOrEqual" allowBlank="1" showInputMessage="1" showErrorMessage="1" sqref="Y579">
      <formula1>0</formula1>
    </dataValidation>
    <dataValidation type="whole" operator="greaterThanOrEqual" allowBlank="1" showInputMessage="1" showErrorMessage="1" sqref="Z579">
      <formula1>0</formula1>
    </dataValidation>
    <dataValidation type="whole" allowBlank="1" showInputMessage="1" showErrorMessage="1" sqref="AA579">
      <formula1>1</formula1>
      <formula2>5</formula2>
    </dataValidation>
    <dataValidation type="decimal" allowBlank="1" showInputMessage="1" showErrorMessage="1" sqref="AB579">
      <formula1>0</formula1>
      <formula2>1</formula2>
    </dataValidation>
    <dataValidation type="list" allowBlank="1" showInputMessage="1" showErrorMessage="1" sqref="O579">
      <formula1>liste_statuts</formula1>
    </dataValidation>
    <dataValidation type="list" allowBlank="1" showInputMessage="1" showErrorMessage="1" sqref="B580">
      <formula1>liste_programmes</formula1>
    </dataValidation>
    <dataValidation type="list" allowBlank="1" showInputMessage="1" showErrorMessage="1" sqref="D580">
      <formula1>liste_types</formula1>
    </dataValidation>
    <dataValidation type="list" allowBlank="1" showInputMessage="1" showErrorMessage="1" sqref="F580">
      <formula1>liste_categories</formula1>
    </dataValidation>
    <dataValidation type="list" allowBlank="1" showInputMessage="1" showErrorMessage="1" sqref="G580">
      <formula1>liste_responsables</formula1>
    </dataValidation>
    <dataValidation type="list" allowBlank="1" showInputMessage="1" showErrorMessage="1" sqref="H580">
      <formula1>liste_sites</formula1>
    </dataValidation>
    <dataValidation type="list" allowBlank="1" showInputMessage="1" showErrorMessage="1" sqref="I580">
      <formula1>liste_priorites</formula1>
    </dataValidation>
    <dataValidation type="date" operator="greaterThanOrEqual" allowBlank="1" showInputMessage="1" showErrorMessage="1" sqref="J580">
      <formula1>730120</formula1>
    </dataValidation>
    <dataValidation type="date" operator="greaterThanOrEqual" allowBlank="1" showInputMessage="1" showErrorMessage="1" sqref="K580">
      <formula1>730120</formula1>
    </dataValidation>
    <dataValidation type="date" operator="greaterThanOrEqual" allowBlank="1" showInputMessage="1" showErrorMessage="1" sqref="L580">
      <formula1>730120</formula1>
    </dataValidation>
    <dataValidation type="whole" allowBlank="1" showInputMessage="1" showErrorMessage="1" sqref="P580">
      <formula1>0</formula1>
      <formula2>100</formula2>
    </dataValidation>
    <dataValidation type="decimal" operator="greaterThanOrEqual" allowBlank="1" showInputMessage="1" showErrorMessage="1" sqref="Q580">
      <formula1>0</formula1>
    </dataValidation>
    <dataValidation type="decimal" operator="greaterThanOrEqual" allowBlank="1" showInputMessage="1" showErrorMessage="1" sqref="R580">
      <formula1>0</formula1>
    </dataValidation>
    <dataValidation type="whole" allowBlank="1" showInputMessage="1" showErrorMessage="1" sqref="U580">
      <formula1>1</formula1>
      <formula2>5</formula2>
    </dataValidation>
    <dataValidation type="whole" allowBlank="1" showInputMessage="1" showErrorMessage="1" sqref="V580">
      <formula1>1</formula1>
      <formula2>5</formula2>
    </dataValidation>
    <dataValidation type="whole" allowBlank="1" showInputMessage="1" showErrorMessage="1" sqref="X580">
      <formula1>1</formula1>
      <formula2>5</formula2>
    </dataValidation>
    <dataValidation type="decimal" operator="greaterThanOrEqual" allowBlank="1" showInputMessage="1" showErrorMessage="1" sqref="Y580">
      <formula1>0</formula1>
    </dataValidation>
    <dataValidation type="whole" operator="greaterThanOrEqual" allowBlank="1" showInputMessage="1" showErrorMessage="1" sqref="Z580">
      <formula1>0</formula1>
    </dataValidation>
    <dataValidation type="whole" allowBlank="1" showInputMessage="1" showErrorMessage="1" sqref="AA580">
      <formula1>1</formula1>
      <formula2>5</formula2>
    </dataValidation>
    <dataValidation type="decimal" allowBlank="1" showInputMessage="1" showErrorMessage="1" sqref="AB580">
      <formula1>0</formula1>
      <formula2>1</formula2>
    </dataValidation>
    <dataValidation type="list" allowBlank="1" showInputMessage="1" showErrorMessage="1" sqref="O580">
      <formula1>liste_statuts</formula1>
    </dataValidation>
    <dataValidation type="list" allowBlank="1" showInputMessage="1" showErrorMessage="1" sqref="B581">
      <formula1>liste_programmes</formula1>
    </dataValidation>
    <dataValidation type="list" allowBlank="1" showInputMessage="1" showErrorMessage="1" sqref="D581">
      <formula1>liste_types</formula1>
    </dataValidation>
    <dataValidation type="list" allowBlank="1" showInputMessage="1" showErrorMessage="1" sqref="F581">
      <formula1>liste_categories</formula1>
    </dataValidation>
    <dataValidation type="list" allowBlank="1" showInputMessage="1" showErrorMessage="1" sqref="G581">
      <formula1>liste_responsables</formula1>
    </dataValidation>
    <dataValidation type="list" allowBlank="1" showInputMessage="1" showErrorMessage="1" sqref="H581">
      <formula1>liste_sites</formula1>
    </dataValidation>
    <dataValidation type="list" allowBlank="1" showInputMessage="1" showErrorMessage="1" sqref="I581">
      <formula1>liste_priorites</formula1>
    </dataValidation>
    <dataValidation type="date" operator="greaterThanOrEqual" allowBlank="1" showInputMessage="1" showErrorMessage="1" sqref="J581">
      <formula1>730120</formula1>
    </dataValidation>
    <dataValidation type="date" operator="greaterThanOrEqual" allowBlank="1" showInputMessage="1" showErrorMessage="1" sqref="K581">
      <formula1>730120</formula1>
    </dataValidation>
    <dataValidation type="date" operator="greaterThanOrEqual" allowBlank="1" showInputMessage="1" showErrorMessage="1" sqref="L581">
      <formula1>730120</formula1>
    </dataValidation>
    <dataValidation type="whole" allowBlank="1" showInputMessage="1" showErrorMessage="1" sqref="P581">
      <formula1>0</formula1>
      <formula2>100</formula2>
    </dataValidation>
    <dataValidation type="decimal" operator="greaterThanOrEqual" allowBlank="1" showInputMessage="1" showErrorMessage="1" sqref="Q581">
      <formula1>0</formula1>
    </dataValidation>
    <dataValidation type="decimal" operator="greaterThanOrEqual" allowBlank="1" showInputMessage="1" showErrorMessage="1" sqref="R581">
      <formula1>0</formula1>
    </dataValidation>
    <dataValidation type="whole" allowBlank="1" showInputMessage="1" showErrorMessage="1" sqref="U581">
      <formula1>1</formula1>
      <formula2>5</formula2>
    </dataValidation>
    <dataValidation type="whole" allowBlank="1" showInputMessage="1" showErrorMessage="1" sqref="V581">
      <formula1>1</formula1>
      <formula2>5</formula2>
    </dataValidation>
    <dataValidation type="whole" allowBlank="1" showInputMessage="1" showErrorMessage="1" sqref="X581">
      <formula1>1</formula1>
      <formula2>5</formula2>
    </dataValidation>
    <dataValidation type="decimal" operator="greaterThanOrEqual" allowBlank="1" showInputMessage="1" showErrorMessage="1" sqref="Y581">
      <formula1>0</formula1>
    </dataValidation>
    <dataValidation type="whole" operator="greaterThanOrEqual" allowBlank="1" showInputMessage="1" showErrorMessage="1" sqref="Z581">
      <formula1>0</formula1>
    </dataValidation>
    <dataValidation type="whole" allowBlank="1" showInputMessage="1" showErrorMessage="1" sqref="AA581">
      <formula1>1</formula1>
      <formula2>5</formula2>
    </dataValidation>
    <dataValidation type="decimal" allowBlank="1" showInputMessage="1" showErrorMessage="1" sqref="AB581">
      <formula1>0</formula1>
      <formula2>1</formula2>
    </dataValidation>
    <dataValidation type="list" allowBlank="1" showInputMessage="1" showErrorMessage="1" sqref="O581">
      <formula1>liste_statuts</formula1>
    </dataValidation>
    <dataValidation type="list" allowBlank="1" showInputMessage="1" showErrorMessage="1" sqref="B582">
      <formula1>liste_programmes</formula1>
    </dataValidation>
    <dataValidation type="list" allowBlank="1" showInputMessage="1" showErrorMessage="1" sqref="D582">
      <formula1>liste_types</formula1>
    </dataValidation>
    <dataValidation type="list" allowBlank="1" showInputMessage="1" showErrorMessage="1" sqref="F582">
      <formula1>liste_categories</formula1>
    </dataValidation>
    <dataValidation type="list" allowBlank="1" showInputMessage="1" showErrorMessage="1" sqref="G582">
      <formula1>liste_responsables</formula1>
    </dataValidation>
    <dataValidation type="list" allowBlank="1" showInputMessage="1" showErrorMessage="1" sqref="H582">
      <formula1>liste_sites</formula1>
    </dataValidation>
    <dataValidation type="list" allowBlank="1" showInputMessage="1" showErrorMessage="1" sqref="I582">
      <formula1>liste_priorites</formula1>
    </dataValidation>
    <dataValidation type="date" operator="greaterThanOrEqual" allowBlank="1" showInputMessage="1" showErrorMessage="1" sqref="J582">
      <formula1>730120</formula1>
    </dataValidation>
    <dataValidation type="date" operator="greaterThanOrEqual" allowBlank="1" showInputMessage="1" showErrorMessage="1" sqref="K582">
      <formula1>730120</formula1>
    </dataValidation>
    <dataValidation type="date" operator="greaterThanOrEqual" allowBlank="1" showInputMessage="1" showErrorMessage="1" sqref="L582">
      <formula1>730120</formula1>
    </dataValidation>
    <dataValidation type="whole" allowBlank="1" showInputMessage="1" showErrorMessage="1" sqref="P582">
      <formula1>0</formula1>
      <formula2>100</formula2>
    </dataValidation>
    <dataValidation type="decimal" operator="greaterThanOrEqual" allowBlank="1" showInputMessage="1" showErrorMessage="1" sqref="Q582">
      <formula1>0</formula1>
    </dataValidation>
    <dataValidation type="decimal" operator="greaterThanOrEqual" allowBlank="1" showInputMessage="1" showErrorMessage="1" sqref="R582">
      <formula1>0</formula1>
    </dataValidation>
    <dataValidation type="whole" allowBlank="1" showInputMessage="1" showErrorMessage="1" sqref="U582">
      <formula1>1</formula1>
      <formula2>5</formula2>
    </dataValidation>
    <dataValidation type="whole" allowBlank="1" showInputMessage="1" showErrorMessage="1" sqref="V582">
      <formula1>1</formula1>
      <formula2>5</formula2>
    </dataValidation>
    <dataValidation type="whole" allowBlank="1" showInputMessage="1" showErrorMessage="1" sqref="X582">
      <formula1>1</formula1>
      <formula2>5</formula2>
    </dataValidation>
    <dataValidation type="decimal" operator="greaterThanOrEqual" allowBlank="1" showInputMessage="1" showErrorMessage="1" sqref="Y582">
      <formula1>0</formula1>
    </dataValidation>
    <dataValidation type="whole" operator="greaterThanOrEqual" allowBlank="1" showInputMessage="1" showErrorMessage="1" sqref="Z582">
      <formula1>0</formula1>
    </dataValidation>
    <dataValidation type="whole" allowBlank="1" showInputMessage="1" showErrorMessage="1" sqref="AA582">
      <formula1>1</formula1>
      <formula2>5</formula2>
    </dataValidation>
    <dataValidation type="decimal" allowBlank="1" showInputMessage="1" showErrorMessage="1" sqref="AB582">
      <formula1>0</formula1>
      <formula2>1</formula2>
    </dataValidation>
    <dataValidation type="list" allowBlank="1" showInputMessage="1" showErrorMessage="1" sqref="O582">
      <formula1>liste_statuts</formula1>
    </dataValidation>
    <dataValidation type="list" allowBlank="1" showInputMessage="1" showErrorMessage="1" sqref="B583">
      <formula1>liste_programmes</formula1>
    </dataValidation>
    <dataValidation type="list" allowBlank="1" showInputMessage="1" showErrorMessage="1" sqref="D583">
      <formula1>liste_types</formula1>
    </dataValidation>
    <dataValidation type="list" allowBlank="1" showInputMessage="1" showErrorMessage="1" sqref="F583">
      <formula1>liste_categories</formula1>
    </dataValidation>
    <dataValidation type="list" allowBlank="1" showInputMessage="1" showErrorMessage="1" sqref="G583">
      <formula1>liste_responsables</formula1>
    </dataValidation>
    <dataValidation type="list" allowBlank="1" showInputMessage="1" showErrorMessage="1" sqref="H583">
      <formula1>liste_sites</formula1>
    </dataValidation>
    <dataValidation type="list" allowBlank="1" showInputMessage="1" showErrorMessage="1" sqref="I583">
      <formula1>liste_priorites</formula1>
    </dataValidation>
    <dataValidation type="date" operator="greaterThanOrEqual" allowBlank="1" showInputMessage="1" showErrorMessage="1" sqref="J583">
      <formula1>730120</formula1>
    </dataValidation>
    <dataValidation type="date" operator="greaterThanOrEqual" allowBlank="1" showInputMessage="1" showErrorMessage="1" sqref="K583">
      <formula1>730120</formula1>
    </dataValidation>
    <dataValidation type="date" operator="greaterThanOrEqual" allowBlank="1" showInputMessage="1" showErrorMessage="1" sqref="L583">
      <formula1>730120</formula1>
    </dataValidation>
    <dataValidation type="whole" allowBlank="1" showInputMessage="1" showErrorMessage="1" sqref="P583">
      <formula1>0</formula1>
      <formula2>100</formula2>
    </dataValidation>
    <dataValidation type="decimal" operator="greaterThanOrEqual" allowBlank="1" showInputMessage="1" showErrorMessage="1" sqref="Q583">
      <formula1>0</formula1>
    </dataValidation>
    <dataValidation type="decimal" operator="greaterThanOrEqual" allowBlank="1" showInputMessage="1" showErrorMessage="1" sqref="R583">
      <formula1>0</formula1>
    </dataValidation>
    <dataValidation type="whole" allowBlank="1" showInputMessage="1" showErrorMessage="1" sqref="U583">
      <formula1>1</formula1>
      <formula2>5</formula2>
    </dataValidation>
    <dataValidation type="whole" allowBlank="1" showInputMessage="1" showErrorMessage="1" sqref="V583">
      <formula1>1</formula1>
      <formula2>5</formula2>
    </dataValidation>
    <dataValidation type="whole" allowBlank="1" showInputMessage="1" showErrorMessage="1" sqref="X583">
      <formula1>1</formula1>
      <formula2>5</formula2>
    </dataValidation>
    <dataValidation type="decimal" operator="greaterThanOrEqual" allowBlank="1" showInputMessage="1" showErrorMessage="1" sqref="Y583">
      <formula1>0</formula1>
    </dataValidation>
    <dataValidation type="whole" operator="greaterThanOrEqual" allowBlank="1" showInputMessage="1" showErrorMessage="1" sqref="Z583">
      <formula1>0</formula1>
    </dataValidation>
    <dataValidation type="whole" allowBlank="1" showInputMessage="1" showErrorMessage="1" sqref="AA583">
      <formula1>1</formula1>
      <formula2>5</formula2>
    </dataValidation>
    <dataValidation type="decimal" allowBlank="1" showInputMessage="1" showErrorMessage="1" sqref="AB583">
      <formula1>0</formula1>
      <formula2>1</formula2>
    </dataValidation>
    <dataValidation type="list" allowBlank="1" showInputMessage="1" showErrorMessage="1" sqref="O583">
      <formula1>liste_statuts</formula1>
    </dataValidation>
    <dataValidation type="list" allowBlank="1" showInputMessage="1" showErrorMessage="1" sqref="B584">
      <formula1>liste_programmes</formula1>
    </dataValidation>
    <dataValidation type="list" allowBlank="1" showInputMessage="1" showErrorMessage="1" sqref="D584">
      <formula1>liste_types</formula1>
    </dataValidation>
    <dataValidation type="list" allowBlank="1" showInputMessage="1" showErrorMessage="1" sqref="F584">
      <formula1>liste_categories</formula1>
    </dataValidation>
    <dataValidation type="list" allowBlank="1" showInputMessage="1" showErrorMessage="1" sqref="G584">
      <formula1>liste_responsables</formula1>
    </dataValidation>
    <dataValidation type="list" allowBlank="1" showInputMessage="1" showErrorMessage="1" sqref="H584">
      <formula1>liste_sites</formula1>
    </dataValidation>
    <dataValidation type="list" allowBlank="1" showInputMessage="1" showErrorMessage="1" sqref="I584">
      <formula1>liste_priorites</formula1>
    </dataValidation>
    <dataValidation type="date" operator="greaterThanOrEqual" allowBlank="1" showInputMessage="1" showErrorMessage="1" sqref="J584">
      <formula1>730120</formula1>
    </dataValidation>
    <dataValidation type="date" operator="greaterThanOrEqual" allowBlank="1" showInputMessage="1" showErrorMessage="1" sqref="K584">
      <formula1>730120</formula1>
    </dataValidation>
    <dataValidation type="date" operator="greaterThanOrEqual" allowBlank="1" showInputMessage="1" showErrorMessage="1" sqref="L584">
      <formula1>730120</formula1>
    </dataValidation>
    <dataValidation type="whole" allowBlank="1" showInputMessage="1" showErrorMessage="1" sqref="P584">
      <formula1>0</formula1>
      <formula2>100</formula2>
    </dataValidation>
    <dataValidation type="decimal" operator="greaterThanOrEqual" allowBlank="1" showInputMessage="1" showErrorMessage="1" sqref="Q584">
      <formula1>0</formula1>
    </dataValidation>
    <dataValidation type="decimal" operator="greaterThanOrEqual" allowBlank="1" showInputMessage="1" showErrorMessage="1" sqref="R584">
      <formula1>0</formula1>
    </dataValidation>
    <dataValidation type="whole" allowBlank="1" showInputMessage="1" showErrorMessage="1" sqref="U584">
      <formula1>1</formula1>
      <formula2>5</formula2>
    </dataValidation>
    <dataValidation type="whole" allowBlank="1" showInputMessage="1" showErrorMessage="1" sqref="V584">
      <formula1>1</formula1>
      <formula2>5</formula2>
    </dataValidation>
    <dataValidation type="whole" allowBlank="1" showInputMessage="1" showErrorMessage="1" sqref="X584">
      <formula1>1</formula1>
      <formula2>5</formula2>
    </dataValidation>
    <dataValidation type="decimal" operator="greaterThanOrEqual" allowBlank="1" showInputMessage="1" showErrorMessage="1" sqref="Y584">
      <formula1>0</formula1>
    </dataValidation>
    <dataValidation type="whole" operator="greaterThanOrEqual" allowBlank="1" showInputMessage="1" showErrorMessage="1" sqref="Z584">
      <formula1>0</formula1>
    </dataValidation>
    <dataValidation type="whole" allowBlank="1" showInputMessage="1" showErrorMessage="1" sqref="AA584">
      <formula1>1</formula1>
      <formula2>5</formula2>
    </dataValidation>
    <dataValidation type="decimal" allowBlank="1" showInputMessage="1" showErrorMessage="1" sqref="AB584">
      <formula1>0</formula1>
      <formula2>1</formula2>
    </dataValidation>
    <dataValidation type="list" allowBlank="1" showInputMessage="1" showErrorMessage="1" sqref="O584">
      <formula1>liste_statuts</formula1>
    </dataValidation>
    <dataValidation type="list" allowBlank="1" showInputMessage="1" showErrorMessage="1" sqref="B585">
      <formula1>liste_programmes</formula1>
    </dataValidation>
    <dataValidation type="list" allowBlank="1" showInputMessage="1" showErrorMessage="1" sqref="D585">
      <formula1>liste_types</formula1>
    </dataValidation>
    <dataValidation type="list" allowBlank="1" showInputMessage="1" showErrorMessage="1" sqref="F585">
      <formula1>liste_categories</formula1>
    </dataValidation>
    <dataValidation type="list" allowBlank="1" showInputMessage="1" showErrorMessage="1" sqref="G585">
      <formula1>liste_responsables</formula1>
    </dataValidation>
    <dataValidation type="list" allowBlank="1" showInputMessage="1" showErrorMessage="1" sqref="H585">
      <formula1>liste_sites</formula1>
    </dataValidation>
    <dataValidation type="list" allowBlank="1" showInputMessage="1" showErrorMessage="1" sqref="I585">
      <formula1>liste_priorites</formula1>
    </dataValidation>
    <dataValidation type="date" operator="greaterThanOrEqual" allowBlank="1" showInputMessage="1" showErrorMessage="1" sqref="J585">
      <formula1>730120</formula1>
    </dataValidation>
    <dataValidation type="date" operator="greaterThanOrEqual" allowBlank="1" showInputMessage="1" showErrorMessage="1" sqref="K585">
      <formula1>730120</formula1>
    </dataValidation>
    <dataValidation type="date" operator="greaterThanOrEqual" allowBlank="1" showInputMessage="1" showErrorMessage="1" sqref="L585">
      <formula1>730120</formula1>
    </dataValidation>
    <dataValidation type="whole" allowBlank="1" showInputMessage="1" showErrorMessage="1" sqref="P585">
      <formula1>0</formula1>
      <formula2>100</formula2>
    </dataValidation>
    <dataValidation type="decimal" operator="greaterThanOrEqual" allowBlank="1" showInputMessage="1" showErrorMessage="1" sqref="Q585">
      <formula1>0</formula1>
    </dataValidation>
    <dataValidation type="decimal" operator="greaterThanOrEqual" allowBlank="1" showInputMessage="1" showErrorMessage="1" sqref="R585">
      <formula1>0</formula1>
    </dataValidation>
    <dataValidation type="whole" allowBlank="1" showInputMessage="1" showErrorMessage="1" sqref="U585">
      <formula1>1</formula1>
      <formula2>5</formula2>
    </dataValidation>
    <dataValidation type="whole" allowBlank="1" showInputMessage="1" showErrorMessage="1" sqref="V585">
      <formula1>1</formula1>
      <formula2>5</formula2>
    </dataValidation>
    <dataValidation type="whole" allowBlank="1" showInputMessage="1" showErrorMessage="1" sqref="X585">
      <formula1>1</formula1>
      <formula2>5</formula2>
    </dataValidation>
    <dataValidation type="decimal" operator="greaterThanOrEqual" allowBlank="1" showInputMessage="1" showErrorMessage="1" sqref="Y585">
      <formula1>0</formula1>
    </dataValidation>
    <dataValidation type="whole" operator="greaterThanOrEqual" allowBlank="1" showInputMessage="1" showErrorMessage="1" sqref="Z585">
      <formula1>0</formula1>
    </dataValidation>
    <dataValidation type="whole" allowBlank="1" showInputMessage="1" showErrorMessage="1" sqref="AA585">
      <formula1>1</formula1>
      <formula2>5</formula2>
    </dataValidation>
    <dataValidation type="decimal" allowBlank="1" showInputMessage="1" showErrorMessage="1" sqref="AB585">
      <formula1>0</formula1>
      <formula2>1</formula2>
    </dataValidation>
    <dataValidation type="list" allowBlank="1" showInputMessage="1" showErrorMessage="1" sqref="O585">
      <formula1>liste_statuts</formula1>
    </dataValidation>
    <dataValidation type="list" allowBlank="1" showInputMessage="1" showErrorMessage="1" sqref="B586">
      <formula1>liste_programmes</formula1>
    </dataValidation>
    <dataValidation type="list" allowBlank="1" showInputMessage="1" showErrorMessage="1" sqref="D586">
      <formula1>liste_types</formula1>
    </dataValidation>
    <dataValidation type="list" allowBlank="1" showInputMessage="1" showErrorMessage="1" sqref="F586">
      <formula1>liste_categories</formula1>
    </dataValidation>
    <dataValidation type="list" allowBlank="1" showInputMessage="1" showErrorMessage="1" sqref="G586">
      <formula1>liste_responsables</formula1>
    </dataValidation>
    <dataValidation type="list" allowBlank="1" showInputMessage="1" showErrorMessage="1" sqref="H586">
      <formula1>liste_sites</formula1>
    </dataValidation>
    <dataValidation type="list" allowBlank="1" showInputMessage="1" showErrorMessage="1" sqref="I586">
      <formula1>liste_priorites</formula1>
    </dataValidation>
    <dataValidation type="date" operator="greaterThanOrEqual" allowBlank="1" showInputMessage="1" showErrorMessage="1" sqref="J586">
      <formula1>730120</formula1>
    </dataValidation>
    <dataValidation type="date" operator="greaterThanOrEqual" allowBlank="1" showInputMessage="1" showErrorMessage="1" sqref="K586">
      <formula1>730120</formula1>
    </dataValidation>
    <dataValidation type="date" operator="greaterThanOrEqual" allowBlank="1" showInputMessage="1" showErrorMessage="1" sqref="L586">
      <formula1>730120</formula1>
    </dataValidation>
    <dataValidation type="whole" allowBlank="1" showInputMessage="1" showErrorMessage="1" sqref="P586">
      <formula1>0</formula1>
      <formula2>100</formula2>
    </dataValidation>
    <dataValidation type="decimal" operator="greaterThanOrEqual" allowBlank="1" showInputMessage="1" showErrorMessage="1" sqref="Q586">
      <formula1>0</formula1>
    </dataValidation>
    <dataValidation type="decimal" operator="greaterThanOrEqual" allowBlank="1" showInputMessage="1" showErrorMessage="1" sqref="R586">
      <formula1>0</formula1>
    </dataValidation>
    <dataValidation type="whole" allowBlank="1" showInputMessage="1" showErrorMessage="1" sqref="U586">
      <formula1>1</formula1>
      <formula2>5</formula2>
    </dataValidation>
    <dataValidation type="whole" allowBlank="1" showInputMessage="1" showErrorMessage="1" sqref="V586">
      <formula1>1</formula1>
      <formula2>5</formula2>
    </dataValidation>
    <dataValidation type="whole" allowBlank="1" showInputMessage="1" showErrorMessage="1" sqref="X586">
      <formula1>1</formula1>
      <formula2>5</formula2>
    </dataValidation>
    <dataValidation type="decimal" operator="greaterThanOrEqual" allowBlank="1" showInputMessage="1" showErrorMessage="1" sqref="Y586">
      <formula1>0</formula1>
    </dataValidation>
    <dataValidation type="whole" operator="greaterThanOrEqual" allowBlank="1" showInputMessage="1" showErrorMessage="1" sqref="Z586">
      <formula1>0</formula1>
    </dataValidation>
    <dataValidation type="whole" allowBlank="1" showInputMessage="1" showErrorMessage="1" sqref="AA586">
      <formula1>1</formula1>
      <formula2>5</formula2>
    </dataValidation>
    <dataValidation type="decimal" allowBlank="1" showInputMessage="1" showErrorMessage="1" sqref="AB586">
      <formula1>0</formula1>
      <formula2>1</formula2>
    </dataValidation>
    <dataValidation type="list" allowBlank="1" showInputMessage="1" showErrorMessage="1" sqref="O586">
      <formula1>liste_statuts</formula1>
    </dataValidation>
    <dataValidation type="list" allowBlank="1" showInputMessage="1" showErrorMessage="1" sqref="B587">
      <formula1>liste_programmes</formula1>
    </dataValidation>
    <dataValidation type="list" allowBlank="1" showInputMessage="1" showErrorMessage="1" sqref="D587">
      <formula1>liste_types</formula1>
    </dataValidation>
    <dataValidation type="list" allowBlank="1" showInputMessage="1" showErrorMessage="1" sqref="F587">
      <formula1>liste_categories</formula1>
    </dataValidation>
    <dataValidation type="list" allowBlank="1" showInputMessage="1" showErrorMessage="1" sqref="G587">
      <formula1>liste_responsables</formula1>
    </dataValidation>
    <dataValidation type="list" allowBlank="1" showInputMessage="1" showErrorMessage="1" sqref="H587">
      <formula1>liste_sites</formula1>
    </dataValidation>
    <dataValidation type="list" allowBlank="1" showInputMessage="1" showErrorMessage="1" sqref="I587">
      <formula1>liste_priorites</formula1>
    </dataValidation>
    <dataValidation type="date" operator="greaterThanOrEqual" allowBlank="1" showInputMessage="1" showErrorMessage="1" sqref="J587">
      <formula1>730120</formula1>
    </dataValidation>
    <dataValidation type="date" operator="greaterThanOrEqual" allowBlank="1" showInputMessage="1" showErrorMessage="1" sqref="K587">
      <formula1>730120</formula1>
    </dataValidation>
    <dataValidation type="date" operator="greaterThanOrEqual" allowBlank="1" showInputMessage="1" showErrorMessage="1" sqref="L587">
      <formula1>730120</formula1>
    </dataValidation>
    <dataValidation type="whole" allowBlank="1" showInputMessage="1" showErrorMessage="1" sqref="P587">
      <formula1>0</formula1>
      <formula2>100</formula2>
    </dataValidation>
    <dataValidation type="decimal" operator="greaterThanOrEqual" allowBlank="1" showInputMessage="1" showErrorMessage="1" sqref="Q587">
      <formula1>0</formula1>
    </dataValidation>
    <dataValidation type="decimal" operator="greaterThanOrEqual" allowBlank="1" showInputMessage="1" showErrorMessage="1" sqref="R587">
      <formula1>0</formula1>
    </dataValidation>
    <dataValidation type="whole" allowBlank="1" showInputMessage="1" showErrorMessage="1" sqref="U587">
      <formula1>1</formula1>
      <formula2>5</formula2>
    </dataValidation>
    <dataValidation type="whole" allowBlank="1" showInputMessage="1" showErrorMessage="1" sqref="V587">
      <formula1>1</formula1>
      <formula2>5</formula2>
    </dataValidation>
    <dataValidation type="whole" allowBlank="1" showInputMessage="1" showErrorMessage="1" sqref="X587">
      <formula1>1</formula1>
      <formula2>5</formula2>
    </dataValidation>
    <dataValidation type="decimal" operator="greaterThanOrEqual" allowBlank="1" showInputMessage="1" showErrorMessage="1" sqref="Y587">
      <formula1>0</formula1>
    </dataValidation>
    <dataValidation type="whole" operator="greaterThanOrEqual" allowBlank="1" showInputMessage="1" showErrorMessage="1" sqref="Z587">
      <formula1>0</formula1>
    </dataValidation>
    <dataValidation type="whole" allowBlank="1" showInputMessage="1" showErrorMessage="1" sqref="AA587">
      <formula1>1</formula1>
      <formula2>5</formula2>
    </dataValidation>
    <dataValidation type="decimal" allowBlank="1" showInputMessage="1" showErrorMessage="1" sqref="AB587">
      <formula1>0</formula1>
      <formula2>1</formula2>
    </dataValidation>
    <dataValidation type="list" allowBlank="1" showInputMessage="1" showErrorMessage="1" sqref="O587">
      <formula1>liste_statuts</formula1>
    </dataValidation>
    <dataValidation type="list" allowBlank="1" showInputMessage="1" showErrorMessage="1" sqref="B588">
      <formula1>liste_programmes</formula1>
    </dataValidation>
    <dataValidation type="list" allowBlank="1" showInputMessage="1" showErrorMessage="1" sqref="D588">
      <formula1>liste_types</formula1>
    </dataValidation>
    <dataValidation type="list" allowBlank="1" showInputMessage="1" showErrorMessage="1" sqref="F588">
      <formula1>liste_categories</formula1>
    </dataValidation>
    <dataValidation type="list" allowBlank="1" showInputMessage="1" showErrorMessage="1" sqref="G588">
      <formula1>liste_responsables</formula1>
    </dataValidation>
    <dataValidation type="list" allowBlank="1" showInputMessage="1" showErrorMessage="1" sqref="H588">
      <formula1>liste_sites</formula1>
    </dataValidation>
    <dataValidation type="list" allowBlank="1" showInputMessage="1" showErrorMessage="1" sqref="I588">
      <formula1>liste_priorites</formula1>
    </dataValidation>
    <dataValidation type="date" operator="greaterThanOrEqual" allowBlank="1" showInputMessage="1" showErrorMessage="1" sqref="J588">
      <formula1>730120</formula1>
    </dataValidation>
    <dataValidation type="date" operator="greaterThanOrEqual" allowBlank="1" showInputMessage="1" showErrorMessage="1" sqref="K588">
      <formula1>730120</formula1>
    </dataValidation>
    <dataValidation type="date" operator="greaterThanOrEqual" allowBlank="1" showInputMessage="1" showErrorMessage="1" sqref="L588">
      <formula1>730120</formula1>
    </dataValidation>
    <dataValidation type="whole" allowBlank="1" showInputMessage="1" showErrorMessage="1" sqref="P588">
      <formula1>0</formula1>
      <formula2>100</formula2>
    </dataValidation>
    <dataValidation type="decimal" operator="greaterThanOrEqual" allowBlank="1" showInputMessage="1" showErrorMessage="1" sqref="Q588">
      <formula1>0</formula1>
    </dataValidation>
    <dataValidation type="decimal" operator="greaterThanOrEqual" allowBlank="1" showInputMessage="1" showErrorMessage="1" sqref="R588">
      <formula1>0</formula1>
    </dataValidation>
    <dataValidation type="whole" allowBlank="1" showInputMessage="1" showErrorMessage="1" sqref="U588">
      <formula1>1</formula1>
      <formula2>5</formula2>
    </dataValidation>
    <dataValidation type="whole" allowBlank="1" showInputMessage="1" showErrorMessage="1" sqref="V588">
      <formula1>1</formula1>
      <formula2>5</formula2>
    </dataValidation>
    <dataValidation type="whole" allowBlank="1" showInputMessage="1" showErrorMessage="1" sqref="X588">
      <formula1>1</formula1>
      <formula2>5</formula2>
    </dataValidation>
    <dataValidation type="decimal" operator="greaterThanOrEqual" allowBlank="1" showInputMessage="1" showErrorMessage="1" sqref="Y588">
      <formula1>0</formula1>
    </dataValidation>
    <dataValidation type="whole" operator="greaterThanOrEqual" allowBlank="1" showInputMessage="1" showErrorMessage="1" sqref="Z588">
      <formula1>0</formula1>
    </dataValidation>
    <dataValidation type="whole" allowBlank="1" showInputMessage="1" showErrorMessage="1" sqref="AA588">
      <formula1>1</formula1>
      <formula2>5</formula2>
    </dataValidation>
    <dataValidation type="decimal" allowBlank="1" showInputMessage="1" showErrorMessage="1" sqref="AB588">
      <formula1>0</formula1>
      <formula2>1</formula2>
    </dataValidation>
    <dataValidation type="list" allowBlank="1" showInputMessage="1" showErrorMessage="1" sqref="O588">
      <formula1>liste_statuts</formula1>
    </dataValidation>
    <dataValidation type="list" allowBlank="1" showInputMessage="1" showErrorMessage="1" sqref="B589">
      <formula1>liste_programmes</formula1>
    </dataValidation>
    <dataValidation type="list" allowBlank="1" showInputMessage="1" showErrorMessage="1" sqref="D589">
      <formula1>liste_types</formula1>
    </dataValidation>
    <dataValidation type="list" allowBlank="1" showInputMessage="1" showErrorMessage="1" sqref="F589">
      <formula1>liste_categories</formula1>
    </dataValidation>
    <dataValidation type="list" allowBlank="1" showInputMessage="1" showErrorMessage="1" sqref="G589">
      <formula1>liste_responsables</formula1>
    </dataValidation>
    <dataValidation type="list" allowBlank="1" showInputMessage="1" showErrorMessage="1" sqref="H589">
      <formula1>liste_sites</formula1>
    </dataValidation>
    <dataValidation type="list" allowBlank="1" showInputMessage="1" showErrorMessage="1" sqref="I589">
      <formula1>liste_priorites</formula1>
    </dataValidation>
    <dataValidation type="date" operator="greaterThanOrEqual" allowBlank="1" showInputMessage="1" showErrorMessage="1" sqref="J589">
      <formula1>730120</formula1>
    </dataValidation>
    <dataValidation type="date" operator="greaterThanOrEqual" allowBlank="1" showInputMessage="1" showErrorMessage="1" sqref="K589">
      <formula1>730120</formula1>
    </dataValidation>
    <dataValidation type="date" operator="greaterThanOrEqual" allowBlank="1" showInputMessage="1" showErrorMessage="1" sqref="L589">
      <formula1>730120</formula1>
    </dataValidation>
    <dataValidation type="whole" allowBlank="1" showInputMessage="1" showErrorMessage="1" sqref="P589">
      <formula1>0</formula1>
      <formula2>100</formula2>
    </dataValidation>
    <dataValidation type="decimal" operator="greaterThanOrEqual" allowBlank="1" showInputMessage="1" showErrorMessage="1" sqref="Q589">
      <formula1>0</formula1>
    </dataValidation>
    <dataValidation type="decimal" operator="greaterThanOrEqual" allowBlank="1" showInputMessage="1" showErrorMessage="1" sqref="R589">
      <formula1>0</formula1>
    </dataValidation>
    <dataValidation type="whole" allowBlank="1" showInputMessage="1" showErrorMessage="1" sqref="U589">
      <formula1>1</formula1>
      <formula2>5</formula2>
    </dataValidation>
    <dataValidation type="whole" allowBlank="1" showInputMessage="1" showErrorMessage="1" sqref="V589">
      <formula1>1</formula1>
      <formula2>5</formula2>
    </dataValidation>
    <dataValidation type="whole" allowBlank="1" showInputMessage="1" showErrorMessage="1" sqref="X589">
      <formula1>1</formula1>
      <formula2>5</formula2>
    </dataValidation>
    <dataValidation type="decimal" operator="greaterThanOrEqual" allowBlank="1" showInputMessage="1" showErrorMessage="1" sqref="Y589">
      <formula1>0</formula1>
    </dataValidation>
    <dataValidation type="whole" operator="greaterThanOrEqual" allowBlank="1" showInputMessage="1" showErrorMessage="1" sqref="Z589">
      <formula1>0</formula1>
    </dataValidation>
    <dataValidation type="whole" allowBlank="1" showInputMessage="1" showErrorMessage="1" sqref="AA589">
      <formula1>1</formula1>
      <formula2>5</formula2>
    </dataValidation>
    <dataValidation type="decimal" allowBlank="1" showInputMessage="1" showErrorMessage="1" sqref="AB589">
      <formula1>0</formula1>
      <formula2>1</formula2>
    </dataValidation>
    <dataValidation type="list" allowBlank="1" showInputMessage="1" showErrorMessage="1" sqref="O589">
      <formula1>liste_statuts</formula1>
    </dataValidation>
    <dataValidation type="list" allowBlank="1" showInputMessage="1" showErrorMessage="1" sqref="B590">
      <formula1>liste_programmes</formula1>
    </dataValidation>
    <dataValidation type="list" allowBlank="1" showInputMessage="1" showErrorMessage="1" sqref="D590">
      <formula1>liste_types</formula1>
    </dataValidation>
    <dataValidation type="list" allowBlank="1" showInputMessage="1" showErrorMessage="1" sqref="F590">
      <formula1>liste_categories</formula1>
    </dataValidation>
    <dataValidation type="list" allowBlank="1" showInputMessage="1" showErrorMessage="1" sqref="G590">
      <formula1>liste_responsables</formula1>
    </dataValidation>
    <dataValidation type="list" allowBlank="1" showInputMessage="1" showErrorMessage="1" sqref="H590">
      <formula1>liste_sites</formula1>
    </dataValidation>
    <dataValidation type="list" allowBlank="1" showInputMessage="1" showErrorMessage="1" sqref="I590">
      <formula1>liste_priorites</formula1>
    </dataValidation>
    <dataValidation type="date" operator="greaterThanOrEqual" allowBlank="1" showInputMessage="1" showErrorMessage="1" sqref="J590">
      <formula1>730120</formula1>
    </dataValidation>
    <dataValidation type="date" operator="greaterThanOrEqual" allowBlank="1" showInputMessage="1" showErrorMessage="1" sqref="K590">
      <formula1>730120</formula1>
    </dataValidation>
    <dataValidation type="date" operator="greaterThanOrEqual" allowBlank="1" showInputMessage="1" showErrorMessage="1" sqref="L590">
      <formula1>730120</formula1>
    </dataValidation>
    <dataValidation type="whole" allowBlank="1" showInputMessage="1" showErrorMessage="1" sqref="P590">
      <formula1>0</formula1>
      <formula2>100</formula2>
    </dataValidation>
    <dataValidation type="decimal" operator="greaterThanOrEqual" allowBlank="1" showInputMessage="1" showErrorMessage="1" sqref="Q590">
      <formula1>0</formula1>
    </dataValidation>
    <dataValidation type="decimal" operator="greaterThanOrEqual" allowBlank="1" showInputMessage="1" showErrorMessage="1" sqref="R590">
      <formula1>0</formula1>
    </dataValidation>
    <dataValidation type="whole" allowBlank="1" showInputMessage="1" showErrorMessage="1" sqref="U590">
      <formula1>1</formula1>
      <formula2>5</formula2>
    </dataValidation>
    <dataValidation type="whole" allowBlank="1" showInputMessage="1" showErrorMessage="1" sqref="V590">
      <formula1>1</formula1>
      <formula2>5</formula2>
    </dataValidation>
    <dataValidation type="whole" allowBlank="1" showInputMessage="1" showErrorMessage="1" sqref="X590">
      <formula1>1</formula1>
      <formula2>5</formula2>
    </dataValidation>
    <dataValidation type="decimal" operator="greaterThanOrEqual" allowBlank="1" showInputMessage="1" showErrorMessage="1" sqref="Y590">
      <formula1>0</formula1>
    </dataValidation>
    <dataValidation type="whole" operator="greaterThanOrEqual" allowBlank="1" showInputMessage="1" showErrorMessage="1" sqref="Z590">
      <formula1>0</formula1>
    </dataValidation>
    <dataValidation type="whole" allowBlank="1" showInputMessage="1" showErrorMessage="1" sqref="AA590">
      <formula1>1</formula1>
      <formula2>5</formula2>
    </dataValidation>
    <dataValidation type="decimal" allowBlank="1" showInputMessage="1" showErrorMessage="1" sqref="AB590">
      <formula1>0</formula1>
      <formula2>1</formula2>
    </dataValidation>
    <dataValidation type="list" allowBlank="1" showInputMessage="1" showErrorMessage="1" sqref="O590">
      <formula1>liste_statuts</formula1>
    </dataValidation>
    <dataValidation type="list" allowBlank="1" showInputMessage="1" showErrorMessage="1" sqref="B591">
      <formula1>liste_programmes</formula1>
    </dataValidation>
    <dataValidation type="list" allowBlank="1" showInputMessage="1" showErrorMessage="1" sqref="D591">
      <formula1>liste_types</formula1>
    </dataValidation>
    <dataValidation type="list" allowBlank="1" showInputMessage="1" showErrorMessage="1" sqref="F591">
      <formula1>liste_categories</formula1>
    </dataValidation>
    <dataValidation type="list" allowBlank="1" showInputMessage="1" showErrorMessage="1" sqref="G591">
      <formula1>liste_responsables</formula1>
    </dataValidation>
    <dataValidation type="list" allowBlank="1" showInputMessage="1" showErrorMessage="1" sqref="H591">
      <formula1>liste_sites</formula1>
    </dataValidation>
    <dataValidation type="list" allowBlank="1" showInputMessage="1" showErrorMessage="1" sqref="I591">
      <formula1>liste_priorites</formula1>
    </dataValidation>
    <dataValidation type="date" operator="greaterThanOrEqual" allowBlank="1" showInputMessage="1" showErrorMessage="1" sqref="J591">
      <formula1>730120</formula1>
    </dataValidation>
    <dataValidation type="date" operator="greaterThanOrEqual" allowBlank="1" showInputMessage="1" showErrorMessage="1" sqref="K591">
      <formula1>730120</formula1>
    </dataValidation>
    <dataValidation type="date" operator="greaterThanOrEqual" allowBlank="1" showInputMessage="1" showErrorMessage="1" sqref="L591">
      <formula1>730120</formula1>
    </dataValidation>
    <dataValidation type="whole" allowBlank="1" showInputMessage="1" showErrorMessage="1" sqref="P591">
      <formula1>0</formula1>
      <formula2>100</formula2>
    </dataValidation>
    <dataValidation type="decimal" operator="greaterThanOrEqual" allowBlank="1" showInputMessage="1" showErrorMessage="1" sqref="Q591">
      <formula1>0</formula1>
    </dataValidation>
    <dataValidation type="decimal" operator="greaterThanOrEqual" allowBlank="1" showInputMessage="1" showErrorMessage="1" sqref="R591">
      <formula1>0</formula1>
    </dataValidation>
    <dataValidation type="whole" allowBlank="1" showInputMessage="1" showErrorMessage="1" sqref="U591">
      <formula1>1</formula1>
      <formula2>5</formula2>
    </dataValidation>
    <dataValidation type="whole" allowBlank="1" showInputMessage="1" showErrorMessage="1" sqref="V591">
      <formula1>1</formula1>
      <formula2>5</formula2>
    </dataValidation>
    <dataValidation type="whole" allowBlank="1" showInputMessage="1" showErrorMessage="1" sqref="X591">
      <formula1>1</formula1>
      <formula2>5</formula2>
    </dataValidation>
    <dataValidation type="decimal" operator="greaterThanOrEqual" allowBlank="1" showInputMessage="1" showErrorMessage="1" sqref="Y591">
      <formula1>0</formula1>
    </dataValidation>
    <dataValidation type="whole" operator="greaterThanOrEqual" allowBlank="1" showInputMessage="1" showErrorMessage="1" sqref="Z591">
      <formula1>0</formula1>
    </dataValidation>
    <dataValidation type="whole" allowBlank="1" showInputMessage="1" showErrorMessage="1" sqref="AA591">
      <formula1>1</formula1>
      <formula2>5</formula2>
    </dataValidation>
    <dataValidation type="decimal" allowBlank="1" showInputMessage="1" showErrorMessage="1" sqref="AB591">
      <formula1>0</formula1>
      <formula2>1</formula2>
    </dataValidation>
    <dataValidation type="list" allowBlank="1" showInputMessage="1" showErrorMessage="1" sqref="O591">
      <formula1>liste_statuts</formula1>
    </dataValidation>
    <dataValidation type="list" allowBlank="1" showInputMessage="1" showErrorMessage="1" sqref="B592">
      <formula1>liste_programmes</formula1>
    </dataValidation>
    <dataValidation type="list" allowBlank="1" showInputMessage="1" showErrorMessage="1" sqref="D592">
      <formula1>liste_types</formula1>
    </dataValidation>
    <dataValidation type="list" allowBlank="1" showInputMessage="1" showErrorMessage="1" sqref="F592">
      <formula1>liste_categories</formula1>
    </dataValidation>
    <dataValidation type="list" allowBlank="1" showInputMessage="1" showErrorMessage="1" sqref="G592">
      <formula1>liste_responsables</formula1>
    </dataValidation>
    <dataValidation type="list" allowBlank="1" showInputMessage="1" showErrorMessage="1" sqref="H592">
      <formula1>liste_sites</formula1>
    </dataValidation>
    <dataValidation type="list" allowBlank="1" showInputMessage="1" showErrorMessage="1" sqref="I592">
      <formula1>liste_priorites</formula1>
    </dataValidation>
    <dataValidation type="date" operator="greaterThanOrEqual" allowBlank="1" showInputMessage="1" showErrorMessage="1" sqref="J592">
      <formula1>730120</formula1>
    </dataValidation>
    <dataValidation type="date" operator="greaterThanOrEqual" allowBlank="1" showInputMessage="1" showErrorMessage="1" sqref="K592">
      <formula1>730120</formula1>
    </dataValidation>
    <dataValidation type="date" operator="greaterThanOrEqual" allowBlank="1" showInputMessage="1" showErrorMessage="1" sqref="L592">
      <formula1>730120</formula1>
    </dataValidation>
    <dataValidation type="whole" allowBlank="1" showInputMessage="1" showErrorMessage="1" sqref="P592">
      <formula1>0</formula1>
      <formula2>100</formula2>
    </dataValidation>
    <dataValidation type="decimal" operator="greaterThanOrEqual" allowBlank="1" showInputMessage="1" showErrorMessage="1" sqref="Q592">
      <formula1>0</formula1>
    </dataValidation>
    <dataValidation type="decimal" operator="greaterThanOrEqual" allowBlank="1" showInputMessage="1" showErrorMessage="1" sqref="R592">
      <formula1>0</formula1>
    </dataValidation>
    <dataValidation type="whole" allowBlank="1" showInputMessage="1" showErrorMessage="1" sqref="U592">
      <formula1>1</formula1>
      <formula2>5</formula2>
    </dataValidation>
    <dataValidation type="whole" allowBlank="1" showInputMessage="1" showErrorMessage="1" sqref="V592">
      <formula1>1</formula1>
      <formula2>5</formula2>
    </dataValidation>
    <dataValidation type="whole" allowBlank="1" showInputMessage="1" showErrorMessage="1" sqref="X592">
      <formula1>1</formula1>
      <formula2>5</formula2>
    </dataValidation>
    <dataValidation type="decimal" operator="greaterThanOrEqual" allowBlank="1" showInputMessage="1" showErrorMessage="1" sqref="Y592">
      <formula1>0</formula1>
    </dataValidation>
    <dataValidation type="whole" operator="greaterThanOrEqual" allowBlank="1" showInputMessage="1" showErrorMessage="1" sqref="Z592">
      <formula1>0</formula1>
    </dataValidation>
    <dataValidation type="whole" allowBlank="1" showInputMessage="1" showErrorMessage="1" sqref="AA592">
      <formula1>1</formula1>
      <formula2>5</formula2>
    </dataValidation>
    <dataValidation type="decimal" allowBlank="1" showInputMessage="1" showErrorMessage="1" sqref="AB592">
      <formula1>0</formula1>
      <formula2>1</formula2>
    </dataValidation>
    <dataValidation type="list" allowBlank="1" showInputMessage="1" showErrorMessage="1" sqref="O592">
      <formula1>liste_statuts</formula1>
    </dataValidation>
    <dataValidation type="list" allowBlank="1" showInputMessage="1" showErrorMessage="1" sqref="B593">
      <formula1>liste_programmes</formula1>
    </dataValidation>
    <dataValidation type="list" allowBlank="1" showInputMessage="1" showErrorMessage="1" sqref="D593">
      <formula1>liste_types</formula1>
    </dataValidation>
    <dataValidation type="list" allowBlank="1" showInputMessage="1" showErrorMessage="1" sqref="F593">
      <formula1>liste_categories</formula1>
    </dataValidation>
    <dataValidation type="list" allowBlank="1" showInputMessage="1" showErrorMessage="1" sqref="G593">
      <formula1>liste_responsables</formula1>
    </dataValidation>
    <dataValidation type="list" allowBlank="1" showInputMessage="1" showErrorMessage="1" sqref="H593">
      <formula1>liste_sites</formula1>
    </dataValidation>
    <dataValidation type="list" allowBlank="1" showInputMessage="1" showErrorMessage="1" sqref="I593">
      <formula1>liste_priorites</formula1>
    </dataValidation>
    <dataValidation type="date" operator="greaterThanOrEqual" allowBlank="1" showInputMessage="1" showErrorMessage="1" sqref="J593">
      <formula1>730120</formula1>
    </dataValidation>
    <dataValidation type="date" operator="greaterThanOrEqual" allowBlank="1" showInputMessage="1" showErrorMessage="1" sqref="K593">
      <formula1>730120</formula1>
    </dataValidation>
    <dataValidation type="date" operator="greaterThanOrEqual" allowBlank="1" showInputMessage="1" showErrorMessage="1" sqref="L593">
      <formula1>730120</formula1>
    </dataValidation>
    <dataValidation type="whole" allowBlank="1" showInputMessage="1" showErrorMessage="1" sqref="P593">
      <formula1>0</formula1>
      <formula2>100</formula2>
    </dataValidation>
    <dataValidation type="decimal" operator="greaterThanOrEqual" allowBlank="1" showInputMessage="1" showErrorMessage="1" sqref="Q593">
      <formula1>0</formula1>
    </dataValidation>
    <dataValidation type="decimal" operator="greaterThanOrEqual" allowBlank="1" showInputMessage="1" showErrorMessage="1" sqref="R593">
      <formula1>0</formula1>
    </dataValidation>
    <dataValidation type="whole" allowBlank="1" showInputMessage="1" showErrorMessage="1" sqref="U593">
      <formula1>1</formula1>
      <formula2>5</formula2>
    </dataValidation>
    <dataValidation type="whole" allowBlank="1" showInputMessage="1" showErrorMessage="1" sqref="V593">
      <formula1>1</formula1>
      <formula2>5</formula2>
    </dataValidation>
    <dataValidation type="whole" allowBlank="1" showInputMessage="1" showErrorMessage="1" sqref="X593">
      <formula1>1</formula1>
      <formula2>5</formula2>
    </dataValidation>
    <dataValidation type="decimal" operator="greaterThanOrEqual" allowBlank="1" showInputMessage="1" showErrorMessage="1" sqref="Y593">
      <formula1>0</formula1>
    </dataValidation>
    <dataValidation type="whole" operator="greaterThanOrEqual" allowBlank="1" showInputMessage="1" showErrorMessage="1" sqref="Z593">
      <formula1>0</formula1>
    </dataValidation>
    <dataValidation type="whole" allowBlank="1" showInputMessage="1" showErrorMessage="1" sqref="AA593">
      <formula1>1</formula1>
      <formula2>5</formula2>
    </dataValidation>
    <dataValidation type="decimal" allowBlank="1" showInputMessage="1" showErrorMessage="1" sqref="AB593">
      <formula1>0</formula1>
      <formula2>1</formula2>
    </dataValidation>
    <dataValidation type="list" allowBlank="1" showInputMessage="1" showErrorMessage="1" sqref="O593">
      <formula1>liste_statuts</formula1>
    </dataValidation>
    <dataValidation type="list" allowBlank="1" showInputMessage="1" showErrorMessage="1" sqref="B594">
      <formula1>liste_programmes</formula1>
    </dataValidation>
    <dataValidation type="list" allowBlank="1" showInputMessage="1" showErrorMessage="1" sqref="D594">
      <formula1>liste_types</formula1>
    </dataValidation>
    <dataValidation type="list" allowBlank="1" showInputMessage="1" showErrorMessage="1" sqref="F594">
      <formula1>liste_categories</formula1>
    </dataValidation>
    <dataValidation type="list" allowBlank="1" showInputMessage="1" showErrorMessage="1" sqref="G594">
      <formula1>liste_responsables</formula1>
    </dataValidation>
    <dataValidation type="list" allowBlank="1" showInputMessage="1" showErrorMessage="1" sqref="H594">
      <formula1>liste_sites</formula1>
    </dataValidation>
    <dataValidation type="list" allowBlank="1" showInputMessage="1" showErrorMessage="1" sqref="I594">
      <formula1>liste_priorites</formula1>
    </dataValidation>
    <dataValidation type="date" operator="greaterThanOrEqual" allowBlank="1" showInputMessage="1" showErrorMessage="1" sqref="J594">
      <formula1>730120</formula1>
    </dataValidation>
    <dataValidation type="date" operator="greaterThanOrEqual" allowBlank="1" showInputMessage="1" showErrorMessage="1" sqref="K594">
      <formula1>730120</formula1>
    </dataValidation>
    <dataValidation type="date" operator="greaterThanOrEqual" allowBlank="1" showInputMessage="1" showErrorMessage="1" sqref="L594">
      <formula1>730120</formula1>
    </dataValidation>
    <dataValidation type="whole" allowBlank="1" showInputMessage="1" showErrorMessage="1" sqref="P594">
      <formula1>0</formula1>
      <formula2>100</formula2>
    </dataValidation>
    <dataValidation type="decimal" operator="greaterThanOrEqual" allowBlank="1" showInputMessage="1" showErrorMessage="1" sqref="Q594">
      <formula1>0</formula1>
    </dataValidation>
    <dataValidation type="decimal" operator="greaterThanOrEqual" allowBlank="1" showInputMessage="1" showErrorMessage="1" sqref="R594">
      <formula1>0</formula1>
    </dataValidation>
    <dataValidation type="whole" allowBlank="1" showInputMessage="1" showErrorMessage="1" sqref="U594">
      <formula1>1</formula1>
      <formula2>5</formula2>
    </dataValidation>
    <dataValidation type="whole" allowBlank="1" showInputMessage="1" showErrorMessage="1" sqref="V594">
      <formula1>1</formula1>
      <formula2>5</formula2>
    </dataValidation>
    <dataValidation type="whole" allowBlank="1" showInputMessage="1" showErrorMessage="1" sqref="X594">
      <formula1>1</formula1>
      <formula2>5</formula2>
    </dataValidation>
    <dataValidation type="decimal" operator="greaterThanOrEqual" allowBlank="1" showInputMessage="1" showErrorMessage="1" sqref="Y594">
      <formula1>0</formula1>
    </dataValidation>
    <dataValidation type="whole" operator="greaterThanOrEqual" allowBlank="1" showInputMessage="1" showErrorMessage="1" sqref="Z594">
      <formula1>0</formula1>
    </dataValidation>
    <dataValidation type="whole" allowBlank="1" showInputMessage="1" showErrorMessage="1" sqref="AA594">
      <formula1>1</formula1>
      <formula2>5</formula2>
    </dataValidation>
    <dataValidation type="decimal" allowBlank="1" showInputMessage="1" showErrorMessage="1" sqref="AB594">
      <formula1>0</formula1>
      <formula2>1</formula2>
    </dataValidation>
    <dataValidation type="list" allowBlank="1" showInputMessage="1" showErrorMessage="1" sqref="O594">
      <formula1>liste_statuts</formula1>
    </dataValidation>
    <dataValidation type="list" allowBlank="1" showInputMessage="1" showErrorMessage="1" sqref="B595">
      <formula1>liste_programmes</formula1>
    </dataValidation>
    <dataValidation type="list" allowBlank="1" showInputMessage="1" showErrorMessage="1" sqref="D595">
      <formula1>liste_types</formula1>
    </dataValidation>
    <dataValidation type="list" allowBlank="1" showInputMessage="1" showErrorMessage="1" sqref="F595">
      <formula1>liste_categories</formula1>
    </dataValidation>
    <dataValidation type="list" allowBlank="1" showInputMessage="1" showErrorMessage="1" sqref="G595">
      <formula1>liste_responsables</formula1>
    </dataValidation>
    <dataValidation type="list" allowBlank="1" showInputMessage="1" showErrorMessage="1" sqref="H595">
      <formula1>liste_sites</formula1>
    </dataValidation>
    <dataValidation type="list" allowBlank="1" showInputMessage="1" showErrorMessage="1" sqref="I595">
      <formula1>liste_priorites</formula1>
    </dataValidation>
    <dataValidation type="date" operator="greaterThanOrEqual" allowBlank="1" showInputMessage="1" showErrorMessage="1" sqref="J595">
      <formula1>730120</formula1>
    </dataValidation>
    <dataValidation type="date" operator="greaterThanOrEqual" allowBlank="1" showInputMessage="1" showErrorMessage="1" sqref="K595">
      <formula1>730120</formula1>
    </dataValidation>
    <dataValidation type="date" operator="greaterThanOrEqual" allowBlank="1" showInputMessage="1" showErrorMessage="1" sqref="L595">
      <formula1>730120</formula1>
    </dataValidation>
    <dataValidation type="whole" allowBlank="1" showInputMessage="1" showErrorMessage="1" sqref="P595">
      <formula1>0</formula1>
      <formula2>100</formula2>
    </dataValidation>
    <dataValidation type="decimal" operator="greaterThanOrEqual" allowBlank="1" showInputMessage="1" showErrorMessage="1" sqref="Q595">
      <formula1>0</formula1>
    </dataValidation>
    <dataValidation type="decimal" operator="greaterThanOrEqual" allowBlank="1" showInputMessage="1" showErrorMessage="1" sqref="R595">
      <formula1>0</formula1>
    </dataValidation>
    <dataValidation type="whole" allowBlank="1" showInputMessage="1" showErrorMessage="1" sqref="U595">
      <formula1>1</formula1>
      <formula2>5</formula2>
    </dataValidation>
    <dataValidation type="whole" allowBlank="1" showInputMessage="1" showErrorMessage="1" sqref="V595">
      <formula1>1</formula1>
      <formula2>5</formula2>
    </dataValidation>
    <dataValidation type="whole" allowBlank="1" showInputMessage="1" showErrorMessage="1" sqref="X595">
      <formula1>1</formula1>
      <formula2>5</formula2>
    </dataValidation>
    <dataValidation type="decimal" operator="greaterThanOrEqual" allowBlank="1" showInputMessage="1" showErrorMessage="1" sqref="Y595">
      <formula1>0</formula1>
    </dataValidation>
    <dataValidation type="whole" operator="greaterThanOrEqual" allowBlank="1" showInputMessage="1" showErrorMessage="1" sqref="Z595">
      <formula1>0</formula1>
    </dataValidation>
    <dataValidation type="whole" allowBlank="1" showInputMessage="1" showErrorMessage="1" sqref="AA595">
      <formula1>1</formula1>
      <formula2>5</formula2>
    </dataValidation>
    <dataValidation type="decimal" allowBlank="1" showInputMessage="1" showErrorMessage="1" sqref="AB595">
      <formula1>0</formula1>
      <formula2>1</formula2>
    </dataValidation>
    <dataValidation type="list" allowBlank="1" showInputMessage="1" showErrorMessage="1" sqref="O595">
      <formula1>liste_statuts</formula1>
    </dataValidation>
    <dataValidation type="list" allowBlank="1" showInputMessage="1" showErrorMessage="1" sqref="B596">
      <formula1>liste_programmes</formula1>
    </dataValidation>
    <dataValidation type="list" allowBlank="1" showInputMessage="1" showErrorMessage="1" sqref="D596">
      <formula1>liste_types</formula1>
    </dataValidation>
    <dataValidation type="list" allowBlank="1" showInputMessage="1" showErrorMessage="1" sqref="F596">
      <formula1>liste_categories</formula1>
    </dataValidation>
    <dataValidation type="list" allowBlank="1" showInputMessage="1" showErrorMessage="1" sqref="G596">
      <formula1>liste_responsables</formula1>
    </dataValidation>
    <dataValidation type="list" allowBlank="1" showInputMessage="1" showErrorMessage="1" sqref="H596">
      <formula1>liste_sites</formula1>
    </dataValidation>
    <dataValidation type="list" allowBlank="1" showInputMessage="1" showErrorMessage="1" sqref="I596">
      <formula1>liste_priorites</formula1>
    </dataValidation>
    <dataValidation type="date" operator="greaterThanOrEqual" allowBlank="1" showInputMessage="1" showErrorMessage="1" sqref="J596">
      <formula1>730120</formula1>
    </dataValidation>
    <dataValidation type="date" operator="greaterThanOrEqual" allowBlank="1" showInputMessage="1" showErrorMessage="1" sqref="K596">
      <formula1>730120</formula1>
    </dataValidation>
    <dataValidation type="date" operator="greaterThanOrEqual" allowBlank="1" showInputMessage="1" showErrorMessage="1" sqref="L596">
      <formula1>730120</formula1>
    </dataValidation>
    <dataValidation type="whole" allowBlank="1" showInputMessage="1" showErrorMessage="1" sqref="P596">
      <formula1>0</formula1>
      <formula2>100</formula2>
    </dataValidation>
    <dataValidation type="decimal" operator="greaterThanOrEqual" allowBlank="1" showInputMessage="1" showErrorMessage="1" sqref="Q596">
      <formula1>0</formula1>
    </dataValidation>
    <dataValidation type="decimal" operator="greaterThanOrEqual" allowBlank="1" showInputMessage="1" showErrorMessage="1" sqref="R596">
      <formula1>0</formula1>
    </dataValidation>
    <dataValidation type="whole" allowBlank="1" showInputMessage="1" showErrorMessage="1" sqref="U596">
      <formula1>1</formula1>
      <formula2>5</formula2>
    </dataValidation>
    <dataValidation type="whole" allowBlank="1" showInputMessage="1" showErrorMessage="1" sqref="V596">
      <formula1>1</formula1>
      <formula2>5</formula2>
    </dataValidation>
    <dataValidation type="whole" allowBlank="1" showInputMessage="1" showErrorMessage="1" sqref="X596">
      <formula1>1</formula1>
      <formula2>5</formula2>
    </dataValidation>
    <dataValidation type="decimal" operator="greaterThanOrEqual" allowBlank="1" showInputMessage="1" showErrorMessage="1" sqref="Y596">
      <formula1>0</formula1>
    </dataValidation>
    <dataValidation type="whole" operator="greaterThanOrEqual" allowBlank="1" showInputMessage="1" showErrorMessage="1" sqref="Z596">
      <formula1>0</formula1>
    </dataValidation>
    <dataValidation type="whole" allowBlank="1" showInputMessage="1" showErrorMessage="1" sqref="AA596">
      <formula1>1</formula1>
      <formula2>5</formula2>
    </dataValidation>
    <dataValidation type="decimal" allowBlank="1" showInputMessage="1" showErrorMessage="1" sqref="AB596">
      <formula1>0</formula1>
      <formula2>1</formula2>
    </dataValidation>
    <dataValidation type="list" allowBlank="1" showInputMessage="1" showErrorMessage="1" sqref="O596">
      <formula1>liste_statuts</formula1>
    </dataValidation>
    <dataValidation type="list" allowBlank="1" showInputMessage="1" showErrorMessage="1" sqref="B597">
      <formula1>liste_programmes</formula1>
    </dataValidation>
    <dataValidation type="list" allowBlank="1" showInputMessage="1" showErrorMessage="1" sqref="D597">
      <formula1>liste_types</formula1>
    </dataValidation>
    <dataValidation type="list" allowBlank="1" showInputMessage="1" showErrorMessage="1" sqref="F597">
      <formula1>liste_categories</formula1>
    </dataValidation>
    <dataValidation type="list" allowBlank="1" showInputMessage="1" showErrorMessage="1" sqref="G597">
      <formula1>liste_responsables</formula1>
    </dataValidation>
    <dataValidation type="list" allowBlank="1" showInputMessage="1" showErrorMessage="1" sqref="H597">
      <formula1>liste_sites</formula1>
    </dataValidation>
    <dataValidation type="list" allowBlank="1" showInputMessage="1" showErrorMessage="1" sqref="I597">
      <formula1>liste_priorites</formula1>
    </dataValidation>
    <dataValidation type="date" operator="greaterThanOrEqual" allowBlank="1" showInputMessage="1" showErrorMessage="1" sqref="J597">
      <formula1>730120</formula1>
    </dataValidation>
    <dataValidation type="date" operator="greaterThanOrEqual" allowBlank="1" showInputMessage="1" showErrorMessage="1" sqref="K597">
      <formula1>730120</formula1>
    </dataValidation>
    <dataValidation type="date" operator="greaterThanOrEqual" allowBlank="1" showInputMessage="1" showErrorMessage="1" sqref="L597">
      <formula1>730120</formula1>
    </dataValidation>
    <dataValidation type="whole" allowBlank="1" showInputMessage="1" showErrorMessage="1" sqref="P597">
      <formula1>0</formula1>
      <formula2>100</formula2>
    </dataValidation>
    <dataValidation type="decimal" operator="greaterThanOrEqual" allowBlank="1" showInputMessage="1" showErrorMessage="1" sqref="Q597">
      <formula1>0</formula1>
    </dataValidation>
    <dataValidation type="decimal" operator="greaterThanOrEqual" allowBlank="1" showInputMessage="1" showErrorMessage="1" sqref="R597">
      <formula1>0</formula1>
    </dataValidation>
    <dataValidation type="whole" allowBlank="1" showInputMessage="1" showErrorMessage="1" sqref="U597">
      <formula1>1</formula1>
      <formula2>5</formula2>
    </dataValidation>
    <dataValidation type="whole" allowBlank="1" showInputMessage="1" showErrorMessage="1" sqref="V597">
      <formula1>1</formula1>
      <formula2>5</formula2>
    </dataValidation>
    <dataValidation type="whole" allowBlank="1" showInputMessage="1" showErrorMessage="1" sqref="X597">
      <formula1>1</formula1>
      <formula2>5</formula2>
    </dataValidation>
    <dataValidation type="decimal" operator="greaterThanOrEqual" allowBlank="1" showInputMessage="1" showErrorMessage="1" sqref="Y597">
      <formula1>0</formula1>
    </dataValidation>
    <dataValidation type="whole" operator="greaterThanOrEqual" allowBlank="1" showInputMessage="1" showErrorMessage="1" sqref="Z597">
      <formula1>0</formula1>
    </dataValidation>
    <dataValidation type="whole" allowBlank="1" showInputMessage="1" showErrorMessage="1" sqref="AA597">
      <formula1>1</formula1>
      <formula2>5</formula2>
    </dataValidation>
    <dataValidation type="decimal" allowBlank="1" showInputMessage="1" showErrorMessage="1" sqref="AB597">
      <formula1>0</formula1>
      <formula2>1</formula2>
    </dataValidation>
    <dataValidation type="list" allowBlank="1" showInputMessage="1" showErrorMessage="1" sqref="O597">
      <formula1>liste_statuts</formula1>
    </dataValidation>
    <dataValidation type="list" allowBlank="1" showInputMessage="1" showErrorMessage="1" sqref="B598">
      <formula1>liste_programmes</formula1>
    </dataValidation>
    <dataValidation type="list" allowBlank="1" showInputMessage="1" showErrorMessage="1" sqref="D598">
      <formula1>liste_types</formula1>
    </dataValidation>
    <dataValidation type="list" allowBlank="1" showInputMessage="1" showErrorMessage="1" sqref="F598">
      <formula1>liste_categories</formula1>
    </dataValidation>
    <dataValidation type="list" allowBlank="1" showInputMessage="1" showErrorMessage="1" sqref="G598">
      <formula1>liste_responsables</formula1>
    </dataValidation>
    <dataValidation type="list" allowBlank="1" showInputMessage="1" showErrorMessage="1" sqref="H598">
      <formula1>liste_sites</formula1>
    </dataValidation>
    <dataValidation type="list" allowBlank="1" showInputMessage="1" showErrorMessage="1" sqref="I598">
      <formula1>liste_priorites</formula1>
    </dataValidation>
    <dataValidation type="date" operator="greaterThanOrEqual" allowBlank="1" showInputMessage="1" showErrorMessage="1" sqref="J598">
      <formula1>730120</formula1>
    </dataValidation>
    <dataValidation type="date" operator="greaterThanOrEqual" allowBlank="1" showInputMessage="1" showErrorMessage="1" sqref="K598">
      <formula1>730120</formula1>
    </dataValidation>
    <dataValidation type="date" operator="greaterThanOrEqual" allowBlank="1" showInputMessage="1" showErrorMessage="1" sqref="L598">
      <formula1>730120</formula1>
    </dataValidation>
    <dataValidation type="whole" allowBlank="1" showInputMessage="1" showErrorMessage="1" sqref="P598">
      <formula1>0</formula1>
      <formula2>100</formula2>
    </dataValidation>
    <dataValidation type="decimal" operator="greaterThanOrEqual" allowBlank="1" showInputMessage="1" showErrorMessage="1" sqref="Q598">
      <formula1>0</formula1>
    </dataValidation>
    <dataValidation type="decimal" operator="greaterThanOrEqual" allowBlank="1" showInputMessage="1" showErrorMessage="1" sqref="R598">
      <formula1>0</formula1>
    </dataValidation>
    <dataValidation type="whole" allowBlank="1" showInputMessage="1" showErrorMessage="1" sqref="U598">
      <formula1>1</formula1>
      <formula2>5</formula2>
    </dataValidation>
    <dataValidation type="whole" allowBlank="1" showInputMessage="1" showErrorMessage="1" sqref="V598">
      <formula1>1</formula1>
      <formula2>5</formula2>
    </dataValidation>
    <dataValidation type="whole" allowBlank="1" showInputMessage="1" showErrorMessage="1" sqref="X598">
      <formula1>1</formula1>
      <formula2>5</formula2>
    </dataValidation>
    <dataValidation type="decimal" operator="greaterThanOrEqual" allowBlank="1" showInputMessage="1" showErrorMessage="1" sqref="Y598">
      <formula1>0</formula1>
    </dataValidation>
    <dataValidation type="whole" operator="greaterThanOrEqual" allowBlank="1" showInputMessage="1" showErrorMessage="1" sqref="Z598">
      <formula1>0</formula1>
    </dataValidation>
    <dataValidation type="whole" allowBlank="1" showInputMessage="1" showErrorMessage="1" sqref="AA598">
      <formula1>1</formula1>
      <formula2>5</formula2>
    </dataValidation>
    <dataValidation type="decimal" allowBlank="1" showInputMessage="1" showErrorMessage="1" sqref="AB598">
      <formula1>0</formula1>
      <formula2>1</formula2>
    </dataValidation>
    <dataValidation type="list" allowBlank="1" showInputMessage="1" showErrorMessage="1" sqref="O598">
      <formula1>liste_statuts</formula1>
    </dataValidation>
    <dataValidation type="list" allowBlank="1" showInputMessage="1" showErrorMessage="1" sqref="B599">
      <formula1>liste_programmes</formula1>
    </dataValidation>
    <dataValidation type="list" allowBlank="1" showInputMessage="1" showErrorMessage="1" sqref="D599">
      <formula1>liste_types</formula1>
    </dataValidation>
    <dataValidation type="list" allowBlank="1" showInputMessage="1" showErrorMessage="1" sqref="F599">
      <formula1>liste_categories</formula1>
    </dataValidation>
    <dataValidation type="list" allowBlank="1" showInputMessage="1" showErrorMessage="1" sqref="G599">
      <formula1>liste_responsables</formula1>
    </dataValidation>
    <dataValidation type="list" allowBlank="1" showInputMessage="1" showErrorMessage="1" sqref="H599">
      <formula1>liste_sites</formula1>
    </dataValidation>
    <dataValidation type="list" allowBlank="1" showInputMessage="1" showErrorMessage="1" sqref="I599">
      <formula1>liste_priorites</formula1>
    </dataValidation>
    <dataValidation type="date" operator="greaterThanOrEqual" allowBlank="1" showInputMessage="1" showErrorMessage="1" sqref="J599">
      <formula1>730120</formula1>
    </dataValidation>
    <dataValidation type="date" operator="greaterThanOrEqual" allowBlank="1" showInputMessage="1" showErrorMessage="1" sqref="K599">
      <formula1>730120</formula1>
    </dataValidation>
    <dataValidation type="date" operator="greaterThanOrEqual" allowBlank="1" showInputMessage="1" showErrorMessage="1" sqref="L599">
      <formula1>730120</formula1>
    </dataValidation>
    <dataValidation type="whole" allowBlank="1" showInputMessage="1" showErrorMessage="1" sqref="P599">
      <formula1>0</formula1>
      <formula2>100</formula2>
    </dataValidation>
    <dataValidation type="decimal" operator="greaterThanOrEqual" allowBlank="1" showInputMessage="1" showErrorMessage="1" sqref="Q599">
      <formula1>0</formula1>
    </dataValidation>
    <dataValidation type="decimal" operator="greaterThanOrEqual" allowBlank="1" showInputMessage="1" showErrorMessage="1" sqref="R599">
      <formula1>0</formula1>
    </dataValidation>
    <dataValidation type="whole" allowBlank="1" showInputMessage="1" showErrorMessage="1" sqref="U599">
      <formula1>1</formula1>
      <formula2>5</formula2>
    </dataValidation>
    <dataValidation type="whole" allowBlank="1" showInputMessage="1" showErrorMessage="1" sqref="V599">
      <formula1>1</formula1>
      <formula2>5</formula2>
    </dataValidation>
    <dataValidation type="whole" allowBlank="1" showInputMessage="1" showErrorMessage="1" sqref="X599">
      <formula1>1</formula1>
      <formula2>5</formula2>
    </dataValidation>
    <dataValidation type="decimal" operator="greaterThanOrEqual" allowBlank="1" showInputMessage="1" showErrorMessage="1" sqref="Y599">
      <formula1>0</formula1>
    </dataValidation>
    <dataValidation type="whole" operator="greaterThanOrEqual" allowBlank="1" showInputMessage="1" showErrorMessage="1" sqref="Z599">
      <formula1>0</formula1>
    </dataValidation>
    <dataValidation type="whole" allowBlank="1" showInputMessage="1" showErrorMessage="1" sqref="AA599">
      <formula1>1</formula1>
      <formula2>5</formula2>
    </dataValidation>
    <dataValidation type="decimal" allowBlank="1" showInputMessage="1" showErrorMessage="1" sqref="AB599">
      <formula1>0</formula1>
      <formula2>1</formula2>
    </dataValidation>
    <dataValidation type="list" allowBlank="1" showInputMessage="1" showErrorMessage="1" sqref="O599">
      <formula1>liste_statuts</formula1>
    </dataValidation>
    <dataValidation type="list" allowBlank="1" showInputMessage="1" showErrorMessage="1" sqref="B600">
      <formula1>liste_programmes</formula1>
    </dataValidation>
    <dataValidation type="list" allowBlank="1" showInputMessage="1" showErrorMessage="1" sqref="D600">
      <formula1>liste_types</formula1>
    </dataValidation>
    <dataValidation type="list" allowBlank="1" showInputMessage="1" showErrorMessage="1" sqref="F600">
      <formula1>liste_categories</formula1>
    </dataValidation>
    <dataValidation type="list" allowBlank="1" showInputMessage="1" showErrorMessage="1" sqref="G600">
      <formula1>liste_responsables</formula1>
    </dataValidation>
    <dataValidation type="list" allowBlank="1" showInputMessage="1" showErrorMessage="1" sqref="H600">
      <formula1>liste_sites</formula1>
    </dataValidation>
    <dataValidation type="list" allowBlank="1" showInputMessage="1" showErrorMessage="1" sqref="I600">
      <formula1>liste_priorites</formula1>
    </dataValidation>
    <dataValidation type="date" operator="greaterThanOrEqual" allowBlank="1" showInputMessage="1" showErrorMessage="1" sqref="J600">
      <formula1>730120</formula1>
    </dataValidation>
    <dataValidation type="date" operator="greaterThanOrEqual" allowBlank="1" showInputMessage="1" showErrorMessage="1" sqref="K600">
      <formula1>730120</formula1>
    </dataValidation>
    <dataValidation type="date" operator="greaterThanOrEqual" allowBlank="1" showInputMessage="1" showErrorMessage="1" sqref="L600">
      <formula1>730120</formula1>
    </dataValidation>
    <dataValidation type="whole" allowBlank="1" showInputMessage="1" showErrorMessage="1" sqref="P600">
      <formula1>0</formula1>
      <formula2>100</formula2>
    </dataValidation>
    <dataValidation type="decimal" operator="greaterThanOrEqual" allowBlank="1" showInputMessage="1" showErrorMessage="1" sqref="Q600">
      <formula1>0</formula1>
    </dataValidation>
    <dataValidation type="decimal" operator="greaterThanOrEqual" allowBlank="1" showInputMessage="1" showErrorMessage="1" sqref="R600">
      <formula1>0</formula1>
    </dataValidation>
    <dataValidation type="whole" allowBlank="1" showInputMessage="1" showErrorMessage="1" sqref="U600">
      <formula1>1</formula1>
      <formula2>5</formula2>
    </dataValidation>
    <dataValidation type="whole" allowBlank="1" showInputMessage="1" showErrorMessage="1" sqref="V600">
      <formula1>1</formula1>
      <formula2>5</formula2>
    </dataValidation>
    <dataValidation type="whole" allowBlank="1" showInputMessage="1" showErrorMessage="1" sqref="X600">
      <formula1>1</formula1>
      <formula2>5</formula2>
    </dataValidation>
    <dataValidation type="decimal" operator="greaterThanOrEqual" allowBlank="1" showInputMessage="1" showErrorMessage="1" sqref="Y600">
      <formula1>0</formula1>
    </dataValidation>
    <dataValidation type="whole" operator="greaterThanOrEqual" allowBlank="1" showInputMessage="1" showErrorMessage="1" sqref="Z600">
      <formula1>0</formula1>
    </dataValidation>
    <dataValidation type="whole" allowBlank="1" showInputMessage="1" showErrorMessage="1" sqref="AA600">
      <formula1>1</formula1>
      <formula2>5</formula2>
    </dataValidation>
    <dataValidation type="decimal" allowBlank="1" showInputMessage="1" showErrorMessage="1" sqref="AB600">
      <formula1>0</formula1>
      <formula2>1</formula2>
    </dataValidation>
    <dataValidation type="list" allowBlank="1" showInputMessage="1" showErrorMessage="1" sqref="O600">
      <formula1>liste_statuts</formula1>
    </dataValidation>
    <dataValidation type="list" allowBlank="1" showInputMessage="1" showErrorMessage="1" sqref="B601">
      <formula1>liste_programmes</formula1>
    </dataValidation>
    <dataValidation type="list" allowBlank="1" showInputMessage="1" showErrorMessage="1" sqref="D601">
      <formula1>liste_types</formula1>
    </dataValidation>
    <dataValidation type="list" allowBlank="1" showInputMessage="1" showErrorMessage="1" sqref="F601">
      <formula1>liste_categories</formula1>
    </dataValidation>
    <dataValidation type="list" allowBlank="1" showInputMessage="1" showErrorMessage="1" sqref="G601">
      <formula1>liste_responsables</formula1>
    </dataValidation>
    <dataValidation type="list" allowBlank="1" showInputMessage="1" showErrorMessage="1" sqref="H601">
      <formula1>liste_sites</formula1>
    </dataValidation>
    <dataValidation type="list" allowBlank="1" showInputMessage="1" showErrorMessage="1" sqref="I601">
      <formula1>liste_priorites</formula1>
    </dataValidation>
    <dataValidation type="date" operator="greaterThanOrEqual" allowBlank="1" showInputMessage="1" showErrorMessage="1" sqref="J601">
      <formula1>730120</formula1>
    </dataValidation>
    <dataValidation type="date" operator="greaterThanOrEqual" allowBlank="1" showInputMessage="1" showErrorMessage="1" sqref="K601">
      <formula1>730120</formula1>
    </dataValidation>
    <dataValidation type="date" operator="greaterThanOrEqual" allowBlank="1" showInputMessage="1" showErrorMessage="1" sqref="L601">
      <formula1>730120</formula1>
    </dataValidation>
    <dataValidation type="whole" allowBlank="1" showInputMessage="1" showErrorMessage="1" sqref="P601">
      <formula1>0</formula1>
      <formula2>100</formula2>
    </dataValidation>
    <dataValidation type="decimal" operator="greaterThanOrEqual" allowBlank="1" showInputMessage="1" showErrorMessage="1" sqref="Q601">
      <formula1>0</formula1>
    </dataValidation>
    <dataValidation type="decimal" operator="greaterThanOrEqual" allowBlank="1" showInputMessage="1" showErrorMessage="1" sqref="R601">
      <formula1>0</formula1>
    </dataValidation>
    <dataValidation type="whole" allowBlank="1" showInputMessage="1" showErrorMessage="1" sqref="U601">
      <formula1>1</formula1>
      <formula2>5</formula2>
    </dataValidation>
    <dataValidation type="whole" allowBlank="1" showInputMessage="1" showErrorMessage="1" sqref="V601">
      <formula1>1</formula1>
      <formula2>5</formula2>
    </dataValidation>
    <dataValidation type="whole" allowBlank="1" showInputMessage="1" showErrorMessage="1" sqref="X601">
      <formula1>1</formula1>
      <formula2>5</formula2>
    </dataValidation>
    <dataValidation type="decimal" operator="greaterThanOrEqual" allowBlank="1" showInputMessage="1" showErrorMessage="1" sqref="Y601">
      <formula1>0</formula1>
    </dataValidation>
    <dataValidation type="whole" operator="greaterThanOrEqual" allowBlank="1" showInputMessage="1" showErrorMessage="1" sqref="Z601">
      <formula1>0</formula1>
    </dataValidation>
    <dataValidation type="whole" allowBlank="1" showInputMessage="1" showErrorMessage="1" sqref="AA601">
      <formula1>1</formula1>
      <formula2>5</formula2>
    </dataValidation>
    <dataValidation type="decimal" allowBlank="1" showInputMessage="1" showErrorMessage="1" sqref="AB601">
      <formula1>0</formula1>
      <formula2>1</formula2>
    </dataValidation>
    <dataValidation type="list" allowBlank="1" showInputMessage="1" showErrorMessage="1" sqref="O601">
      <formula1>liste_statuts</formula1>
    </dataValidation>
  </dataValidations>
  <hyperlinks>
    <hyperlink ref="AE2" r:id="rId1"/>
    <hyperlink ref="AE3" r:id="rId2"/>
    <hyperlink ref="AE4" r:id="rId3"/>
    <hyperlink ref="AE5" r:id="rId4"/>
    <hyperlink ref="AE6" r:id="rId5"/>
    <hyperlink ref="AE7" r:id="rId6"/>
    <hyperlink ref="AE8" r:id="rId7"/>
    <hyperlink ref="AE9" r:id="rId8"/>
    <hyperlink ref="AE10" r:id="rId9"/>
    <hyperlink ref="AE11" r:id="rId10"/>
    <hyperlink ref="AE12" r:id="rId11"/>
    <hyperlink ref="AE13" r:id="rId12"/>
    <hyperlink ref="AE14" r:id="rId13"/>
    <hyperlink ref="AE15" r:id="rId14"/>
    <hyperlink ref="AE16" r:id="rId15"/>
    <hyperlink ref="AE17" r:id="rId16"/>
    <hyperlink ref="AE18" r:id="rId17"/>
    <hyperlink ref="AE19" r:id="rId18"/>
    <hyperlink ref="AE20" r:id="rId19"/>
    <hyperlink ref="AE21" r:id="rId20"/>
    <hyperlink ref="AE22" r:id="rId21"/>
    <hyperlink ref="AE23" r:id="rId22"/>
    <hyperlink ref="AE24" r:id="rId23"/>
    <hyperlink ref="AE25" r:id="rId24"/>
    <hyperlink ref="AE26" r:id="rId25"/>
    <hyperlink ref="AE27" r:id="rId26"/>
    <hyperlink ref="AE28" r:id="rId27"/>
    <hyperlink ref="AE29" r:id="rId28"/>
    <hyperlink ref="AE30" r:id="rId29"/>
    <hyperlink ref="AE31" r:id="rId30"/>
    <hyperlink ref="AE32" r:id="rId31"/>
    <hyperlink ref="AE33" r:id="rId32"/>
    <hyperlink ref="AE34" r:id="rId33"/>
    <hyperlink ref="AE35" r:id="rId34"/>
    <hyperlink ref="AE36" r:id="rId35"/>
    <hyperlink ref="AE37" r:id="rId36"/>
    <hyperlink ref="AE38" r:id="rId37"/>
    <hyperlink ref="AE39" r:id="rId38"/>
    <hyperlink ref="AE40" r:id="rId39"/>
    <hyperlink ref="AE41" r:id="rId40"/>
    <hyperlink ref="AE42" r:id="rId41"/>
    <hyperlink ref="AE43" r:id="rId42"/>
    <hyperlink ref="AE44" r:id="rId43"/>
    <hyperlink ref="AE45" r:id="rId44"/>
    <hyperlink ref="AE46" r:id="rId45"/>
    <hyperlink ref="AE47" r:id="rId46"/>
    <hyperlink ref="AE48" r:id="rId47"/>
    <hyperlink ref="AE49" r:id="rId48"/>
    <hyperlink ref="AE50" r:id="rId49"/>
    <hyperlink ref="AE51" r:id="rId50"/>
    <hyperlink ref="AE52" r:id="rId51"/>
    <hyperlink ref="AE53" r:id="rId52"/>
    <hyperlink ref="AE54" r:id="rId53"/>
    <hyperlink ref="AE55" r:id="rId54"/>
    <hyperlink ref="AE56" r:id="rId55"/>
    <hyperlink ref="AE57" r:id="rId56"/>
    <hyperlink ref="AE58" r:id="rId57"/>
    <hyperlink ref="AE59" r:id="rId58"/>
    <hyperlink ref="AE60" r:id="rId59"/>
    <hyperlink ref="AE61" r:id="rId60"/>
    <hyperlink ref="AE62" r:id="rId61"/>
    <hyperlink ref="AE63" r:id="rId62"/>
    <hyperlink ref="AE64" r:id="rId63"/>
    <hyperlink ref="AE65" r:id="rId64"/>
    <hyperlink ref="AE66" r:id="rId65"/>
    <hyperlink ref="AE67" r:id="rId66"/>
    <hyperlink ref="AE68" r:id="rId67"/>
    <hyperlink ref="AE69" r:id="rId68"/>
    <hyperlink ref="AE70" r:id="rId69"/>
    <hyperlink ref="AE71" r:id="rId70"/>
    <hyperlink ref="AE72" r:id="rId71"/>
    <hyperlink ref="AE73" r:id="rId72"/>
    <hyperlink ref="AE74" r:id="rId73"/>
    <hyperlink ref="AE75" r:id="rId74"/>
    <hyperlink ref="AE76" r:id="rId75"/>
    <hyperlink ref="AE77" r:id="rId76"/>
    <hyperlink ref="AE78" r:id="rId77"/>
    <hyperlink ref="AE79" r:id="rId78"/>
    <hyperlink ref="AE80" r:id="rId79"/>
    <hyperlink ref="AE81" r:id="rId80"/>
    <hyperlink ref="AE82" r:id="rId81"/>
    <hyperlink ref="AE83" r:id="rId82"/>
    <hyperlink ref="AE84" r:id="rId83"/>
    <hyperlink ref="AE85" r:id="rId84"/>
    <hyperlink ref="AE86" r:id="rId85"/>
    <hyperlink ref="AE87" r:id="rId86"/>
    <hyperlink ref="AE88" r:id="rId87"/>
    <hyperlink ref="AE89" r:id="rId88"/>
    <hyperlink ref="AE90" r:id="rId89"/>
    <hyperlink ref="AE91" r:id="rId90"/>
    <hyperlink ref="AE92" r:id="rId91"/>
    <hyperlink ref="AE93" r:id="rId92"/>
    <hyperlink ref="AE94" r:id="rId93"/>
    <hyperlink ref="AE95" r:id="rId94"/>
    <hyperlink ref="AE96" r:id="rId95"/>
    <hyperlink ref="AE97" r:id="rId96"/>
  </hyperlinks>
  <pageMargins left="0.7" right="0.7" top="0.75" bottom="0.75" header="0.3" footer="0.3"/>
  <tableParts count="1">
    <tablePart r:id="rId97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C3AED"/>
  </sheetPr>
  <dimension ref="A1:Q17"/>
  <sheetViews>
    <sheetView workbookViewId="0"/>
  </sheetViews>
  <sheetFormatPr defaultRowHeight="18" customHeight="1"/>
  <cols>
    <col min="1" max="1" width="38.7109375" customWidth="1"/>
    <col min="2" max="4" width="18.7109375" customWidth="1"/>
    <col min="6" max="17" width="16.7109375" customWidth="1"/>
  </cols>
  <sheetData>
    <row r="1" spans="1:17" ht="18" customHeight="1">
      <c r="A1" s="1" t="s">
        <v>250</v>
      </c>
      <c r="B1" s="3">
        <f>annee</f>
        <v>0</v>
      </c>
    </row>
    <row r="3" spans="1:17" ht="18" customHeight="1">
      <c r="A3" s="3" t="s">
        <v>251</v>
      </c>
      <c r="F3" s="5" t="s">
        <v>260</v>
      </c>
      <c r="K3" s="5" t="s">
        <v>264</v>
      </c>
      <c r="N3" s="5" t="s">
        <v>266</v>
      </c>
      <c r="P3" s="8" t="s">
        <v>268</v>
      </c>
      <c r="Q3" s="8" t="s">
        <v>269</v>
      </c>
    </row>
    <row r="4" spans="1:17" ht="18" customHeight="1">
      <c r="F4" s="8" t="s">
        <v>96</v>
      </c>
      <c r="G4" s="8" t="s">
        <v>261</v>
      </c>
      <c r="H4" s="8" t="s">
        <v>262</v>
      </c>
      <c r="I4" s="8" t="s">
        <v>263</v>
      </c>
      <c r="K4" s="8" t="s">
        <v>78</v>
      </c>
      <c r="L4" s="8" t="s">
        <v>265</v>
      </c>
      <c r="N4" s="8" t="s">
        <v>70</v>
      </c>
      <c r="O4" s="8" t="s">
        <v>267</v>
      </c>
    </row>
    <row r="5" spans="1:17" ht="18" customHeight="1">
      <c r="A5" s="8" t="s">
        <v>252</v>
      </c>
      <c r="B5" s="6">
        <f>COUNTA(tblActivites[Titre])</f>
        <v>0</v>
      </c>
      <c r="P5" s="11">
        <f>H5</f>
        <v>0</v>
      </c>
      <c r="Q5" s="11">
        <f>I5</f>
        <v>0</v>
      </c>
    </row>
    <row r="6" spans="1:17" ht="18" customHeight="1">
      <c r="A6" s="8" t="s">
        <v>253</v>
      </c>
      <c r="B6" s="6">
        <f>COUNTIF(tblActivites[Statut],"Terminé")</f>
        <v>0</v>
      </c>
      <c r="F6" s="12">
        <v>1</v>
      </c>
      <c r="G6" s="6">
        <f>COUNTIFS(tblActivites[Statut],"Terminé", tblActivites[Mois], 1)</f>
        <v>0</v>
      </c>
      <c r="H6" s="11">
        <f>SUMIFS(tblActivites[Budget prévu], tblActivites[Mois], 1)</f>
        <v>0</v>
      </c>
      <c r="I6" s="11">
        <f>SUMIFS(tblActivites[Budget réalisé], tblActivites[Mois], 1)</f>
        <v>0</v>
      </c>
      <c r="K6" s="9" t="s">
        <v>13</v>
      </c>
      <c r="L6" s="6">
        <f>COUNTIF(tblActivites[Statut],"À planifier")</f>
        <v>0</v>
      </c>
      <c r="N6" s="9" t="s">
        <v>40</v>
      </c>
      <c r="O6" s="6">
        <f>SUMIFS(tblActivites[Effort (jours)], tblActivites[Responsable], "Claire", tblActivites[Statut], "En cours") + SUMIFS(tblActivites[Effort (jours)], tblActivites[Responsable], "Claire", tblActivites[Statut], "Planifié")</f>
        <v>0</v>
      </c>
      <c r="P6" s="11">
        <f>P4+H6</f>
        <v>0</v>
      </c>
      <c r="Q6" s="11">
        <f>Q4+I6</f>
        <v>0</v>
      </c>
    </row>
    <row r="7" spans="1:17" ht="18" customHeight="1">
      <c r="A7" s="8" t="s">
        <v>15</v>
      </c>
      <c r="B7" s="6">
        <f>COUNTIF(tblActivites[Statut],"En cours")</f>
        <v>0</v>
      </c>
      <c r="F7" s="12">
        <v>2</v>
      </c>
      <c r="G7" s="6">
        <f>COUNTIFS(tblActivites[Statut],"Terminé", tblActivites[Mois], 2)</f>
        <v>0</v>
      </c>
      <c r="H7" s="11">
        <f>SUMIFS(tblActivites[Budget prévu], tblActivites[Mois], 2)</f>
        <v>0</v>
      </c>
      <c r="I7" s="11">
        <f>SUMIFS(tblActivites[Budget réalisé], tblActivites[Mois], 2)</f>
        <v>0</v>
      </c>
      <c r="K7" s="9" t="s">
        <v>14</v>
      </c>
      <c r="L7" s="6">
        <f>COUNTIF(tblActivites[Statut],"Planifié")</f>
        <v>0</v>
      </c>
      <c r="N7" s="9" t="s">
        <v>41</v>
      </c>
      <c r="O7" s="6">
        <f>SUMIFS(tblActivites[Effort (jours)], tblActivites[Responsable], "Marc", tblActivites[Statut], "En cours") + SUMIFS(tblActivites[Effort (jours)], tblActivites[Responsable], "Marc", tblActivites[Statut], "Planifié")</f>
        <v>0</v>
      </c>
      <c r="P7" s="11">
        <f>P5+H7</f>
        <v>0</v>
      </c>
      <c r="Q7" s="11">
        <f>Q5+I7</f>
        <v>0</v>
      </c>
    </row>
    <row r="8" spans="1:17" ht="18" customHeight="1">
      <c r="A8" s="8" t="s">
        <v>254</v>
      </c>
      <c r="B8" s="6">
        <f>COUNTIF(tblActivites[Statut],"Bloqué")</f>
        <v>0</v>
      </c>
      <c r="F8" s="12">
        <v>3</v>
      </c>
      <c r="G8" s="6">
        <f>COUNTIFS(tblActivites[Statut],"Terminé", tblActivites[Mois], 3)</f>
        <v>0</v>
      </c>
      <c r="H8" s="11">
        <f>SUMIFS(tblActivites[Budget prévu], tblActivites[Mois], 3)</f>
        <v>0</v>
      </c>
      <c r="I8" s="11">
        <f>SUMIFS(tblActivites[Budget réalisé], tblActivites[Mois], 3)</f>
        <v>0</v>
      </c>
      <c r="K8" s="9" t="s">
        <v>15</v>
      </c>
      <c r="L8" s="6">
        <f>COUNTIF(tblActivites[Statut],"En cours")</f>
        <v>0</v>
      </c>
      <c r="N8" s="9" t="s">
        <v>42</v>
      </c>
      <c r="O8" s="6">
        <f>SUMIFS(tblActivites[Effort (jours)], tblActivites[Responsable], "Hugo", tblActivites[Statut], "En cours") + SUMIFS(tblActivites[Effort (jours)], tblActivites[Responsable], "Hugo", tblActivites[Statut], "Planifié")</f>
        <v>0</v>
      </c>
      <c r="P8" s="11">
        <f>P6+H8</f>
        <v>0</v>
      </c>
      <c r="Q8" s="11">
        <f>Q6+I8</f>
        <v>0</v>
      </c>
    </row>
    <row r="9" spans="1:17" ht="18" customHeight="1">
      <c r="A9" s="8" t="s">
        <v>255</v>
      </c>
      <c r="B9" s="7">
        <f>IFERROR( COUNTIF(tblActivites[À l’heure ?],"Oui") / COUNTIF(tblActivites[Statut],"Terminé"), 0)</f>
        <v>0</v>
      </c>
      <c r="F9" s="12">
        <v>4</v>
      </c>
      <c r="G9" s="6">
        <f>COUNTIFS(tblActivites[Statut],"Terminé", tblActivites[Mois], 4)</f>
        <v>0</v>
      </c>
      <c r="H9" s="11">
        <f>SUMIFS(tblActivites[Budget prévu], tblActivites[Mois], 4)</f>
        <v>0</v>
      </c>
      <c r="I9" s="11">
        <f>SUMIFS(tblActivites[Budget réalisé], tblActivites[Mois], 4)</f>
        <v>0</v>
      </c>
      <c r="K9" s="9" t="s">
        <v>16</v>
      </c>
      <c r="L9" s="6">
        <f>COUNTIF(tblActivites[Statut],"Bloqué")</f>
        <v>0</v>
      </c>
      <c r="N9" s="9" t="s">
        <v>43</v>
      </c>
      <c r="O9" s="6">
        <f>SUMIFS(tblActivites[Effort (jours)], tblActivites[Responsable], "Julien", tblActivites[Statut], "En cours") + SUMIFS(tblActivites[Effort (jours)], tblActivites[Responsable], "Julien", tblActivites[Statut], "Planifié")</f>
        <v>0</v>
      </c>
      <c r="P9" s="11">
        <f>P7+H9</f>
        <v>0</v>
      </c>
      <c r="Q9" s="11">
        <f>Q7+I9</f>
        <v>0</v>
      </c>
    </row>
    <row r="10" spans="1:17" ht="18" customHeight="1">
      <c r="A10" s="8" t="s">
        <v>256</v>
      </c>
      <c r="B10" s="11">
        <f>SUM(tblActivites[Budget prévu])</f>
        <v>0</v>
      </c>
      <c r="F10" s="12">
        <v>5</v>
      </c>
      <c r="G10" s="6">
        <f>COUNTIFS(tblActivites[Statut],"Terminé", tblActivites[Mois], 5)</f>
        <v>0</v>
      </c>
      <c r="H10" s="11">
        <f>SUMIFS(tblActivites[Budget prévu], tblActivites[Mois], 5)</f>
        <v>0</v>
      </c>
      <c r="I10" s="11">
        <f>SUMIFS(tblActivites[Budget réalisé], tblActivites[Mois], 5)</f>
        <v>0</v>
      </c>
      <c r="K10" s="9" t="s">
        <v>17</v>
      </c>
      <c r="L10" s="6">
        <f>COUNTIF(tblActivites[Statut],"Terminé")</f>
        <v>0</v>
      </c>
      <c r="N10" s="9" t="s">
        <v>44</v>
      </c>
      <c r="O10" s="6">
        <f>SUMIFS(tblActivites[Effort (jours)], tblActivites[Responsable], "Élodie", tblActivites[Statut], "En cours") + SUMIFS(tblActivites[Effort (jours)], tblActivites[Responsable], "Élodie", tblActivites[Statut], "Planifié")</f>
        <v>0</v>
      </c>
      <c r="P10" s="11">
        <f>P8+H10</f>
        <v>0</v>
      </c>
      <c r="Q10" s="11">
        <f>Q8+I10</f>
        <v>0</v>
      </c>
    </row>
    <row r="11" spans="1:17" ht="18" customHeight="1">
      <c r="A11" s="8" t="s">
        <v>257</v>
      </c>
      <c r="B11" s="11">
        <f>SUM(tblActivites[Budget réalisé])</f>
        <v>0</v>
      </c>
      <c r="F11" s="12">
        <v>6</v>
      </c>
      <c r="G11" s="6">
        <f>COUNTIFS(tblActivites[Statut],"Terminé", tblActivites[Mois], 6)</f>
        <v>0</v>
      </c>
      <c r="H11" s="11">
        <f>SUMIFS(tblActivites[Budget prévu], tblActivites[Mois], 6)</f>
        <v>0</v>
      </c>
      <c r="I11" s="11">
        <f>SUMIFS(tblActivites[Budget réalisé], tblActivites[Mois], 6)</f>
        <v>0</v>
      </c>
      <c r="N11" s="9" t="s">
        <v>45</v>
      </c>
      <c r="O11" s="6">
        <f>SUMIFS(tblActivites[Effort (jours)], tblActivites[Responsable], "Sophie", tblActivites[Statut], "En cours") + SUMIFS(tblActivites[Effort (jours)], tblActivites[Responsable], "Sophie", tblActivites[Statut], "Planifié")</f>
        <v>0</v>
      </c>
      <c r="P11" s="11">
        <f>P9+H11</f>
        <v>0</v>
      </c>
      <c r="Q11" s="11">
        <f>Q9+I11</f>
        <v>0</v>
      </c>
    </row>
    <row r="12" spans="1:17" ht="18" customHeight="1">
      <c r="A12" s="8" t="s">
        <v>258</v>
      </c>
      <c r="B12" s="11">
        <f>SUM(tblActivites[Écart (€)])</f>
        <v>0</v>
      </c>
      <c r="F12" s="12">
        <v>7</v>
      </c>
      <c r="G12" s="6">
        <f>COUNTIFS(tblActivites[Statut],"Terminé", tblActivites[Mois], 7)</f>
        <v>0</v>
      </c>
      <c r="H12" s="11">
        <f>SUMIFS(tblActivites[Budget prévu], tblActivites[Mois], 7)</f>
        <v>0</v>
      </c>
      <c r="I12" s="11">
        <f>SUMIFS(tblActivites[Budget réalisé], tblActivites[Mois], 7)</f>
        <v>0</v>
      </c>
      <c r="N12" s="9" t="s">
        <v>46</v>
      </c>
      <c r="O12" s="6">
        <f>SUMIFS(tblActivites[Effort (jours)], tblActivites[Responsable], "Nadia", tblActivites[Statut], "En cours") + SUMIFS(tblActivites[Effort (jours)], tblActivites[Responsable], "Nadia", tblActivites[Statut], "Planifié")</f>
        <v>0</v>
      </c>
      <c r="P12" s="11">
        <f>P10+H12</f>
        <v>0</v>
      </c>
      <c r="Q12" s="11">
        <f>Q10+I12</f>
        <v>0</v>
      </c>
    </row>
    <row r="13" spans="1:17" ht="18" customHeight="1">
      <c r="A13" s="8" t="s">
        <v>259</v>
      </c>
      <c r="B13" s="6">
        <f>SUM(tblActivites[Effort (jours)])</f>
        <v>0</v>
      </c>
      <c r="F13" s="12">
        <v>8</v>
      </c>
      <c r="G13" s="6">
        <f>COUNTIFS(tblActivites[Statut],"Terminé", tblActivites[Mois], 8)</f>
        <v>0</v>
      </c>
      <c r="H13" s="11">
        <f>SUMIFS(tblActivites[Budget prévu], tblActivites[Mois], 8)</f>
        <v>0</v>
      </c>
      <c r="I13" s="11">
        <f>SUMIFS(tblActivites[Budget réalisé], tblActivites[Mois], 8)</f>
        <v>0</v>
      </c>
      <c r="N13" s="9" t="s">
        <v>47</v>
      </c>
      <c r="O13" s="6">
        <f>SUMIFS(tblActivites[Effort (jours)], tblActivites[Responsable], "Pauline", tblActivites[Statut], "En cours") + SUMIFS(tblActivites[Effort (jours)], tblActivites[Responsable], "Pauline", tblActivites[Statut], "Planifié")</f>
        <v>0</v>
      </c>
      <c r="P13" s="11">
        <f>P11+H13</f>
        <v>0</v>
      </c>
      <c r="Q13" s="11">
        <f>Q11+I13</f>
        <v>0</v>
      </c>
    </row>
    <row r="14" spans="1:17" ht="18" customHeight="1">
      <c r="F14" s="12">
        <v>9</v>
      </c>
      <c r="G14" s="6">
        <f>COUNTIFS(tblActivites[Statut],"Terminé", tblActivites[Mois], 9)</f>
        <v>0</v>
      </c>
      <c r="H14" s="11">
        <f>SUMIFS(tblActivites[Budget prévu], tblActivites[Mois], 9)</f>
        <v>0</v>
      </c>
      <c r="I14" s="11">
        <f>SUMIFS(tblActivites[Budget réalisé], tblActivites[Mois], 9)</f>
        <v>0</v>
      </c>
      <c r="N14" s="9" t="s">
        <v>48</v>
      </c>
      <c r="O14" s="6">
        <f>SUMIFS(tblActivites[Effort (jours)], tblActivites[Responsable], "Alexandre", tblActivites[Statut], "En cours") + SUMIFS(tblActivites[Effort (jours)], tblActivites[Responsable], "Alexandre", tblActivites[Statut], "Planifié")</f>
        <v>0</v>
      </c>
      <c r="P14" s="11">
        <f>P12+H14</f>
        <v>0</v>
      </c>
      <c r="Q14" s="11">
        <f>Q12+I14</f>
        <v>0</v>
      </c>
    </row>
    <row r="15" spans="1:17" ht="18" customHeight="1">
      <c r="F15" s="12">
        <v>10</v>
      </c>
      <c r="G15" s="6">
        <f>COUNTIFS(tblActivites[Statut],"Terminé", tblActivites[Mois], 10)</f>
        <v>0</v>
      </c>
      <c r="H15" s="11">
        <f>SUMIFS(tblActivites[Budget prévu], tblActivites[Mois], 10)</f>
        <v>0</v>
      </c>
      <c r="I15" s="11">
        <f>SUMIFS(tblActivites[Budget réalisé], tblActivites[Mois], 10)</f>
        <v>0</v>
      </c>
      <c r="N15" s="9" t="s">
        <v>49</v>
      </c>
      <c r="O15" s="6">
        <f>SUMIFS(tblActivites[Effort (jours)], tblActivites[Responsable], "Inès", tblActivites[Statut], "En cours") + SUMIFS(tblActivites[Effort (jours)], tblActivites[Responsable], "Inès", tblActivites[Statut], "Planifié")</f>
        <v>0</v>
      </c>
      <c r="P15" s="11">
        <f>P13+H15</f>
        <v>0</v>
      </c>
      <c r="Q15" s="11">
        <f>Q13+I15</f>
        <v>0</v>
      </c>
    </row>
    <row r="16" spans="1:17" ht="18" customHeight="1">
      <c r="F16" s="12">
        <v>11</v>
      </c>
      <c r="G16" s="6">
        <f>COUNTIFS(tblActivites[Statut],"Terminé", tblActivites[Mois], 11)</f>
        <v>0</v>
      </c>
      <c r="H16" s="11">
        <f>SUMIFS(tblActivites[Budget prévu], tblActivites[Mois], 11)</f>
        <v>0</v>
      </c>
      <c r="I16" s="11">
        <f>SUMIFS(tblActivites[Budget réalisé], tblActivites[Mois], 11)</f>
        <v>0</v>
      </c>
      <c r="P16" s="11">
        <f>P14+H16</f>
        <v>0</v>
      </c>
      <c r="Q16" s="11">
        <f>Q14+I16</f>
        <v>0</v>
      </c>
    </row>
    <row r="17" spans="6:9" ht="18" customHeight="1">
      <c r="F17" s="12">
        <v>12</v>
      </c>
      <c r="G17" s="6">
        <f>COUNTIFS(tblActivites[Statut],"Terminé", tblActivites[Mois], 12)</f>
        <v>0</v>
      </c>
      <c r="H17" s="11">
        <f>SUMIFS(tblActivites[Budget prévu], tblActivites[Mois], 12)</f>
        <v>0</v>
      </c>
      <c r="I17" s="11">
        <f>SUMIFS(tblActivites[Budget réalisé], tblActivites[Mois], 12)</f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94A3B8"/>
  </sheetPr>
  <dimension ref="A1:D44"/>
  <sheetViews>
    <sheetView workbookViewId="0"/>
  </sheetViews>
  <sheetFormatPr defaultRowHeight="18" customHeight="1"/>
  <cols>
    <col min="1" max="1" width="40.7109375" customWidth="1"/>
    <col min="2" max="4" width="16.7109375" customWidth="1"/>
  </cols>
  <sheetData>
    <row r="1" spans="1:4" ht="18" customHeight="1">
      <c r="A1" s="3" t="s">
        <v>270</v>
      </c>
    </row>
    <row r="3" spans="1:4" ht="18" customHeight="1">
      <c r="A3" s="8" t="s">
        <v>68</v>
      </c>
      <c r="B3" s="8" t="s">
        <v>271</v>
      </c>
      <c r="C3" s="8" t="s">
        <v>272</v>
      </c>
      <c r="D3" s="8" t="s">
        <v>70</v>
      </c>
    </row>
    <row r="5" spans="1:4" ht="18" customHeight="1">
      <c r="A5" s="9">
        <f>INDEX(tblActivites[Titre], 1)</f>
        <v>0</v>
      </c>
      <c r="B5" s="6">
        <f>INDEX(tblActivites[Début], 1) - DATE(annee,1,1)</f>
        <v>0</v>
      </c>
      <c r="C5" s="6">
        <f>INDEX(tblActivites[Durée pl. (j)], 1)</f>
        <v>0</v>
      </c>
      <c r="D5" s="9">
        <f>INDEX(tblActivites[Responsable], 1)</f>
        <v>0</v>
      </c>
    </row>
    <row r="6" spans="1:4" ht="18" customHeight="1">
      <c r="A6" s="9">
        <f>INDEX(tblActivites[Titre], 2)</f>
        <v>0</v>
      </c>
      <c r="B6" s="6">
        <f>INDEX(tblActivites[Début], 2) - DATE(annee,1,1)</f>
        <v>0</v>
      </c>
      <c r="C6" s="6">
        <f>INDEX(tblActivites[Durée pl. (j)], 2)</f>
        <v>0</v>
      </c>
      <c r="D6" s="9">
        <f>INDEX(tblActivites[Responsable], 2)</f>
        <v>0</v>
      </c>
    </row>
    <row r="7" spans="1:4" ht="18" customHeight="1">
      <c r="A7" s="9">
        <f>INDEX(tblActivites[Titre], 3)</f>
        <v>0</v>
      </c>
      <c r="B7" s="6">
        <f>INDEX(tblActivites[Début], 3) - DATE(annee,1,1)</f>
        <v>0</v>
      </c>
      <c r="C7" s="6">
        <f>INDEX(tblActivites[Durée pl. (j)], 3)</f>
        <v>0</v>
      </c>
      <c r="D7" s="9">
        <f>INDEX(tblActivites[Responsable], 3)</f>
        <v>0</v>
      </c>
    </row>
    <row r="8" spans="1:4" ht="18" customHeight="1">
      <c r="A8" s="9">
        <f>INDEX(tblActivites[Titre], 4)</f>
        <v>0</v>
      </c>
      <c r="B8" s="6">
        <f>INDEX(tblActivites[Début], 4) - DATE(annee,1,1)</f>
        <v>0</v>
      </c>
      <c r="C8" s="6">
        <f>INDEX(tblActivites[Durée pl. (j)], 4)</f>
        <v>0</v>
      </c>
      <c r="D8" s="9">
        <f>INDEX(tblActivites[Responsable], 4)</f>
        <v>0</v>
      </c>
    </row>
    <row r="9" spans="1:4" ht="18" customHeight="1">
      <c r="A9" s="9">
        <f>INDEX(tblActivites[Titre], 5)</f>
        <v>0</v>
      </c>
      <c r="B9" s="6">
        <f>INDEX(tblActivites[Début], 5) - DATE(annee,1,1)</f>
        <v>0</v>
      </c>
      <c r="C9" s="6">
        <f>INDEX(tblActivites[Durée pl. (j)], 5)</f>
        <v>0</v>
      </c>
      <c r="D9" s="9">
        <f>INDEX(tblActivites[Responsable], 5)</f>
        <v>0</v>
      </c>
    </row>
    <row r="10" spans="1:4" ht="18" customHeight="1">
      <c r="A10" s="9">
        <f>INDEX(tblActivites[Titre], 6)</f>
        <v>0</v>
      </c>
      <c r="B10" s="6">
        <f>INDEX(tblActivites[Début], 6) - DATE(annee,1,1)</f>
        <v>0</v>
      </c>
      <c r="C10" s="6">
        <f>INDEX(tblActivites[Durée pl. (j)], 6)</f>
        <v>0</v>
      </c>
      <c r="D10" s="9">
        <f>INDEX(tblActivites[Responsable], 6)</f>
        <v>0</v>
      </c>
    </row>
    <row r="11" spans="1:4" ht="18" customHeight="1">
      <c r="A11" s="9">
        <f>INDEX(tblActivites[Titre], 7)</f>
        <v>0</v>
      </c>
      <c r="B11" s="6">
        <f>INDEX(tblActivites[Début], 7) - DATE(annee,1,1)</f>
        <v>0</v>
      </c>
      <c r="C11" s="6">
        <f>INDEX(tblActivites[Durée pl. (j)], 7)</f>
        <v>0</v>
      </c>
      <c r="D11" s="9">
        <f>INDEX(tblActivites[Responsable], 7)</f>
        <v>0</v>
      </c>
    </row>
    <row r="12" spans="1:4" ht="18" customHeight="1">
      <c r="A12" s="9">
        <f>INDEX(tblActivites[Titre], 8)</f>
        <v>0</v>
      </c>
      <c r="B12" s="6">
        <f>INDEX(tblActivites[Début], 8) - DATE(annee,1,1)</f>
        <v>0</v>
      </c>
      <c r="C12" s="6">
        <f>INDEX(tblActivites[Durée pl. (j)], 8)</f>
        <v>0</v>
      </c>
      <c r="D12" s="9">
        <f>INDEX(tblActivites[Responsable], 8)</f>
        <v>0</v>
      </c>
    </row>
    <row r="13" spans="1:4" ht="18" customHeight="1">
      <c r="A13" s="9">
        <f>INDEX(tblActivites[Titre], 9)</f>
        <v>0</v>
      </c>
      <c r="B13" s="6">
        <f>INDEX(tblActivites[Début], 9) - DATE(annee,1,1)</f>
        <v>0</v>
      </c>
      <c r="C13" s="6">
        <f>INDEX(tblActivites[Durée pl. (j)], 9)</f>
        <v>0</v>
      </c>
      <c r="D13" s="9">
        <f>INDEX(tblActivites[Responsable], 9)</f>
        <v>0</v>
      </c>
    </row>
    <row r="14" spans="1:4" ht="18" customHeight="1">
      <c r="A14" s="9">
        <f>INDEX(tblActivites[Titre], 10)</f>
        <v>0</v>
      </c>
      <c r="B14" s="6">
        <f>INDEX(tblActivites[Début], 10) - DATE(annee,1,1)</f>
        <v>0</v>
      </c>
      <c r="C14" s="6">
        <f>INDEX(tblActivites[Durée pl. (j)], 10)</f>
        <v>0</v>
      </c>
      <c r="D14" s="9">
        <f>INDEX(tblActivites[Responsable], 10)</f>
        <v>0</v>
      </c>
    </row>
    <row r="15" spans="1:4" ht="18" customHeight="1">
      <c r="A15" s="9">
        <f>INDEX(tblActivites[Titre], 11)</f>
        <v>0</v>
      </c>
      <c r="B15" s="6">
        <f>INDEX(tblActivites[Début], 11) - DATE(annee,1,1)</f>
        <v>0</v>
      </c>
      <c r="C15" s="6">
        <f>INDEX(tblActivites[Durée pl. (j)], 11)</f>
        <v>0</v>
      </c>
      <c r="D15" s="9">
        <f>INDEX(tblActivites[Responsable], 11)</f>
        <v>0</v>
      </c>
    </row>
    <row r="16" spans="1:4" ht="18" customHeight="1">
      <c r="A16" s="9">
        <f>INDEX(tblActivites[Titre], 12)</f>
        <v>0</v>
      </c>
      <c r="B16" s="6">
        <f>INDEX(tblActivites[Début], 12) - DATE(annee,1,1)</f>
        <v>0</v>
      </c>
      <c r="C16" s="6">
        <f>INDEX(tblActivites[Durée pl. (j)], 12)</f>
        <v>0</v>
      </c>
      <c r="D16" s="9">
        <f>INDEX(tblActivites[Responsable], 12)</f>
        <v>0</v>
      </c>
    </row>
    <row r="17" spans="1:4" ht="18" customHeight="1">
      <c r="A17" s="9">
        <f>INDEX(tblActivites[Titre], 13)</f>
        <v>0</v>
      </c>
      <c r="B17" s="6">
        <f>INDEX(tblActivites[Début], 13) - DATE(annee,1,1)</f>
        <v>0</v>
      </c>
      <c r="C17" s="6">
        <f>INDEX(tblActivites[Durée pl. (j)], 13)</f>
        <v>0</v>
      </c>
      <c r="D17" s="9">
        <f>INDEX(tblActivites[Responsable], 13)</f>
        <v>0</v>
      </c>
    </row>
    <row r="18" spans="1:4" ht="18" customHeight="1">
      <c r="A18" s="9">
        <f>INDEX(tblActivites[Titre], 14)</f>
        <v>0</v>
      </c>
      <c r="B18" s="6">
        <f>INDEX(tblActivites[Début], 14) - DATE(annee,1,1)</f>
        <v>0</v>
      </c>
      <c r="C18" s="6">
        <f>INDEX(tblActivites[Durée pl. (j)], 14)</f>
        <v>0</v>
      </c>
      <c r="D18" s="9">
        <f>INDEX(tblActivites[Responsable], 14)</f>
        <v>0</v>
      </c>
    </row>
    <row r="19" spans="1:4" ht="18" customHeight="1">
      <c r="A19" s="9">
        <f>INDEX(tblActivites[Titre], 15)</f>
        <v>0</v>
      </c>
      <c r="B19" s="6">
        <f>INDEX(tblActivites[Début], 15) - DATE(annee,1,1)</f>
        <v>0</v>
      </c>
      <c r="C19" s="6">
        <f>INDEX(tblActivites[Durée pl. (j)], 15)</f>
        <v>0</v>
      </c>
      <c r="D19" s="9">
        <f>INDEX(tblActivites[Responsable], 15)</f>
        <v>0</v>
      </c>
    </row>
    <row r="20" spans="1:4" ht="18" customHeight="1">
      <c r="A20" s="9">
        <f>INDEX(tblActivites[Titre], 16)</f>
        <v>0</v>
      </c>
      <c r="B20" s="6">
        <f>INDEX(tblActivites[Début], 16) - DATE(annee,1,1)</f>
        <v>0</v>
      </c>
      <c r="C20" s="6">
        <f>INDEX(tblActivites[Durée pl. (j)], 16)</f>
        <v>0</v>
      </c>
      <c r="D20" s="9">
        <f>INDEX(tblActivites[Responsable], 16)</f>
        <v>0</v>
      </c>
    </row>
    <row r="21" spans="1:4" ht="18" customHeight="1">
      <c r="A21" s="9">
        <f>INDEX(tblActivites[Titre], 17)</f>
        <v>0</v>
      </c>
      <c r="B21" s="6">
        <f>INDEX(tblActivites[Début], 17) - DATE(annee,1,1)</f>
        <v>0</v>
      </c>
      <c r="C21" s="6">
        <f>INDEX(tblActivites[Durée pl. (j)], 17)</f>
        <v>0</v>
      </c>
      <c r="D21" s="9">
        <f>INDEX(tblActivites[Responsable], 17)</f>
        <v>0</v>
      </c>
    </row>
    <row r="22" spans="1:4" ht="18" customHeight="1">
      <c r="A22" s="9">
        <f>INDEX(tblActivites[Titre], 18)</f>
        <v>0</v>
      </c>
      <c r="B22" s="6">
        <f>INDEX(tblActivites[Début], 18) - DATE(annee,1,1)</f>
        <v>0</v>
      </c>
      <c r="C22" s="6">
        <f>INDEX(tblActivites[Durée pl. (j)], 18)</f>
        <v>0</v>
      </c>
      <c r="D22" s="9">
        <f>INDEX(tblActivites[Responsable], 18)</f>
        <v>0</v>
      </c>
    </row>
    <row r="23" spans="1:4" ht="18" customHeight="1">
      <c r="A23" s="9">
        <f>INDEX(tblActivites[Titre], 19)</f>
        <v>0</v>
      </c>
      <c r="B23" s="6">
        <f>INDEX(tblActivites[Début], 19) - DATE(annee,1,1)</f>
        <v>0</v>
      </c>
      <c r="C23" s="6">
        <f>INDEX(tblActivites[Durée pl. (j)], 19)</f>
        <v>0</v>
      </c>
      <c r="D23" s="9">
        <f>INDEX(tblActivites[Responsable], 19)</f>
        <v>0</v>
      </c>
    </row>
    <row r="24" spans="1:4" ht="18" customHeight="1">
      <c r="A24" s="9">
        <f>INDEX(tblActivites[Titre], 20)</f>
        <v>0</v>
      </c>
      <c r="B24" s="6">
        <f>INDEX(tblActivites[Début], 20) - DATE(annee,1,1)</f>
        <v>0</v>
      </c>
      <c r="C24" s="6">
        <f>INDEX(tblActivites[Durée pl. (j)], 20)</f>
        <v>0</v>
      </c>
      <c r="D24" s="9">
        <f>INDEX(tblActivites[Responsable], 20)</f>
        <v>0</v>
      </c>
    </row>
    <row r="25" spans="1:4" ht="18" customHeight="1">
      <c r="A25" s="9">
        <f>INDEX(tblActivites[Titre], 21)</f>
        <v>0</v>
      </c>
      <c r="B25" s="6">
        <f>INDEX(tblActivites[Début], 21) - DATE(annee,1,1)</f>
        <v>0</v>
      </c>
      <c r="C25" s="6">
        <f>INDEX(tblActivites[Durée pl. (j)], 21)</f>
        <v>0</v>
      </c>
      <c r="D25" s="9">
        <f>INDEX(tblActivites[Responsable], 21)</f>
        <v>0</v>
      </c>
    </row>
    <row r="26" spans="1:4" ht="18" customHeight="1">
      <c r="A26" s="9">
        <f>INDEX(tblActivites[Titre], 22)</f>
        <v>0</v>
      </c>
      <c r="B26" s="6">
        <f>INDEX(tblActivites[Début], 22) - DATE(annee,1,1)</f>
        <v>0</v>
      </c>
      <c r="C26" s="6">
        <f>INDEX(tblActivites[Durée pl. (j)], 22)</f>
        <v>0</v>
      </c>
      <c r="D26" s="9">
        <f>INDEX(tblActivites[Responsable], 22)</f>
        <v>0</v>
      </c>
    </row>
    <row r="27" spans="1:4" ht="18" customHeight="1">
      <c r="A27" s="9">
        <f>INDEX(tblActivites[Titre], 23)</f>
        <v>0</v>
      </c>
      <c r="B27" s="6">
        <f>INDEX(tblActivites[Début], 23) - DATE(annee,1,1)</f>
        <v>0</v>
      </c>
      <c r="C27" s="6">
        <f>INDEX(tblActivites[Durée pl. (j)], 23)</f>
        <v>0</v>
      </c>
      <c r="D27" s="9">
        <f>INDEX(tblActivites[Responsable], 23)</f>
        <v>0</v>
      </c>
    </row>
    <row r="28" spans="1:4" ht="18" customHeight="1">
      <c r="A28" s="9">
        <f>INDEX(tblActivites[Titre], 24)</f>
        <v>0</v>
      </c>
      <c r="B28" s="6">
        <f>INDEX(tblActivites[Début], 24) - DATE(annee,1,1)</f>
        <v>0</v>
      </c>
      <c r="C28" s="6">
        <f>INDEX(tblActivites[Durée pl. (j)], 24)</f>
        <v>0</v>
      </c>
      <c r="D28" s="9">
        <f>INDEX(tblActivites[Responsable], 24)</f>
        <v>0</v>
      </c>
    </row>
    <row r="29" spans="1:4" ht="18" customHeight="1">
      <c r="A29" s="9">
        <f>INDEX(tblActivites[Titre], 25)</f>
        <v>0</v>
      </c>
      <c r="B29" s="6">
        <f>INDEX(tblActivites[Début], 25) - DATE(annee,1,1)</f>
        <v>0</v>
      </c>
      <c r="C29" s="6">
        <f>INDEX(tblActivites[Durée pl. (j)], 25)</f>
        <v>0</v>
      </c>
      <c r="D29" s="9">
        <f>INDEX(tblActivites[Responsable], 25)</f>
        <v>0</v>
      </c>
    </row>
    <row r="30" spans="1:4" ht="18" customHeight="1">
      <c r="A30" s="9">
        <f>INDEX(tblActivites[Titre], 26)</f>
        <v>0</v>
      </c>
      <c r="B30" s="6">
        <f>INDEX(tblActivites[Début], 26) - DATE(annee,1,1)</f>
        <v>0</v>
      </c>
      <c r="C30" s="6">
        <f>INDEX(tblActivites[Durée pl. (j)], 26)</f>
        <v>0</v>
      </c>
      <c r="D30" s="9">
        <f>INDEX(tblActivites[Responsable], 26)</f>
        <v>0</v>
      </c>
    </row>
    <row r="31" spans="1:4" ht="18" customHeight="1">
      <c r="A31" s="9">
        <f>INDEX(tblActivites[Titre], 27)</f>
        <v>0</v>
      </c>
      <c r="B31" s="6">
        <f>INDEX(tblActivites[Début], 27) - DATE(annee,1,1)</f>
        <v>0</v>
      </c>
      <c r="C31" s="6">
        <f>INDEX(tblActivites[Durée pl. (j)], 27)</f>
        <v>0</v>
      </c>
      <c r="D31" s="9">
        <f>INDEX(tblActivites[Responsable], 27)</f>
        <v>0</v>
      </c>
    </row>
    <row r="32" spans="1:4" ht="18" customHeight="1">
      <c r="A32" s="9">
        <f>INDEX(tblActivites[Titre], 28)</f>
        <v>0</v>
      </c>
      <c r="B32" s="6">
        <f>INDEX(tblActivites[Début], 28) - DATE(annee,1,1)</f>
        <v>0</v>
      </c>
      <c r="C32" s="6">
        <f>INDEX(tblActivites[Durée pl. (j)], 28)</f>
        <v>0</v>
      </c>
      <c r="D32" s="9">
        <f>INDEX(tblActivites[Responsable], 28)</f>
        <v>0</v>
      </c>
    </row>
    <row r="33" spans="1:4" ht="18" customHeight="1">
      <c r="A33" s="9">
        <f>INDEX(tblActivites[Titre], 29)</f>
        <v>0</v>
      </c>
      <c r="B33" s="6">
        <f>INDEX(tblActivites[Début], 29) - DATE(annee,1,1)</f>
        <v>0</v>
      </c>
      <c r="C33" s="6">
        <f>INDEX(tblActivites[Durée pl. (j)], 29)</f>
        <v>0</v>
      </c>
      <c r="D33" s="9">
        <f>INDEX(tblActivites[Responsable], 29)</f>
        <v>0</v>
      </c>
    </row>
    <row r="34" spans="1:4" ht="18" customHeight="1">
      <c r="A34" s="9">
        <f>INDEX(tblActivites[Titre], 30)</f>
        <v>0</v>
      </c>
      <c r="B34" s="6">
        <f>INDEX(tblActivites[Début], 30) - DATE(annee,1,1)</f>
        <v>0</v>
      </c>
      <c r="C34" s="6">
        <f>INDEX(tblActivites[Durée pl. (j)], 30)</f>
        <v>0</v>
      </c>
      <c r="D34" s="9">
        <f>INDEX(tblActivites[Responsable], 30)</f>
        <v>0</v>
      </c>
    </row>
    <row r="35" spans="1:4" ht="18" customHeight="1">
      <c r="A35" s="9">
        <f>INDEX(tblActivites[Titre], 31)</f>
        <v>0</v>
      </c>
      <c r="B35" s="6">
        <f>INDEX(tblActivites[Début], 31) - DATE(annee,1,1)</f>
        <v>0</v>
      </c>
      <c r="C35" s="6">
        <f>INDEX(tblActivites[Durée pl. (j)], 31)</f>
        <v>0</v>
      </c>
      <c r="D35" s="9">
        <f>INDEX(tblActivites[Responsable], 31)</f>
        <v>0</v>
      </c>
    </row>
    <row r="36" spans="1:4" ht="18" customHeight="1">
      <c r="A36" s="9">
        <f>INDEX(tblActivites[Titre], 32)</f>
        <v>0</v>
      </c>
      <c r="B36" s="6">
        <f>INDEX(tblActivites[Début], 32) - DATE(annee,1,1)</f>
        <v>0</v>
      </c>
      <c r="C36" s="6">
        <f>INDEX(tblActivites[Durée pl. (j)], 32)</f>
        <v>0</v>
      </c>
      <c r="D36" s="9">
        <f>INDEX(tblActivites[Responsable], 32)</f>
        <v>0</v>
      </c>
    </row>
    <row r="37" spans="1:4" ht="18" customHeight="1">
      <c r="A37" s="9">
        <f>INDEX(tblActivites[Titre], 33)</f>
        <v>0</v>
      </c>
      <c r="B37" s="6">
        <f>INDEX(tblActivites[Début], 33) - DATE(annee,1,1)</f>
        <v>0</v>
      </c>
      <c r="C37" s="6">
        <f>INDEX(tblActivites[Durée pl. (j)], 33)</f>
        <v>0</v>
      </c>
      <c r="D37" s="9">
        <f>INDEX(tblActivites[Responsable], 33)</f>
        <v>0</v>
      </c>
    </row>
    <row r="38" spans="1:4" ht="18" customHeight="1">
      <c r="A38" s="9">
        <f>INDEX(tblActivites[Titre], 34)</f>
        <v>0</v>
      </c>
      <c r="B38" s="6">
        <f>INDEX(tblActivites[Début], 34) - DATE(annee,1,1)</f>
        <v>0</v>
      </c>
      <c r="C38" s="6">
        <f>INDEX(tblActivites[Durée pl. (j)], 34)</f>
        <v>0</v>
      </c>
      <c r="D38" s="9">
        <f>INDEX(tblActivites[Responsable], 34)</f>
        <v>0</v>
      </c>
    </row>
    <row r="39" spans="1:4" ht="18" customHeight="1">
      <c r="A39" s="9">
        <f>INDEX(tblActivites[Titre], 35)</f>
        <v>0</v>
      </c>
      <c r="B39" s="6">
        <f>INDEX(tblActivites[Début], 35) - DATE(annee,1,1)</f>
        <v>0</v>
      </c>
      <c r="C39" s="6">
        <f>INDEX(tblActivites[Durée pl. (j)], 35)</f>
        <v>0</v>
      </c>
      <c r="D39" s="9">
        <f>INDEX(tblActivites[Responsable], 35)</f>
        <v>0</v>
      </c>
    </row>
    <row r="40" spans="1:4" ht="18" customHeight="1">
      <c r="A40" s="9">
        <f>INDEX(tblActivites[Titre], 36)</f>
        <v>0</v>
      </c>
      <c r="B40" s="6">
        <f>INDEX(tblActivites[Début], 36) - DATE(annee,1,1)</f>
        <v>0</v>
      </c>
      <c r="C40" s="6">
        <f>INDEX(tblActivites[Durée pl. (j)], 36)</f>
        <v>0</v>
      </c>
      <c r="D40" s="9">
        <f>INDEX(tblActivites[Responsable], 36)</f>
        <v>0</v>
      </c>
    </row>
    <row r="41" spans="1:4" ht="18" customHeight="1">
      <c r="A41" s="9">
        <f>INDEX(tblActivites[Titre], 37)</f>
        <v>0</v>
      </c>
      <c r="B41" s="6">
        <f>INDEX(tblActivites[Début], 37) - DATE(annee,1,1)</f>
        <v>0</v>
      </c>
      <c r="C41" s="6">
        <f>INDEX(tblActivites[Durée pl. (j)], 37)</f>
        <v>0</v>
      </c>
      <c r="D41" s="9">
        <f>INDEX(tblActivites[Responsable], 37)</f>
        <v>0</v>
      </c>
    </row>
    <row r="42" spans="1:4" ht="18" customHeight="1">
      <c r="A42" s="9">
        <f>INDEX(tblActivites[Titre], 38)</f>
        <v>0</v>
      </c>
      <c r="B42" s="6">
        <f>INDEX(tblActivites[Début], 38) - DATE(annee,1,1)</f>
        <v>0</v>
      </c>
      <c r="C42" s="6">
        <f>INDEX(tblActivites[Durée pl. (j)], 38)</f>
        <v>0</v>
      </c>
      <c r="D42" s="9">
        <f>INDEX(tblActivites[Responsable], 38)</f>
        <v>0</v>
      </c>
    </row>
    <row r="43" spans="1:4" ht="18" customHeight="1">
      <c r="A43" s="9">
        <f>INDEX(tblActivites[Titre], 39)</f>
        <v>0</v>
      </c>
      <c r="B43" s="6">
        <f>INDEX(tblActivites[Début], 39) - DATE(annee,1,1)</f>
        <v>0</v>
      </c>
      <c r="C43" s="6">
        <f>INDEX(tblActivites[Durée pl. (j)], 39)</f>
        <v>0</v>
      </c>
      <c r="D43" s="9">
        <f>INDEX(tblActivites[Responsable], 39)</f>
        <v>0</v>
      </c>
    </row>
    <row r="44" spans="1:4" ht="18" customHeight="1">
      <c r="A44" s="9">
        <f>INDEX(tblActivites[Titre], 40)</f>
        <v>0</v>
      </c>
      <c r="B44" s="6">
        <f>INDEX(tblActivites[Début], 40) - DATE(annee,1,1)</f>
        <v>0</v>
      </c>
      <c r="C44" s="6">
        <f>INDEX(tblActivites[Durée pl. (j)], 40)</f>
        <v>0</v>
      </c>
      <c r="D44" s="9">
        <f>INDEX(tblActivites[Responsable], 40)</f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59E0B"/>
  </sheetPr>
  <dimension ref="A1:M13"/>
  <sheetViews>
    <sheetView workbookViewId="0"/>
  </sheetViews>
  <sheetFormatPr defaultRowHeight="18" customHeight="1"/>
  <cols>
    <col min="1" max="1" width="22.7109375" customWidth="1"/>
    <col min="2" max="13" width="10.7109375" customWidth="1"/>
  </cols>
  <sheetData>
    <row r="1" spans="1:13" ht="18" customHeight="1">
      <c r="A1" s="3" t="s">
        <v>273</v>
      </c>
    </row>
    <row r="3" spans="1:13" ht="18" customHeight="1">
      <c r="B3" s="8" t="s">
        <v>274</v>
      </c>
      <c r="C3" s="8" t="s">
        <v>275</v>
      </c>
      <c r="D3" s="8" t="s">
        <v>276</v>
      </c>
      <c r="E3" s="8" t="s">
        <v>277</v>
      </c>
      <c r="F3" s="8" t="s">
        <v>278</v>
      </c>
      <c r="G3" s="8" t="s">
        <v>279</v>
      </c>
      <c r="H3" s="8" t="s">
        <v>280</v>
      </c>
      <c r="I3" s="8" t="s">
        <v>281</v>
      </c>
      <c r="J3" s="8" t="s">
        <v>282</v>
      </c>
      <c r="K3" s="8" t="s">
        <v>283</v>
      </c>
      <c r="L3" s="8" t="s">
        <v>284</v>
      </c>
      <c r="M3" s="8" t="s">
        <v>285</v>
      </c>
    </row>
    <row r="4" spans="1:13" ht="18" customHeight="1">
      <c r="A4" s="8" t="s">
        <v>40</v>
      </c>
      <c r="B4" s="6">
        <f>SUMIFS(tblActivites[Durée pl. (j)], tblActivites[Responsable],"Claire", tblActivites[Mois], 1)</f>
        <v>0</v>
      </c>
      <c r="C4" s="6">
        <f>SUMIFS(tblActivites[Durée pl. (j)], tblActivites[Responsable],"Claire", tblActivites[Mois], 2)</f>
        <v>0</v>
      </c>
      <c r="D4" s="6">
        <f>SUMIFS(tblActivites[Durée pl. (j)], tblActivites[Responsable],"Claire", tblActivites[Mois], 3)</f>
        <v>0</v>
      </c>
      <c r="E4" s="6">
        <f>SUMIFS(tblActivites[Durée pl. (j)], tblActivites[Responsable],"Claire", tblActivites[Mois], 4)</f>
        <v>0</v>
      </c>
      <c r="F4" s="6">
        <f>SUMIFS(tblActivites[Durée pl. (j)], tblActivites[Responsable],"Claire", tblActivites[Mois], 5)</f>
        <v>0</v>
      </c>
      <c r="G4" s="6">
        <f>SUMIFS(tblActivites[Durée pl. (j)], tblActivites[Responsable],"Claire", tblActivites[Mois], 6)</f>
        <v>0</v>
      </c>
      <c r="H4" s="6">
        <f>SUMIFS(tblActivites[Durée pl. (j)], tblActivites[Responsable],"Claire", tblActivites[Mois], 7)</f>
        <v>0</v>
      </c>
      <c r="I4" s="6">
        <f>SUMIFS(tblActivites[Durée pl. (j)], tblActivites[Responsable],"Claire", tblActivites[Mois], 8)</f>
        <v>0</v>
      </c>
      <c r="J4" s="6">
        <f>SUMIFS(tblActivites[Durée pl. (j)], tblActivites[Responsable],"Claire", tblActivites[Mois], 9)</f>
        <v>0</v>
      </c>
      <c r="K4" s="6">
        <f>SUMIFS(tblActivites[Durée pl. (j)], tblActivites[Responsable],"Claire", tblActivites[Mois], 10)</f>
        <v>0</v>
      </c>
      <c r="L4" s="6">
        <f>SUMIFS(tblActivites[Durée pl. (j)], tblActivites[Responsable],"Claire", tblActivites[Mois], 11)</f>
        <v>0</v>
      </c>
      <c r="M4" s="6">
        <f>SUMIFS(tblActivites[Durée pl. (j)], tblActivites[Responsable],"Claire", tblActivites[Mois], 12)</f>
        <v>0</v>
      </c>
    </row>
    <row r="5" spans="1:13" ht="18" customHeight="1">
      <c r="A5" s="8" t="s">
        <v>41</v>
      </c>
      <c r="B5" s="6">
        <f>SUMIFS(tblActivites[Durée pl. (j)], tblActivites[Responsable],"Marc", tblActivites[Mois], 1)</f>
        <v>0</v>
      </c>
      <c r="C5" s="6">
        <f>SUMIFS(tblActivites[Durée pl. (j)], tblActivites[Responsable],"Marc", tblActivites[Mois], 2)</f>
        <v>0</v>
      </c>
      <c r="D5" s="6">
        <f>SUMIFS(tblActivites[Durée pl. (j)], tblActivites[Responsable],"Marc", tblActivites[Mois], 3)</f>
        <v>0</v>
      </c>
      <c r="E5" s="6">
        <f>SUMIFS(tblActivites[Durée pl. (j)], tblActivites[Responsable],"Marc", tblActivites[Mois], 4)</f>
        <v>0</v>
      </c>
      <c r="F5" s="6">
        <f>SUMIFS(tblActivites[Durée pl. (j)], tblActivites[Responsable],"Marc", tblActivites[Mois], 5)</f>
        <v>0</v>
      </c>
      <c r="G5" s="6">
        <f>SUMIFS(tblActivites[Durée pl. (j)], tblActivites[Responsable],"Marc", tblActivites[Mois], 6)</f>
        <v>0</v>
      </c>
      <c r="H5" s="6">
        <f>SUMIFS(tblActivites[Durée pl. (j)], tblActivites[Responsable],"Marc", tblActivites[Mois], 7)</f>
        <v>0</v>
      </c>
      <c r="I5" s="6">
        <f>SUMIFS(tblActivites[Durée pl. (j)], tblActivites[Responsable],"Marc", tblActivites[Mois], 8)</f>
        <v>0</v>
      </c>
      <c r="J5" s="6">
        <f>SUMIFS(tblActivites[Durée pl. (j)], tblActivites[Responsable],"Marc", tblActivites[Mois], 9)</f>
        <v>0</v>
      </c>
      <c r="K5" s="6">
        <f>SUMIFS(tblActivites[Durée pl. (j)], tblActivites[Responsable],"Marc", tblActivites[Mois], 10)</f>
        <v>0</v>
      </c>
      <c r="L5" s="6">
        <f>SUMIFS(tblActivites[Durée pl. (j)], tblActivites[Responsable],"Marc", tblActivites[Mois], 11)</f>
        <v>0</v>
      </c>
      <c r="M5" s="6">
        <f>SUMIFS(tblActivites[Durée pl. (j)], tblActivites[Responsable],"Marc", tblActivites[Mois], 12)</f>
        <v>0</v>
      </c>
    </row>
    <row r="6" spans="1:13" ht="18" customHeight="1">
      <c r="A6" s="8" t="s">
        <v>42</v>
      </c>
      <c r="B6" s="6">
        <f>SUMIFS(tblActivites[Durée pl. (j)], tblActivites[Responsable],"Hugo", tblActivites[Mois], 1)</f>
        <v>0</v>
      </c>
      <c r="C6" s="6">
        <f>SUMIFS(tblActivites[Durée pl. (j)], tblActivites[Responsable],"Hugo", tblActivites[Mois], 2)</f>
        <v>0</v>
      </c>
      <c r="D6" s="6">
        <f>SUMIFS(tblActivites[Durée pl. (j)], tblActivites[Responsable],"Hugo", tblActivites[Mois], 3)</f>
        <v>0</v>
      </c>
      <c r="E6" s="6">
        <f>SUMIFS(tblActivites[Durée pl. (j)], tblActivites[Responsable],"Hugo", tblActivites[Mois], 4)</f>
        <v>0</v>
      </c>
      <c r="F6" s="6">
        <f>SUMIFS(tblActivites[Durée pl. (j)], tblActivites[Responsable],"Hugo", tblActivites[Mois], 5)</f>
        <v>0</v>
      </c>
      <c r="G6" s="6">
        <f>SUMIFS(tblActivites[Durée pl. (j)], tblActivites[Responsable],"Hugo", tblActivites[Mois], 6)</f>
        <v>0</v>
      </c>
      <c r="H6" s="6">
        <f>SUMIFS(tblActivites[Durée pl. (j)], tblActivites[Responsable],"Hugo", tblActivites[Mois], 7)</f>
        <v>0</v>
      </c>
      <c r="I6" s="6">
        <f>SUMIFS(tblActivites[Durée pl. (j)], tblActivites[Responsable],"Hugo", tblActivites[Mois], 8)</f>
        <v>0</v>
      </c>
      <c r="J6" s="6">
        <f>SUMIFS(tblActivites[Durée pl. (j)], tblActivites[Responsable],"Hugo", tblActivites[Mois], 9)</f>
        <v>0</v>
      </c>
      <c r="K6" s="6">
        <f>SUMIFS(tblActivites[Durée pl. (j)], tblActivites[Responsable],"Hugo", tblActivites[Mois], 10)</f>
        <v>0</v>
      </c>
      <c r="L6" s="6">
        <f>SUMIFS(tblActivites[Durée pl. (j)], tblActivites[Responsable],"Hugo", tblActivites[Mois], 11)</f>
        <v>0</v>
      </c>
      <c r="M6" s="6">
        <f>SUMIFS(tblActivites[Durée pl. (j)], tblActivites[Responsable],"Hugo", tblActivites[Mois], 12)</f>
        <v>0</v>
      </c>
    </row>
    <row r="7" spans="1:13" ht="18" customHeight="1">
      <c r="A7" s="8" t="s">
        <v>43</v>
      </c>
      <c r="B7" s="6">
        <f>SUMIFS(tblActivites[Durée pl. (j)], tblActivites[Responsable],"Julien", tblActivites[Mois], 1)</f>
        <v>0</v>
      </c>
      <c r="C7" s="6">
        <f>SUMIFS(tblActivites[Durée pl. (j)], tblActivites[Responsable],"Julien", tblActivites[Mois], 2)</f>
        <v>0</v>
      </c>
      <c r="D7" s="6">
        <f>SUMIFS(tblActivites[Durée pl. (j)], tblActivites[Responsable],"Julien", tblActivites[Mois], 3)</f>
        <v>0</v>
      </c>
      <c r="E7" s="6">
        <f>SUMIFS(tblActivites[Durée pl. (j)], tblActivites[Responsable],"Julien", tblActivites[Mois], 4)</f>
        <v>0</v>
      </c>
      <c r="F7" s="6">
        <f>SUMIFS(tblActivites[Durée pl. (j)], tblActivites[Responsable],"Julien", tblActivites[Mois], 5)</f>
        <v>0</v>
      </c>
      <c r="G7" s="6">
        <f>SUMIFS(tblActivites[Durée pl. (j)], tblActivites[Responsable],"Julien", tblActivites[Mois], 6)</f>
        <v>0</v>
      </c>
      <c r="H7" s="6">
        <f>SUMIFS(tblActivites[Durée pl. (j)], tblActivites[Responsable],"Julien", tblActivites[Mois], 7)</f>
        <v>0</v>
      </c>
      <c r="I7" s="6">
        <f>SUMIFS(tblActivites[Durée pl. (j)], tblActivites[Responsable],"Julien", tblActivites[Mois], 8)</f>
        <v>0</v>
      </c>
      <c r="J7" s="6">
        <f>SUMIFS(tblActivites[Durée pl. (j)], tblActivites[Responsable],"Julien", tblActivites[Mois], 9)</f>
        <v>0</v>
      </c>
      <c r="K7" s="6">
        <f>SUMIFS(tblActivites[Durée pl. (j)], tblActivites[Responsable],"Julien", tblActivites[Mois], 10)</f>
        <v>0</v>
      </c>
      <c r="L7" s="6">
        <f>SUMIFS(tblActivites[Durée pl. (j)], tblActivites[Responsable],"Julien", tblActivites[Mois], 11)</f>
        <v>0</v>
      </c>
      <c r="M7" s="6">
        <f>SUMIFS(tblActivites[Durée pl. (j)], tblActivites[Responsable],"Julien", tblActivites[Mois], 12)</f>
        <v>0</v>
      </c>
    </row>
    <row r="8" spans="1:13" ht="18" customHeight="1">
      <c r="A8" s="8" t="s">
        <v>44</v>
      </c>
      <c r="B8" s="6">
        <f>SUMIFS(tblActivites[Durée pl. (j)], tblActivites[Responsable],"Élodie", tblActivites[Mois], 1)</f>
        <v>0</v>
      </c>
      <c r="C8" s="6">
        <f>SUMIFS(tblActivites[Durée pl. (j)], tblActivites[Responsable],"Élodie", tblActivites[Mois], 2)</f>
        <v>0</v>
      </c>
      <c r="D8" s="6">
        <f>SUMIFS(tblActivites[Durée pl. (j)], tblActivites[Responsable],"Élodie", tblActivites[Mois], 3)</f>
        <v>0</v>
      </c>
      <c r="E8" s="6">
        <f>SUMIFS(tblActivites[Durée pl. (j)], tblActivites[Responsable],"Élodie", tblActivites[Mois], 4)</f>
        <v>0</v>
      </c>
      <c r="F8" s="6">
        <f>SUMIFS(tblActivites[Durée pl. (j)], tblActivites[Responsable],"Élodie", tblActivites[Mois], 5)</f>
        <v>0</v>
      </c>
      <c r="G8" s="6">
        <f>SUMIFS(tblActivites[Durée pl. (j)], tblActivites[Responsable],"Élodie", tblActivites[Mois], 6)</f>
        <v>0</v>
      </c>
      <c r="H8" s="6">
        <f>SUMIFS(tblActivites[Durée pl. (j)], tblActivites[Responsable],"Élodie", tblActivites[Mois], 7)</f>
        <v>0</v>
      </c>
      <c r="I8" s="6">
        <f>SUMIFS(tblActivites[Durée pl. (j)], tblActivites[Responsable],"Élodie", tblActivites[Mois], 8)</f>
        <v>0</v>
      </c>
      <c r="J8" s="6">
        <f>SUMIFS(tblActivites[Durée pl. (j)], tblActivites[Responsable],"Élodie", tblActivites[Mois], 9)</f>
        <v>0</v>
      </c>
      <c r="K8" s="6">
        <f>SUMIFS(tblActivites[Durée pl. (j)], tblActivites[Responsable],"Élodie", tblActivites[Mois], 10)</f>
        <v>0</v>
      </c>
      <c r="L8" s="6">
        <f>SUMIFS(tblActivites[Durée pl. (j)], tblActivites[Responsable],"Élodie", tblActivites[Mois], 11)</f>
        <v>0</v>
      </c>
      <c r="M8" s="6">
        <f>SUMIFS(tblActivites[Durée pl. (j)], tblActivites[Responsable],"Élodie", tblActivites[Mois], 12)</f>
        <v>0</v>
      </c>
    </row>
    <row r="9" spans="1:13" ht="18" customHeight="1">
      <c r="A9" s="8" t="s">
        <v>45</v>
      </c>
      <c r="B9" s="6">
        <f>SUMIFS(tblActivites[Durée pl. (j)], tblActivites[Responsable],"Sophie", tblActivites[Mois], 1)</f>
        <v>0</v>
      </c>
      <c r="C9" s="6">
        <f>SUMIFS(tblActivites[Durée pl. (j)], tblActivites[Responsable],"Sophie", tblActivites[Mois], 2)</f>
        <v>0</v>
      </c>
      <c r="D9" s="6">
        <f>SUMIFS(tblActivites[Durée pl. (j)], tblActivites[Responsable],"Sophie", tblActivites[Mois], 3)</f>
        <v>0</v>
      </c>
      <c r="E9" s="6">
        <f>SUMIFS(tblActivites[Durée pl. (j)], tblActivites[Responsable],"Sophie", tblActivites[Mois], 4)</f>
        <v>0</v>
      </c>
      <c r="F9" s="6">
        <f>SUMIFS(tblActivites[Durée pl. (j)], tblActivites[Responsable],"Sophie", tblActivites[Mois], 5)</f>
        <v>0</v>
      </c>
      <c r="G9" s="6">
        <f>SUMIFS(tblActivites[Durée pl. (j)], tblActivites[Responsable],"Sophie", tblActivites[Mois], 6)</f>
        <v>0</v>
      </c>
      <c r="H9" s="6">
        <f>SUMIFS(tblActivites[Durée pl. (j)], tblActivites[Responsable],"Sophie", tblActivites[Mois], 7)</f>
        <v>0</v>
      </c>
      <c r="I9" s="6">
        <f>SUMIFS(tblActivites[Durée pl. (j)], tblActivites[Responsable],"Sophie", tblActivites[Mois], 8)</f>
        <v>0</v>
      </c>
      <c r="J9" s="6">
        <f>SUMIFS(tblActivites[Durée pl. (j)], tblActivites[Responsable],"Sophie", tblActivites[Mois], 9)</f>
        <v>0</v>
      </c>
      <c r="K9" s="6">
        <f>SUMIFS(tblActivites[Durée pl. (j)], tblActivites[Responsable],"Sophie", tblActivites[Mois], 10)</f>
        <v>0</v>
      </c>
      <c r="L9" s="6">
        <f>SUMIFS(tblActivites[Durée pl. (j)], tblActivites[Responsable],"Sophie", tblActivites[Mois], 11)</f>
        <v>0</v>
      </c>
      <c r="M9" s="6">
        <f>SUMIFS(tblActivites[Durée pl. (j)], tblActivites[Responsable],"Sophie", tblActivites[Mois], 12)</f>
        <v>0</v>
      </c>
    </row>
    <row r="10" spans="1:13" ht="18" customHeight="1">
      <c r="A10" s="8" t="s">
        <v>46</v>
      </c>
      <c r="B10" s="6">
        <f>SUMIFS(tblActivites[Durée pl. (j)], tblActivites[Responsable],"Nadia", tblActivites[Mois], 1)</f>
        <v>0</v>
      </c>
      <c r="C10" s="6">
        <f>SUMIFS(tblActivites[Durée pl. (j)], tblActivites[Responsable],"Nadia", tblActivites[Mois], 2)</f>
        <v>0</v>
      </c>
      <c r="D10" s="6">
        <f>SUMIFS(tblActivites[Durée pl. (j)], tblActivites[Responsable],"Nadia", tblActivites[Mois], 3)</f>
        <v>0</v>
      </c>
      <c r="E10" s="6">
        <f>SUMIFS(tblActivites[Durée pl. (j)], tblActivites[Responsable],"Nadia", tblActivites[Mois], 4)</f>
        <v>0</v>
      </c>
      <c r="F10" s="6">
        <f>SUMIFS(tblActivites[Durée pl. (j)], tblActivites[Responsable],"Nadia", tblActivites[Mois], 5)</f>
        <v>0</v>
      </c>
      <c r="G10" s="6">
        <f>SUMIFS(tblActivites[Durée pl. (j)], tblActivites[Responsable],"Nadia", tblActivites[Mois], 6)</f>
        <v>0</v>
      </c>
      <c r="H10" s="6">
        <f>SUMIFS(tblActivites[Durée pl. (j)], tblActivites[Responsable],"Nadia", tblActivites[Mois], 7)</f>
        <v>0</v>
      </c>
      <c r="I10" s="6">
        <f>SUMIFS(tblActivites[Durée pl. (j)], tblActivites[Responsable],"Nadia", tblActivites[Mois], 8)</f>
        <v>0</v>
      </c>
      <c r="J10" s="6">
        <f>SUMIFS(tblActivites[Durée pl. (j)], tblActivites[Responsable],"Nadia", tblActivites[Mois], 9)</f>
        <v>0</v>
      </c>
      <c r="K10" s="6">
        <f>SUMIFS(tblActivites[Durée pl. (j)], tblActivites[Responsable],"Nadia", tblActivites[Mois], 10)</f>
        <v>0</v>
      </c>
      <c r="L10" s="6">
        <f>SUMIFS(tblActivites[Durée pl. (j)], tblActivites[Responsable],"Nadia", tblActivites[Mois], 11)</f>
        <v>0</v>
      </c>
      <c r="M10" s="6">
        <f>SUMIFS(tblActivites[Durée pl. (j)], tblActivites[Responsable],"Nadia", tblActivites[Mois], 12)</f>
        <v>0</v>
      </c>
    </row>
    <row r="11" spans="1:13" ht="18" customHeight="1">
      <c r="A11" s="8" t="s">
        <v>47</v>
      </c>
      <c r="B11" s="6">
        <f>SUMIFS(tblActivites[Durée pl. (j)], tblActivites[Responsable],"Pauline", tblActivites[Mois], 1)</f>
        <v>0</v>
      </c>
      <c r="C11" s="6">
        <f>SUMIFS(tblActivites[Durée pl. (j)], tblActivites[Responsable],"Pauline", tblActivites[Mois], 2)</f>
        <v>0</v>
      </c>
      <c r="D11" s="6">
        <f>SUMIFS(tblActivites[Durée pl. (j)], tblActivites[Responsable],"Pauline", tblActivites[Mois], 3)</f>
        <v>0</v>
      </c>
      <c r="E11" s="6">
        <f>SUMIFS(tblActivites[Durée pl. (j)], tblActivites[Responsable],"Pauline", tblActivites[Mois], 4)</f>
        <v>0</v>
      </c>
      <c r="F11" s="6">
        <f>SUMIFS(tblActivites[Durée pl. (j)], tblActivites[Responsable],"Pauline", tblActivites[Mois], 5)</f>
        <v>0</v>
      </c>
      <c r="G11" s="6">
        <f>SUMIFS(tblActivites[Durée pl. (j)], tblActivites[Responsable],"Pauline", tblActivites[Mois], 6)</f>
        <v>0</v>
      </c>
      <c r="H11" s="6">
        <f>SUMIFS(tblActivites[Durée pl. (j)], tblActivites[Responsable],"Pauline", tblActivites[Mois], 7)</f>
        <v>0</v>
      </c>
      <c r="I11" s="6">
        <f>SUMIFS(tblActivites[Durée pl. (j)], tblActivites[Responsable],"Pauline", tblActivites[Mois], 8)</f>
        <v>0</v>
      </c>
      <c r="J11" s="6">
        <f>SUMIFS(tblActivites[Durée pl. (j)], tblActivites[Responsable],"Pauline", tblActivites[Mois], 9)</f>
        <v>0</v>
      </c>
      <c r="K11" s="6">
        <f>SUMIFS(tblActivites[Durée pl. (j)], tblActivites[Responsable],"Pauline", tblActivites[Mois], 10)</f>
        <v>0</v>
      </c>
      <c r="L11" s="6">
        <f>SUMIFS(tblActivites[Durée pl. (j)], tblActivites[Responsable],"Pauline", tblActivites[Mois], 11)</f>
        <v>0</v>
      </c>
      <c r="M11" s="6">
        <f>SUMIFS(tblActivites[Durée pl. (j)], tblActivites[Responsable],"Pauline", tblActivites[Mois], 12)</f>
        <v>0</v>
      </c>
    </row>
    <row r="12" spans="1:13" ht="18" customHeight="1">
      <c r="A12" s="8" t="s">
        <v>48</v>
      </c>
      <c r="B12" s="6">
        <f>SUMIFS(tblActivites[Durée pl. (j)], tblActivites[Responsable],"Alexandre", tblActivites[Mois], 1)</f>
        <v>0</v>
      </c>
      <c r="C12" s="6">
        <f>SUMIFS(tblActivites[Durée pl. (j)], tblActivites[Responsable],"Alexandre", tblActivites[Mois], 2)</f>
        <v>0</v>
      </c>
      <c r="D12" s="6">
        <f>SUMIFS(tblActivites[Durée pl. (j)], tblActivites[Responsable],"Alexandre", tblActivites[Mois], 3)</f>
        <v>0</v>
      </c>
      <c r="E12" s="6">
        <f>SUMIFS(tblActivites[Durée pl. (j)], tblActivites[Responsable],"Alexandre", tblActivites[Mois], 4)</f>
        <v>0</v>
      </c>
      <c r="F12" s="6">
        <f>SUMIFS(tblActivites[Durée pl. (j)], tblActivites[Responsable],"Alexandre", tblActivites[Mois], 5)</f>
        <v>0</v>
      </c>
      <c r="G12" s="6">
        <f>SUMIFS(tblActivites[Durée pl. (j)], tblActivites[Responsable],"Alexandre", tblActivites[Mois], 6)</f>
        <v>0</v>
      </c>
      <c r="H12" s="6">
        <f>SUMIFS(tblActivites[Durée pl. (j)], tblActivites[Responsable],"Alexandre", tblActivites[Mois], 7)</f>
        <v>0</v>
      </c>
      <c r="I12" s="6">
        <f>SUMIFS(tblActivites[Durée pl. (j)], tblActivites[Responsable],"Alexandre", tblActivites[Mois], 8)</f>
        <v>0</v>
      </c>
      <c r="J12" s="6">
        <f>SUMIFS(tblActivites[Durée pl. (j)], tblActivites[Responsable],"Alexandre", tblActivites[Mois], 9)</f>
        <v>0</v>
      </c>
      <c r="K12" s="6">
        <f>SUMIFS(tblActivites[Durée pl. (j)], tblActivites[Responsable],"Alexandre", tblActivites[Mois], 10)</f>
        <v>0</v>
      </c>
      <c r="L12" s="6">
        <f>SUMIFS(tblActivites[Durée pl. (j)], tblActivites[Responsable],"Alexandre", tblActivites[Mois], 11)</f>
        <v>0</v>
      </c>
      <c r="M12" s="6">
        <f>SUMIFS(tblActivites[Durée pl. (j)], tblActivites[Responsable],"Alexandre", tblActivites[Mois], 12)</f>
        <v>0</v>
      </c>
    </row>
    <row r="13" spans="1:13" ht="18" customHeight="1">
      <c r="A13" s="8" t="s">
        <v>49</v>
      </c>
      <c r="B13" s="6">
        <f>SUMIFS(tblActivites[Durée pl. (j)], tblActivites[Responsable],"Inès", tblActivites[Mois], 1)</f>
        <v>0</v>
      </c>
      <c r="C13" s="6">
        <f>SUMIFS(tblActivites[Durée pl. (j)], tblActivites[Responsable],"Inès", tblActivites[Mois], 2)</f>
        <v>0</v>
      </c>
      <c r="D13" s="6">
        <f>SUMIFS(tblActivites[Durée pl. (j)], tblActivites[Responsable],"Inès", tblActivites[Mois], 3)</f>
        <v>0</v>
      </c>
      <c r="E13" s="6">
        <f>SUMIFS(tblActivites[Durée pl. (j)], tblActivites[Responsable],"Inès", tblActivites[Mois], 4)</f>
        <v>0</v>
      </c>
      <c r="F13" s="6">
        <f>SUMIFS(tblActivites[Durée pl. (j)], tblActivites[Responsable],"Inès", tblActivites[Mois], 5)</f>
        <v>0</v>
      </c>
      <c r="G13" s="6">
        <f>SUMIFS(tblActivites[Durée pl. (j)], tblActivites[Responsable],"Inès", tblActivites[Mois], 6)</f>
        <v>0</v>
      </c>
      <c r="H13" s="6">
        <f>SUMIFS(tblActivites[Durée pl. (j)], tblActivites[Responsable],"Inès", tblActivites[Mois], 7)</f>
        <v>0</v>
      </c>
      <c r="I13" s="6">
        <f>SUMIFS(tblActivites[Durée pl. (j)], tblActivites[Responsable],"Inès", tblActivites[Mois], 8)</f>
        <v>0</v>
      </c>
      <c r="J13" s="6">
        <f>SUMIFS(tblActivites[Durée pl. (j)], tblActivites[Responsable],"Inès", tblActivites[Mois], 9)</f>
        <v>0</v>
      </c>
      <c r="K13" s="6">
        <f>SUMIFS(tblActivites[Durée pl. (j)], tblActivites[Responsable],"Inès", tblActivites[Mois], 10)</f>
        <v>0</v>
      </c>
      <c r="L13" s="6">
        <f>SUMIFS(tblActivites[Durée pl. (j)], tblActivites[Responsable],"Inès", tblActivites[Mois], 11)</f>
        <v>0</v>
      </c>
      <c r="M13" s="6">
        <f>SUMIFS(tblActivites[Durée pl. (j)], tblActivites[Responsable],"Inès", tblActivites[Mois], 12)</f>
        <v>0</v>
      </c>
    </row>
  </sheetData>
  <conditionalFormatting sqref="B4:M14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EF4444"/>
  </sheetPr>
  <dimension ref="A1:I8"/>
  <sheetViews>
    <sheetView workbookViewId="0"/>
  </sheetViews>
  <sheetFormatPr defaultRowHeight="18" customHeight="1"/>
  <cols>
    <col min="1" max="1" width="26.7109375" customWidth="1"/>
    <col min="2" max="6" width="12.7109375" customWidth="1"/>
  </cols>
  <sheetData>
    <row r="1" spans="1:9" ht="18" customHeight="1">
      <c r="A1" s="3" t="s">
        <v>286</v>
      </c>
    </row>
    <row r="3" spans="1:9" ht="18" customHeight="1">
      <c r="A3" s="8"/>
      <c r="B3" s="8" t="s">
        <v>287</v>
      </c>
      <c r="C3" s="8" t="s">
        <v>288</v>
      </c>
      <c r="D3" s="8" t="s">
        <v>289</v>
      </c>
      <c r="E3" s="8" t="s">
        <v>290</v>
      </c>
      <c r="F3" s="8" t="s">
        <v>291</v>
      </c>
      <c r="H3" s="5" t="s">
        <v>297</v>
      </c>
    </row>
    <row r="4" spans="1:9" ht="18" customHeight="1">
      <c r="A4" s="8" t="s">
        <v>292</v>
      </c>
      <c r="B4" s="6">
        <f>COUNTIFS(tblActivites[Risque – Probabilité (1-5)], 1, tblActivites[Risque – Sévérité (1-5)], 1)</f>
        <v>0</v>
      </c>
      <c r="C4" s="6">
        <f>COUNTIFS(tblActivites[Risque – Probabilité (1-5)], 1, tblActivites[Risque – Sévérité (1-5)], 2)</f>
        <v>0</v>
      </c>
      <c r="D4" s="6">
        <f>COUNTIFS(tblActivites[Risque – Probabilité (1-5)], 1, tblActivites[Risque – Sévérité (1-5)], 3)</f>
        <v>0</v>
      </c>
      <c r="E4" s="6">
        <f>COUNTIFS(tblActivites[Risque – Probabilité (1-5)], 1, tblActivites[Risque – Sévérité (1-5)], 4)</f>
        <v>0</v>
      </c>
      <c r="F4" s="6">
        <f>COUNTIFS(tblActivites[Risque – Probabilité (1-5)], 1, tblActivites[Risque – Sévérité (1-5)], 5)</f>
        <v>0</v>
      </c>
      <c r="H4" s="8" t="s">
        <v>298</v>
      </c>
      <c r="I4" s="6">
        <f>COUNTIFS(tblActivites[Criticité (P×S)], "&gt;="&amp;seuil_crit)</f>
        <v>0</v>
      </c>
    </row>
    <row r="5" spans="1:9" ht="18" customHeight="1">
      <c r="A5" s="8" t="s">
        <v>293</v>
      </c>
      <c r="B5" s="6">
        <f>COUNTIFS(tblActivites[Risque – Probabilité (1-5)], 2, tblActivites[Risque – Sévérité (1-5)], 1)</f>
        <v>0</v>
      </c>
      <c r="C5" s="6">
        <f>COUNTIFS(tblActivites[Risque – Probabilité (1-5)], 2, tblActivites[Risque – Sévérité (1-5)], 2)</f>
        <v>0</v>
      </c>
      <c r="D5" s="6">
        <f>COUNTIFS(tblActivites[Risque – Probabilité (1-5)], 2, tblActivites[Risque – Sévérité (1-5)], 3)</f>
        <v>0</v>
      </c>
      <c r="E5" s="6">
        <f>COUNTIFS(tblActivites[Risque – Probabilité (1-5)], 2, tblActivites[Risque – Sévérité (1-5)], 4)</f>
        <v>0</v>
      </c>
      <c r="F5" s="6">
        <f>COUNTIFS(tblActivites[Risque – Probabilité (1-5)], 2, tblActivites[Risque – Sévérité (1-5)], 5)</f>
        <v>0</v>
      </c>
      <c r="H5" s="8" t="s">
        <v>299</v>
      </c>
      <c r="I5" s="6">
        <f>IFERROR(AVERAGE(tblActivites[Criticité (P×S)]),0)</f>
        <v>0</v>
      </c>
    </row>
    <row r="6" spans="1:9" ht="18" customHeight="1">
      <c r="A6" s="8" t="s">
        <v>294</v>
      </c>
      <c r="B6" s="6">
        <f>COUNTIFS(tblActivites[Risque – Probabilité (1-5)], 3, tblActivites[Risque – Sévérité (1-5)], 1)</f>
        <v>0</v>
      </c>
      <c r="C6" s="6">
        <f>COUNTIFS(tblActivites[Risque – Probabilité (1-5)], 3, tblActivites[Risque – Sévérité (1-5)], 2)</f>
        <v>0</v>
      </c>
      <c r="D6" s="6">
        <f>COUNTIFS(tblActivites[Risque – Probabilité (1-5)], 3, tblActivites[Risque – Sévérité (1-5)], 3)</f>
        <v>0</v>
      </c>
      <c r="E6" s="6">
        <f>COUNTIFS(tblActivites[Risque – Probabilité (1-5)], 3, tblActivites[Risque – Sévérité (1-5)], 4)</f>
        <v>0</v>
      </c>
      <c r="F6" s="6">
        <f>COUNTIFS(tblActivites[Risque – Probabilité (1-5)], 3, tblActivites[Risque – Sévérité (1-5)], 5)</f>
        <v>0</v>
      </c>
    </row>
    <row r="7" spans="1:9" ht="18" customHeight="1">
      <c r="A7" s="8" t="s">
        <v>295</v>
      </c>
      <c r="B7" s="6">
        <f>COUNTIFS(tblActivites[Risque – Probabilité (1-5)], 4, tblActivites[Risque – Sévérité (1-5)], 1)</f>
        <v>0</v>
      </c>
      <c r="C7" s="6">
        <f>COUNTIFS(tblActivites[Risque – Probabilité (1-5)], 4, tblActivites[Risque – Sévérité (1-5)], 2)</f>
        <v>0</v>
      </c>
      <c r="D7" s="6">
        <f>COUNTIFS(tblActivites[Risque – Probabilité (1-5)], 4, tblActivites[Risque – Sévérité (1-5)], 3)</f>
        <v>0</v>
      </c>
      <c r="E7" s="6">
        <f>COUNTIFS(tblActivites[Risque – Probabilité (1-5)], 4, tblActivites[Risque – Sévérité (1-5)], 4)</f>
        <v>0</v>
      </c>
      <c r="F7" s="6">
        <f>COUNTIFS(tblActivites[Risque – Probabilité (1-5)], 4, tblActivites[Risque – Sévérité (1-5)], 5)</f>
        <v>0</v>
      </c>
    </row>
    <row r="8" spans="1:9" ht="18" customHeight="1">
      <c r="A8" s="8" t="s">
        <v>296</v>
      </c>
      <c r="B8" s="6">
        <f>COUNTIFS(tblActivites[Risque – Probabilité (1-5)], 5, tblActivites[Risque – Sévérité (1-5)], 1)</f>
        <v>0</v>
      </c>
      <c r="C8" s="6">
        <f>COUNTIFS(tblActivites[Risque – Probabilité (1-5)], 5, tblActivites[Risque – Sévérité (1-5)], 2)</f>
        <v>0</v>
      </c>
      <c r="D8" s="6">
        <f>COUNTIFS(tblActivites[Risque – Probabilité (1-5)], 5, tblActivites[Risque – Sévérité (1-5)], 3)</f>
        <v>0</v>
      </c>
      <c r="E8" s="6">
        <f>COUNTIFS(tblActivites[Risque – Probabilité (1-5)], 5, tblActivites[Risque – Sévérité (1-5)], 4)</f>
        <v>0</v>
      </c>
      <c r="F8" s="6">
        <f>COUNTIFS(tblActivites[Risque – Probabilité (1-5)], 5, tblActivites[Risque – Sévérité (1-5)], 5)</f>
        <v>0</v>
      </c>
    </row>
  </sheetData>
  <conditionalFormatting sqref="B4:F8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11</vt:i4>
      </vt:variant>
    </vt:vector>
  </HeadingPairs>
  <TitlesOfParts>
    <vt:vector size="18" baseType="lpstr">
      <vt:lpstr>Lisez_moi</vt:lpstr>
      <vt:lpstr>Paramètres</vt:lpstr>
      <vt:lpstr>Activités</vt:lpstr>
      <vt:lpstr>Tableau_de_bord</vt:lpstr>
      <vt:lpstr>Gantt</vt:lpstr>
      <vt:lpstr>Charges</vt:lpstr>
      <vt:lpstr>Risques</vt:lpstr>
      <vt:lpstr>annee</vt:lpstr>
      <vt:lpstr>liste_categories</vt:lpstr>
      <vt:lpstr>liste_priorites</vt:lpstr>
      <vt:lpstr>liste_programmes</vt:lpstr>
      <vt:lpstr>liste_responsables</vt:lpstr>
      <vt:lpstr>liste_sites</vt:lpstr>
      <vt:lpstr>liste_statuts</vt:lpstr>
      <vt:lpstr>liste_types</vt:lpstr>
      <vt:lpstr>objectif_heure</vt:lpstr>
      <vt:lpstr>seuil_crit</vt:lpstr>
      <vt:lpstr>wip_max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2025-11-08T23:15:08Z</dcterms:created>
  <dcterms:modified xsi:type="dcterms:W3CDTF">2025-11-08T23:15:08Z</dcterms:modified>
</cp:coreProperties>
</file>