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talogue_Vins" sheetId="1" state="visible" r:id="rId1"/>
    <sheet xmlns:r="http://schemas.openxmlformats.org/officeDocument/2006/relationships" name="Mouvements" sheetId="2" state="visible" r:id="rId2"/>
    <sheet xmlns:r="http://schemas.openxmlformats.org/officeDocument/2006/relationships" name="Listes" sheetId="3" state="visible" r:id="rId3"/>
    <sheet xmlns:r="http://schemas.openxmlformats.org/officeDocument/2006/relationships" name="Dashboard" sheetId="4" state="visible" r:id="rId4"/>
  </sheets>
  <definedNames>
    <definedName name="_xlnm._FilterDatabase" localSheetId="0" hidden="1">'Catalogue_Vins'!$A$1:$AA$11</definedName>
    <definedName name="_xlnm._FilterDatabase" localSheetId="1" hidden="1">'Mouvements'!$A$1:$I$16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800000"/>
      </patternFill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pivotButton="0" quotePrefix="0" xfId="0"/>
    <xf numFmtId="4" fontId="0" fillId="0" borderId="1" pivotButton="0" quotePrefix="0" xfId="0"/>
    <xf numFmtId="0" fontId="2" fillId="0" borderId="0" applyAlignment="1" pivotButton="0" quotePrefix="0" xfId="0">
      <alignment horizontal="left"/>
    </xf>
    <xf numFmtId="0" fontId="3" fillId="3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4" fontId="0" fillId="0" borderId="1" applyAlignment="1" pivotButton="0" quotePrefix="0" xfId="0">
      <alignment horizontal="right"/>
    </xf>
    <xf numFmtId="0" fontId="3" fillId="0" borderId="0" pivotButton="0" quotePrefix="0" xfId="0"/>
  </cellXfs>
  <cellStyles count="1">
    <cellStyle name="Normal" xfId="0" builtinId="0" hidden="0"/>
  </cellStyles>
  <dxfs count="6">
    <dxf>
      <fill>
        <patternFill patternType="solid">
          <fgColor rgb="00C00000"/>
        </patternFill>
      </fill>
    </dxf>
    <dxf>
      <fill>
        <patternFill patternType="solid">
          <fgColor rgb="00F4B084"/>
        </patternFill>
      </fill>
    </dxf>
    <dxf>
      <fill>
        <patternFill patternType="solid">
          <fgColor rgb="00C6EFCE"/>
        </patternFill>
      </fill>
    </dxf>
    <dxf>
      <fill>
        <patternFill patternType="solid">
          <fgColor rgb="00D9D9D9"/>
        </patternFill>
      </fill>
    </dxf>
    <dxf>
      <font>
        <b val="1"/>
        <color rgb="00FFFFFF"/>
      </font>
      <fill>
        <patternFill patternType="solid">
          <fgColor rgb="00C00000"/>
        </patternFill>
      </fill>
    </dxf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bouteilles par couleur</a:t>
            </a:r>
          </a:p>
        </rich>
      </tx>
    </title>
    <plotArea>
      <pieChart>
        <varyColors val="1"/>
        <ser>
          <idx val="0"/>
          <order val="0"/>
          <tx>
            <strRef>
              <f>'Dashboard'!B14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'Dashboard'!$A$15:$A$19</f>
            </numRef>
          </cat>
          <val>
            <numRef>
              <f>'Dashboard'!$B$15:$B$19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4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  <col width="16" customWidth="1" min="17" max="17"/>
    <col width="16" customWidth="1" min="18" max="18"/>
    <col width="16" customWidth="1" min="19" max="19"/>
    <col width="16" customWidth="1" min="20" max="20"/>
    <col width="16" customWidth="1" min="21" max="21"/>
    <col width="16" customWidth="1" min="22" max="22"/>
    <col width="16" customWidth="1" min="23" max="23"/>
    <col width="16" customWidth="1" min="24" max="24"/>
    <col width="16" customWidth="1" min="25" max="25"/>
    <col width="16" customWidth="1" min="26" max="26"/>
    <col width="16" customWidth="1" min="27" max="27"/>
  </cols>
  <sheetData>
    <row r="1">
      <c r="A1" s="1" t="inlineStr">
        <is>
          <t>ID_Bouteille</t>
        </is>
      </c>
      <c r="B1" s="1" t="inlineStr">
        <is>
          <t>Code_Emplacement</t>
        </is>
      </c>
      <c r="C1" s="1" t="inlineStr">
        <is>
          <t>Appellation</t>
        </is>
      </c>
      <c r="D1" s="1" t="inlineStr">
        <is>
          <t>Domaine</t>
        </is>
      </c>
      <c r="E1" s="1" t="inlineStr">
        <is>
          <t>Cuvée</t>
        </is>
      </c>
      <c r="F1" s="1" t="inlineStr">
        <is>
          <t>Couleur</t>
        </is>
      </c>
      <c r="G1" s="1" t="inlineStr">
        <is>
          <t>Type</t>
        </is>
      </c>
      <c r="H1" s="1" t="inlineStr">
        <is>
          <t>Région</t>
        </is>
      </c>
      <c r="I1" s="1" t="inlineStr">
        <is>
          <t>Pays</t>
        </is>
      </c>
      <c r="J1" s="1" t="inlineStr">
        <is>
          <t>Millésime</t>
        </is>
      </c>
      <c r="K1" s="1" t="inlineStr">
        <is>
          <t>Cépages</t>
        </is>
      </c>
      <c r="L1" s="1" t="inlineStr">
        <is>
          <t>Format</t>
        </is>
      </c>
      <c r="M1" s="1" t="inlineStr">
        <is>
          <t>Contenance_ml</t>
        </is>
      </c>
      <c r="N1" s="1" t="inlineStr">
        <is>
          <t>Prix_Achat_Unitaire</t>
        </is>
      </c>
      <c r="O1" s="1" t="inlineStr">
        <is>
          <t>Stock_Actuel</t>
        </is>
      </c>
      <c r="P1" s="1" t="inlineStr">
        <is>
          <t>Valeur_Stock</t>
        </is>
      </c>
      <c r="Q1" s="1" t="inlineStr">
        <is>
          <t>Apogée_Début</t>
        </is>
      </c>
      <c r="R1" s="1" t="inlineStr">
        <is>
          <t>Apogée_Fin</t>
        </is>
      </c>
      <c r="S1" s="1" t="inlineStr">
        <is>
          <t>A_Boire_Avant</t>
        </is>
      </c>
      <c r="T1" s="1" t="inlineStr">
        <is>
          <t>Fenêtre_Apogée</t>
        </is>
      </c>
      <c r="U1" s="1" t="inlineStr">
        <is>
          <t>Prêt_à_boire</t>
        </is>
      </c>
      <c r="V1" s="1" t="inlineStr">
        <is>
          <t>Niveau_de_garde</t>
        </is>
      </c>
      <c r="W1" s="1" t="inlineStr">
        <is>
          <t>Age_du_vin</t>
        </is>
      </c>
      <c r="X1" s="1" t="inlineStr">
        <is>
          <t>Priorité</t>
        </is>
      </c>
      <c r="Y1" s="1" t="inlineStr">
        <is>
          <t>Pictogramme</t>
        </is>
      </c>
      <c r="Z1" s="1" t="inlineStr">
        <is>
          <t>Commentaires</t>
        </is>
      </c>
      <c r="AA1" s="1" t="inlineStr">
        <is>
          <t>Tag_Occasion</t>
        </is>
      </c>
    </row>
    <row r="2">
      <c r="A2" s="2" t="inlineStr">
        <is>
          <t>B001</t>
        </is>
      </c>
      <c r="B2" s="2" t="inlineStr">
        <is>
          <t>Z1-C1-01</t>
        </is>
      </c>
      <c r="C2" s="2" t="inlineStr">
        <is>
          <t>Bordeaux Supérieur</t>
        </is>
      </c>
      <c r="D2" s="2" t="inlineStr">
        <is>
          <t>Château du Champ</t>
        </is>
      </c>
      <c r="E2" s="2" t="inlineStr">
        <is>
          <t>Cuvée Tradition</t>
        </is>
      </c>
      <c r="F2" s="2" t="inlineStr">
        <is>
          <t>Rouge</t>
        </is>
      </c>
      <c r="G2" s="2" t="inlineStr">
        <is>
          <t>Tranquille</t>
        </is>
      </c>
      <c r="H2" s="2" t="inlineStr">
        <is>
          <t>Bordeaux</t>
        </is>
      </c>
      <c r="I2" s="2" t="inlineStr">
        <is>
          <t>France</t>
        </is>
      </c>
      <c r="J2" s="2" t="n">
        <v>2018</v>
      </c>
      <c r="K2" s="2" t="inlineStr">
        <is>
          <t>Merlot, Cabernet Sauvignon</t>
        </is>
      </c>
      <c r="L2" s="2" t="inlineStr">
        <is>
          <t>75 cl</t>
        </is>
      </c>
      <c r="M2" s="2" t="n">
        <v>750</v>
      </c>
      <c r="N2" s="3" t="n">
        <v>12.5</v>
      </c>
      <c r="O2" s="2">
        <f>IFERROR(SUMIFS(Mouvements!$E:$E,Mouvements!$C:$C,$A2,Mouvements!$D:$D,"Entrée")-SUMIFS(Mouvements!$E:$E,Mouvements!$C:$C,$A2,Mouvements!$D:$D,"Sortie")-SUMIFS(Mouvements!$E:$E,Mouvements!$C:$C,$A2,Mouvements!$D:$D,"Perte"),0)</f>
        <v/>
      </c>
      <c r="P2" s="3">
        <f>O2*N2</f>
        <v/>
      </c>
      <c r="Q2" s="2" t="n">
        <v>2022</v>
      </c>
      <c r="R2" s="2" t="n">
        <v>2027</v>
      </c>
      <c r="S2" s="2">
        <f>IF(AND(ISNUMBER(Q2),ISNUMBER(R2)),DATE(R2+2,12,31),"")</f>
        <v/>
      </c>
      <c r="T2" s="2">
        <f>IF(AND(ISNUMBER(Q2),ISNUMBER(R2)),R2-Q2+1,"")</f>
        <v/>
      </c>
      <c r="U2" s="2">
        <f>IF(OR(Q2="",R2=""),"",IF(AND(YEAR(TODAY())&gt;=Q2,YEAR(TODAY())&lt;=R2),"Oui","Non"))</f>
        <v/>
      </c>
      <c r="V2" s="2">
        <f>IF(T2="","",IF(T2&gt;=10,"Grand garde",IF(T2&gt;=5,"Garde moyenne","Prêt à boire")))</f>
        <v/>
      </c>
      <c r="W2" s="2">
        <f>IF(ISNUMBER(J2),YEAR(TODAY())-J2,"")</f>
        <v/>
      </c>
      <c r="X2" s="2">
        <f>IF(U2="Oui",IF(AND(S2&lt;&gt;"",YEAR(S2)&lt;=YEAR(TODAY())),"Urgent","À boire"),IF(AND(Q2&lt;&gt;"",YEAR(TODAY())&lt;Q2),"À attendre",""))</f>
        <v/>
      </c>
      <c r="Y2" s="2">
        <f>IF(X2="Urgent","🔥",IF(X2="À boire","🍷",IF(X2="À attendre","⏳","")))</f>
        <v/>
      </c>
      <c r="Z2" s="2" t="inlineStr">
        <is>
          <t>Belle structure, tanins fondus attendus</t>
        </is>
      </c>
      <c r="AA2" s="2" t="inlineStr">
        <is>
          <t>Dîner entre amis</t>
        </is>
      </c>
    </row>
    <row r="3">
      <c r="A3" s="2" t="inlineStr">
        <is>
          <t>B002</t>
        </is>
      </c>
      <c r="B3" s="2" t="inlineStr">
        <is>
          <t>Z1-C1-02</t>
        </is>
      </c>
      <c r="C3" s="2" t="inlineStr">
        <is>
          <t>Chablis</t>
        </is>
      </c>
      <c r="D3" s="2" t="inlineStr">
        <is>
          <t>Domaine des Pierres Blanches</t>
        </is>
      </c>
      <c r="E3" s="2" t="inlineStr">
        <is>
          <t>Vieilles Vignes</t>
        </is>
      </c>
      <c r="F3" s="2" t="inlineStr">
        <is>
          <t>Blanc</t>
        </is>
      </c>
      <c r="G3" s="2" t="inlineStr">
        <is>
          <t>Tranquille</t>
        </is>
      </c>
      <c r="H3" s="2" t="inlineStr">
        <is>
          <t>Bourgogne</t>
        </is>
      </c>
      <c r="I3" s="2" t="inlineStr">
        <is>
          <t>France</t>
        </is>
      </c>
      <c r="J3" s="2" t="n">
        <v>2021</v>
      </c>
      <c r="K3" s="2" t="inlineStr">
        <is>
          <t>Chardonnay</t>
        </is>
      </c>
      <c r="L3" s="2" t="inlineStr">
        <is>
          <t>75 cl</t>
        </is>
      </c>
      <c r="M3" s="2" t="n">
        <v>750</v>
      </c>
      <c r="N3" s="3" t="n">
        <v>19.9</v>
      </c>
      <c r="O3" s="2">
        <f>IFERROR(SUMIFS(Mouvements!$E:$E,Mouvements!$C:$C,$A3,Mouvements!$D:$D,"Entrée")-SUMIFS(Mouvements!$E:$E,Mouvements!$C:$C,$A3,Mouvements!$D:$D,"Sortie")-SUMIFS(Mouvements!$E:$E,Mouvements!$C:$C,$A3,Mouvements!$D:$D,"Perte"),0)</f>
        <v/>
      </c>
      <c r="P3" s="3">
        <f>O3*N3</f>
        <v/>
      </c>
      <c r="Q3" s="2" t="n">
        <v>2023</v>
      </c>
      <c r="R3" s="2" t="n">
        <v>2028</v>
      </c>
      <c r="S3" s="2">
        <f>IF(AND(ISNUMBER(Q3),ISNUMBER(R3)),DATE(R3+2,12,31),"")</f>
        <v/>
      </c>
      <c r="T3" s="2">
        <f>IF(AND(ISNUMBER(Q3),ISNUMBER(R3)),R3-Q3+1,"")</f>
        <v/>
      </c>
      <c r="U3" s="2">
        <f>IF(OR(Q3="",R3=""),"",IF(AND(YEAR(TODAY())&gt;=Q3,YEAR(TODAY())&lt;=R3),"Oui","Non"))</f>
        <v/>
      </c>
      <c r="V3" s="2">
        <f>IF(T3="","",IF(T3&gt;=10,"Grand garde",IF(T3&gt;=5,"Garde moyenne","Prêt à boire")))</f>
        <v/>
      </c>
      <c r="W3" s="2">
        <f>IF(ISNUMBER(J3),YEAR(TODAY())-J3,"")</f>
        <v/>
      </c>
      <c r="X3" s="2">
        <f>IF(U3="Oui",IF(AND(S3&lt;&gt;"",YEAR(S3)&lt;=YEAR(TODAY())),"Urgent","À boire"),IF(AND(Q3&lt;&gt;"",YEAR(TODAY())&lt;Q3),"À attendre",""))</f>
        <v/>
      </c>
      <c r="Y3" s="2">
        <f>IF(X3="Urgent","🔥",IF(X3="À boire","🍷",IF(X3="À attendre","⏳","")))</f>
        <v/>
      </c>
      <c r="Z3" s="2" t="inlineStr">
        <is>
          <t>Très frais, parfait fruits de mer</t>
        </is>
      </c>
      <c r="AA3" s="2" t="inlineStr">
        <is>
          <t>Plateau de fruits de mer</t>
        </is>
      </c>
    </row>
    <row r="4">
      <c r="A4" s="2" t="inlineStr">
        <is>
          <t>B003</t>
        </is>
      </c>
      <c r="B4" s="2" t="inlineStr">
        <is>
          <t>Z1-C2-01</t>
        </is>
      </c>
      <c r="C4" s="2" t="inlineStr">
        <is>
          <t>Champagne Brut</t>
        </is>
      </c>
      <c r="D4" s="2" t="inlineStr">
        <is>
          <t>Maison Delacroix</t>
        </is>
      </c>
      <c r="E4" s="2" t="inlineStr">
        <is>
          <t>Grande Réserve</t>
        </is>
      </c>
      <c r="F4" s="2" t="inlineStr">
        <is>
          <t>Effervescent</t>
        </is>
      </c>
      <c r="G4" s="2" t="inlineStr">
        <is>
          <t>Pétillant</t>
        </is>
      </c>
      <c r="H4" s="2" t="inlineStr">
        <is>
          <t>Champagne</t>
        </is>
      </c>
      <c r="I4" s="2" t="inlineStr">
        <is>
          <t>France</t>
        </is>
      </c>
      <c r="J4" s="2" t="n">
        <v>2016</v>
      </c>
      <c r="K4" s="2" t="inlineStr">
        <is>
          <t>Pinot Noir, Chardonnay</t>
        </is>
      </c>
      <c r="L4" s="2" t="inlineStr">
        <is>
          <t>75 cl</t>
        </is>
      </c>
      <c r="M4" s="2" t="n">
        <v>750</v>
      </c>
      <c r="N4" s="3" t="n">
        <v>35</v>
      </c>
      <c r="O4" s="2">
        <f>IFERROR(SUMIFS(Mouvements!$E:$E,Mouvements!$C:$C,$A4,Mouvements!$D:$D,"Entrée")-SUMIFS(Mouvements!$E:$E,Mouvements!$C:$C,$A4,Mouvements!$D:$D,"Sortie")-SUMIFS(Mouvements!$E:$E,Mouvements!$C:$C,$A4,Mouvements!$D:$D,"Perte"),0)</f>
        <v/>
      </c>
      <c r="P4" s="3">
        <f>O4*N4</f>
        <v/>
      </c>
      <c r="Q4" s="2" t="n">
        <v>2020</v>
      </c>
      <c r="R4" s="2" t="n">
        <v>2030</v>
      </c>
      <c r="S4" s="2">
        <f>IF(AND(ISNUMBER(Q4),ISNUMBER(R4)),DATE(R4+2,12,31),"")</f>
        <v/>
      </c>
      <c r="T4" s="2">
        <f>IF(AND(ISNUMBER(Q4),ISNUMBER(R4)),R4-Q4+1,"")</f>
        <v/>
      </c>
      <c r="U4" s="2">
        <f>IF(OR(Q4="",R4=""),"",IF(AND(YEAR(TODAY())&gt;=Q4,YEAR(TODAY())&lt;=R4),"Oui","Non"))</f>
        <v/>
      </c>
      <c r="V4" s="2">
        <f>IF(T4="","",IF(T4&gt;=10,"Grand garde",IF(T4&gt;=5,"Garde moyenne","Prêt à boire")))</f>
        <v/>
      </c>
      <c r="W4" s="2">
        <f>IF(ISNUMBER(J4),YEAR(TODAY())-J4,"")</f>
        <v/>
      </c>
      <c r="X4" s="2">
        <f>IF(U4="Oui",IF(AND(S4&lt;&gt;"",YEAR(S4)&lt;=YEAR(TODAY())),"Urgent","À boire"),IF(AND(Q4&lt;&gt;"",YEAR(TODAY())&lt;Q4),"À attendre",""))</f>
        <v/>
      </c>
      <c r="Y4" s="2">
        <f>IF(X4="Urgent","🔥",IF(X4="À boire","🍷",IF(X4="À attendre","⏳","")))</f>
        <v/>
      </c>
      <c r="Z4" s="2" t="inlineStr">
        <is>
          <t>Bulles fines, occasions festives</t>
        </is>
      </c>
      <c r="AA4" s="2" t="inlineStr">
        <is>
          <t>Réveillon</t>
        </is>
      </c>
    </row>
    <row r="5">
      <c r="A5" s="2" t="inlineStr">
        <is>
          <t>B004</t>
        </is>
      </c>
      <c r="B5" s="2" t="inlineStr">
        <is>
          <t>Z2-C1-01</t>
        </is>
      </c>
      <c r="C5" s="2" t="inlineStr">
        <is>
          <t>Rioja Crianza</t>
        </is>
      </c>
      <c r="D5" s="2" t="inlineStr">
        <is>
          <t>Bodega de la Sierra</t>
        </is>
      </c>
      <c r="E5" s="2" t="inlineStr">
        <is>
          <t>Reserva de Familia</t>
        </is>
      </c>
      <c r="F5" s="2" t="inlineStr">
        <is>
          <t>Rouge</t>
        </is>
      </c>
      <c r="G5" s="2" t="inlineStr">
        <is>
          <t>Tranquille</t>
        </is>
      </c>
      <c r="H5" s="2" t="inlineStr">
        <is>
          <t>Rioja</t>
        </is>
      </c>
      <c r="I5" s="2" t="inlineStr">
        <is>
          <t>Espagne</t>
        </is>
      </c>
      <c r="J5" s="2" t="n">
        <v>2019</v>
      </c>
      <c r="K5" s="2" t="inlineStr">
        <is>
          <t>Tempranillo</t>
        </is>
      </c>
      <c r="L5" s="2" t="inlineStr">
        <is>
          <t>75 cl</t>
        </is>
      </c>
      <c r="M5" s="2" t="n">
        <v>750</v>
      </c>
      <c r="N5" s="3" t="n">
        <v>14.5</v>
      </c>
      <c r="O5" s="2">
        <f>IFERROR(SUMIFS(Mouvements!$E:$E,Mouvements!$C:$C,$A5,Mouvements!$D:$D,"Entrée")-SUMIFS(Mouvements!$E:$E,Mouvements!$C:$C,$A5,Mouvements!$D:$D,"Sortie")-SUMIFS(Mouvements!$E:$E,Mouvements!$C:$C,$A5,Mouvements!$D:$D,"Perte"),0)</f>
        <v/>
      </c>
      <c r="P5" s="3">
        <f>O5*N5</f>
        <v/>
      </c>
      <c r="Q5" s="2" t="n">
        <v>2023</v>
      </c>
      <c r="R5" s="2" t="n">
        <v>2030</v>
      </c>
      <c r="S5" s="2">
        <f>IF(AND(ISNUMBER(Q5),ISNUMBER(R5)),DATE(R5+2,12,31),"")</f>
        <v/>
      </c>
      <c r="T5" s="2">
        <f>IF(AND(ISNUMBER(Q5),ISNUMBER(R5)),R5-Q5+1,"")</f>
        <v/>
      </c>
      <c r="U5" s="2">
        <f>IF(OR(Q5="",R5=""),"",IF(AND(YEAR(TODAY())&gt;=Q5,YEAR(TODAY())&lt;=R5),"Oui","Non"))</f>
        <v/>
      </c>
      <c r="V5" s="2">
        <f>IF(T5="","",IF(T5&gt;=10,"Grand garde",IF(T5&gt;=5,"Garde moyenne","Prêt à boire")))</f>
        <v/>
      </c>
      <c r="W5" s="2">
        <f>IF(ISNUMBER(J5),YEAR(TODAY())-J5,"")</f>
        <v/>
      </c>
      <c r="X5" s="2">
        <f>IF(U5="Oui",IF(AND(S5&lt;&gt;"",YEAR(S5)&lt;=YEAR(TODAY())),"Urgent","À boire"),IF(AND(Q5&lt;&gt;"",YEAR(TODAY())&lt;Q5),"À attendre",""))</f>
        <v/>
      </c>
      <c r="Y5" s="2">
        <f>IF(X5="Urgent","🔥",IF(X5="À boire","🍷",IF(X5="À attendre","⏳","")))</f>
        <v/>
      </c>
      <c r="Z5" s="2" t="inlineStr">
        <is>
          <t>Boisé, notes de vanille</t>
        </is>
      </c>
      <c r="AA5" s="2" t="inlineStr">
        <is>
          <t>Viandes grillées</t>
        </is>
      </c>
    </row>
    <row r="6">
      <c r="A6" s="2" t="inlineStr">
        <is>
          <t>B005</t>
        </is>
      </c>
      <c r="B6" s="2" t="inlineStr">
        <is>
          <t>Z2-C1-02</t>
        </is>
      </c>
      <c r="C6" s="2" t="inlineStr">
        <is>
          <t>Sauternes</t>
        </is>
      </c>
      <c r="D6" s="2" t="inlineStr">
        <is>
          <t>Château des Brumes</t>
        </is>
      </c>
      <c r="E6" s="2" t="inlineStr">
        <is>
          <t>Sélection Or</t>
        </is>
      </c>
      <c r="F6" s="2" t="inlineStr">
        <is>
          <t>Doux</t>
        </is>
      </c>
      <c r="G6" s="2" t="inlineStr">
        <is>
          <t>Liqueur</t>
        </is>
      </c>
      <c r="H6" s="2" t="inlineStr">
        <is>
          <t>Bordeaux</t>
        </is>
      </c>
      <c r="I6" s="2" t="inlineStr">
        <is>
          <t>France</t>
        </is>
      </c>
      <c r="J6" s="2" t="n">
        <v>2015</v>
      </c>
      <c r="K6" s="2" t="inlineStr">
        <is>
          <t>Sémillon, Sauvignon</t>
        </is>
      </c>
      <c r="L6" s="2" t="inlineStr">
        <is>
          <t>75 cl</t>
        </is>
      </c>
      <c r="M6" s="2" t="n">
        <v>750</v>
      </c>
      <c r="N6" s="3" t="n">
        <v>28</v>
      </c>
      <c r="O6" s="2">
        <f>IFERROR(SUMIFS(Mouvements!$E:$E,Mouvements!$C:$C,$A6,Mouvements!$D:$D,"Entrée")-SUMIFS(Mouvements!$E:$E,Mouvements!$C:$C,$A6,Mouvements!$D:$D,"Sortie")-SUMIFS(Mouvements!$E:$E,Mouvements!$C:$C,$A6,Mouvements!$D:$D,"Perte"),0)</f>
        <v/>
      </c>
      <c r="P6" s="3">
        <f>O6*N6</f>
        <v/>
      </c>
      <c r="Q6" s="2" t="n">
        <v>2020</v>
      </c>
      <c r="R6" s="2" t="n">
        <v>2032</v>
      </c>
      <c r="S6" s="2">
        <f>IF(AND(ISNUMBER(Q6),ISNUMBER(R6)),DATE(R6+2,12,31),"")</f>
        <v/>
      </c>
      <c r="T6" s="2">
        <f>IF(AND(ISNUMBER(Q6),ISNUMBER(R6)),R6-Q6+1,"")</f>
        <v/>
      </c>
      <c r="U6" s="2">
        <f>IF(OR(Q6="",R6=""),"",IF(AND(YEAR(TODAY())&gt;=Q6,YEAR(TODAY())&lt;=R6),"Oui","Non"))</f>
        <v/>
      </c>
      <c r="V6" s="2">
        <f>IF(T6="","",IF(T6&gt;=10,"Grand garde",IF(T6&gt;=5,"Garde moyenne","Prêt à boire")))</f>
        <v/>
      </c>
      <c r="W6" s="2">
        <f>IF(ISNUMBER(J6),YEAR(TODAY())-J6,"")</f>
        <v/>
      </c>
      <c r="X6" s="2">
        <f>IF(U6="Oui",IF(AND(S6&lt;&gt;"",YEAR(S6)&lt;=YEAR(TODAY())),"Urgent","À boire"),IF(AND(Q6&lt;&gt;"",YEAR(TODAY())&lt;Q6),"À attendre",""))</f>
        <v/>
      </c>
      <c r="Y6" s="2">
        <f>IF(X6="Urgent","🔥",IF(X6="À boire","🍷",IF(X6="À attendre","⏳","")))</f>
        <v/>
      </c>
      <c r="Z6" s="2" t="inlineStr">
        <is>
          <t>Parfait dessert, foie gras</t>
        </is>
      </c>
      <c r="AA6" s="2" t="inlineStr">
        <is>
          <t>Fin de repas</t>
        </is>
      </c>
    </row>
    <row r="7">
      <c r="A7" s="2" t="inlineStr">
        <is>
          <t>B006</t>
        </is>
      </c>
      <c r="B7" s="2" t="inlineStr">
        <is>
          <t>Z2-C2-01</t>
        </is>
      </c>
      <c r="C7" s="2" t="inlineStr">
        <is>
          <t>Barolo DOCG</t>
        </is>
      </c>
      <c r="D7" s="2" t="inlineStr">
        <is>
          <t>Cascina delle Colline</t>
        </is>
      </c>
      <c r="E7" s="2" t="inlineStr">
        <is>
          <t>Riserva</t>
        </is>
      </c>
      <c r="F7" s="2" t="inlineStr">
        <is>
          <t>Rouge</t>
        </is>
      </c>
      <c r="G7" s="2" t="inlineStr">
        <is>
          <t>Tranquille</t>
        </is>
      </c>
      <c r="H7" s="2" t="inlineStr">
        <is>
          <t>Piémont</t>
        </is>
      </c>
      <c r="I7" s="2" t="inlineStr">
        <is>
          <t>Italie</t>
        </is>
      </c>
      <c r="J7" s="2" t="n">
        <v>2014</v>
      </c>
      <c r="K7" s="2" t="inlineStr">
        <is>
          <t>Nebbiolo</t>
        </is>
      </c>
      <c r="L7" s="2" t="inlineStr">
        <is>
          <t>75 cl</t>
        </is>
      </c>
      <c r="M7" s="2" t="n">
        <v>750</v>
      </c>
      <c r="N7" s="3" t="n">
        <v>45</v>
      </c>
      <c r="O7" s="2">
        <f>IFERROR(SUMIFS(Mouvements!$E:$E,Mouvements!$C:$C,$A7,Mouvements!$D:$D,"Entrée")-SUMIFS(Mouvements!$E:$E,Mouvements!$C:$C,$A7,Mouvements!$D:$D,"Sortie")-SUMIFS(Mouvements!$E:$E,Mouvements!$C:$C,$A7,Mouvements!$D:$D,"Perte"),0)</f>
        <v/>
      </c>
      <c r="P7" s="3">
        <f>O7*N7</f>
        <v/>
      </c>
      <c r="Q7" s="2" t="n">
        <v>2020</v>
      </c>
      <c r="R7" s="2" t="n">
        <v>2030</v>
      </c>
      <c r="S7" s="2">
        <f>IF(AND(ISNUMBER(Q7),ISNUMBER(R7)),DATE(R7+2,12,31),"")</f>
        <v/>
      </c>
      <c r="T7" s="2">
        <f>IF(AND(ISNUMBER(Q7),ISNUMBER(R7)),R7-Q7+1,"")</f>
        <v/>
      </c>
      <c r="U7" s="2">
        <f>IF(OR(Q7="",R7=""),"",IF(AND(YEAR(TODAY())&gt;=Q7,YEAR(TODAY())&lt;=R7),"Oui","Non"))</f>
        <v/>
      </c>
      <c r="V7" s="2">
        <f>IF(T7="","",IF(T7&gt;=10,"Grand garde",IF(T7&gt;=5,"Garde moyenne","Prêt à boire")))</f>
        <v/>
      </c>
      <c r="W7" s="2">
        <f>IF(ISNUMBER(J7),YEAR(TODAY())-J7,"")</f>
        <v/>
      </c>
      <c r="X7" s="2">
        <f>IF(U7="Oui",IF(AND(S7&lt;&gt;"",YEAR(S7)&lt;=YEAR(TODAY())),"Urgent","À boire"),IF(AND(Q7&lt;&gt;"",YEAR(TODAY())&lt;Q7),"À attendre",""))</f>
        <v/>
      </c>
      <c r="Y7" s="2">
        <f>IF(X7="Urgent","🔥",IF(X7="À boire","🍷",IF(X7="À attendre","⏳","")))</f>
        <v/>
      </c>
      <c r="Z7" s="2" t="inlineStr">
        <is>
          <t>Grand vin de garde, gibiers</t>
        </is>
      </c>
      <c r="AA7" s="2" t="inlineStr">
        <is>
          <t>Grand dîner</t>
        </is>
      </c>
    </row>
    <row r="8">
      <c r="A8" s="2" t="inlineStr">
        <is>
          <t>B007</t>
        </is>
      </c>
      <c r="B8" s="2" t="inlineStr">
        <is>
          <t>Z3-C1-01</t>
        </is>
      </c>
      <c r="C8" s="2" t="inlineStr">
        <is>
          <t>Chianti Classico</t>
        </is>
      </c>
      <c r="D8" s="2" t="inlineStr">
        <is>
          <t>Podere del Sole</t>
        </is>
      </c>
      <c r="E8" s="2" t="inlineStr">
        <is>
          <t>Classico</t>
        </is>
      </c>
      <c r="F8" s="2" t="inlineStr">
        <is>
          <t>Rouge</t>
        </is>
      </c>
      <c r="G8" s="2" t="inlineStr">
        <is>
          <t>Tranquille</t>
        </is>
      </c>
      <c r="H8" s="2" t="inlineStr">
        <is>
          <t>Toscane</t>
        </is>
      </c>
      <c r="I8" s="2" t="inlineStr">
        <is>
          <t>Italie</t>
        </is>
      </c>
      <c r="J8" s="2" t="n">
        <v>2020</v>
      </c>
      <c r="K8" s="2" t="inlineStr">
        <is>
          <t>Sangiovese</t>
        </is>
      </c>
      <c r="L8" s="2" t="inlineStr">
        <is>
          <t>75 cl</t>
        </is>
      </c>
      <c r="M8" s="2" t="n">
        <v>750</v>
      </c>
      <c r="N8" s="3" t="n">
        <v>16</v>
      </c>
      <c r="O8" s="2">
        <f>IFERROR(SUMIFS(Mouvements!$E:$E,Mouvements!$C:$C,$A8,Mouvements!$D:$D,"Entrée")-SUMIFS(Mouvements!$E:$E,Mouvements!$C:$C,$A8,Mouvements!$D:$D,"Sortie")-SUMIFS(Mouvements!$E:$E,Mouvements!$C:$C,$A8,Mouvements!$D:$D,"Perte"),0)</f>
        <v/>
      </c>
      <c r="P8" s="3">
        <f>O8*N8</f>
        <v/>
      </c>
      <c r="Q8" s="2" t="n">
        <v>2023</v>
      </c>
      <c r="R8" s="2" t="n">
        <v>2030</v>
      </c>
      <c r="S8" s="2">
        <f>IF(AND(ISNUMBER(Q8),ISNUMBER(R8)),DATE(R8+2,12,31),"")</f>
        <v/>
      </c>
      <c r="T8" s="2">
        <f>IF(AND(ISNUMBER(Q8),ISNUMBER(R8)),R8-Q8+1,"")</f>
        <v/>
      </c>
      <c r="U8" s="2">
        <f>IF(OR(Q8="",R8=""),"",IF(AND(YEAR(TODAY())&gt;=Q8,YEAR(TODAY())&lt;=R8),"Oui","Non"))</f>
        <v/>
      </c>
      <c r="V8" s="2">
        <f>IF(T8="","",IF(T8&gt;=10,"Grand garde",IF(T8&gt;=5,"Garde moyenne","Prêt à boire")))</f>
        <v/>
      </c>
      <c r="W8" s="2">
        <f>IF(ISNUMBER(J8),YEAR(TODAY())-J8,"")</f>
        <v/>
      </c>
      <c r="X8" s="2">
        <f>IF(U8="Oui",IF(AND(S8&lt;&gt;"",YEAR(S8)&lt;=YEAR(TODAY())),"Urgent","À boire"),IF(AND(Q8&lt;&gt;"",YEAR(TODAY())&lt;Q8),"À attendre",""))</f>
        <v/>
      </c>
      <c r="Y8" s="2">
        <f>IF(X8="Urgent","🔥",IF(X8="À boire","🍷",IF(X8="À attendre","⏳","")))</f>
        <v/>
      </c>
      <c r="Z8" s="2" t="inlineStr">
        <is>
          <t>Fruits rouges, cuisine italienne</t>
        </is>
      </c>
      <c r="AA8" s="2" t="inlineStr">
        <is>
          <t>Pâtes &amp; pizzas</t>
        </is>
      </c>
    </row>
    <row r="9">
      <c r="A9" s="2" t="inlineStr">
        <is>
          <t>B008</t>
        </is>
      </c>
      <c r="B9" s="2" t="inlineStr">
        <is>
          <t>Z3-C2-01</t>
        </is>
      </c>
      <c r="C9" s="2" t="inlineStr">
        <is>
          <t>Bourgogne Pinot Noir</t>
        </is>
      </c>
      <c r="D9" s="2" t="inlineStr">
        <is>
          <t>Domaine des Clos Sereins</t>
        </is>
      </c>
      <c r="E9" s="2" t="inlineStr">
        <is>
          <t>Cuvée Village</t>
        </is>
      </c>
      <c r="F9" s="2" t="inlineStr">
        <is>
          <t>Rouge</t>
        </is>
      </c>
      <c r="G9" s="2" t="inlineStr">
        <is>
          <t>Tranquille</t>
        </is>
      </c>
      <c r="H9" s="2" t="inlineStr">
        <is>
          <t>Bourgogne</t>
        </is>
      </c>
      <c r="I9" s="2" t="inlineStr">
        <is>
          <t>France</t>
        </is>
      </c>
      <c r="J9" s="2" t="n">
        <v>2022</v>
      </c>
      <c r="K9" s="2" t="inlineStr">
        <is>
          <t>Pinot Noir</t>
        </is>
      </c>
      <c r="L9" s="2" t="inlineStr">
        <is>
          <t>75 cl</t>
        </is>
      </c>
      <c r="M9" s="2" t="n">
        <v>750</v>
      </c>
      <c r="N9" s="3" t="n">
        <v>22</v>
      </c>
      <c r="O9" s="2">
        <f>IFERROR(SUMIFS(Mouvements!$E:$E,Mouvements!$C:$C,$A9,Mouvements!$D:$D,"Entrée")-SUMIFS(Mouvements!$E:$E,Mouvements!$C:$C,$A9,Mouvements!$D:$D,"Sortie")-SUMIFS(Mouvements!$E:$E,Mouvements!$C:$C,$A9,Mouvements!$D:$D,"Perte"),0)</f>
        <v/>
      </c>
      <c r="P9" s="3">
        <f>O9*N9</f>
        <v/>
      </c>
      <c r="Q9" s="2" t="n">
        <v>2025</v>
      </c>
      <c r="R9" s="2" t="n">
        <v>2032</v>
      </c>
      <c r="S9" s="2">
        <f>IF(AND(ISNUMBER(Q9),ISNUMBER(R9)),DATE(R9+2,12,31),"")</f>
        <v/>
      </c>
      <c r="T9" s="2">
        <f>IF(AND(ISNUMBER(Q9),ISNUMBER(R9)),R9-Q9+1,"")</f>
        <v/>
      </c>
      <c r="U9" s="2">
        <f>IF(OR(Q9="",R9=""),"",IF(AND(YEAR(TODAY())&gt;=Q9,YEAR(TODAY())&lt;=R9),"Oui","Non"))</f>
        <v/>
      </c>
      <c r="V9" s="2">
        <f>IF(T9="","",IF(T9&gt;=10,"Grand garde",IF(T9&gt;=5,"Garde moyenne","Prêt à boire")))</f>
        <v/>
      </c>
      <c r="W9" s="2">
        <f>IF(ISNUMBER(J9),YEAR(TODAY())-J9,"")</f>
        <v/>
      </c>
      <c r="X9" s="2">
        <f>IF(U9="Oui",IF(AND(S9&lt;&gt;"",YEAR(S9)&lt;=YEAR(TODAY())),"Urgent","À boire"),IF(AND(Q9&lt;&gt;"",YEAR(TODAY())&lt;Q9),"À attendre",""))</f>
        <v/>
      </c>
      <c r="Y9" s="2">
        <f>IF(X9="Urgent","🔥",IF(X9="À boire","🍷",IF(X9="À attendre","⏳","")))</f>
        <v/>
      </c>
      <c r="Z9" s="2" t="inlineStr">
        <is>
          <t>Finesse, idéal volailles</t>
        </is>
      </c>
      <c r="AA9" s="2" t="inlineStr">
        <is>
          <t>Volaille rôtie</t>
        </is>
      </c>
    </row>
    <row r="10">
      <c r="A10" s="2" t="inlineStr">
        <is>
          <t>B009</t>
        </is>
      </c>
      <c r="B10" s="2" t="inlineStr">
        <is>
          <t>Z4-C1-01</t>
        </is>
      </c>
      <c r="C10" s="2" t="inlineStr">
        <is>
          <t>Riesling</t>
        </is>
      </c>
      <c r="D10" s="2" t="inlineStr">
        <is>
          <t>Domaine des Roches Blanches</t>
        </is>
      </c>
      <c r="E10" s="2" t="inlineStr">
        <is>
          <t>Grand Cru</t>
        </is>
      </c>
      <c r="F10" s="2" t="inlineStr">
        <is>
          <t>Blanc</t>
        </is>
      </c>
      <c r="G10" s="2" t="inlineStr">
        <is>
          <t>Tranquille</t>
        </is>
      </c>
      <c r="H10" s="2" t="inlineStr">
        <is>
          <t>Alsace</t>
        </is>
      </c>
      <c r="I10" s="2" t="inlineStr">
        <is>
          <t>France</t>
        </is>
      </c>
      <c r="J10" s="2" t="n">
        <v>2020</v>
      </c>
      <c r="K10" s="2" t="inlineStr">
        <is>
          <t>Riesling</t>
        </is>
      </c>
      <c r="L10" s="2" t="inlineStr">
        <is>
          <t>75 cl</t>
        </is>
      </c>
      <c r="M10" s="2" t="n">
        <v>750</v>
      </c>
      <c r="N10" s="3" t="n">
        <v>24</v>
      </c>
      <c r="O10" s="2">
        <f>IFERROR(SUMIFS(Mouvements!$E:$E,Mouvements!$C:$C,$A10,Mouvements!$D:$D,"Entrée")-SUMIFS(Mouvements!$E:$E,Mouvements!$C:$C,$A10,Mouvements!$D:$D,"Sortie")-SUMIFS(Mouvements!$E:$E,Mouvements!$C:$C,$A10,Mouvements!$D:$D,"Perte"),0)</f>
        <v/>
      </c>
      <c r="P10" s="3">
        <f>O10*N10</f>
        <v/>
      </c>
      <c r="Q10" s="2" t="n">
        <v>2023</v>
      </c>
      <c r="R10" s="2" t="n">
        <v>2030</v>
      </c>
      <c r="S10" s="2">
        <f>IF(AND(ISNUMBER(Q10),ISNUMBER(R10)),DATE(R10+2,12,31),"")</f>
        <v/>
      </c>
      <c r="T10" s="2">
        <f>IF(AND(ISNUMBER(Q10),ISNUMBER(R10)),R10-Q10+1,"")</f>
        <v/>
      </c>
      <c r="U10" s="2">
        <f>IF(OR(Q10="",R10=""),"",IF(AND(YEAR(TODAY())&gt;=Q10,YEAR(TODAY())&lt;=R10),"Oui","Non"))</f>
        <v/>
      </c>
      <c r="V10" s="2">
        <f>IF(T10="","",IF(T10&gt;=10,"Grand garde",IF(T10&gt;=5,"Garde moyenne","Prêt à boire")))</f>
        <v/>
      </c>
      <c r="W10" s="2">
        <f>IF(ISNUMBER(J10),YEAR(TODAY())-J10,"")</f>
        <v/>
      </c>
      <c r="X10" s="2">
        <f>IF(U10="Oui",IF(AND(S10&lt;&gt;"",YEAR(S10)&lt;=YEAR(TODAY())),"Urgent","À boire"),IF(AND(Q10&lt;&gt;"",YEAR(TODAY())&lt;Q10),"À attendre",""))</f>
        <v/>
      </c>
      <c r="Y10" s="2">
        <f>IF(X10="Urgent","🔥",IF(X10="À boire","🍷",IF(X10="À attendre","⏳","")))</f>
        <v/>
      </c>
      <c r="Z10" s="2" t="inlineStr">
        <is>
          <t>Tendu, accord cuisine asiatique</t>
        </is>
      </c>
      <c r="AA10" s="2" t="inlineStr">
        <is>
          <t>Cuisine asiatique</t>
        </is>
      </c>
    </row>
    <row r="11">
      <c r="A11" s="2" t="inlineStr">
        <is>
          <t>B010</t>
        </is>
      </c>
      <c r="B11" s="2" t="inlineStr">
        <is>
          <t>Z4-C2-01</t>
        </is>
      </c>
      <c r="C11" s="2" t="inlineStr">
        <is>
          <t>Coteaux d’Aix-en-Provence</t>
        </is>
      </c>
      <c r="D11" s="2" t="inlineStr">
        <is>
          <t>Mas des Oliviers</t>
        </is>
      </c>
      <c r="E11" s="2" t="inlineStr">
        <is>
          <t>Rosé Signature</t>
        </is>
      </c>
      <c r="F11" s="2" t="inlineStr">
        <is>
          <t>Rosé</t>
        </is>
      </c>
      <c r="G11" s="2" t="inlineStr">
        <is>
          <t>Tranquille</t>
        </is>
      </c>
      <c r="H11" s="2" t="inlineStr">
        <is>
          <t>Provence</t>
        </is>
      </c>
      <c r="I11" s="2" t="inlineStr">
        <is>
          <t>France</t>
        </is>
      </c>
      <c r="J11" s="2" t="n">
        <v>2023</v>
      </c>
      <c r="K11" s="2" t="inlineStr">
        <is>
          <t>Grenache, Cinsault</t>
        </is>
      </c>
      <c r="L11" s="2" t="inlineStr">
        <is>
          <t>75 cl</t>
        </is>
      </c>
      <c r="M11" s="2" t="n">
        <v>750</v>
      </c>
      <c r="N11" s="3" t="n">
        <v>9.5</v>
      </c>
      <c r="O11" s="2">
        <f>IFERROR(SUMIFS(Mouvements!$E:$E,Mouvements!$C:$C,$A11,Mouvements!$D:$D,"Entrée")-SUMIFS(Mouvements!$E:$E,Mouvements!$C:$C,$A11,Mouvements!$D:$D,"Sortie")-SUMIFS(Mouvements!$E:$E,Mouvements!$C:$C,$A11,Mouvements!$D:$D,"Perte"),0)</f>
        <v/>
      </c>
      <c r="P11" s="3">
        <f>O11*N11</f>
        <v/>
      </c>
      <c r="Q11" s="2" t="n">
        <v>2024</v>
      </c>
      <c r="R11" s="2" t="n">
        <v>2027</v>
      </c>
      <c r="S11" s="2">
        <f>IF(AND(ISNUMBER(Q11),ISNUMBER(R11)),DATE(R11+2,12,31),"")</f>
        <v/>
      </c>
      <c r="T11" s="2">
        <f>IF(AND(ISNUMBER(Q11),ISNUMBER(R11)),R11-Q11+1,"")</f>
        <v/>
      </c>
      <c r="U11" s="2">
        <f>IF(OR(Q11="",R11=""),"",IF(AND(YEAR(TODAY())&gt;=Q11,YEAR(TODAY())&lt;=R11),"Oui","Non"))</f>
        <v/>
      </c>
      <c r="V11" s="2">
        <f>IF(T11="","",IF(T11&gt;=10,"Grand garde",IF(T11&gt;=5,"Garde moyenne","Prêt à boire")))</f>
        <v/>
      </c>
      <c r="W11" s="2">
        <f>IF(ISNUMBER(J11),YEAR(TODAY())-J11,"")</f>
        <v/>
      </c>
      <c r="X11" s="2">
        <f>IF(U11="Oui",IF(AND(S11&lt;&gt;"",YEAR(S11)&lt;=YEAR(TODAY())),"Urgent","À boire"),IF(AND(Q11&lt;&gt;"",YEAR(TODAY())&lt;Q11),"À attendre",""))</f>
        <v/>
      </c>
      <c r="Y11" s="2">
        <f>IF(X11="Urgent","🔥",IF(X11="À boire","🍷",IF(X11="À attendre","⏳","")))</f>
        <v/>
      </c>
      <c r="Z11" s="2" t="inlineStr">
        <is>
          <t>Rosé de terrasse, apéritif</t>
        </is>
      </c>
      <c r="AA11" s="2" t="inlineStr">
        <is>
          <t>Apéritif d’été</t>
        </is>
      </c>
    </row>
  </sheetData>
  <autoFilter ref="A1:AA11"/>
  <conditionalFormatting sqref="O2:O500">
    <cfRule type="cellIs" priority="1" operator="equal" dxfId="0">
      <formula>0</formula>
    </cfRule>
    <cfRule type="cellIs" priority="2" operator="between" dxfId="1">
      <formula>1</formula>
      <formula>3</formula>
    </cfRule>
    <cfRule type="cellIs" priority="3" operator="greaterThan" dxfId="2">
      <formula>3</formula>
    </cfRule>
  </conditionalFormatting>
  <conditionalFormatting sqref="U2:U500">
    <cfRule type="expression" priority="4" dxfId="2">
      <formula>$U2="Oui"</formula>
    </cfRule>
    <cfRule type="expression" priority="5" dxfId="3">
      <formula>$U2="Non"</formula>
    </cfRule>
  </conditionalFormatting>
  <conditionalFormatting sqref="X2:X500">
    <cfRule type="expression" priority="6" dxfId="4">
      <formula>$X2="Urgent"</formula>
    </cfRule>
    <cfRule type="expression" priority="7" dxfId="2">
      <formula>$X2="À boire"</formula>
    </cfRule>
    <cfRule type="expression" priority="8" dxfId="5">
      <formula>$X2="À attendre"</formula>
    </cfRule>
  </conditionalFormatting>
  <dataValidations count="5">
    <dataValidation sqref="F2:F500" showErrorMessage="1" showInputMessage="1" allowBlank="1" type="list">
      <formula1>=Listes!$A$2:$A$6</formula1>
    </dataValidation>
    <dataValidation sqref="G2:G500" showErrorMessage="1" showInputMessage="1" allowBlank="1" type="list">
      <formula1>=Listes!$B$2:$B$4</formula1>
    </dataValidation>
    <dataValidation sqref="H2:H500" showErrorMessage="1" showInputMessage="1" allowBlank="1" type="list">
      <formula1>=Listes!$C$2:$C$11</formula1>
    </dataValidation>
    <dataValidation sqref="I2:I500" showErrorMessage="1" showInputMessage="1" allowBlank="1" type="list">
      <formula1>=Listes!$D$2:$D$5</formula1>
    </dataValidation>
    <dataValidation sqref="AA2:AA500" showErrorMessage="1" showInputMessage="1" allowBlank="1" type="list">
      <formula1>=Listes!$F$2:$F$6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</cols>
  <sheetData>
    <row r="1">
      <c r="A1" s="1" t="inlineStr">
        <is>
          <t>ID_Mouvement</t>
        </is>
      </c>
      <c r="B1" s="1" t="inlineStr">
        <is>
          <t>Date</t>
        </is>
      </c>
      <c r="C1" s="1" t="inlineStr">
        <is>
          <t>ID_Bouteille</t>
        </is>
      </c>
      <c r="D1" s="1" t="inlineStr">
        <is>
          <t>Type_Mouvement</t>
        </is>
      </c>
      <c r="E1" s="1" t="inlineStr">
        <is>
          <t>Quantité</t>
        </is>
      </c>
      <c r="F1" s="1" t="inlineStr">
        <is>
          <t>Prix_Unitaire</t>
        </is>
      </c>
      <c r="G1" s="1" t="inlineStr">
        <is>
          <t>Valeur_Mouvement</t>
        </is>
      </c>
      <c r="H1" s="1" t="inlineStr">
        <is>
          <t>Occasion</t>
        </is>
      </c>
      <c r="I1" s="1" t="inlineStr">
        <is>
          <t>Commentaire</t>
        </is>
      </c>
    </row>
    <row r="2">
      <c r="A2" s="2" t="inlineStr">
        <is>
          <t>M001</t>
        </is>
      </c>
      <c r="B2" s="2" t="inlineStr">
        <is>
          <t>2025-01-10</t>
        </is>
      </c>
      <c r="C2" s="2" t="inlineStr">
        <is>
          <t>B001</t>
        </is>
      </c>
      <c r="D2" s="2" t="inlineStr">
        <is>
          <t>Entrée</t>
        </is>
      </c>
      <c r="E2" s="2" t="n">
        <v>12</v>
      </c>
      <c r="F2" s="3" t="n">
        <v>12.5</v>
      </c>
      <c r="G2" s="3">
        <f>E2*F2</f>
        <v/>
      </c>
      <c r="H2" s="2" t="inlineStr">
        <is>
          <t>Achat caviste</t>
        </is>
      </c>
      <c r="I2" s="2" t="inlineStr">
        <is>
          <t>Facture #2025-001</t>
        </is>
      </c>
    </row>
    <row r="3">
      <c r="A3" s="2" t="inlineStr">
        <is>
          <t>M002</t>
        </is>
      </c>
      <c r="B3" s="2" t="inlineStr">
        <is>
          <t>2025-02-05</t>
        </is>
      </c>
      <c r="C3" s="2" t="inlineStr">
        <is>
          <t>B001</t>
        </is>
      </c>
      <c r="D3" s="2" t="inlineStr">
        <is>
          <t>Sortie</t>
        </is>
      </c>
      <c r="E3" s="2" t="n">
        <v>2</v>
      </c>
      <c r="F3" s="3" t="n">
        <v>0</v>
      </c>
      <c r="G3" s="3">
        <f>E3*F3</f>
        <v/>
      </c>
      <c r="H3" s="2" t="inlineStr">
        <is>
          <t>Dîner famille</t>
        </is>
      </c>
      <c r="I3" s="2" t="inlineStr">
        <is>
          <t>Ouverte pour repas du dimanche</t>
        </is>
      </c>
    </row>
    <row r="4">
      <c r="A4" s="2" t="inlineStr">
        <is>
          <t>M003</t>
        </is>
      </c>
      <c r="B4" s="2" t="inlineStr">
        <is>
          <t>2025-02-12</t>
        </is>
      </c>
      <c r="C4" s="2" t="inlineStr">
        <is>
          <t>B002</t>
        </is>
      </c>
      <c r="D4" s="2" t="inlineStr">
        <is>
          <t>Entrée</t>
        </is>
      </c>
      <c r="E4" s="2" t="n">
        <v>6</v>
      </c>
      <c r="F4" s="3" t="n">
        <v>19.9</v>
      </c>
      <c r="G4" s="3">
        <f>E4*F4</f>
        <v/>
      </c>
      <c r="H4" s="2" t="inlineStr">
        <is>
          <t>Commande en ligne</t>
        </is>
      </c>
      <c r="I4" s="2" t="inlineStr">
        <is>
          <t>Livraison directe domaine</t>
        </is>
      </c>
    </row>
    <row r="5">
      <c r="A5" s="2" t="inlineStr">
        <is>
          <t>M004</t>
        </is>
      </c>
      <c r="B5" s="2" t="inlineStr">
        <is>
          <t>2025-03-10</t>
        </is>
      </c>
      <c r="C5" s="2" t="inlineStr">
        <is>
          <t>B002</t>
        </is>
      </c>
      <c r="D5" s="2" t="inlineStr">
        <is>
          <t>Sortie</t>
        </is>
      </c>
      <c r="E5" s="2" t="n">
        <v>1</v>
      </c>
      <c r="F5" s="3" t="n">
        <v>0</v>
      </c>
      <c r="G5" s="3">
        <f>E5*F5</f>
        <v/>
      </c>
      <c r="H5" s="2" t="inlineStr">
        <is>
          <t>Déjeuner fruits de mer</t>
        </is>
      </c>
      <c r="I5" s="2" t="inlineStr">
        <is>
          <t>Restaurant maison</t>
        </is>
      </c>
    </row>
    <row r="6">
      <c r="A6" s="2" t="inlineStr">
        <is>
          <t>M005</t>
        </is>
      </c>
      <c r="B6" s="2" t="inlineStr">
        <is>
          <t>2025-03-20</t>
        </is>
      </c>
      <c r="C6" s="2" t="inlineStr">
        <is>
          <t>B003</t>
        </is>
      </c>
      <c r="D6" s="2" t="inlineStr">
        <is>
          <t>Entrée</t>
        </is>
      </c>
      <c r="E6" s="2" t="n">
        <v>4</v>
      </c>
      <c r="F6" s="3" t="n">
        <v>35</v>
      </c>
      <c r="G6" s="3">
        <f>E6*F6</f>
        <v/>
      </c>
      <c r="H6" s="2" t="inlineStr">
        <is>
          <t>Cadeau entreprise</t>
        </is>
      </c>
      <c r="I6" s="2" t="inlineStr">
        <is>
          <t>Offert par fournisseur</t>
        </is>
      </c>
    </row>
    <row r="7">
      <c r="A7" s="2" t="inlineStr">
        <is>
          <t>M006</t>
        </is>
      </c>
      <c r="B7" s="2" t="inlineStr">
        <is>
          <t>2025-04-15</t>
        </is>
      </c>
      <c r="C7" s="2" t="inlineStr">
        <is>
          <t>B003</t>
        </is>
      </c>
      <c r="D7" s="2" t="inlineStr">
        <is>
          <t>Sortie</t>
        </is>
      </c>
      <c r="E7" s="2" t="n">
        <v>1</v>
      </c>
      <c r="F7" s="3" t="n">
        <v>0</v>
      </c>
      <c r="G7" s="3">
        <f>E7*F7</f>
        <v/>
      </c>
      <c r="H7" s="2" t="inlineStr">
        <is>
          <t>Anniversaire</t>
        </is>
      </c>
      <c r="I7" s="2" t="inlineStr">
        <is>
          <t>Ouverte pour anniversaire</t>
        </is>
      </c>
    </row>
    <row r="8">
      <c r="A8" s="2" t="inlineStr">
        <is>
          <t>M007</t>
        </is>
      </c>
      <c r="B8" s="2" t="inlineStr">
        <is>
          <t>2025-04-25</t>
        </is>
      </c>
      <c r="C8" s="2" t="inlineStr">
        <is>
          <t>B004</t>
        </is>
      </c>
      <c r="D8" s="2" t="inlineStr">
        <is>
          <t>Entrée</t>
        </is>
      </c>
      <c r="E8" s="2" t="n">
        <v>12</v>
      </c>
      <c r="F8" s="3" t="n">
        <v>14.5</v>
      </c>
      <c r="G8" s="3">
        <f>E8*F8</f>
        <v/>
      </c>
      <c r="H8" s="2" t="inlineStr">
        <is>
          <t>Achat promotion</t>
        </is>
      </c>
      <c r="I8" s="2" t="inlineStr">
        <is>
          <t>Réduction 20%</t>
        </is>
      </c>
    </row>
    <row r="9">
      <c r="A9" s="2" t="inlineStr">
        <is>
          <t>M008</t>
        </is>
      </c>
      <c r="B9" s="2" t="inlineStr">
        <is>
          <t>2025-05-05</t>
        </is>
      </c>
      <c r="C9" s="2" t="inlineStr">
        <is>
          <t>B005</t>
        </is>
      </c>
      <c r="D9" s="2" t="inlineStr">
        <is>
          <t>Entrée</t>
        </is>
      </c>
      <c r="E9" s="2" t="n">
        <v>6</v>
      </c>
      <c r="F9" s="3" t="n">
        <v>28</v>
      </c>
      <c r="G9" s="3">
        <f>E9*F9</f>
        <v/>
      </c>
      <c r="H9" s="2" t="inlineStr">
        <is>
          <t>Achat primeur</t>
        </is>
      </c>
      <c r="I9" s="2" t="inlineStr">
        <is>
          <t>Stock dessert</t>
        </is>
      </c>
    </row>
    <row r="10">
      <c r="A10" s="2" t="inlineStr">
        <is>
          <t>M009</t>
        </is>
      </c>
      <c r="B10" s="2" t="inlineStr">
        <is>
          <t>2025-05-18</t>
        </is>
      </c>
      <c r="C10" s="2" t="inlineStr">
        <is>
          <t>B006</t>
        </is>
      </c>
      <c r="D10" s="2" t="inlineStr">
        <is>
          <t>Entrée</t>
        </is>
      </c>
      <c r="E10" s="2" t="n">
        <v>3</v>
      </c>
      <c r="F10" s="3" t="n">
        <v>45</v>
      </c>
      <c r="G10" s="3">
        <f>E10*F10</f>
        <v/>
      </c>
      <c r="H10" s="2" t="inlineStr">
        <is>
          <t>Sélection cave</t>
        </is>
      </c>
      <c r="I10" s="2" t="inlineStr">
        <is>
          <t>Grands vins</t>
        </is>
      </c>
    </row>
    <row r="11">
      <c r="A11" s="2" t="inlineStr">
        <is>
          <t>M010</t>
        </is>
      </c>
      <c r="B11" s="2" t="inlineStr">
        <is>
          <t>2025-06-01</t>
        </is>
      </c>
      <c r="C11" s="2" t="inlineStr">
        <is>
          <t>B007</t>
        </is>
      </c>
      <c r="D11" s="2" t="inlineStr">
        <is>
          <t>Entrée</t>
        </is>
      </c>
      <c r="E11" s="2" t="n">
        <v>6</v>
      </c>
      <c r="F11" s="3" t="n">
        <v>16</v>
      </c>
      <c r="G11" s="3">
        <f>E11*F11</f>
        <v/>
      </c>
      <c r="H11" s="2" t="inlineStr">
        <is>
          <t>Achat week-end</t>
        </is>
      </c>
      <c r="I11" s="2" t="inlineStr">
        <is>
          <t>Cuisine italienne</t>
        </is>
      </c>
    </row>
    <row r="12">
      <c r="A12" s="2" t="inlineStr">
        <is>
          <t>M011</t>
        </is>
      </c>
      <c r="B12" s="2" t="inlineStr">
        <is>
          <t>2025-06-10</t>
        </is>
      </c>
      <c r="C12" s="2" t="inlineStr">
        <is>
          <t>B008</t>
        </is>
      </c>
      <c r="D12" s="2" t="inlineStr">
        <is>
          <t>Entrée</t>
        </is>
      </c>
      <c r="E12" s="2" t="n">
        <v>9</v>
      </c>
      <c r="F12" s="3" t="n">
        <v>22</v>
      </c>
      <c r="G12" s="3">
        <f>E12*F12</f>
        <v/>
      </c>
      <c r="H12" s="2" t="inlineStr">
        <is>
          <t>Caisse domaine</t>
        </is>
      </c>
      <c r="I12" s="2" t="inlineStr">
        <is>
          <t>Livraison annuelle</t>
        </is>
      </c>
    </row>
    <row r="13">
      <c r="A13" s="2" t="inlineStr">
        <is>
          <t>M012</t>
        </is>
      </c>
      <c r="B13" s="2" t="inlineStr">
        <is>
          <t>2025-06-20</t>
        </is>
      </c>
      <c r="C13" s="2" t="inlineStr">
        <is>
          <t>B009</t>
        </is>
      </c>
      <c r="D13" s="2" t="inlineStr">
        <is>
          <t>Entrée</t>
        </is>
      </c>
      <c r="E13" s="2" t="n">
        <v>5</v>
      </c>
      <c r="F13" s="3" t="n">
        <v>24</v>
      </c>
      <c r="G13" s="3">
        <f>E13*F13</f>
        <v/>
      </c>
      <c r="H13" s="2" t="inlineStr">
        <is>
          <t>Achat caviste</t>
        </is>
      </c>
      <c r="I13" s="2" t="inlineStr">
        <is>
          <t>Accords cuisine épicée</t>
        </is>
      </c>
    </row>
    <row r="14">
      <c r="A14" s="2" t="inlineStr">
        <is>
          <t>M013</t>
        </is>
      </c>
      <c r="B14" s="2" t="inlineStr">
        <is>
          <t>2025-07-01</t>
        </is>
      </c>
      <c r="C14" s="2" t="inlineStr">
        <is>
          <t>B010</t>
        </is>
      </c>
      <c r="D14" s="2" t="inlineStr">
        <is>
          <t>Entrée</t>
        </is>
      </c>
      <c r="E14" s="2" t="n">
        <v>12</v>
      </c>
      <c r="F14" s="3" t="n">
        <v>9.5</v>
      </c>
      <c r="G14" s="3">
        <f>E14*F14</f>
        <v/>
      </c>
      <c r="H14" s="2" t="inlineStr">
        <is>
          <t>Achat été</t>
        </is>
      </c>
      <c r="I14" s="2" t="inlineStr">
        <is>
          <t>Rosé terrasse</t>
        </is>
      </c>
    </row>
    <row r="15">
      <c r="A15" s="2" t="inlineStr">
        <is>
          <t>M014</t>
        </is>
      </c>
      <c r="B15" s="2" t="inlineStr">
        <is>
          <t>2025-08-01</t>
        </is>
      </c>
      <c r="C15" s="2" t="inlineStr">
        <is>
          <t>B004</t>
        </is>
      </c>
      <c r="D15" s="2" t="inlineStr">
        <is>
          <t>Sortie</t>
        </is>
      </c>
      <c r="E15" s="2" t="n">
        <v>2</v>
      </c>
      <c r="F15" s="3" t="n">
        <v>0</v>
      </c>
      <c r="G15" s="3">
        <f>E15*F15</f>
        <v/>
      </c>
      <c r="H15" s="2" t="inlineStr">
        <is>
          <t>Barbecue</t>
        </is>
      </c>
      <c r="I15" s="2" t="inlineStr">
        <is>
          <t>Viandes grillées</t>
        </is>
      </c>
    </row>
    <row r="16">
      <c r="A16" s="2" t="inlineStr">
        <is>
          <t>M015</t>
        </is>
      </c>
      <c r="B16" s="2" t="inlineStr">
        <is>
          <t>2025-08-15</t>
        </is>
      </c>
      <c r="C16" s="2" t="inlineStr">
        <is>
          <t>B010</t>
        </is>
      </c>
      <c r="D16" s="2" t="inlineStr">
        <is>
          <t>Perte</t>
        </is>
      </c>
      <c r="E16" s="2" t="n">
        <v>1</v>
      </c>
      <c r="F16" s="3" t="n">
        <v>0</v>
      </c>
      <c r="G16" s="3">
        <f>E16*F16</f>
        <v/>
      </c>
      <c r="H16" s="2" t="inlineStr">
        <is>
          <t>Bouteille cassée</t>
        </is>
      </c>
      <c r="I16" s="2" t="inlineStr">
        <is>
          <t>Accident stockage</t>
        </is>
      </c>
    </row>
  </sheetData>
  <autoFilter ref="A1:I16"/>
  <dataValidations count="1">
    <dataValidation sqref="D2:D500" showErrorMessage="1" showInputMessage="1" allowBlank="1" type="list">
      <formula1>=Listes!$E$2:$E$5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Couleurs</t>
        </is>
      </c>
      <c r="B1" s="1" t="inlineStr">
        <is>
          <t>Types</t>
        </is>
      </c>
      <c r="C1" s="1" t="inlineStr">
        <is>
          <t>Régions</t>
        </is>
      </c>
      <c r="D1" s="1" t="inlineStr">
        <is>
          <t>Pays</t>
        </is>
      </c>
      <c r="E1" s="1" t="inlineStr">
        <is>
          <t>Types_Mouvement</t>
        </is>
      </c>
      <c r="F1" s="1" t="inlineStr">
        <is>
          <t>Tags_Occasion</t>
        </is>
      </c>
    </row>
    <row r="2">
      <c r="A2" t="inlineStr">
        <is>
          <t>Rouge</t>
        </is>
      </c>
      <c r="B2" t="inlineStr">
        <is>
          <t>Tranquille</t>
        </is>
      </c>
      <c r="C2" t="inlineStr">
        <is>
          <t>Bordeaux</t>
        </is>
      </c>
      <c r="D2" t="inlineStr">
        <is>
          <t>France</t>
        </is>
      </c>
      <c r="E2" t="inlineStr">
        <is>
          <t>Entrée</t>
        </is>
      </c>
      <c r="F2" t="inlineStr">
        <is>
          <t>Dîner entre amis</t>
        </is>
      </c>
    </row>
    <row r="3">
      <c r="A3" t="inlineStr">
        <is>
          <t>Blanc</t>
        </is>
      </c>
      <c r="B3" t="inlineStr">
        <is>
          <t>Pétillant</t>
        </is>
      </c>
      <c r="C3" t="inlineStr">
        <is>
          <t>Bourgogne</t>
        </is>
      </c>
      <c r="D3" t="inlineStr">
        <is>
          <t>Italie</t>
        </is>
      </c>
      <c r="E3" t="inlineStr">
        <is>
          <t>Sortie</t>
        </is>
      </c>
      <c r="F3" t="inlineStr">
        <is>
          <t>Grande occasion</t>
        </is>
      </c>
    </row>
    <row r="4">
      <c r="A4" t="inlineStr">
        <is>
          <t>Rosé</t>
        </is>
      </c>
      <c r="B4" t="inlineStr">
        <is>
          <t>Liqueur</t>
        </is>
      </c>
      <c r="C4" t="inlineStr">
        <is>
          <t>Vallée du Rhône</t>
        </is>
      </c>
      <c r="D4" t="inlineStr">
        <is>
          <t>Espagne</t>
        </is>
      </c>
      <c r="E4" t="inlineStr">
        <is>
          <t>Perte</t>
        </is>
      </c>
      <c r="F4" t="inlineStr">
        <is>
          <t>Cadeau</t>
        </is>
      </c>
    </row>
    <row r="5">
      <c r="A5" t="inlineStr">
        <is>
          <t>Effervescent</t>
        </is>
      </c>
      <c r="C5" t="inlineStr">
        <is>
          <t>Loire</t>
        </is>
      </c>
      <c r="D5" t="inlineStr">
        <is>
          <t>Portugal</t>
        </is>
      </c>
      <c r="E5" t="inlineStr">
        <is>
          <t>Ajustement</t>
        </is>
      </c>
      <c r="F5" t="inlineStr">
        <is>
          <t>Garde longue</t>
        </is>
      </c>
    </row>
    <row r="6">
      <c r="A6" t="inlineStr">
        <is>
          <t>Doux</t>
        </is>
      </c>
      <c r="C6" t="inlineStr">
        <is>
          <t>Champagne</t>
        </is>
      </c>
      <c r="F6" t="inlineStr">
        <is>
          <t>Découverte</t>
        </is>
      </c>
    </row>
    <row r="7">
      <c r="C7" t="inlineStr">
        <is>
          <t>Alsace</t>
        </is>
      </c>
    </row>
    <row r="8">
      <c r="C8" t="inlineStr">
        <is>
          <t>Provence</t>
        </is>
      </c>
    </row>
    <row r="9">
      <c r="C9" t="inlineStr">
        <is>
          <t>Piémont</t>
        </is>
      </c>
    </row>
    <row r="10">
      <c r="C10" t="inlineStr">
        <is>
          <t>Toscane</t>
        </is>
      </c>
    </row>
    <row r="11">
      <c r="C11" t="inlineStr">
        <is>
          <t>Rioja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30" customWidth="1" min="1" max="1"/>
    <col width="22" customWidth="1" min="2" max="2"/>
    <col width="22" customWidth="1" min="3" max="3"/>
  </cols>
  <sheetData>
    <row r="1">
      <c r="A1" s="4" t="inlineStr">
        <is>
          <t>Tableau de bord - Cave à vin</t>
        </is>
      </c>
    </row>
    <row r="3">
      <c r="A3" s="5" t="inlineStr">
        <is>
          <t>Nombre total de bouteilles</t>
        </is>
      </c>
      <c r="B3" s="6">
        <f>SUM(Catalogue_Vins!$O:$O)</f>
        <v/>
      </c>
    </row>
    <row r="4">
      <c r="A4" s="5" t="inlineStr">
        <is>
          <t>Valeur totale du stock</t>
        </is>
      </c>
      <c r="B4" s="7">
        <f>SUM(Catalogue_Vins!$P:$P)</f>
        <v/>
      </c>
    </row>
    <row r="5">
      <c r="A5" s="5" t="inlineStr">
        <is>
          <t>Nombre de références</t>
        </is>
      </c>
      <c r="B5" s="6">
        <f>COUNTA(Catalogue_Vins!$A$2:$A$500)</f>
        <v/>
      </c>
    </row>
    <row r="6">
      <c r="A6" s="5" t="n"/>
      <c r="B6" s="6" t="n"/>
    </row>
    <row r="7">
      <c r="A7" s="5" t="inlineStr">
        <is>
          <t>Bouteilles prêtes à boire</t>
        </is>
      </c>
      <c r="B7" s="6">
        <f>COUNTIF(Catalogue_Vins!$U:$U,"Oui")</f>
        <v/>
      </c>
    </row>
    <row r="8">
      <c r="A8" s="5" t="inlineStr">
        <is>
          <t>Bouteilles à boire d'urgence</t>
        </is>
      </c>
      <c r="B8" s="6">
        <f>COUNTIF(Catalogue_Vins!$X:$X,"Urgent")</f>
        <v/>
      </c>
    </row>
    <row r="9">
      <c r="A9" s="5" t="inlineStr">
        <is>
          <t>Valeur des bouteilles prêtes à boire</t>
        </is>
      </c>
      <c r="B9" s="7">
        <f>SUMIF(Catalogue_Vins!$U:$U,"Oui",Catalogue_Vins!$P:$P)</f>
        <v/>
      </c>
    </row>
    <row r="10">
      <c r="A10" s="5" t="inlineStr">
        <is>
          <t>Âge moyen des vins (ans)</t>
        </is>
      </c>
      <c r="B10" s="6">
        <f>IFERROR(AVERAGEIF(Catalogue_Vins!$W$2:$W$500,"&gt;0",Catalogue_Vins!$W$2:$W$500),"")</f>
        <v/>
      </c>
    </row>
    <row r="13">
      <c r="A13" s="8" t="inlineStr">
        <is>
          <t>Répartition par couleur</t>
        </is>
      </c>
    </row>
    <row r="14">
      <c r="A14" s="1" t="inlineStr">
        <is>
          <t>Couleur</t>
        </is>
      </c>
      <c r="B14" s="1" t="inlineStr">
        <is>
          <t>Nombre de bouteilles</t>
        </is>
      </c>
      <c r="C14" s="1" t="inlineStr">
        <is>
          <t>Valeur du stock</t>
        </is>
      </c>
      <c r="E14" s="8" t="inlineStr">
        <is>
          <t>Répartition par niveau de garde</t>
        </is>
      </c>
    </row>
    <row r="15">
      <c r="A15" s="2">
        <f>Listes!A2</f>
        <v/>
      </c>
      <c r="B15" s="2">
        <f>IF($A15="","",SUMIF(Catalogue_Vins!$F:$F,$A15,Catalogue_Vins!$O:$O))</f>
        <v/>
      </c>
      <c r="C15" s="3">
        <f>IF($A15="","",SUMIF(Catalogue_Vins!$F:$F,$A15,Catalogue_Vins!$P:$P))</f>
        <v/>
      </c>
      <c r="E15" s="1" t="inlineStr">
        <is>
          <t>Niveau de garde</t>
        </is>
      </c>
      <c r="F15" s="1" t="inlineStr">
        <is>
          <t>Nombre de bouteilles</t>
        </is>
      </c>
    </row>
    <row r="16">
      <c r="A16" s="2">
        <f>Listes!A3</f>
        <v/>
      </c>
      <c r="B16" s="2">
        <f>IF($A16="","",SUMIF(Catalogue_Vins!$F:$F,$A16,Catalogue_Vins!$O:$O))</f>
        <v/>
      </c>
      <c r="C16" s="3">
        <f>IF($A16="","",SUMIF(Catalogue_Vins!$F:$F,$A16,Catalogue_Vins!$P:$P))</f>
        <v/>
      </c>
      <c r="E16" s="2" t="inlineStr">
        <is>
          <t>Grand garde</t>
        </is>
      </c>
      <c r="F16" s="2">
        <f>COUNTIF(Catalogue_Vins!$V:$V,E16)</f>
        <v/>
      </c>
    </row>
    <row r="17">
      <c r="A17" s="2">
        <f>Listes!A4</f>
        <v/>
      </c>
      <c r="B17" s="2">
        <f>IF($A17="","",SUMIF(Catalogue_Vins!$F:$F,$A17,Catalogue_Vins!$O:$O))</f>
        <v/>
      </c>
      <c r="C17" s="3">
        <f>IF($A17="","",SUMIF(Catalogue_Vins!$F:$F,$A17,Catalogue_Vins!$P:$P))</f>
        <v/>
      </c>
      <c r="E17" s="2" t="inlineStr">
        <is>
          <t>Garde moyenne</t>
        </is>
      </c>
      <c r="F17" s="2">
        <f>COUNTIF(Catalogue_Vins!$V:$V,E17)</f>
        <v/>
      </c>
    </row>
    <row r="18">
      <c r="A18" s="2">
        <f>Listes!A5</f>
        <v/>
      </c>
      <c r="B18" s="2">
        <f>IF($A18="","",SUMIF(Catalogue_Vins!$F:$F,$A18,Catalogue_Vins!$O:$O))</f>
        <v/>
      </c>
      <c r="C18" s="3">
        <f>IF($A18="","",SUMIF(Catalogue_Vins!$F:$F,$A18,Catalogue_Vins!$P:$P))</f>
        <v/>
      </c>
      <c r="E18" s="2" t="inlineStr">
        <is>
          <t>Prêt à boire</t>
        </is>
      </c>
      <c r="F18" s="2">
        <f>COUNTIF(Catalogue_Vins!$V:$V,E18)</f>
        <v/>
      </c>
    </row>
    <row r="19">
      <c r="A19" s="2">
        <f>Listes!A6</f>
        <v/>
      </c>
      <c r="B19" s="2">
        <f>IF($A19="","",SUMIF(Catalogue_Vins!$F:$F,$A19,Catalogue_Vins!$O:$O))</f>
        <v/>
      </c>
      <c r="C19" s="3">
        <f>IF($A19="","",SUMIF(Catalogue_Vins!$F:$F,$A19,Catalogue_Vins!$P:$P))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2025-11-26T18:18:34Z</dcterms:created>
  <dcterms:modified xmlns:dcterms="http://purl.org/dc/terms/" xmlns:xsi="http://www.w3.org/2001/XMLSchema-instance" xsi:type="dcterms:W3CDTF">2025-11-26T18:18:34Z</dcterms:modified>
</cp:coreProperties>
</file>