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RISQUES" sheetId="1" state="visible" r:id="rId1"/>
    <sheet xmlns:r="http://schemas.openxmlformats.org/officeDocument/2006/relationships" name="VUE_CONDENSE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</font>
    <font>
      <b val="1"/>
      <sz val="18"/>
    </font>
  </fonts>
  <fills count="3">
    <fill>
      <patternFill/>
    </fill>
    <fill>
      <patternFill patternType="gray125"/>
    </fill>
    <fill>
      <patternFill patternType="solid">
        <fgColor rgb="00404040"/>
        <bgColor rgb="00404040"/>
      </patternFill>
    </fill>
  </fills>
  <borders count="2">
    <border>
      <left/>
      <right/>
      <top/>
      <bottom/>
      <diagonal/>
    </border>
    <border>
      <left style="thin">
        <color rgb="00CCCCCC"/>
      </left>
      <right style="thin">
        <color rgb="00CCCCCC"/>
      </right>
      <top style="thin">
        <color rgb="00CCCCCC"/>
      </top>
      <bottom style="thin">
        <color rgb="00CCCCCC"/>
      </bottom>
    </border>
  </borders>
  <cellStyleXfs count="1">
    <xf numFmtId="0" fontId="0" fillId="0" borderId="0"/>
  </cellStyleXfs>
  <cellXfs count="12">
    <xf numFmtId="0" fontId="0" fillId="0" borderId="0" pivotButton="0" quotePrefix="0" xfId="0"/>
    <xf numFmtId="0" fontId="1" fillId="2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vertical="center"/>
    </xf>
    <xf numFmtId="0" fontId="2" fillId="0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/>
    </xf>
    <xf numFmtId="0" fontId="1" fillId="2" borderId="0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/>
    </xf>
    <xf numFmtId="0" fontId="0" fillId="0" borderId="1" applyAlignment="1" pivotButton="0" quotePrefix="0" xfId="0">
      <alignment horizontal="center" vertical="center"/>
    </xf>
    <xf numFmtId="0" fontId="0" fillId="0" borderId="1" pivotButton="0" quotePrefix="0" xfId="0"/>
    <xf numFmtId="0" fontId="0" fillId="0" borderId="0" applyAlignment="1" pivotButton="0" quotePrefix="0" xfId="0">
      <alignment horizontal="center" vertical="center" textRotation="90"/>
    </xf>
    <xf numFmtId="0" fontId="0" fillId="0" borderId="0" applyAlignment="1" pivotButton="0" quotePrefix="0" xfId="0">
      <alignment horizontal="center" vertical="center"/>
    </xf>
    <xf numFmtId="0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3">
    <dxf>
      <fill>
        <patternFill patternType="solid">
          <fgColor rgb="00F8CBAD"/>
          <bgColor rgb="00F8CBAD"/>
        </patternFill>
      </fill>
    </dxf>
    <dxf>
      <fill>
        <patternFill patternType="solid">
          <fgColor rgb="00FFE699"/>
          <bgColor rgb="00FFE699"/>
        </patternFill>
      </fill>
    </dxf>
    <dxf>
      <fill>
        <patternFill patternType="solid">
          <fgColor rgb="00C6EFCE"/>
          <bgColor rgb="00C6EFCE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/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'VUE_CONDENSEE'!$F$5:$F$8</f>
            </numRef>
          </cat>
          <val>
            <numRef>
              <f>'VUE_CONDENSEE'!$G$5:$G$8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2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/>
            </a:r>
          </a:p>
        </rich>
      </tx>
    </title>
    <plotArea>
      <pieChart>
        <varyColors val="1"/>
        <ser>
          <idx val="0"/>
          <order val="0"/>
          <spPr>
            <a:ln xmlns:a="http://schemas.openxmlformats.org/drawingml/2006/main">
              <a:prstDash val="solid"/>
            </a:ln>
          </spPr>
          <cat>
            <numRef>
              <f>'VUE_CONDENSEE'!$J$5:$J$8</f>
            </numRef>
          </cat>
          <val>
            <numRef>
              <f>'VUE_CONDENSEE'!$K$5:$K$8</f>
            </numRef>
          </val>
        </ser>
        <firstSliceAng val="0"/>
      </pieChart>
    </plotArea>
    <legend>
      <legendPos val="r"/>
    </legend>
    <plotVisOnly val="1"/>
    <dispBlanksAs val="gap"/>
  </chart>
</chartSpace>
</file>

<file path=xl/charts/chart3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/>
            </a:r>
          </a:p>
        </rich>
      </tx>
    </title>
    <plotArea>
      <barChart>
        <barDir val="bar"/>
        <grouping val="clustered"/>
        <ser>
          <idx val="0"/>
          <order val="0"/>
          <tx>
            <strRef>
              <f>'VUE_CONDENSEE'!C18</f>
            </strRef>
          </tx>
          <spPr>
            <a:ln xmlns:a="http://schemas.openxmlformats.org/drawingml/2006/main">
              <a:prstDash val="solid"/>
            </a:ln>
          </spPr>
          <cat>
            <numRef>
              <f>'VUE_CONDENSEE'!$B$19:$B$27</f>
            </numRef>
          </cat>
          <val>
            <numRef>
              <f>'VUE_CONDENSEE'!$C$19:$C$27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Relationship Type="http://schemas.openxmlformats.org/officeDocument/2006/relationships/chart" Target="/xl/charts/chart2.xml" Id="rId2"/><Relationship Type="http://schemas.openxmlformats.org/officeDocument/2006/relationships/chart" Target="/xl/charts/chart3.xml" Id="rId3"/></Relationships>
</file>

<file path=xl/drawings/drawing1.xml><?xml version="1.0" encoding="utf-8"?>
<wsDr xmlns="http://schemas.openxmlformats.org/drawingml/2006/spreadsheetDrawing">
  <oneCellAnchor>
    <from>
      <col>5</col>
      <colOff>0</colOff>
      <row>5</row>
      <rowOff>0</rowOff>
    </from>
    <ext cx="324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  <oneCellAnchor>
    <from>
      <col>9</col>
      <colOff>0</colOff>
      <row>5</row>
      <rowOff>0</rowOff>
    </from>
    <ext cx="3240000" cy="2880000"/>
    <graphicFrame>
      <nvGraphicFramePr>
        <cNvPr id="2" name="Chart 2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graphicFrame>
    <clientData/>
  </oneCellAnchor>
  <oneCellAnchor>
    <from>
      <col>1</col>
      <colOff>0</colOff>
      <row>18</row>
      <rowOff>0</rowOff>
    </from>
    <ext cx="5760000" cy="3240000"/>
    <graphicFrame>
      <nvGraphicFramePr>
        <cNvPr id="3" name="Chart 3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3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  <col width="20" customWidth="1" min="10" max="10"/>
    <col width="20" customWidth="1" min="11" max="11"/>
  </cols>
  <sheetData>
    <row r="1">
      <c r="A1" s="1" t="inlineStr">
        <is>
          <t>ID_Risque</t>
        </is>
      </c>
      <c r="B1" s="1" t="inlineStr">
        <is>
          <t>Nom_du_risque</t>
        </is>
      </c>
      <c r="C1" s="1" t="inlineStr">
        <is>
          <t>Catégorie</t>
        </is>
      </c>
      <c r="D1" s="1" t="inlineStr">
        <is>
          <t>Probabilité(1-5)</t>
        </is>
      </c>
      <c r="E1" s="1" t="inlineStr">
        <is>
          <t>Impact(1-5)</t>
        </is>
      </c>
      <c r="F1" s="1" t="inlineStr">
        <is>
          <t>Score</t>
        </is>
      </c>
      <c r="G1" s="1" t="inlineStr">
        <is>
          <t>Niveau</t>
        </is>
      </c>
      <c r="H1" s="1" t="inlineStr">
        <is>
          <t>Statut</t>
        </is>
      </c>
      <c r="I1" s="1" t="inlineStr">
        <is>
          <t>Échéance</t>
        </is>
      </c>
      <c r="J1" s="1" t="inlineStr">
        <is>
          <t>Contrôles_existants</t>
        </is>
      </c>
      <c r="K1" s="1" t="inlineStr">
        <is>
          <t>Efficacité_ctrl(1-5)</t>
        </is>
      </c>
    </row>
    <row r="2">
      <c r="A2" s="2" t="n">
        <v>1</v>
      </c>
      <c r="B2" s="2" t="inlineStr">
        <is>
          <t>Regulation and Compliance</t>
        </is>
      </c>
      <c r="C2" s="2" t="inlineStr">
        <is>
          <t>Conformité</t>
        </is>
      </c>
      <c r="D2" s="2" t="n">
        <v>4</v>
      </c>
      <c r="E2" s="2" t="n">
        <v>5</v>
      </c>
      <c r="F2" s="2">
        <f>D2*E2</f>
        <v/>
      </c>
      <c r="G2" s="2">
        <f>IF(F2&gt;=16,"High",IF(F2&gt;=9,"Medium","Low"))</f>
        <v/>
      </c>
      <c r="H2" s="2" t="inlineStr">
        <is>
          <t>Ouvert</t>
        </is>
      </c>
      <c r="I2" s="2" t="inlineStr">
        <is>
          <t>2025-12-15</t>
        </is>
      </c>
      <c r="J2" s="2" t="inlineStr">
        <is>
          <t>Oui</t>
        </is>
      </c>
      <c r="K2" s="2" t="n">
        <v>4</v>
      </c>
    </row>
    <row r="3">
      <c r="A3" s="2" t="n">
        <v>2</v>
      </c>
      <c r="B3" s="2" t="inlineStr">
        <is>
          <t>Cost Cutting</t>
        </is>
      </c>
      <c r="C3" s="2" t="inlineStr">
        <is>
          <t>Finance</t>
        </is>
      </c>
      <c r="D3" s="2" t="n">
        <v>3</v>
      </c>
      <c r="E3" s="2" t="n">
        <v>4</v>
      </c>
      <c r="F3" s="2">
        <f>D3*E3</f>
        <v/>
      </c>
      <c r="G3" s="2">
        <f>IF(F3&gt;=16,"High",IF(F3&gt;=9,"Medium","Low"))</f>
        <v/>
      </c>
      <c r="H3" s="2" t="inlineStr">
        <is>
          <t>Ouvert</t>
        </is>
      </c>
      <c r="I3" s="2" t="inlineStr">
        <is>
          <t>2025-11-30</t>
        </is>
      </c>
      <c r="J3" s="2" t="inlineStr">
        <is>
          <t>Oui</t>
        </is>
      </c>
      <c r="K3" s="2" t="n">
        <v>3</v>
      </c>
    </row>
    <row r="4">
      <c r="A4" s="2" t="n">
        <v>3</v>
      </c>
      <c r="B4" s="2" t="inlineStr">
        <is>
          <t>Impact Of Currency Volatility</t>
        </is>
      </c>
      <c r="C4" s="2" t="inlineStr">
        <is>
          <t>Finance</t>
        </is>
      </c>
      <c r="D4" s="2" t="n">
        <v>4</v>
      </c>
      <c r="E4" s="2" t="n">
        <v>4</v>
      </c>
      <c r="F4" s="2">
        <f>D4*E4</f>
        <v/>
      </c>
      <c r="G4" s="2">
        <f>IF(F4&gt;=16,"High",IF(F4&gt;=9,"Medium","Low"))</f>
        <v/>
      </c>
      <c r="H4" s="2" t="inlineStr">
        <is>
          <t>En cours</t>
        </is>
      </c>
      <c r="I4" s="2" t="inlineStr">
        <is>
          <t>2026-01-10</t>
        </is>
      </c>
      <c r="J4" s="2" t="inlineStr">
        <is>
          <t>Non</t>
        </is>
      </c>
      <c r="K4" s="2" t="n">
        <v>2</v>
      </c>
    </row>
    <row r="5">
      <c r="A5" s="2" t="n">
        <v>4</v>
      </c>
      <c r="B5" s="2" t="inlineStr">
        <is>
          <t>Missing Growth Opportunities</t>
        </is>
      </c>
      <c r="C5" s="2" t="inlineStr">
        <is>
          <t>Stratégie</t>
        </is>
      </c>
      <c r="D5" s="2" t="n">
        <v>3</v>
      </c>
      <c r="E5" s="2" t="n">
        <v>5</v>
      </c>
      <c r="F5" s="2">
        <f>D5*E5</f>
        <v/>
      </c>
      <c r="G5" s="2">
        <f>IF(F5&gt;=16,"High",IF(F5&gt;=9,"Medium","Low"))</f>
        <v/>
      </c>
      <c r="H5" s="2" t="inlineStr">
        <is>
          <t>Ouvert</t>
        </is>
      </c>
      <c r="I5" s="2" t="inlineStr">
        <is>
          <t>2025-12-01</t>
        </is>
      </c>
      <c r="J5" s="2" t="inlineStr">
        <is>
          <t>Oui</t>
        </is>
      </c>
      <c r="K5" s="2" t="n">
        <v>4</v>
      </c>
    </row>
    <row r="6">
      <c r="A6" s="2" t="n">
        <v>5</v>
      </c>
      <c r="B6" s="2" t="inlineStr">
        <is>
          <t>Inappropriate Systems</t>
        </is>
      </c>
      <c r="C6" s="2" t="inlineStr">
        <is>
          <t>Système d'information</t>
        </is>
      </c>
      <c r="D6" s="2" t="n">
        <v>2</v>
      </c>
      <c r="E6" s="2" t="n">
        <v>4</v>
      </c>
      <c r="F6" s="2">
        <f>D6*E6</f>
        <v/>
      </c>
      <c r="G6" s="2">
        <f>IF(F6&gt;=16,"High",IF(F6&gt;=9,"Medium","Low"))</f>
        <v/>
      </c>
      <c r="H6" s="2" t="inlineStr">
        <is>
          <t>Clos</t>
        </is>
      </c>
      <c r="I6" s="2" t="inlineStr">
        <is>
          <t>2025-10-05</t>
        </is>
      </c>
      <c r="J6" s="2" t="inlineStr">
        <is>
          <t>Oui</t>
        </is>
      </c>
      <c r="K6" s="2" t="n">
        <v>3</v>
      </c>
    </row>
    <row r="7">
      <c r="A7" s="2" t="n">
        <v>6</v>
      </c>
      <c r="B7" s="2" t="inlineStr">
        <is>
          <t>Organization Change</t>
        </is>
      </c>
      <c r="C7" s="2" t="inlineStr">
        <is>
          <t>RH</t>
        </is>
      </c>
      <c r="D7" s="2" t="n">
        <v>3</v>
      </c>
      <c r="E7" s="2" t="n">
        <v>3</v>
      </c>
      <c r="F7" s="2">
        <f>D7*E7</f>
        <v/>
      </c>
      <c r="G7" s="2">
        <f>IF(F7&gt;=16,"High",IF(F7&gt;=9,"Medium","Low"))</f>
        <v/>
      </c>
      <c r="H7" s="2" t="inlineStr">
        <is>
          <t>En cours</t>
        </is>
      </c>
      <c r="I7" s="2" t="inlineStr">
        <is>
          <t>2026-02-01</t>
        </is>
      </c>
      <c r="J7" s="2" t="inlineStr">
        <is>
          <t>Non</t>
        </is>
      </c>
      <c r="K7" s="2" t="n">
        <v>2</v>
      </c>
    </row>
    <row r="8">
      <c r="A8" s="2" t="n">
        <v>7</v>
      </c>
      <c r="B8" s="2" t="inlineStr">
        <is>
          <t>Emerging Technologies</t>
        </is>
      </c>
      <c r="C8" s="2" t="inlineStr">
        <is>
          <t>Innovation</t>
        </is>
      </c>
      <c r="D8" s="2" t="n">
        <v>2</v>
      </c>
      <c r="E8" s="2" t="n">
        <v>4</v>
      </c>
      <c r="F8" s="2">
        <f>D8*E8</f>
        <v/>
      </c>
      <c r="G8" s="2">
        <f>IF(F8&gt;=16,"High",IF(F8&gt;=9,"Medium","Low"))</f>
        <v/>
      </c>
      <c r="H8" s="2" t="inlineStr">
        <is>
          <t>Ouvert</t>
        </is>
      </c>
      <c r="I8" s="2" t="inlineStr">
        <is>
          <t>2025-12-20</t>
        </is>
      </c>
      <c r="J8" s="2" t="inlineStr">
        <is>
          <t>Non</t>
        </is>
      </c>
      <c r="K8" s="2" t="n">
        <v>1</v>
      </c>
    </row>
    <row r="9">
      <c r="A9" s="2" t="n">
        <v>8</v>
      </c>
      <c r="B9" s="2" t="inlineStr">
        <is>
          <t>Taxation Risk</t>
        </is>
      </c>
      <c r="C9" s="2" t="inlineStr">
        <is>
          <t>Fiscalité</t>
        </is>
      </c>
      <c r="D9" s="2" t="n">
        <v>3</v>
      </c>
      <c r="E9" s="2" t="n">
        <v>3</v>
      </c>
      <c r="F9" s="2">
        <f>D9*E9</f>
        <v/>
      </c>
      <c r="G9" s="2">
        <f>IF(F9&gt;=16,"High",IF(F9&gt;=9,"Medium","Low"))</f>
        <v/>
      </c>
      <c r="H9" s="2" t="inlineStr">
        <is>
          <t>Ouvert</t>
        </is>
      </c>
      <c r="I9" s="2" t="inlineStr">
        <is>
          <t>2025-12-05</t>
        </is>
      </c>
      <c r="J9" s="2" t="inlineStr">
        <is>
          <t>Oui</t>
        </is>
      </c>
      <c r="K9" s="2" t="n">
        <v>3</v>
      </c>
    </row>
    <row r="10">
      <c r="A10" s="2" t="n">
        <v>9</v>
      </c>
      <c r="B10" s="2" t="inlineStr">
        <is>
          <t>Shifting Demographics</t>
        </is>
      </c>
      <c r="C10" s="2" t="inlineStr">
        <is>
          <t>Marché</t>
        </is>
      </c>
      <c r="D10" s="2" t="n">
        <v>2</v>
      </c>
      <c r="E10" s="2" t="n">
        <v>2</v>
      </c>
      <c r="F10" s="2">
        <f>D10*E10</f>
        <v/>
      </c>
      <c r="G10" s="2">
        <f>IF(F10&gt;=16,"High",IF(F10&gt;=9,"Medium","Low"))</f>
        <v/>
      </c>
      <c r="H10" s="2" t="inlineStr">
        <is>
          <t>Ouvert</t>
        </is>
      </c>
      <c r="I10" s="2" t="inlineStr">
        <is>
          <t>2026-03-15</t>
        </is>
      </c>
      <c r="J10" s="2" t="inlineStr">
        <is>
          <t>Non</t>
        </is>
      </c>
      <c r="K10" s="2" t="n">
        <v>1</v>
      </c>
    </row>
    <row r="11">
      <c r="A11" s="2" t="n">
        <v>10</v>
      </c>
      <c r="B11" s="2" t="inlineStr">
        <is>
          <t>Emerging Markets</t>
        </is>
      </c>
      <c r="C11" s="2" t="inlineStr">
        <is>
          <t>Marché</t>
        </is>
      </c>
      <c r="D11" s="2" t="n">
        <v>4</v>
      </c>
      <c r="E11" s="2" t="n">
        <v>3</v>
      </c>
      <c r="F11" s="2">
        <f>D11*E11</f>
        <v/>
      </c>
      <c r="G11" s="2">
        <f>IF(F11&gt;=16,"High",IF(F11&gt;=9,"Medium","Low"))</f>
        <v/>
      </c>
      <c r="H11" s="2" t="inlineStr">
        <is>
          <t>Ouvert</t>
        </is>
      </c>
      <c r="I11" s="2" t="inlineStr">
        <is>
          <t>2026-01-30</t>
        </is>
      </c>
      <c r="J11" s="2" t="inlineStr">
        <is>
          <t>Oui</t>
        </is>
      </c>
      <c r="K11" s="2" t="n">
        <v>4</v>
      </c>
    </row>
    <row r="12">
      <c r="A12" s="2" t="n">
        <v>11</v>
      </c>
      <c r="B12" s="2" t="inlineStr">
        <is>
          <t>Supply Chain Disruption</t>
        </is>
      </c>
      <c r="C12" s="2" t="inlineStr">
        <is>
          <t>Supply Chain</t>
        </is>
      </c>
      <c r="D12" s="2" t="n">
        <v>4</v>
      </c>
      <c r="E12" s="2" t="n">
        <v>5</v>
      </c>
      <c r="F12" s="2">
        <f>D12*E12</f>
        <v/>
      </c>
      <c r="G12" s="2">
        <f>IF(F12&gt;=16,"High",IF(F12&gt;=9,"Medium","Low"))</f>
        <v/>
      </c>
      <c r="H12" s="2" t="inlineStr">
        <is>
          <t>Ouvert</t>
        </is>
      </c>
      <c r="I12" s="2" t="inlineStr">
        <is>
          <t>2025-12-10</t>
        </is>
      </c>
      <c r="J12" s="2" t="inlineStr">
        <is>
          <t>Non</t>
        </is>
      </c>
      <c r="K12" s="2" t="n">
        <v>2</v>
      </c>
    </row>
    <row r="13">
      <c r="A13" s="2" t="n">
        <v>12</v>
      </c>
      <c r="B13" s="2" t="inlineStr">
        <is>
          <t>Key Talent Loss</t>
        </is>
      </c>
      <c r="C13" s="2" t="inlineStr">
        <is>
          <t>RH</t>
        </is>
      </c>
      <c r="D13" s="2" t="n">
        <v>3</v>
      </c>
      <c r="E13" s="2" t="n">
        <v>4</v>
      </c>
      <c r="F13" s="2">
        <f>D13*E13</f>
        <v/>
      </c>
      <c r="G13" s="2">
        <f>IF(F13&gt;=16,"High",IF(F13&gt;=9,"Medium","Low"))</f>
        <v/>
      </c>
      <c r="H13" s="2" t="inlineStr">
        <is>
          <t>En cours</t>
        </is>
      </c>
      <c r="I13" s="2" t="inlineStr">
        <is>
          <t>2026-02-15</t>
        </is>
      </c>
      <c r="J13" s="2" t="inlineStr">
        <is>
          <t>Oui</t>
        </is>
      </c>
      <c r="K13" s="2" t="n">
        <v>3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B1:O27"/>
  <sheetViews>
    <sheetView workbookViewId="0">
      <selection activeCell="A1" sqref="A1"/>
    </sheetView>
  </sheetViews>
  <sheetFormatPr baseColWidth="8" defaultRowHeight="15"/>
  <cols>
    <col width="2" customWidth="1" min="1" max="1"/>
    <col width="26" customWidth="1" min="2" max="2"/>
    <col width="12" customWidth="1" min="3" max="3"/>
    <col width="10" customWidth="1" min="4" max="4"/>
    <col width="2" customWidth="1" min="5" max="5"/>
    <col width="22" customWidth="1" min="6" max="6"/>
    <col width="2" customWidth="1" min="7" max="7"/>
    <col width="22" customWidth="1" min="8" max="8"/>
    <col width="2" customWidth="1" min="9" max="9"/>
    <col width="26" customWidth="1" min="10" max="10"/>
    <col width="12" customWidth="1" min="11" max="11"/>
    <col width="2" customWidth="1" min="12" max="12"/>
    <col width="22" customWidth="1" min="13" max="13"/>
    <col width="2" customWidth="1" min="14" max="14"/>
    <col width="22" customWidth="1" min="15" max="15"/>
  </cols>
  <sheetData>
    <row r="1">
      <c r="B1" s="3" t="inlineStr">
        <is>
          <t>Tableau de bord – Gestion des risques (vue condensée)</t>
        </is>
      </c>
    </row>
    <row r="3">
      <c r="B3" s="4" t="inlineStr">
        <is>
          <t>Corporate Risk</t>
        </is>
      </c>
      <c r="F3" s="4" t="inlineStr">
        <is>
          <t>Control Performance</t>
        </is>
      </c>
      <c r="J3" s="4" t="inlineStr">
        <is>
          <t>Open Issues</t>
        </is>
      </c>
    </row>
    <row r="4">
      <c r="B4" s="1" t="inlineStr">
        <is>
          <t>Risk Name</t>
        </is>
      </c>
      <c r="C4" s="1" t="inlineStr">
        <is>
          <t>Score</t>
        </is>
      </c>
      <c r="D4" s="1" t="inlineStr">
        <is>
          <t>Trend</t>
        </is>
      </c>
      <c r="F4" s="5" t="inlineStr">
        <is>
          <t>Category</t>
        </is>
      </c>
      <c r="G4" s="5" t="inlineStr">
        <is>
          <t>Count</t>
        </is>
      </c>
      <c r="J4" s="5" t="inlineStr">
        <is>
          <t>Type</t>
        </is>
      </c>
      <c r="K4" s="5" t="inlineStr">
        <is>
          <t>Count</t>
        </is>
      </c>
    </row>
    <row r="5">
      <c r="B5" s="6">
        <f>IFERROR(INDEX(RISQUES!$B$2:$B$200, MATCH(LARGE(RISQUES!$F$2:$F$200, ROWS($B$5:B5)), RISQUES!$F$2:$F$200,0)),"")</f>
        <v/>
      </c>
      <c r="C5" s="7">
        <f>IF(B5="","",INDEX(RISQUES!$G$2:$G$200, MATCH(B5, RISQUES!$B$2:$B$200,0)))</f>
        <v/>
      </c>
      <c r="D5" s="7">
        <f>IF(C5="","",IF(C5="High","↑",IF(C5="Medium","→","↓")))</f>
        <v/>
      </c>
      <c r="F5" s="8" t="inlineStr">
        <is>
          <t>No control</t>
        </is>
      </c>
      <c r="G5" s="8">
        <f>COUNTIFS(RISQUES!$J$2:$J$200,"Non")</f>
        <v/>
      </c>
      <c r="J5" s="8" t="inlineStr">
        <is>
          <t>Overdue</t>
        </is>
      </c>
      <c r="K5" s="8">
        <f>COUNTIFS(RISQUES!$H$2:$H$200,"&lt;&gt;Clos",RISQUES!$I$2:$I$200,"&lt;"&amp;TODAY())</f>
        <v/>
      </c>
    </row>
    <row r="6">
      <c r="B6" s="6">
        <f>IFERROR(INDEX(RISQUES!$B$2:$B$200, MATCH(LARGE(RISQUES!$F$2:$F$200, ROWS($B$5:B6)), RISQUES!$F$2:$F$200,0)),"")</f>
        <v/>
      </c>
      <c r="C6" s="7">
        <f>IF(B6="","",INDEX(RISQUES!$G$2:$G$200, MATCH(B6, RISQUES!$B$2:$B$200,0)))</f>
        <v/>
      </c>
      <c r="D6" s="7">
        <f>IF(C6="","",IF(C6="High","↑",IF(C6="Medium","→","↓")))</f>
        <v/>
      </c>
      <c r="F6" s="8" t="inlineStr">
        <is>
          <t>Low (1-2)</t>
        </is>
      </c>
      <c r="G6" s="8">
        <f>COUNTIFS(RISQUES!$K$2:$K$200,"&lt;=2")</f>
        <v/>
      </c>
      <c r="J6" s="8" t="inlineStr">
        <is>
          <t>Impact-Low</t>
        </is>
      </c>
      <c r="K6" s="8">
        <f>COUNTIFS(RISQUES!$H$2:$H$200,"&lt;&gt;Clos",RISQUES!$I$2:$I$200,"&gt;="&amp;TODAY(),RISQUES!$E$2:$E$200,"&lt;=2")</f>
        <v/>
      </c>
    </row>
    <row r="7">
      <c r="B7" s="6">
        <f>IFERROR(INDEX(RISQUES!$B$2:$B$200, MATCH(LARGE(RISQUES!$F$2:$F$200, ROWS($B$5:B7)), RISQUES!$F$2:$F$200,0)),"")</f>
        <v/>
      </c>
      <c r="C7" s="7">
        <f>IF(B7="","",INDEX(RISQUES!$G$2:$G$200, MATCH(B7, RISQUES!$B$2:$B$200,0)))</f>
        <v/>
      </c>
      <c r="D7" s="7">
        <f>IF(C7="","",IF(C7="High","↑",IF(C7="Medium","→","↓")))</f>
        <v/>
      </c>
      <c r="F7" s="8" t="inlineStr">
        <is>
          <t>Medium (3)</t>
        </is>
      </c>
      <c r="G7" s="8">
        <f>COUNTIFS(RISQUES!$K$2:$K$200,3)</f>
        <v/>
      </c>
      <c r="J7" s="8" t="inlineStr">
        <is>
          <t>Impact-Medium</t>
        </is>
      </c>
      <c r="K7" s="8">
        <f>COUNTIFS(RISQUES!$H$2:$H$200,"&lt;&gt;Clos",RISQUES!$I$2:$I$200,"&gt;="&amp;TODAY(),RISQUES!$E$2:$E$200,3)</f>
        <v/>
      </c>
    </row>
    <row r="8">
      <c r="B8" s="6">
        <f>IFERROR(INDEX(RISQUES!$B$2:$B$200, MATCH(LARGE(RISQUES!$F$2:$F$200, ROWS($B$5:B8)), RISQUES!$F$2:$F$200,0)),"")</f>
        <v/>
      </c>
      <c r="C8" s="7">
        <f>IF(B8="","",INDEX(RISQUES!$G$2:$G$200, MATCH(B8, RISQUES!$B$2:$B$200,0)))</f>
        <v/>
      </c>
      <c r="D8" s="7">
        <f>IF(C8="","",IF(C8="High","↑",IF(C8="Medium","→","↓")))</f>
        <v/>
      </c>
      <c r="F8" s="8" t="inlineStr">
        <is>
          <t>High (4-5)</t>
        </is>
      </c>
      <c r="G8" s="8">
        <f>COUNTIFS(RISQUES!$K$2:$K$200,"&gt;=4")</f>
        <v/>
      </c>
      <c r="J8" s="8" t="inlineStr">
        <is>
          <t>Impact-High</t>
        </is>
      </c>
      <c r="K8" s="8">
        <f>COUNTIFS(RISQUES!$H$2:$H$200,"&lt;&gt;Clos",RISQUES!$I$2:$I$200,"&gt;="&amp;TODAY(),RISQUES!$E$2:$E$200,"&gt;=4")</f>
        <v/>
      </c>
    </row>
    <row r="9">
      <c r="B9" s="6">
        <f>IFERROR(INDEX(RISQUES!$B$2:$B$200, MATCH(LARGE(RISQUES!$F$2:$F$200, ROWS($B$5:B9)), RISQUES!$F$2:$F$200,0)),"")</f>
        <v/>
      </c>
      <c r="C9" s="7">
        <f>IF(B9="","",INDEX(RISQUES!$G$2:$G$200, MATCH(B9, RISQUES!$B$2:$B$200,0)))</f>
        <v/>
      </c>
      <c r="D9" s="7">
        <f>IF(C9="","",IF(C9="High","↑",IF(C9="Medium","→","↓")))</f>
        <v/>
      </c>
    </row>
    <row r="10">
      <c r="B10" s="6">
        <f>IFERROR(INDEX(RISQUES!$B$2:$B$200, MATCH(LARGE(RISQUES!$F$2:$F$200, ROWS($B$5:B10)), RISQUES!$F$2:$F$200,0)),"")</f>
        <v/>
      </c>
      <c r="C10" s="7">
        <f>IF(B10="","",INDEX(RISQUES!$G$2:$G$200, MATCH(B10, RISQUES!$B$2:$B$200,0)))</f>
        <v/>
      </c>
      <c r="D10" s="7">
        <f>IF(C10="","",IF(C10="High","↑",IF(C10="Medium","→","↓")))</f>
        <v/>
      </c>
    </row>
    <row r="11">
      <c r="B11" s="6">
        <f>IFERROR(INDEX(RISQUES!$B$2:$B$200, MATCH(LARGE(RISQUES!$F$2:$F$200, ROWS($B$5:B11)), RISQUES!$F$2:$F$200,0)),"")</f>
        <v/>
      </c>
      <c r="C11" s="7">
        <f>IF(B11="","",INDEX(RISQUES!$G$2:$G$200, MATCH(B11, RISQUES!$B$2:$B$200,0)))</f>
        <v/>
      </c>
      <c r="D11" s="7">
        <f>IF(C11="","",IF(C11="High","↑",IF(C11="Medium","→","↓")))</f>
        <v/>
      </c>
    </row>
    <row r="12">
      <c r="B12" s="6">
        <f>IFERROR(INDEX(RISQUES!$B$2:$B$200, MATCH(LARGE(RISQUES!$F$2:$F$200, ROWS($B$5:B12)), RISQUES!$F$2:$F$200,0)),"")</f>
        <v/>
      </c>
      <c r="C12" s="7">
        <f>IF(B12="","",INDEX(RISQUES!$G$2:$G$200, MATCH(B12, RISQUES!$B$2:$B$200,0)))</f>
        <v/>
      </c>
      <c r="D12" s="7">
        <f>IF(C12="","",IF(C12="High","↑",IF(C12="Medium","→","↓")))</f>
        <v/>
      </c>
    </row>
    <row r="13">
      <c r="B13" s="6">
        <f>IFERROR(INDEX(RISQUES!$B$2:$B$200, MATCH(LARGE(RISQUES!$F$2:$F$200, ROWS($B$5:B13)), RISQUES!$F$2:$F$200,0)),"")</f>
        <v/>
      </c>
      <c r="C13" s="7">
        <f>IF(B13="","",INDEX(RISQUES!$G$2:$G$200, MATCH(B13, RISQUES!$B$2:$B$200,0)))</f>
        <v/>
      </c>
      <c r="D13" s="7">
        <f>IF(C13="","",IF(C13="High","↑",IF(C13="Medium","→","↓")))</f>
        <v/>
      </c>
    </row>
    <row r="14">
      <c r="B14" s="6">
        <f>IFERROR(INDEX(RISQUES!$B$2:$B$200, MATCH(LARGE(RISQUES!$F$2:$F$200, ROWS($B$5:B14)), RISQUES!$F$2:$F$200,0)),"")</f>
        <v/>
      </c>
      <c r="C14" s="7">
        <f>IF(B14="","",INDEX(RISQUES!$G$2:$G$200, MATCH(B14, RISQUES!$B$2:$B$200,0)))</f>
        <v/>
      </c>
      <c r="D14" s="7">
        <f>IF(C14="","",IF(C14="High","↑",IF(C14="Medium","→","↓")))</f>
        <v/>
      </c>
    </row>
    <row r="17">
      <c r="B17" s="4" t="inlineStr">
        <is>
          <t>Risk by Category</t>
        </is>
      </c>
      <c r="J17" s="4" t="inlineStr">
        <is>
          <t>Risk Map</t>
        </is>
      </c>
    </row>
    <row r="18">
      <c r="B18" s="5" t="inlineStr">
        <is>
          <t>Category</t>
        </is>
      </c>
      <c r="C18" s="5" t="inlineStr">
        <is>
          <t>Open risks</t>
        </is>
      </c>
      <c r="J18" s="9" t="inlineStr">
        <is>
          <t>Likelihood</t>
        </is>
      </c>
      <c r="K18" s="10" t="inlineStr">
        <is>
          <t>Impact</t>
        </is>
      </c>
    </row>
    <row r="19">
      <c r="B19" s="8" t="inlineStr">
        <is>
          <t>Conformité</t>
        </is>
      </c>
      <c r="C19" s="8">
        <f>COUNTIFS(RISQUES!$C$2:$C$200,"Conformité",RISQUES!$H$2:$H$200,"&lt;&gt;Clos")</f>
        <v/>
      </c>
      <c r="K19" s="11" t="n">
        <v>1</v>
      </c>
      <c r="L19" s="11" t="n">
        <v>2</v>
      </c>
      <c r="M19" s="11" t="n">
        <v>3</v>
      </c>
      <c r="N19" s="11" t="n">
        <v>4</v>
      </c>
      <c r="O19" s="11" t="n">
        <v>5</v>
      </c>
    </row>
    <row r="20">
      <c r="B20" s="8" t="inlineStr">
        <is>
          <t>Finance</t>
        </is>
      </c>
      <c r="C20" s="8">
        <f>COUNTIFS(RISQUES!$C$2:$C$200,"Finance",RISQUES!$H$2:$H$200,"&lt;&gt;Clos")</f>
        <v/>
      </c>
      <c r="J20" s="11" t="n">
        <v>1</v>
      </c>
      <c r="K20" s="11">
        <f>COUNTIFS(RISQUES!$D$2:$D$200,1,RISQUES!$E$2:$E$200,1,RISQUES!$H$2:$H$200,"&lt;&gt;Clos")</f>
        <v/>
      </c>
      <c r="L20" s="11">
        <f>COUNTIFS(RISQUES!$D$2:$D$200,1,RISQUES!$E$2:$E$200,2,RISQUES!$H$2:$H$200,"&lt;&gt;Clos")</f>
        <v/>
      </c>
      <c r="M20" s="11">
        <f>COUNTIFS(RISQUES!$D$2:$D$200,1,RISQUES!$E$2:$E$200,3,RISQUES!$H$2:$H$200,"&lt;&gt;Clos")</f>
        <v/>
      </c>
      <c r="N20" s="11">
        <f>COUNTIFS(RISQUES!$D$2:$D$200,1,RISQUES!$E$2:$E$200,4,RISQUES!$H$2:$H$200,"&lt;&gt;Clos")</f>
        <v/>
      </c>
      <c r="O20" s="11">
        <f>COUNTIFS(RISQUES!$D$2:$D$200,1,RISQUES!$E$2:$E$200,5,RISQUES!$H$2:$H$200,"&lt;&gt;Clos")</f>
        <v/>
      </c>
    </row>
    <row r="21">
      <c r="B21" s="8" t="inlineStr">
        <is>
          <t>Stratégie</t>
        </is>
      </c>
      <c r="C21" s="8">
        <f>COUNTIFS(RISQUES!$C$2:$C$200,"Stratégie",RISQUES!$H$2:$H$200,"&lt;&gt;Clos")</f>
        <v/>
      </c>
      <c r="J21" s="11" t="n">
        <v>2</v>
      </c>
      <c r="K21" s="11">
        <f>COUNTIFS(RISQUES!$D$2:$D$200,2,RISQUES!$E$2:$E$200,1,RISQUES!$H$2:$H$200,"&lt;&gt;Clos")</f>
        <v/>
      </c>
      <c r="L21" s="11">
        <f>COUNTIFS(RISQUES!$D$2:$D$200,2,RISQUES!$E$2:$E$200,2,RISQUES!$H$2:$H$200,"&lt;&gt;Clos")</f>
        <v/>
      </c>
      <c r="M21" s="11">
        <f>COUNTIFS(RISQUES!$D$2:$D$200,2,RISQUES!$E$2:$E$200,3,RISQUES!$H$2:$H$200,"&lt;&gt;Clos")</f>
        <v/>
      </c>
      <c r="N21" s="11">
        <f>COUNTIFS(RISQUES!$D$2:$D$200,2,RISQUES!$E$2:$E$200,4,RISQUES!$H$2:$H$200,"&lt;&gt;Clos")</f>
        <v/>
      </c>
      <c r="O21" s="11">
        <f>COUNTIFS(RISQUES!$D$2:$D$200,2,RISQUES!$E$2:$E$200,5,RISQUES!$H$2:$H$200,"&lt;&gt;Clos")</f>
        <v/>
      </c>
    </row>
    <row r="22">
      <c r="B22" s="8" t="inlineStr">
        <is>
          <t>Système d'information</t>
        </is>
      </c>
      <c r="C22" s="8">
        <f>COUNTIFS(RISQUES!$C$2:$C$200,"Système d'information",RISQUES!$H$2:$H$200,"&lt;&gt;Clos")</f>
        <v/>
      </c>
      <c r="J22" s="11" t="n">
        <v>3</v>
      </c>
      <c r="K22" s="11">
        <f>COUNTIFS(RISQUES!$D$2:$D$200,3,RISQUES!$E$2:$E$200,1,RISQUES!$H$2:$H$200,"&lt;&gt;Clos")</f>
        <v/>
      </c>
      <c r="L22" s="11">
        <f>COUNTIFS(RISQUES!$D$2:$D$200,3,RISQUES!$E$2:$E$200,2,RISQUES!$H$2:$H$200,"&lt;&gt;Clos")</f>
        <v/>
      </c>
      <c r="M22" s="11">
        <f>COUNTIFS(RISQUES!$D$2:$D$200,3,RISQUES!$E$2:$E$200,3,RISQUES!$H$2:$H$200,"&lt;&gt;Clos")</f>
        <v/>
      </c>
      <c r="N22" s="11">
        <f>COUNTIFS(RISQUES!$D$2:$D$200,3,RISQUES!$E$2:$E$200,4,RISQUES!$H$2:$H$200,"&lt;&gt;Clos")</f>
        <v/>
      </c>
      <c r="O22" s="11">
        <f>COUNTIFS(RISQUES!$D$2:$D$200,3,RISQUES!$E$2:$E$200,5,RISQUES!$H$2:$H$200,"&lt;&gt;Clos")</f>
        <v/>
      </c>
    </row>
    <row r="23">
      <c r="B23" s="8" t="inlineStr">
        <is>
          <t>RH</t>
        </is>
      </c>
      <c r="C23" s="8">
        <f>COUNTIFS(RISQUES!$C$2:$C$200,"RH",RISQUES!$H$2:$H$200,"&lt;&gt;Clos")</f>
        <v/>
      </c>
      <c r="J23" s="11" t="n">
        <v>4</v>
      </c>
      <c r="K23" s="11">
        <f>COUNTIFS(RISQUES!$D$2:$D$200,4,RISQUES!$E$2:$E$200,1,RISQUES!$H$2:$H$200,"&lt;&gt;Clos")</f>
        <v/>
      </c>
      <c r="L23" s="11">
        <f>COUNTIFS(RISQUES!$D$2:$D$200,4,RISQUES!$E$2:$E$200,2,RISQUES!$H$2:$H$200,"&lt;&gt;Clos")</f>
        <v/>
      </c>
      <c r="M23" s="11">
        <f>COUNTIFS(RISQUES!$D$2:$D$200,4,RISQUES!$E$2:$E$200,3,RISQUES!$H$2:$H$200,"&lt;&gt;Clos")</f>
        <v/>
      </c>
      <c r="N23" s="11">
        <f>COUNTIFS(RISQUES!$D$2:$D$200,4,RISQUES!$E$2:$E$200,4,RISQUES!$H$2:$H$200,"&lt;&gt;Clos")</f>
        <v/>
      </c>
      <c r="O23" s="11">
        <f>COUNTIFS(RISQUES!$D$2:$D$200,4,RISQUES!$E$2:$E$200,5,RISQUES!$H$2:$H$200,"&lt;&gt;Clos")</f>
        <v/>
      </c>
    </row>
    <row r="24">
      <c r="B24" s="8" t="inlineStr">
        <is>
          <t>Innovation</t>
        </is>
      </c>
      <c r="C24" s="8">
        <f>COUNTIFS(RISQUES!$C$2:$C$200,"Innovation",RISQUES!$H$2:$H$200,"&lt;&gt;Clos")</f>
        <v/>
      </c>
      <c r="J24" s="11" t="n">
        <v>5</v>
      </c>
      <c r="K24" s="11">
        <f>COUNTIFS(RISQUES!$D$2:$D$200,5,RISQUES!$E$2:$E$200,1,RISQUES!$H$2:$H$200,"&lt;&gt;Clos")</f>
        <v/>
      </c>
      <c r="L24" s="11">
        <f>COUNTIFS(RISQUES!$D$2:$D$200,5,RISQUES!$E$2:$E$200,2,RISQUES!$H$2:$H$200,"&lt;&gt;Clos")</f>
        <v/>
      </c>
      <c r="M24" s="11">
        <f>COUNTIFS(RISQUES!$D$2:$D$200,5,RISQUES!$E$2:$E$200,3,RISQUES!$H$2:$H$200,"&lt;&gt;Clos")</f>
        <v/>
      </c>
      <c r="N24" s="11">
        <f>COUNTIFS(RISQUES!$D$2:$D$200,5,RISQUES!$E$2:$E$200,4,RISQUES!$H$2:$H$200,"&lt;&gt;Clos")</f>
        <v/>
      </c>
      <c r="O24" s="11">
        <f>COUNTIFS(RISQUES!$D$2:$D$200,5,RISQUES!$E$2:$E$200,5,RISQUES!$H$2:$H$200,"&lt;&gt;Clos")</f>
        <v/>
      </c>
    </row>
    <row r="25">
      <c r="B25" s="8" t="inlineStr">
        <is>
          <t>Fiscalité</t>
        </is>
      </c>
      <c r="C25" s="8">
        <f>COUNTIFS(RISQUES!$C$2:$C$200,"Fiscalité",RISQUES!$H$2:$H$200,"&lt;&gt;Clos")</f>
        <v/>
      </c>
    </row>
    <row r="26">
      <c r="B26" s="8" t="inlineStr">
        <is>
          <t>Marché</t>
        </is>
      </c>
      <c r="C26" s="8">
        <f>COUNTIFS(RISQUES!$C$2:$C$200,"Marché",RISQUES!$H$2:$H$200,"&lt;&gt;Clos")</f>
        <v/>
      </c>
    </row>
    <row r="27">
      <c r="B27" s="8" t="inlineStr">
        <is>
          <t>Supply Chain</t>
        </is>
      </c>
      <c r="C27" s="8">
        <f>COUNTIFS(RISQUES!$C$2:$C$200,"Supply Chain",RISQUES!$H$2:$H$200,"&lt;&gt;Clos")</f>
        <v/>
      </c>
    </row>
  </sheetData>
  <mergeCells count="8">
    <mergeCell ref="B1:O1"/>
    <mergeCell ref="B3:D3"/>
    <mergeCell ref="F3:H3"/>
    <mergeCell ref="J3:M3"/>
    <mergeCell ref="B17:H17"/>
    <mergeCell ref="J17:O17"/>
    <mergeCell ref="J18:J19"/>
    <mergeCell ref="K18:O18"/>
  </mergeCells>
  <conditionalFormatting sqref="C5:C14">
    <cfRule type="expression" priority="1" dxfId="0">
      <formula>C5="High"</formula>
    </cfRule>
    <cfRule type="expression" priority="2" dxfId="1">
      <formula>C5="Medium"</formula>
    </cfRule>
    <cfRule type="expression" priority="3" dxfId="2">
      <formula>C5="Low"</formula>
    </cfRule>
  </conditionalFormatting>
  <conditionalFormatting sqref="K20:O24">
    <cfRule type="colorScale" priority="4">
      <colorScale>
        <cfvo type="num" val="0"/>
        <cfvo type="num" val="3"/>
        <cfvo type="num" val="6"/>
        <color rgb="00C6EFCE"/>
        <color rgb="00FFE699"/>
        <color rgb="00F8CBAD"/>
      </colorScale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2025-11-25T15:33:53Z</dcterms:created>
  <dcterms:modified xmlns:dcterms="http://purl.org/dc/terms/" xmlns:xsi="http://www.w3.org/2001/XMLSchema-instance" xsi:type="dcterms:W3CDTF">2025-11-25T15:33:53Z</dcterms:modified>
</cp:coreProperties>
</file>