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Paramètres" sheetId="1" r:id="rId1"/>
    <sheet name="Calculs" sheetId="2" r:id="rId2"/>
    <sheet name="Dashboard" sheetId="3" r:id="rId3"/>
    <sheet name="Mode d'emploi" sheetId="4" r:id="rId4"/>
  </sheets>
  <definedNames>
    <definedName name="CAPEX">Paramètres!$B$55</definedName>
    <definedName name="CO2_FACTOR">Paramètres!$B$39</definedName>
    <definedName name="CO2_PRICE">Paramètres!$B$40</definedName>
    <definedName name="CONSUM_BASE">Paramètres!$B$30</definedName>
    <definedName name="DECOM_BASE">Paramètres!$B$53</definedName>
    <definedName name="DISCOUNT">Paramètres!$B$6</definedName>
    <definedName name="DT_COST">Paramètres!$B$27</definedName>
    <definedName name="DT_HOURS">Paramètres!$B$26</definedName>
    <definedName name="FTE_COST">Paramètres!$B$29</definedName>
    <definedName name="FTE_EQ">Paramètres!$B$28</definedName>
    <definedName name="HORIZON">Paramètres!$B$5</definedName>
    <definedName name="HRS_YEAR">Paramètres!$B$15</definedName>
    <definedName name="INFLATION">Paramètres!$B$7</definedName>
    <definedName name="INS_PCT">Paramètres!$B$37</definedName>
    <definedName name="LIC_BASE">Paramètres!$B$38</definedName>
    <definedName name="LOAN_PAYMENT">IF(LOAN_TERM&gt;0,-PMT(LOAN_RATE,LOAN_TERM,LOAN_SHARE*CAPEX),0)</definedName>
    <definedName name="LOAN_RATE">Paramètres!$B$9</definedName>
    <definedName name="LOAN_SHARE">Paramètres!$B$8</definedName>
    <definedName name="LOAN_TERM">Paramètres!$B$10</definedName>
    <definedName name="MAINT_PCT">Paramètres!$B$25</definedName>
    <definedName name="P_ELEC">Paramètres!$B$17</definedName>
    <definedName name="POWER_KW">Paramètres!$B$16</definedName>
    <definedName name="SALVAGE_BASE">Paramètres!$B$52</definedName>
  </definedNames>
  <calcPr calcId="124519" fullCalcOnLoad="1"/>
</workbook>
</file>

<file path=xl/sharedStrings.xml><?xml version="1.0" encoding="utf-8"?>
<sst xmlns="http://schemas.openxmlformats.org/spreadsheetml/2006/main" count="84" uniqueCount="73">
  <si>
    <t>Modèle automatisé — Coût Total de Possession (TCO)</t>
  </si>
  <si>
    <t>Remplissez les cellules bleues. Les autres sont calculées automatiquement.</t>
  </si>
  <si>
    <t>Horizon &amp; Financement</t>
  </si>
  <si>
    <t>Utilisation &amp; Énergie</t>
  </si>
  <si>
    <t>Maintenance, Arrêts, Main-d'œuvre &amp; Consommables</t>
  </si>
  <si>
    <t>Assurance, Logiciels &amp; Carbone</t>
  </si>
  <si>
    <t>CAPEX détaillé &amp; Fin de vie</t>
  </si>
  <si>
    <t>Horizon (années)</t>
  </si>
  <si>
    <t>Taux d'actualisation (WACC)</t>
  </si>
  <si>
    <t>Inflation annuelle</t>
  </si>
  <si>
    <t>Part du CAPEX financée</t>
  </si>
  <si>
    <t>Taux d'intérêt du prêt</t>
  </si>
  <si>
    <t>Durée du prêt (années)</t>
  </si>
  <si>
    <t>Heures d'utilisation/an</t>
  </si>
  <si>
    <t>Puissance moyenne (kW)</t>
  </si>
  <si>
    <t>Prix de l'électricité (€/kWh)</t>
  </si>
  <si>
    <t>Maintenance (% CAPEX/an)</t>
  </si>
  <si>
    <t>Arrêts (heures/an)</t>
  </si>
  <si>
    <t>Coût d'arrêt (€/heure)</t>
  </si>
  <si>
    <t>Équivalent ETP additionnel</t>
  </si>
  <si>
    <t>Coût chargé annuel/ETP</t>
  </si>
  <si>
    <t>Consommables (€/an)</t>
  </si>
  <si>
    <t>Assurance (% CAPEX/an)</t>
  </si>
  <si>
    <t>Licences logicielles (€/an)</t>
  </si>
  <si>
    <t>Facteur CO2e (kg/kWh)</t>
  </si>
  <si>
    <t>Prix du carbone (€/kg)</t>
  </si>
  <si>
    <t>Prix d'achat HT</t>
  </si>
  <si>
    <t>Transport &amp; Douanes</t>
  </si>
  <si>
    <t>Installation &amp; Intégration</t>
  </si>
  <si>
    <t>Formation initiale</t>
  </si>
  <si>
    <t>Kit pièces de rechange initial</t>
  </si>
  <si>
    <t>Valeur résiduelle (base)</t>
  </si>
  <si>
    <t>Coût de décommission (base)</t>
  </si>
  <si>
    <t>CAPEX total (calculé)</t>
  </si>
  <si>
    <t>Année</t>
  </si>
  <si>
    <t>Indice inflation</t>
  </si>
  <si>
    <t>Facteur actualisation</t>
  </si>
  <si>
    <t>Équity CAPEX (Y0)</t>
  </si>
  <si>
    <t>Service de la dette</t>
  </si>
  <si>
    <t>Énergie</t>
  </si>
  <si>
    <t>Maintenance</t>
  </si>
  <si>
    <t>Arrêts</t>
  </si>
  <si>
    <t>Main-d'œuvre</t>
  </si>
  <si>
    <t>Consommables</t>
  </si>
  <si>
    <t>Licences</t>
  </si>
  <si>
    <t>Assurance</t>
  </si>
  <si>
    <t>Carbone</t>
  </si>
  <si>
    <t>Décommission (fin)</t>
  </si>
  <si>
    <t>Valeur résiduelle (fin)</t>
  </si>
  <si>
    <t>Flux nominal</t>
  </si>
  <si>
    <t>Flux actualisé</t>
  </si>
  <si>
    <t>Totaux (sur horizon)</t>
  </si>
  <si>
    <t>Heures totales (horizon)</t>
  </si>
  <si>
    <t>TCO / an (NPV/H)</t>
  </si>
  <si>
    <t>TCO / h (NPV/Heure)</t>
  </si>
  <si>
    <t>NPV par poste</t>
  </si>
  <si>
    <t>Décommission</t>
  </si>
  <si>
    <t>Valeur résiduelle</t>
  </si>
  <si>
    <t>Total NPV (somme postes)</t>
  </si>
  <si>
    <t>Tableau de bord — Coût Total de Possession</t>
  </si>
  <si>
    <t>Résumé &amp; KPI</t>
  </si>
  <si>
    <t>TCO total nominal (somme des flux non actualisés)</t>
  </si>
  <si>
    <t>TCO total actualisé (NPV)</t>
  </si>
  <si>
    <t>TCO / heure (NPV/Heure)</t>
  </si>
  <si>
    <t>Hypothèses clés</t>
  </si>
  <si>
    <t>Horizon (ans)</t>
  </si>
  <si>
    <t>Taux d'actualisation</t>
  </si>
  <si>
    <t>Inflation</t>
  </si>
  <si>
    <t>CAPEX total</t>
  </si>
  <si>
    <t>Part financée</t>
  </si>
  <si>
    <t>Durée prêt (ans)</t>
  </si>
  <si>
    <t>Mode d'emploi — Modèle automatisé TCO</t>
  </si>
  <si>
    <t>1) Renseignez les paramètres dans l'onglet « Paramètres » (cellules bleues). Adaptez l'horizon, les taux (actualisation, inflation), l'utilisation (heures/an), et les coûts unitaires (énergie, arrêts, ETP, consommables, licences, assurance, etc.).
2) Détaillez le CAPEX (achat, transport, installation, formation, kit initial). Le total CAPEX est calculé automatiquement. La part financée, le taux et la durée du prêt génèrent des flux de service de la dette (annuités). L'apport (équity) sort en année 0.
3) Les flux OPEX (énergie, maintenance, arrêts, main‑d'œuvre, consommables, licences, assurance, carbone) sont calculés année par année, indexés par l'inflation. Le coût carbone est basé sur le facteur CO2e (kg/kWh) et un prix du carbone (€/kg). Modifiez-les selon votre contexte.
4) En fin d'horizon, le modèle tient compte d'un coût de décommission et d'une valeur résiduelle. Les flux sont actualisés (NPV). Les KPI (TCO nominal, TCO actualisé, TCO/an, TCO/heure) se lisent dans « Dashboard ».
5) Pour une comparaison de scénarios A/B, dupliquez le fichier et changez uniquement les hypothèses clés (horizon, part financée, énergie, maintenance, arrêts, etc.). Vous pouvez également copier l'onglet « Paramètres » et « Calculs » et créer un second tableau de bord.
Conseils:
• Ajustez les champs en € HT (hors taxes) pour une vision économique globale.
• Si vous souhaitez intégrer des taxes/subventions, créez des lignes dédiées dans « Calculs ».
• Utilisez « Dernière colonne des Totaux » (onglet Calculs) pour récupérer le NPV et l'intégrer à des décisions d'investissement.
• Le format est prêt à imprimer (pied de page brandé lecoursgratuit.com).</t>
  </si>
</sst>
</file>

<file path=xl/styles.xml><?xml version="1.0" encoding="utf-8"?>
<styleSheet xmlns="http://schemas.openxmlformats.org/spreadsheetml/2006/main">
  <numFmts count="4">
    <numFmt numFmtId="164" formatCode="0.0%"/>
    <numFmt numFmtId="165" formatCode="#,##0.00"/>
    <numFmt numFmtId="166" formatCode="€ #,##0"/>
    <numFmt numFmtId="167" formatCode="#,##0.0"/>
  </numFmts>
  <fonts count="6">
    <font>
      <sz val="11"/>
      <color theme="1"/>
      <name val="Calibri"/>
      <family val="2"/>
      <scheme val="minor"/>
    </font>
    <font>
      <b/>
      <sz val="16"/>
      <color theme="1"/>
      <name val="Calibri"/>
      <family val="2"/>
      <scheme val="minor"/>
    </font>
    <font>
      <sz val="10"/>
      <color theme="1"/>
      <name val="Calibri"/>
      <family val="2"/>
      <scheme val="minor"/>
    </font>
    <font>
      <b/>
      <sz val="12"/>
      <color theme="1"/>
      <name val="Calibri"/>
      <family val="2"/>
      <scheme val="minor"/>
    </font>
    <font>
      <b/>
      <sz val="11"/>
      <color rgb="FF1F4E79"/>
      <name val="Calibri"/>
      <family val="2"/>
      <scheme val="minor"/>
    </font>
    <font>
      <b/>
      <sz val="11"/>
      <color theme="1"/>
      <name val="Calibri"/>
      <family val="2"/>
      <scheme val="minor"/>
    </font>
  </fonts>
  <fills count="6">
    <fill>
      <patternFill patternType="none"/>
    </fill>
    <fill>
      <patternFill patternType="gray125"/>
    </fill>
    <fill>
      <patternFill patternType="solid">
        <fgColor rgb="FFE8F5E9"/>
        <bgColor indexed="64"/>
      </patternFill>
    </fill>
    <fill>
      <patternFill patternType="solid">
        <fgColor rgb="FFE3F2FD"/>
        <bgColor indexed="64"/>
      </patternFill>
    </fill>
    <fill>
      <patternFill patternType="solid">
        <fgColor rgb="FFF3F3F3"/>
        <bgColor indexed="64"/>
      </patternFill>
    </fill>
    <fill>
      <patternFill patternType="solid">
        <fgColor rgb="FFFFF3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1" fillId="0" borderId="0" xfId="0" applyFont="1" applyAlignment="1">
      <alignment horizontal="left" vertical="center"/>
    </xf>
    <xf numFmtId="0" fontId="2" fillId="0" borderId="0" xfId="0" applyFont="1"/>
    <xf numFmtId="0" fontId="3" fillId="2" borderId="1" xfId="0" applyFont="1" applyFill="1" applyBorder="1" applyAlignment="1">
      <alignment horizontal="left" vertical="center"/>
    </xf>
    <xf numFmtId="0" fontId="4" fillId="0" borderId="0" xfId="0" applyFont="1"/>
    <xf numFmtId="1" fontId="0" fillId="3" borderId="2" xfId="0" applyNumberFormat="1" applyFill="1" applyBorder="1"/>
    <xf numFmtId="164" fontId="0" fillId="3" borderId="2" xfId="0" applyNumberFormat="1" applyFill="1" applyBorder="1"/>
    <xf numFmtId="165" fontId="0" fillId="3" borderId="2" xfId="0" applyNumberFormat="1" applyFill="1" applyBorder="1"/>
    <xf numFmtId="166" fontId="0" fillId="3" borderId="2" xfId="0" applyNumberFormat="1" applyFill="1" applyBorder="1"/>
    <xf numFmtId="166" fontId="5" fillId="0" borderId="0" xfId="0" applyNumberFormat="1" applyFont="1"/>
    <xf numFmtId="0" fontId="5" fillId="4" borderId="2" xfId="0" applyFont="1" applyFill="1" applyBorder="1"/>
    <xf numFmtId="165" fontId="0" fillId="0" borderId="0" xfId="0" applyNumberFormat="1"/>
    <xf numFmtId="166" fontId="0" fillId="0" borderId="0" xfId="0" applyNumberFormat="1"/>
    <xf numFmtId="0" fontId="0" fillId="0" borderId="2" xfId="0" applyBorder="1"/>
    <xf numFmtId="166" fontId="5" fillId="5" borderId="2" xfId="0" applyNumberFormat="1" applyFont="1" applyFill="1" applyBorder="1"/>
    <xf numFmtId="167" fontId="5" fillId="5" borderId="2" xfId="0" applyNumberFormat="1" applyFont="1" applyFill="1" applyBorder="1"/>
    <xf numFmtId="0" fontId="5" fillId="5" borderId="2" xfId="0" applyFont="1" applyFill="1" applyBorder="1"/>
    <xf numFmtId="164" fontId="0" fillId="0" borderId="0" xfId="0" applyNumberFormat="1"/>
    <xf numFmtId="0" fontId="0" fillId="0" borderId="0" xfId="0" applyAlignment="1">
      <alignment vertical="top" wrapText="1"/>
    </xf>
  </cellXfs>
  <cellStyles count="1">
    <cellStyle name="Normal" xfId="0" builtinId="0"/>
  </cellStyles>
  <dxfs count="1">
    <dxf>
      <fill>
        <patternFill>
          <bgColor rgb="FFFFEBE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Répartition des coûts par année (nominal)</a:t>
            </a:r>
          </a:p>
        </c:rich>
      </c:tx>
      <c:layout/>
    </c:title>
    <c:plotArea>
      <c:layout/>
      <c:barChart>
        <c:barDir val="col"/>
        <c:grouping val="stacked"/>
        <c:ser>
          <c:idx val="0"/>
          <c:order val="0"/>
          <c:tx>
            <c:v>Équity CAPEX (Y0)</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Calculs!$D$2:$D$22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1"/>
          <c:order val="1"/>
          <c:tx>
            <c:v>Service de la dette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Calculs!$E$2:$E$22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2"/>
          <c:order val="2"/>
          <c:tx>
            <c:v>Énergie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Calculs!$F$2:$F$22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3"/>
          <c:order val="3"/>
          <c:tx>
            <c:v>Maintenance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Calculs!$G$2:$G$22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4"/>
          <c:order val="4"/>
          <c:tx>
            <c:v>Arrêts</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Calculs!$H$2:$H$22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5"/>
          <c:order val="5"/>
          <c:tx>
            <c:v>Main-d'œuvre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Calculs!$I$2:$I$22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6"/>
          <c:order val="6"/>
          <c:tx>
            <c:v>Consommables</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Calculs!$J$2:$J$22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7"/>
          <c:order val="7"/>
          <c:tx>
            <c:v>Licences</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Calculs!$K$2:$K$22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8"/>
          <c:order val="8"/>
          <c:tx>
            <c:v>Assurance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Calculs!$L$2:$L$22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9"/>
          <c:order val="9"/>
          <c:tx>
            <c:v>Carbone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Calculs!$M$2:$M$22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10"/>
          <c:order val="10"/>
          <c:tx>
            <c:v>Décommission</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Calculs!$N$2:$N$22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ser>
          <c:idx val="11"/>
          <c:order val="11"/>
          <c:tx>
            <c:v>Valeur résiduelle</c:v>
          </c:tx>
          <c:cat>
            <c:numRef>
              <c:f>Calculs!$A$2:$A$22</c:f>
              <c:numCache>
                <c:formatCode>General</c:formatCode>
                <c:ptCount val="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numCache>
            </c:numRef>
          </c:cat>
          <c:val>
            <c:numRef>
              <c:f>Calculs!$O$2:$O$22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er>
        <c:overlap val="100"/>
        <c:axId val="50010001"/>
        <c:axId val="50010002"/>
      </c:barChart>
      <c:catAx>
        <c:axId val="50010001"/>
        <c:scaling>
          <c:orientation val="minMax"/>
        </c:scaling>
        <c:axPos val="b"/>
        <c:title>
          <c:tx>
            <c:rich>
              <a:bodyPr/>
              <a:lstStyle/>
              <a:p>
                <a:pPr>
                  <a:defRPr/>
                </a:pPr>
                <a:r>
                  <a:rPr lang="en-US"/>
                  <a:t>Année</a:t>
                </a:r>
              </a:p>
            </c:rich>
          </c:tx>
          <c:layout/>
        </c:title>
        <c:numFmt formatCode="General" sourceLinked="1"/>
        <c:tickLblPos val="nextTo"/>
        <c:crossAx val="50010002"/>
        <c:crosses val="autoZero"/>
        <c:auto val="1"/>
        <c:lblAlgn val="ctr"/>
        <c:lblOffset val="100"/>
      </c:catAx>
      <c:valAx>
        <c:axId val="50010002"/>
        <c:scaling>
          <c:orientation val="minMax"/>
        </c:scaling>
        <c:axPos val="l"/>
        <c:majorGridlines/>
        <c:title>
          <c:tx>
            <c:rich>
              <a:bodyPr/>
              <a:lstStyle/>
              <a:p>
                <a:pPr>
                  <a:defRPr/>
                </a:pPr>
                <a:r>
                  <a:rPr lang="en-US"/>
                  <a:t>€ (nominal)</a:t>
                </a:r>
              </a:p>
            </c:rich>
          </c:tx>
          <c:layout/>
        </c:title>
        <c:numFmt formatCode="General" sourceLinked="1"/>
        <c:tickLblPos val="nextTo"/>
        <c:crossAx val="50010001"/>
        <c:crosses val="autoZero"/>
        <c:crossBetween val="between"/>
      </c:valAx>
    </c:plotArea>
    <c:legend>
      <c:legendPos val="b"/>
      <c:layout/>
    </c:legend>
    <c:plotVisOnly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Top postes (NPV)</a:t>
            </a:r>
          </a:p>
        </c:rich>
      </c:tx>
      <c:layout/>
    </c:title>
    <c:plotArea>
      <c:layout/>
      <c:pieChart>
        <c:varyColors val="1"/>
        <c:ser>
          <c:idx val="0"/>
          <c:order val="0"/>
          <c:tx>
            <c:v>NPV par poste</c:v>
          </c:tx>
          <c:dLbls>
            <c:showPercent val="1"/>
          </c:dLbls>
          <c:cat>
            <c:strRef>
              <c:f>Calculs!$S$2:$S$13</c:f>
              <c:strCache>
                <c:ptCount val="12"/>
                <c:pt idx="1">
                  <c:v>Équity CAPEX (Y0)</c:v>
                </c:pt>
                <c:pt idx="2">
                  <c:v>Service de la dette</c:v>
                </c:pt>
                <c:pt idx="3">
                  <c:v>Énergie</c:v>
                </c:pt>
                <c:pt idx="4">
                  <c:v>Maintenance</c:v>
                </c:pt>
                <c:pt idx="5">
                  <c:v>Arrêts</c:v>
                </c:pt>
                <c:pt idx="6">
                  <c:v>Main-d'œuvre</c:v>
                </c:pt>
                <c:pt idx="7">
                  <c:v>Consommables</c:v>
                </c:pt>
                <c:pt idx="8">
                  <c:v>Licences</c:v>
                </c:pt>
                <c:pt idx="9">
                  <c:v>Assurance</c:v>
                </c:pt>
                <c:pt idx="10">
                  <c:v>Carbone</c:v>
                </c:pt>
                <c:pt idx="11">
                  <c:v>Décommission</c:v>
                </c:pt>
              </c:strCache>
            </c:strRef>
          </c:cat>
          <c:val>
            <c:numRef>
              <c:f>Calculs!$T$2:$T$13</c:f>
              <c:numCache>
                <c:formatCode>General</c:formatCode>
                <c:ptCount val="12"/>
                <c:pt idx="1">
                  <c:v>0</c:v>
                </c:pt>
                <c:pt idx="2">
                  <c:v>0</c:v>
                </c:pt>
                <c:pt idx="3">
                  <c:v>0</c:v>
                </c:pt>
                <c:pt idx="4">
                  <c:v>0</c:v>
                </c:pt>
                <c:pt idx="5">
                  <c:v>0</c:v>
                </c:pt>
                <c:pt idx="6">
                  <c:v>0</c:v>
                </c:pt>
                <c:pt idx="7">
                  <c:v>0</c:v>
                </c:pt>
                <c:pt idx="8">
                  <c:v>0</c:v>
                </c:pt>
                <c:pt idx="9">
                  <c:v>0</c:v>
                </c:pt>
                <c:pt idx="10">
                  <c:v>0</c:v>
                </c:pt>
                <c:pt idx="11">
                  <c:v>0</c:v>
                </c:pt>
              </c:numCache>
            </c:numRef>
          </c:val>
        </c:ser>
        <c:firstSliceAng val="0"/>
      </c:pieChart>
    </c:plotArea>
    <c:legend>
      <c:legendPos val="r"/>
      <c:layout/>
      <c:txPr>
        <a:bodyPr/>
        <a:lstStyle/>
        <a:p>
          <a:pPr rtl="0">
            <a:defRPr/>
          </a:pPr>
          <a:endParaRPr lang="en-US"/>
        </a:p>
      </c:txPr>
    </c:legend>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0</xdr:colOff>
      <xdr:row>8</xdr:row>
      <xdr:rowOff>0</xdr:rowOff>
    </xdr:from>
    <xdr:to>
      <xdr:col>8</xdr:col>
      <xdr:colOff>95250</xdr:colOff>
      <xdr:row>23</xdr:row>
      <xdr:rowOff>161925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17</xdr:row>
      <xdr:rowOff>0</xdr:rowOff>
    </xdr:from>
    <xdr:to>
      <xdr:col>3</xdr:col>
      <xdr:colOff>676275</xdr:colOff>
      <xdr:row>34</xdr:row>
      <xdr:rowOff>57150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C55"/>
  <sheetViews>
    <sheetView tabSelected="1" workbookViewId="0"/>
  </sheetViews>
  <sheetFormatPr defaultRowHeight="15"/>
  <cols>
    <col min="1" max="1" width="34.7109375" customWidth="1"/>
    <col min="2" max="3" width="18.7109375" customWidth="1"/>
  </cols>
  <sheetData>
    <row r="1" spans="1:3" ht="26" customHeight="1">
      <c r="A1" s="1" t="s">
        <v>0</v>
      </c>
      <c r="B1" s="1"/>
      <c r="C1" s="1"/>
    </row>
    <row r="2" spans="1:3">
      <c r="A2" s="2" t="s">
        <v>1</v>
      </c>
    </row>
    <row r="4" spans="1:3">
      <c r="A4" s="3" t="s">
        <v>2</v>
      </c>
    </row>
    <row r="5" spans="1:3">
      <c r="A5" s="4" t="s">
        <v>7</v>
      </c>
      <c r="B5" s="5">
        <v>7</v>
      </c>
    </row>
    <row r="6" spans="1:3">
      <c r="A6" s="4" t="s">
        <v>8</v>
      </c>
      <c r="B6" s="6">
        <v>0.08</v>
      </c>
    </row>
    <row r="7" spans="1:3">
      <c r="A7" s="4" t="s">
        <v>9</v>
      </c>
      <c r="B7" s="6">
        <v>0.025</v>
      </c>
    </row>
    <row r="8" spans="1:3">
      <c r="A8" s="4" t="s">
        <v>10</v>
      </c>
      <c r="B8" s="6">
        <v>0.7</v>
      </c>
    </row>
    <row r="9" spans="1:3">
      <c r="A9" s="4" t="s">
        <v>11</v>
      </c>
      <c r="B9" s="6">
        <v>0.05</v>
      </c>
    </row>
    <row r="10" spans="1:3">
      <c r="A10" s="4" t="s">
        <v>12</v>
      </c>
      <c r="B10" s="5">
        <v>5</v>
      </c>
    </row>
    <row r="14" spans="1:3">
      <c r="A14" s="3" t="s">
        <v>3</v>
      </c>
    </row>
    <row r="15" spans="1:3">
      <c r="A15" s="4" t="s">
        <v>13</v>
      </c>
      <c r="B15" s="5">
        <v>2000</v>
      </c>
    </row>
    <row r="16" spans="1:3">
      <c r="A16" s="4" t="s">
        <v>14</v>
      </c>
      <c r="B16" s="7">
        <v>7.5</v>
      </c>
    </row>
    <row r="17" spans="1:2">
      <c r="A17" s="4" t="s">
        <v>15</v>
      </c>
      <c r="B17" s="7">
        <v>0.18</v>
      </c>
    </row>
    <row r="24" spans="1:2">
      <c r="A24" s="3" t="s">
        <v>4</v>
      </c>
    </row>
    <row r="25" spans="1:2">
      <c r="A25" s="4" t="s">
        <v>16</v>
      </c>
      <c r="B25" s="6">
        <v>0.04</v>
      </c>
    </row>
    <row r="26" spans="1:2">
      <c r="A26" s="4" t="s">
        <v>17</v>
      </c>
      <c r="B26" s="5">
        <v>50</v>
      </c>
    </row>
    <row r="27" spans="1:2">
      <c r="A27" s="4" t="s">
        <v>18</v>
      </c>
      <c r="B27" s="8">
        <v>300</v>
      </c>
    </row>
    <row r="28" spans="1:2">
      <c r="A28" s="4" t="s">
        <v>19</v>
      </c>
      <c r="B28" s="7">
        <v>0.2</v>
      </c>
    </row>
    <row r="29" spans="1:2">
      <c r="A29" s="4" t="s">
        <v>20</v>
      </c>
      <c r="B29" s="8">
        <v>45000</v>
      </c>
    </row>
    <row r="30" spans="1:2">
      <c r="A30" s="4" t="s">
        <v>21</v>
      </c>
      <c r="B30" s="8">
        <v>3000</v>
      </c>
    </row>
    <row r="36" spans="1:2">
      <c r="A36" s="3" t="s">
        <v>5</v>
      </c>
    </row>
    <row r="37" spans="1:2">
      <c r="A37" s="4" t="s">
        <v>22</v>
      </c>
      <c r="B37" s="6">
        <v>0.005</v>
      </c>
    </row>
    <row r="38" spans="1:2">
      <c r="A38" s="4" t="s">
        <v>23</v>
      </c>
      <c r="B38" s="8">
        <v>1200</v>
      </c>
    </row>
    <row r="39" spans="1:2">
      <c r="A39" s="4" t="s">
        <v>24</v>
      </c>
      <c r="B39" s="7">
        <v>0.05</v>
      </c>
    </row>
    <row r="40" spans="1:2">
      <c r="A40" s="4" t="s">
        <v>25</v>
      </c>
      <c r="B40" s="7">
        <v>0.09</v>
      </c>
    </row>
    <row r="46" spans="1:2">
      <c r="A46" s="3" t="s">
        <v>6</v>
      </c>
    </row>
    <row r="47" spans="1:2">
      <c r="A47" s="4" t="s">
        <v>26</v>
      </c>
      <c r="B47" s="8">
        <v>50000</v>
      </c>
    </row>
    <row r="48" spans="1:2">
      <c r="A48" s="4" t="s">
        <v>27</v>
      </c>
      <c r="B48" s="8">
        <v>2000</v>
      </c>
    </row>
    <row r="49" spans="1:2">
      <c r="A49" s="4" t="s">
        <v>28</v>
      </c>
      <c r="B49" s="8">
        <v>3000</v>
      </c>
    </row>
    <row r="50" spans="1:2">
      <c r="A50" s="4" t="s">
        <v>29</v>
      </c>
      <c r="B50" s="8">
        <v>1500</v>
      </c>
    </row>
    <row r="51" spans="1:2">
      <c r="A51" s="4" t="s">
        <v>30</v>
      </c>
      <c r="B51" s="8">
        <v>800</v>
      </c>
    </row>
    <row r="52" spans="1:2">
      <c r="A52" s="4" t="s">
        <v>31</v>
      </c>
      <c r="B52" s="8">
        <v>10000</v>
      </c>
    </row>
    <row r="53" spans="1:2">
      <c r="A53" s="4" t="s">
        <v>32</v>
      </c>
      <c r="B53" s="8">
        <v>1500</v>
      </c>
    </row>
    <row r="55" spans="1:2">
      <c r="A55" s="4" t="s">
        <v>33</v>
      </c>
      <c r="B55" s="9">
        <f>SUM(B47:B51)</f>
        <v>0</v>
      </c>
    </row>
  </sheetData>
  <mergeCells count="1">
    <mergeCell ref="A1:C1"/>
  </mergeCells>
  <conditionalFormatting sqref="B10">
    <cfRule type="cellIs" dxfId="0" priority="3" operator="lessThan">
      <formula>0</formula>
    </cfRule>
  </conditionalFormatting>
  <conditionalFormatting sqref="B15:B17">
    <cfRule type="cellIs" dxfId="0" priority="4" operator="lessThanOrEqual">
      <formula>0</formula>
    </cfRule>
  </conditionalFormatting>
  <conditionalFormatting sqref="B25">
    <cfRule type="cellIs" dxfId="0" priority="5" operator="lessThan">
      <formula>0</formula>
    </cfRule>
  </conditionalFormatting>
  <conditionalFormatting sqref="B26:B30">
    <cfRule type="cellIs" dxfId="0" priority="6" operator="lessThan">
      <formula>0</formula>
    </cfRule>
  </conditionalFormatting>
  <conditionalFormatting sqref="B37:B40">
    <cfRule type="cellIs" dxfId="0" priority="7" operator="lessThan">
      <formula>0</formula>
    </cfRule>
  </conditionalFormatting>
  <conditionalFormatting sqref="B47:B53">
    <cfRule type="cellIs" dxfId="0" priority="8" operator="lessThan">
      <formula>0</formula>
    </cfRule>
  </conditionalFormatting>
  <conditionalFormatting sqref="B6:B7">
    <cfRule type="cellIs" dxfId="0" priority="1" operator="lessThan">
      <formula>0</formula>
    </cfRule>
  </conditionalFormatting>
  <conditionalFormatting sqref="B9">
    <cfRule type="cellIs" dxfId="0" priority="2" operator="lessThan">
      <formula>0</formula>
    </cfRule>
  </conditionalFormatting>
  <pageMargins left="0.4" right="0.4" top="0.6" bottom="0.6" header="0.3" footer="0.3"/>
  <pageSetup orientation="portrait"/>
  <headerFooter>
    <oddFooter>&amp;Llecoursgratuit.com&amp;RModèle TCO&amp;CCopyright © lecoursgratuit.com</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T26"/>
  <sheetViews>
    <sheetView workbookViewId="0"/>
  </sheetViews>
  <sheetFormatPr defaultRowHeight="15"/>
  <cols>
    <col min="1" max="1" width="8.7109375" customWidth="1"/>
    <col min="2" max="3" width="12.7109375" customWidth="1"/>
    <col min="4" max="21" width="16.7109375" customWidth="1"/>
  </cols>
  <sheetData>
    <row r="1" spans="1:20">
      <c r="A1" s="10" t="s">
        <v>34</v>
      </c>
      <c r="B1" s="10" t="s">
        <v>35</v>
      </c>
      <c r="C1" s="10" t="s">
        <v>36</v>
      </c>
      <c r="D1" s="10" t="s">
        <v>37</v>
      </c>
      <c r="E1" s="10" t="s">
        <v>38</v>
      </c>
      <c r="F1" s="10" t="s">
        <v>39</v>
      </c>
      <c r="G1" s="10" t="s">
        <v>40</v>
      </c>
      <c r="H1" s="10" t="s">
        <v>41</v>
      </c>
      <c r="I1" s="10" t="s">
        <v>42</v>
      </c>
      <c r="J1" s="10" t="s">
        <v>43</v>
      </c>
      <c r="K1" s="10" t="s">
        <v>44</v>
      </c>
      <c r="L1" s="10" t="s">
        <v>45</v>
      </c>
      <c r="M1" s="10" t="s">
        <v>46</v>
      </c>
      <c r="N1" s="10" t="s">
        <v>47</v>
      </c>
      <c r="O1" s="10" t="s">
        <v>48</v>
      </c>
      <c r="P1" s="10" t="s">
        <v>49</v>
      </c>
      <c r="Q1" s="10" t="s">
        <v>50</v>
      </c>
      <c r="S1" s="10" t="s">
        <v>55</v>
      </c>
    </row>
    <row r="2" spans="1:20">
      <c r="A2" s="5">
        <v>0</v>
      </c>
      <c r="B2" s="11">
        <f>(1+INFLATION)^0</f>
        <v>0</v>
      </c>
      <c r="C2" s="11">
        <f>1/(1+DISCOUNT)^0</f>
        <v>0</v>
      </c>
      <c r="D2" s="12">
        <f>IF(AND($A2=0,$A2&lt;=HORIZON),CAPEX*(1-LOAN_SHARE),0)</f>
        <v>0</v>
      </c>
      <c r="E2" s="12">
        <f>IF(AND($A2&gt;=1,$A2&lt;=LOAN_TERM,$A2&lt;=HORIZON),LOAN_PAYMENT,0)</f>
        <v>0</v>
      </c>
      <c r="F2" s="12">
        <f>IF(AND($A2&gt;=1,$A2&lt;=HORIZON),POWER_KW*HRS_YEAR*P_ELEC*B2,0)</f>
        <v>0</v>
      </c>
      <c r="G2" s="12">
        <f>IF(AND($A2&gt;=1,$A2&lt;=HORIZON),CAPEX*MAINT_PCT*B2,0)</f>
        <v>0</v>
      </c>
      <c r="H2" s="12">
        <f>IF(AND($A2&gt;=1,$A2&lt;=HORIZON),DT_HOURS*DT_COST*B2,0)</f>
        <v>0</v>
      </c>
      <c r="I2" s="12">
        <f>IF(AND($A2&gt;=1,$A2&lt;=HORIZON),FTE_EQ*FTE_COST*B2,0)</f>
        <v>0</v>
      </c>
      <c r="J2" s="12">
        <f>IF(AND($A2&gt;=1,$A2&lt;=HORIZON),CONSUM_BASE*B2,0)</f>
        <v>0</v>
      </c>
      <c r="K2" s="12">
        <f>IF(AND($A2&gt;=1,$A2&lt;=HORIZON),LIC_BASE*B2,0)</f>
        <v>0</v>
      </c>
      <c r="L2" s="12">
        <f>IF(AND($A2&gt;=1,$A2&lt;=HORIZON),CAPEX*INS_PCT*B2,0)</f>
        <v>0</v>
      </c>
      <c r="M2" s="12">
        <f>IF(AND($A2&gt;=1,$A2&lt;=HORIZON),POWER_KW*HRS_YEAR*CO2_FACTOR*CO2_PRICE*B2,0)</f>
        <v>0</v>
      </c>
      <c r="N2" s="12">
        <f>IF($A2=HORIZON,-DECOM_BASE*B2,0)</f>
        <v>0</v>
      </c>
      <c r="O2" s="12">
        <f>IF($A2=HORIZON,SALVAGE_BASE*B2,0)</f>
        <v>0</v>
      </c>
      <c r="P2" s="12">
        <f>SUM(D2:N2)+O2</f>
        <v>0</v>
      </c>
      <c r="Q2" s="12">
        <f>C2*P2</f>
        <v>0</v>
      </c>
    </row>
    <row r="3" spans="1:20">
      <c r="A3" s="5">
        <v>1</v>
      </c>
      <c r="B3" s="11">
        <f>(1+INFLATION)^1</f>
        <v>0</v>
      </c>
      <c r="C3" s="11">
        <f>1/(1+DISCOUNT)^1</f>
        <v>0</v>
      </c>
      <c r="D3" s="12">
        <f>IF(AND($A3=0,$A3&lt;=HORIZON),CAPEX*(1-LOAN_SHARE),0)</f>
        <v>0</v>
      </c>
      <c r="E3" s="12">
        <f>IF(AND($A3&gt;=1,$A3&lt;=LOAN_TERM,$A3&lt;=HORIZON),LOAN_PAYMENT,0)</f>
        <v>0</v>
      </c>
      <c r="F3" s="12">
        <f>IF(AND($A3&gt;=1,$A3&lt;=HORIZON),POWER_KW*HRS_YEAR*P_ELEC*B3,0)</f>
        <v>0</v>
      </c>
      <c r="G3" s="12">
        <f>IF(AND($A3&gt;=1,$A3&lt;=HORIZON),CAPEX*MAINT_PCT*B3,0)</f>
        <v>0</v>
      </c>
      <c r="H3" s="12">
        <f>IF(AND($A3&gt;=1,$A3&lt;=HORIZON),DT_HOURS*DT_COST*B3,0)</f>
        <v>0</v>
      </c>
      <c r="I3" s="12">
        <f>IF(AND($A3&gt;=1,$A3&lt;=HORIZON),FTE_EQ*FTE_COST*B3,0)</f>
        <v>0</v>
      </c>
      <c r="J3" s="12">
        <f>IF(AND($A3&gt;=1,$A3&lt;=HORIZON),CONSUM_BASE*B3,0)</f>
        <v>0</v>
      </c>
      <c r="K3" s="12">
        <f>IF(AND($A3&gt;=1,$A3&lt;=HORIZON),LIC_BASE*B3,0)</f>
        <v>0</v>
      </c>
      <c r="L3" s="12">
        <f>IF(AND($A3&gt;=1,$A3&lt;=HORIZON),CAPEX*INS_PCT*B3,0)</f>
        <v>0</v>
      </c>
      <c r="M3" s="12">
        <f>IF(AND($A3&gt;=1,$A3&lt;=HORIZON),POWER_KW*HRS_YEAR*CO2_FACTOR*CO2_PRICE*B3,0)</f>
        <v>0</v>
      </c>
      <c r="N3" s="12">
        <f>IF($A3=HORIZON,-DECOM_BASE*B3,0)</f>
        <v>0</v>
      </c>
      <c r="O3" s="12">
        <f>IF($A3=HORIZON,SALVAGE_BASE*B3,0)</f>
        <v>0</v>
      </c>
      <c r="P3" s="12">
        <f>SUM(D3:N3)+O3</f>
        <v>0</v>
      </c>
      <c r="Q3" s="12">
        <f>C3*P3</f>
        <v>0</v>
      </c>
      <c r="S3" s="2" t="s">
        <v>37</v>
      </c>
      <c r="T3" s="9">
        <f>SUMPRODUCT($C$2:$C$22,$D$2:$D$22)</f>
        <v>0</v>
      </c>
    </row>
    <row r="4" spans="1:20">
      <c r="A4" s="5">
        <v>2</v>
      </c>
      <c r="B4" s="11">
        <f>(1+INFLATION)^2</f>
        <v>0</v>
      </c>
      <c r="C4" s="11">
        <f>1/(1+DISCOUNT)^2</f>
        <v>0</v>
      </c>
      <c r="D4" s="12">
        <f>IF(AND($A4=0,$A4&lt;=HORIZON),CAPEX*(1-LOAN_SHARE),0)</f>
        <v>0</v>
      </c>
      <c r="E4" s="12">
        <f>IF(AND($A4&gt;=1,$A4&lt;=LOAN_TERM,$A4&lt;=HORIZON),LOAN_PAYMENT,0)</f>
        <v>0</v>
      </c>
      <c r="F4" s="12">
        <f>IF(AND($A4&gt;=1,$A4&lt;=HORIZON),POWER_KW*HRS_YEAR*P_ELEC*B4,0)</f>
        <v>0</v>
      </c>
      <c r="G4" s="12">
        <f>IF(AND($A4&gt;=1,$A4&lt;=HORIZON),CAPEX*MAINT_PCT*B4,0)</f>
        <v>0</v>
      </c>
      <c r="H4" s="12">
        <f>IF(AND($A4&gt;=1,$A4&lt;=HORIZON),DT_HOURS*DT_COST*B4,0)</f>
        <v>0</v>
      </c>
      <c r="I4" s="12">
        <f>IF(AND($A4&gt;=1,$A4&lt;=HORIZON),FTE_EQ*FTE_COST*B4,0)</f>
        <v>0</v>
      </c>
      <c r="J4" s="12">
        <f>IF(AND($A4&gt;=1,$A4&lt;=HORIZON),CONSUM_BASE*B4,0)</f>
        <v>0</v>
      </c>
      <c r="K4" s="12">
        <f>IF(AND($A4&gt;=1,$A4&lt;=HORIZON),LIC_BASE*B4,0)</f>
        <v>0</v>
      </c>
      <c r="L4" s="12">
        <f>IF(AND($A4&gt;=1,$A4&lt;=HORIZON),CAPEX*INS_PCT*B4,0)</f>
        <v>0</v>
      </c>
      <c r="M4" s="12">
        <f>IF(AND($A4&gt;=1,$A4&lt;=HORIZON),POWER_KW*HRS_YEAR*CO2_FACTOR*CO2_PRICE*B4,0)</f>
        <v>0</v>
      </c>
      <c r="N4" s="12">
        <f>IF($A4=HORIZON,-DECOM_BASE*B4,0)</f>
        <v>0</v>
      </c>
      <c r="O4" s="12">
        <f>IF($A4=HORIZON,SALVAGE_BASE*B4,0)</f>
        <v>0</v>
      </c>
      <c r="P4" s="12">
        <f>SUM(D4:N4)+O4</f>
        <v>0</v>
      </c>
      <c r="Q4" s="12">
        <f>C4*P4</f>
        <v>0</v>
      </c>
      <c r="S4" s="2" t="s">
        <v>38</v>
      </c>
      <c r="T4" s="9">
        <f>SUMPRODUCT($C$2:$C$22,$E$2:$E$22)</f>
        <v>0</v>
      </c>
    </row>
    <row r="5" spans="1:20">
      <c r="A5" s="5">
        <v>3</v>
      </c>
      <c r="B5" s="11">
        <f>(1+INFLATION)^3</f>
        <v>0</v>
      </c>
      <c r="C5" s="11">
        <f>1/(1+DISCOUNT)^3</f>
        <v>0</v>
      </c>
      <c r="D5" s="12">
        <f>IF(AND($A5=0,$A5&lt;=HORIZON),CAPEX*(1-LOAN_SHARE),0)</f>
        <v>0</v>
      </c>
      <c r="E5" s="12">
        <f>IF(AND($A5&gt;=1,$A5&lt;=LOAN_TERM,$A5&lt;=HORIZON),LOAN_PAYMENT,0)</f>
        <v>0</v>
      </c>
      <c r="F5" s="12">
        <f>IF(AND($A5&gt;=1,$A5&lt;=HORIZON),POWER_KW*HRS_YEAR*P_ELEC*B5,0)</f>
        <v>0</v>
      </c>
      <c r="G5" s="12">
        <f>IF(AND($A5&gt;=1,$A5&lt;=HORIZON),CAPEX*MAINT_PCT*B5,0)</f>
        <v>0</v>
      </c>
      <c r="H5" s="12">
        <f>IF(AND($A5&gt;=1,$A5&lt;=HORIZON),DT_HOURS*DT_COST*B5,0)</f>
        <v>0</v>
      </c>
      <c r="I5" s="12">
        <f>IF(AND($A5&gt;=1,$A5&lt;=HORIZON),FTE_EQ*FTE_COST*B5,0)</f>
        <v>0</v>
      </c>
      <c r="J5" s="12">
        <f>IF(AND($A5&gt;=1,$A5&lt;=HORIZON),CONSUM_BASE*B5,0)</f>
        <v>0</v>
      </c>
      <c r="K5" s="12">
        <f>IF(AND($A5&gt;=1,$A5&lt;=HORIZON),LIC_BASE*B5,0)</f>
        <v>0</v>
      </c>
      <c r="L5" s="12">
        <f>IF(AND($A5&gt;=1,$A5&lt;=HORIZON),CAPEX*INS_PCT*B5,0)</f>
        <v>0</v>
      </c>
      <c r="M5" s="12">
        <f>IF(AND($A5&gt;=1,$A5&lt;=HORIZON),POWER_KW*HRS_YEAR*CO2_FACTOR*CO2_PRICE*B5,0)</f>
        <v>0</v>
      </c>
      <c r="N5" s="12">
        <f>IF($A5=HORIZON,-DECOM_BASE*B5,0)</f>
        <v>0</v>
      </c>
      <c r="O5" s="12">
        <f>IF($A5=HORIZON,SALVAGE_BASE*B5,0)</f>
        <v>0</v>
      </c>
      <c r="P5" s="12">
        <f>SUM(D5:N5)+O5</f>
        <v>0</v>
      </c>
      <c r="Q5" s="12">
        <f>C5*P5</f>
        <v>0</v>
      </c>
      <c r="S5" s="2" t="s">
        <v>39</v>
      </c>
      <c r="T5" s="9">
        <f>SUMPRODUCT($C$2:$C$22,$F$2:$F$22)</f>
        <v>0</v>
      </c>
    </row>
    <row r="6" spans="1:20">
      <c r="A6" s="5">
        <v>4</v>
      </c>
      <c r="B6" s="11">
        <f>(1+INFLATION)^4</f>
        <v>0</v>
      </c>
      <c r="C6" s="11">
        <f>1/(1+DISCOUNT)^4</f>
        <v>0</v>
      </c>
      <c r="D6" s="12">
        <f>IF(AND($A6=0,$A6&lt;=HORIZON),CAPEX*(1-LOAN_SHARE),0)</f>
        <v>0</v>
      </c>
      <c r="E6" s="12">
        <f>IF(AND($A6&gt;=1,$A6&lt;=LOAN_TERM,$A6&lt;=HORIZON),LOAN_PAYMENT,0)</f>
        <v>0</v>
      </c>
      <c r="F6" s="12">
        <f>IF(AND($A6&gt;=1,$A6&lt;=HORIZON),POWER_KW*HRS_YEAR*P_ELEC*B6,0)</f>
        <v>0</v>
      </c>
      <c r="G6" s="12">
        <f>IF(AND($A6&gt;=1,$A6&lt;=HORIZON),CAPEX*MAINT_PCT*B6,0)</f>
        <v>0</v>
      </c>
      <c r="H6" s="12">
        <f>IF(AND($A6&gt;=1,$A6&lt;=HORIZON),DT_HOURS*DT_COST*B6,0)</f>
        <v>0</v>
      </c>
      <c r="I6" s="12">
        <f>IF(AND($A6&gt;=1,$A6&lt;=HORIZON),FTE_EQ*FTE_COST*B6,0)</f>
        <v>0</v>
      </c>
      <c r="J6" s="12">
        <f>IF(AND($A6&gt;=1,$A6&lt;=HORIZON),CONSUM_BASE*B6,0)</f>
        <v>0</v>
      </c>
      <c r="K6" s="12">
        <f>IF(AND($A6&gt;=1,$A6&lt;=HORIZON),LIC_BASE*B6,0)</f>
        <v>0</v>
      </c>
      <c r="L6" s="12">
        <f>IF(AND($A6&gt;=1,$A6&lt;=HORIZON),CAPEX*INS_PCT*B6,0)</f>
        <v>0</v>
      </c>
      <c r="M6" s="12">
        <f>IF(AND($A6&gt;=1,$A6&lt;=HORIZON),POWER_KW*HRS_YEAR*CO2_FACTOR*CO2_PRICE*B6,0)</f>
        <v>0</v>
      </c>
      <c r="N6" s="12">
        <f>IF($A6=HORIZON,-DECOM_BASE*B6,0)</f>
        <v>0</v>
      </c>
      <c r="O6" s="12">
        <f>IF($A6=HORIZON,SALVAGE_BASE*B6,0)</f>
        <v>0</v>
      </c>
      <c r="P6" s="12">
        <f>SUM(D6:N6)+O6</f>
        <v>0</v>
      </c>
      <c r="Q6" s="12">
        <f>C6*P6</f>
        <v>0</v>
      </c>
      <c r="S6" s="2" t="s">
        <v>40</v>
      </c>
      <c r="T6" s="9">
        <f>SUMPRODUCT($C$2:$C$22,$G$2:$G$22)</f>
        <v>0</v>
      </c>
    </row>
    <row r="7" spans="1:20">
      <c r="A7" s="5">
        <v>5</v>
      </c>
      <c r="B7" s="11">
        <f>(1+INFLATION)^5</f>
        <v>0</v>
      </c>
      <c r="C7" s="11">
        <f>1/(1+DISCOUNT)^5</f>
        <v>0</v>
      </c>
      <c r="D7" s="12">
        <f>IF(AND($A7=0,$A7&lt;=HORIZON),CAPEX*(1-LOAN_SHARE),0)</f>
        <v>0</v>
      </c>
      <c r="E7" s="12">
        <f>IF(AND($A7&gt;=1,$A7&lt;=LOAN_TERM,$A7&lt;=HORIZON),LOAN_PAYMENT,0)</f>
        <v>0</v>
      </c>
      <c r="F7" s="12">
        <f>IF(AND($A7&gt;=1,$A7&lt;=HORIZON),POWER_KW*HRS_YEAR*P_ELEC*B7,0)</f>
        <v>0</v>
      </c>
      <c r="G7" s="12">
        <f>IF(AND($A7&gt;=1,$A7&lt;=HORIZON),CAPEX*MAINT_PCT*B7,0)</f>
        <v>0</v>
      </c>
      <c r="H7" s="12">
        <f>IF(AND($A7&gt;=1,$A7&lt;=HORIZON),DT_HOURS*DT_COST*B7,0)</f>
        <v>0</v>
      </c>
      <c r="I7" s="12">
        <f>IF(AND($A7&gt;=1,$A7&lt;=HORIZON),FTE_EQ*FTE_COST*B7,0)</f>
        <v>0</v>
      </c>
      <c r="J7" s="12">
        <f>IF(AND($A7&gt;=1,$A7&lt;=HORIZON),CONSUM_BASE*B7,0)</f>
        <v>0</v>
      </c>
      <c r="K7" s="12">
        <f>IF(AND($A7&gt;=1,$A7&lt;=HORIZON),LIC_BASE*B7,0)</f>
        <v>0</v>
      </c>
      <c r="L7" s="12">
        <f>IF(AND($A7&gt;=1,$A7&lt;=HORIZON),CAPEX*INS_PCT*B7,0)</f>
        <v>0</v>
      </c>
      <c r="M7" s="12">
        <f>IF(AND($A7&gt;=1,$A7&lt;=HORIZON),POWER_KW*HRS_YEAR*CO2_FACTOR*CO2_PRICE*B7,0)</f>
        <v>0</v>
      </c>
      <c r="N7" s="12">
        <f>IF($A7=HORIZON,-DECOM_BASE*B7,0)</f>
        <v>0</v>
      </c>
      <c r="O7" s="12">
        <f>IF($A7=HORIZON,SALVAGE_BASE*B7,0)</f>
        <v>0</v>
      </c>
      <c r="P7" s="12">
        <f>SUM(D7:N7)+O7</f>
        <v>0</v>
      </c>
      <c r="Q7" s="12">
        <f>C7*P7</f>
        <v>0</v>
      </c>
      <c r="S7" s="2" t="s">
        <v>41</v>
      </c>
      <c r="T7" s="9">
        <f>SUMPRODUCT($C$2:$C$22,$H$2:$H$22)</f>
        <v>0</v>
      </c>
    </row>
    <row r="8" spans="1:20">
      <c r="A8" s="5">
        <v>6</v>
      </c>
      <c r="B8" s="11">
        <f>(1+INFLATION)^6</f>
        <v>0</v>
      </c>
      <c r="C8" s="11">
        <f>1/(1+DISCOUNT)^6</f>
        <v>0</v>
      </c>
      <c r="D8" s="12">
        <f>IF(AND($A8=0,$A8&lt;=HORIZON),CAPEX*(1-LOAN_SHARE),0)</f>
        <v>0</v>
      </c>
      <c r="E8" s="12">
        <f>IF(AND($A8&gt;=1,$A8&lt;=LOAN_TERM,$A8&lt;=HORIZON),LOAN_PAYMENT,0)</f>
        <v>0</v>
      </c>
      <c r="F8" s="12">
        <f>IF(AND($A8&gt;=1,$A8&lt;=HORIZON),POWER_KW*HRS_YEAR*P_ELEC*B8,0)</f>
        <v>0</v>
      </c>
      <c r="G8" s="12">
        <f>IF(AND($A8&gt;=1,$A8&lt;=HORIZON),CAPEX*MAINT_PCT*B8,0)</f>
        <v>0</v>
      </c>
      <c r="H8" s="12">
        <f>IF(AND($A8&gt;=1,$A8&lt;=HORIZON),DT_HOURS*DT_COST*B8,0)</f>
        <v>0</v>
      </c>
      <c r="I8" s="12">
        <f>IF(AND($A8&gt;=1,$A8&lt;=HORIZON),FTE_EQ*FTE_COST*B8,0)</f>
        <v>0</v>
      </c>
      <c r="J8" s="12">
        <f>IF(AND($A8&gt;=1,$A8&lt;=HORIZON),CONSUM_BASE*B8,0)</f>
        <v>0</v>
      </c>
      <c r="K8" s="12">
        <f>IF(AND($A8&gt;=1,$A8&lt;=HORIZON),LIC_BASE*B8,0)</f>
        <v>0</v>
      </c>
      <c r="L8" s="12">
        <f>IF(AND($A8&gt;=1,$A8&lt;=HORIZON),CAPEX*INS_PCT*B8,0)</f>
        <v>0</v>
      </c>
      <c r="M8" s="12">
        <f>IF(AND($A8&gt;=1,$A8&lt;=HORIZON),POWER_KW*HRS_YEAR*CO2_FACTOR*CO2_PRICE*B8,0)</f>
        <v>0</v>
      </c>
      <c r="N8" s="12">
        <f>IF($A8=HORIZON,-DECOM_BASE*B8,0)</f>
        <v>0</v>
      </c>
      <c r="O8" s="12">
        <f>IF($A8=HORIZON,SALVAGE_BASE*B8,0)</f>
        <v>0</v>
      </c>
      <c r="P8" s="12">
        <f>SUM(D8:N8)+O8</f>
        <v>0</v>
      </c>
      <c r="Q8" s="12">
        <f>C8*P8</f>
        <v>0</v>
      </c>
      <c r="S8" s="2" t="s">
        <v>42</v>
      </c>
      <c r="T8" s="9">
        <f>SUMPRODUCT($C$2:$C$22,$I$2:$I$22)</f>
        <v>0</v>
      </c>
    </row>
    <row r="9" spans="1:20">
      <c r="A9" s="5">
        <v>7</v>
      </c>
      <c r="B9" s="11">
        <f>(1+INFLATION)^7</f>
        <v>0</v>
      </c>
      <c r="C9" s="11">
        <f>1/(1+DISCOUNT)^7</f>
        <v>0</v>
      </c>
      <c r="D9" s="12">
        <f>IF(AND($A9=0,$A9&lt;=HORIZON),CAPEX*(1-LOAN_SHARE),0)</f>
        <v>0</v>
      </c>
      <c r="E9" s="12">
        <f>IF(AND($A9&gt;=1,$A9&lt;=LOAN_TERM,$A9&lt;=HORIZON),LOAN_PAYMENT,0)</f>
        <v>0</v>
      </c>
      <c r="F9" s="12">
        <f>IF(AND($A9&gt;=1,$A9&lt;=HORIZON),POWER_KW*HRS_YEAR*P_ELEC*B9,0)</f>
        <v>0</v>
      </c>
      <c r="G9" s="12">
        <f>IF(AND($A9&gt;=1,$A9&lt;=HORIZON),CAPEX*MAINT_PCT*B9,0)</f>
        <v>0</v>
      </c>
      <c r="H9" s="12">
        <f>IF(AND($A9&gt;=1,$A9&lt;=HORIZON),DT_HOURS*DT_COST*B9,0)</f>
        <v>0</v>
      </c>
      <c r="I9" s="12">
        <f>IF(AND($A9&gt;=1,$A9&lt;=HORIZON),FTE_EQ*FTE_COST*B9,0)</f>
        <v>0</v>
      </c>
      <c r="J9" s="12">
        <f>IF(AND($A9&gt;=1,$A9&lt;=HORIZON),CONSUM_BASE*B9,0)</f>
        <v>0</v>
      </c>
      <c r="K9" s="12">
        <f>IF(AND($A9&gt;=1,$A9&lt;=HORIZON),LIC_BASE*B9,0)</f>
        <v>0</v>
      </c>
      <c r="L9" s="12">
        <f>IF(AND($A9&gt;=1,$A9&lt;=HORIZON),CAPEX*INS_PCT*B9,0)</f>
        <v>0</v>
      </c>
      <c r="M9" s="12">
        <f>IF(AND($A9&gt;=1,$A9&lt;=HORIZON),POWER_KW*HRS_YEAR*CO2_FACTOR*CO2_PRICE*B9,0)</f>
        <v>0</v>
      </c>
      <c r="N9" s="12">
        <f>IF($A9=HORIZON,-DECOM_BASE*B9,0)</f>
        <v>0</v>
      </c>
      <c r="O9" s="12">
        <f>IF($A9=HORIZON,SALVAGE_BASE*B9,0)</f>
        <v>0</v>
      </c>
      <c r="P9" s="12">
        <f>SUM(D9:N9)+O9</f>
        <v>0</v>
      </c>
      <c r="Q9" s="12">
        <f>C9*P9</f>
        <v>0</v>
      </c>
      <c r="S9" s="2" t="s">
        <v>43</v>
      </c>
      <c r="T9" s="9">
        <f>SUMPRODUCT($C$2:$C$22,$J$2:$J$22)</f>
        <v>0</v>
      </c>
    </row>
    <row r="10" spans="1:20">
      <c r="A10" s="5">
        <v>8</v>
      </c>
      <c r="B10" s="11">
        <f>(1+INFLATION)^8</f>
        <v>0</v>
      </c>
      <c r="C10" s="11">
        <f>1/(1+DISCOUNT)^8</f>
        <v>0</v>
      </c>
      <c r="D10" s="12">
        <f>IF(AND($A10=0,$A10&lt;=HORIZON),CAPEX*(1-LOAN_SHARE),0)</f>
        <v>0</v>
      </c>
      <c r="E10" s="12">
        <f>IF(AND($A10&gt;=1,$A10&lt;=LOAN_TERM,$A10&lt;=HORIZON),LOAN_PAYMENT,0)</f>
        <v>0</v>
      </c>
      <c r="F10" s="12">
        <f>IF(AND($A10&gt;=1,$A10&lt;=HORIZON),POWER_KW*HRS_YEAR*P_ELEC*B10,0)</f>
        <v>0</v>
      </c>
      <c r="G10" s="12">
        <f>IF(AND($A10&gt;=1,$A10&lt;=HORIZON),CAPEX*MAINT_PCT*B10,0)</f>
        <v>0</v>
      </c>
      <c r="H10" s="12">
        <f>IF(AND($A10&gt;=1,$A10&lt;=HORIZON),DT_HOURS*DT_COST*B10,0)</f>
        <v>0</v>
      </c>
      <c r="I10" s="12">
        <f>IF(AND($A10&gt;=1,$A10&lt;=HORIZON),FTE_EQ*FTE_COST*B10,0)</f>
        <v>0</v>
      </c>
      <c r="J10" s="12">
        <f>IF(AND($A10&gt;=1,$A10&lt;=HORIZON),CONSUM_BASE*B10,0)</f>
        <v>0</v>
      </c>
      <c r="K10" s="12">
        <f>IF(AND($A10&gt;=1,$A10&lt;=HORIZON),LIC_BASE*B10,0)</f>
        <v>0</v>
      </c>
      <c r="L10" s="12">
        <f>IF(AND($A10&gt;=1,$A10&lt;=HORIZON),CAPEX*INS_PCT*B10,0)</f>
        <v>0</v>
      </c>
      <c r="M10" s="12">
        <f>IF(AND($A10&gt;=1,$A10&lt;=HORIZON),POWER_KW*HRS_YEAR*CO2_FACTOR*CO2_PRICE*B10,0)</f>
        <v>0</v>
      </c>
      <c r="N10" s="12">
        <f>IF($A10=HORIZON,-DECOM_BASE*B10,0)</f>
        <v>0</v>
      </c>
      <c r="O10" s="12">
        <f>IF($A10=HORIZON,SALVAGE_BASE*B10,0)</f>
        <v>0</v>
      </c>
      <c r="P10" s="12">
        <f>SUM(D10:N10)+O10</f>
        <v>0</v>
      </c>
      <c r="Q10" s="12">
        <f>C10*P10</f>
        <v>0</v>
      </c>
      <c r="S10" s="2" t="s">
        <v>44</v>
      </c>
      <c r="T10" s="9">
        <f>SUMPRODUCT($C$2:$C$22,$K$2:$K$22)</f>
        <v>0</v>
      </c>
    </row>
    <row r="11" spans="1:20">
      <c r="A11" s="5">
        <v>9</v>
      </c>
      <c r="B11" s="11">
        <f>(1+INFLATION)^9</f>
        <v>0</v>
      </c>
      <c r="C11" s="11">
        <f>1/(1+DISCOUNT)^9</f>
        <v>0</v>
      </c>
      <c r="D11" s="12">
        <f>IF(AND($A11=0,$A11&lt;=HORIZON),CAPEX*(1-LOAN_SHARE),0)</f>
        <v>0</v>
      </c>
      <c r="E11" s="12">
        <f>IF(AND($A11&gt;=1,$A11&lt;=LOAN_TERM,$A11&lt;=HORIZON),LOAN_PAYMENT,0)</f>
        <v>0</v>
      </c>
      <c r="F11" s="12">
        <f>IF(AND($A11&gt;=1,$A11&lt;=HORIZON),POWER_KW*HRS_YEAR*P_ELEC*B11,0)</f>
        <v>0</v>
      </c>
      <c r="G11" s="12">
        <f>IF(AND($A11&gt;=1,$A11&lt;=HORIZON),CAPEX*MAINT_PCT*B11,0)</f>
        <v>0</v>
      </c>
      <c r="H11" s="12">
        <f>IF(AND($A11&gt;=1,$A11&lt;=HORIZON),DT_HOURS*DT_COST*B11,0)</f>
        <v>0</v>
      </c>
      <c r="I11" s="12">
        <f>IF(AND($A11&gt;=1,$A11&lt;=HORIZON),FTE_EQ*FTE_COST*B11,0)</f>
        <v>0</v>
      </c>
      <c r="J11" s="12">
        <f>IF(AND($A11&gt;=1,$A11&lt;=HORIZON),CONSUM_BASE*B11,0)</f>
        <v>0</v>
      </c>
      <c r="K11" s="12">
        <f>IF(AND($A11&gt;=1,$A11&lt;=HORIZON),LIC_BASE*B11,0)</f>
        <v>0</v>
      </c>
      <c r="L11" s="12">
        <f>IF(AND($A11&gt;=1,$A11&lt;=HORIZON),CAPEX*INS_PCT*B11,0)</f>
        <v>0</v>
      </c>
      <c r="M11" s="12">
        <f>IF(AND($A11&gt;=1,$A11&lt;=HORIZON),POWER_KW*HRS_YEAR*CO2_FACTOR*CO2_PRICE*B11,0)</f>
        <v>0</v>
      </c>
      <c r="N11" s="12">
        <f>IF($A11=HORIZON,-DECOM_BASE*B11,0)</f>
        <v>0</v>
      </c>
      <c r="O11" s="12">
        <f>IF($A11=HORIZON,SALVAGE_BASE*B11,0)</f>
        <v>0</v>
      </c>
      <c r="P11" s="12">
        <f>SUM(D11:N11)+O11</f>
        <v>0</v>
      </c>
      <c r="Q11" s="12">
        <f>C11*P11</f>
        <v>0</v>
      </c>
      <c r="S11" s="2" t="s">
        <v>45</v>
      </c>
      <c r="T11" s="9">
        <f>SUMPRODUCT($C$2:$C$22,$L$2:$L$22)</f>
        <v>0</v>
      </c>
    </row>
    <row r="12" spans="1:20">
      <c r="A12" s="5">
        <v>10</v>
      </c>
      <c r="B12" s="11">
        <f>(1+INFLATION)^10</f>
        <v>0</v>
      </c>
      <c r="C12" s="11">
        <f>1/(1+DISCOUNT)^10</f>
        <v>0</v>
      </c>
      <c r="D12" s="12">
        <f>IF(AND($A12=0,$A12&lt;=HORIZON),CAPEX*(1-LOAN_SHARE),0)</f>
        <v>0</v>
      </c>
      <c r="E12" s="12">
        <f>IF(AND($A12&gt;=1,$A12&lt;=LOAN_TERM,$A12&lt;=HORIZON),LOAN_PAYMENT,0)</f>
        <v>0</v>
      </c>
      <c r="F12" s="12">
        <f>IF(AND($A12&gt;=1,$A12&lt;=HORIZON),POWER_KW*HRS_YEAR*P_ELEC*B12,0)</f>
        <v>0</v>
      </c>
      <c r="G12" s="12">
        <f>IF(AND($A12&gt;=1,$A12&lt;=HORIZON),CAPEX*MAINT_PCT*B12,0)</f>
        <v>0</v>
      </c>
      <c r="H12" s="12">
        <f>IF(AND($A12&gt;=1,$A12&lt;=HORIZON),DT_HOURS*DT_COST*B12,0)</f>
        <v>0</v>
      </c>
      <c r="I12" s="12">
        <f>IF(AND($A12&gt;=1,$A12&lt;=HORIZON),FTE_EQ*FTE_COST*B12,0)</f>
        <v>0</v>
      </c>
      <c r="J12" s="12">
        <f>IF(AND($A12&gt;=1,$A12&lt;=HORIZON),CONSUM_BASE*B12,0)</f>
        <v>0</v>
      </c>
      <c r="K12" s="12">
        <f>IF(AND($A12&gt;=1,$A12&lt;=HORIZON),LIC_BASE*B12,0)</f>
        <v>0</v>
      </c>
      <c r="L12" s="12">
        <f>IF(AND($A12&gt;=1,$A12&lt;=HORIZON),CAPEX*INS_PCT*B12,0)</f>
        <v>0</v>
      </c>
      <c r="M12" s="12">
        <f>IF(AND($A12&gt;=1,$A12&lt;=HORIZON),POWER_KW*HRS_YEAR*CO2_FACTOR*CO2_PRICE*B12,0)</f>
        <v>0</v>
      </c>
      <c r="N12" s="12">
        <f>IF($A12=HORIZON,-DECOM_BASE*B12,0)</f>
        <v>0</v>
      </c>
      <c r="O12" s="12">
        <f>IF($A12=HORIZON,SALVAGE_BASE*B12,0)</f>
        <v>0</v>
      </c>
      <c r="P12" s="12">
        <f>SUM(D12:N12)+O12</f>
        <v>0</v>
      </c>
      <c r="Q12" s="12">
        <f>C12*P12</f>
        <v>0</v>
      </c>
      <c r="S12" s="2" t="s">
        <v>46</v>
      </c>
      <c r="T12" s="9">
        <f>SUMPRODUCT($C$2:$C$22,$M$2:$M$22)</f>
        <v>0</v>
      </c>
    </row>
    <row r="13" spans="1:20">
      <c r="A13" s="5">
        <v>11</v>
      </c>
      <c r="B13" s="11">
        <f>(1+INFLATION)^11</f>
        <v>0</v>
      </c>
      <c r="C13" s="11">
        <f>1/(1+DISCOUNT)^11</f>
        <v>0</v>
      </c>
      <c r="D13" s="12">
        <f>IF(AND($A13=0,$A13&lt;=HORIZON),CAPEX*(1-LOAN_SHARE),0)</f>
        <v>0</v>
      </c>
      <c r="E13" s="12">
        <f>IF(AND($A13&gt;=1,$A13&lt;=LOAN_TERM,$A13&lt;=HORIZON),LOAN_PAYMENT,0)</f>
        <v>0</v>
      </c>
      <c r="F13" s="12">
        <f>IF(AND($A13&gt;=1,$A13&lt;=HORIZON),POWER_KW*HRS_YEAR*P_ELEC*B13,0)</f>
        <v>0</v>
      </c>
      <c r="G13" s="12">
        <f>IF(AND($A13&gt;=1,$A13&lt;=HORIZON),CAPEX*MAINT_PCT*B13,0)</f>
        <v>0</v>
      </c>
      <c r="H13" s="12">
        <f>IF(AND($A13&gt;=1,$A13&lt;=HORIZON),DT_HOURS*DT_COST*B13,0)</f>
        <v>0</v>
      </c>
      <c r="I13" s="12">
        <f>IF(AND($A13&gt;=1,$A13&lt;=HORIZON),FTE_EQ*FTE_COST*B13,0)</f>
        <v>0</v>
      </c>
      <c r="J13" s="12">
        <f>IF(AND($A13&gt;=1,$A13&lt;=HORIZON),CONSUM_BASE*B13,0)</f>
        <v>0</v>
      </c>
      <c r="K13" s="12">
        <f>IF(AND($A13&gt;=1,$A13&lt;=HORIZON),LIC_BASE*B13,0)</f>
        <v>0</v>
      </c>
      <c r="L13" s="12">
        <f>IF(AND($A13&gt;=1,$A13&lt;=HORIZON),CAPEX*INS_PCT*B13,0)</f>
        <v>0</v>
      </c>
      <c r="M13" s="12">
        <f>IF(AND($A13&gt;=1,$A13&lt;=HORIZON),POWER_KW*HRS_YEAR*CO2_FACTOR*CO2_PRICE*B13,0)</f>
        <v>0</v>
      </c>
      <c r="N13" s="12">
        <f>IF($A13=HORIZON,-DECOM_BASE*B13,0)</f>
        <v>0</v>
      </c>
      <c r="O13" s="12">
        <f>IF($A13=HORIZON,SALVAGE_BASE*B13,0)</f>
        <v>0</v>
      </c>
      <c r="P13" s="12">
        <f>SUM(D13:N13)+O13</f>
        <v>0</v>
      </c>
      <c r="Q13" s="12">
        <f>C13*P13</f>
        <v>0</v>
      </c>
      <c r="S13" s="2" t="s">
        <v>56</v>
      </c>
      <c r="T13" s="9">
        <f>SUMPRODUCT($C$2:$C$22,$N$2:$N$22)</f>
        <v>0</v>
      </c>
    </row>
    <row r="14" spans="1:20">
      <c r="A14" s="5">
        <v>12</v>
      </c>
      <c r="B14" s="11">
        <f>(1+INFLATION)^12</f>
        <v>0</v>
      </c>
      <c r="C14" s="11">
        <f>1/(1+DISCOUNT)^12</f>
        <v>0</v>
      </c>
      <c r="D14" s="12">
        <f>IF(AND($A14=0,$A14&lt;=HORIZON),CAPEX*(1-LOAN_SHARE),0)</f>
        <v>0</v>
      </c>
      <c r="E14" s="12">
        <f>IF(AND($A14&gt;=1,$A14&lt;=LOAN_TERM,$A14&lt;=HORIZON),LOAN_PAYMENT,0)</f>
        <v>0</v>
      </c>
      <c r="F14" s="12">
        <f>IF(AND($A14&gt;=1,$A14&lt;=HORIZON),POWER_KW*HRS_YEAR*P_ELEC*B14,0)</f>
        <v>0</v>
      </c>
      <c r="G14" s="12">
        <f>IF(AND($A14&gt;=1,$A14&lt;=HORIZON),CAPEX*MAINT_PCT*B14,0)</f>
        <v>0</v>
      </c>
      <c r="H14" s="12">
        <f>IF(AND($A14&gt;=1,$A14&lt;=HORIZON),DT_HOURS*DT_COST*B14,0)</f>
        <v>0</v>
      </c>
      <c r="I14" s="12">
        <f>IF(AND($A14&gt;=1,$A14&lt;=HORIZON),FTE_EQ*FTE_COST*B14,0)</f>
        <v>0</v>
      </c>
      <c r="J14" s="12">
        <f>IF(AND($A14&gt;=1,$A14&lt;=HORIZON),CONSUM_BASE*B14,0)</f>
        <v>0</v>
      </c>
      <c r="K14" s="12">
        <f>IF(AND($A14&gt;=1,$A14&lt;=HORIZON),LIC_BASE*B14,0)</f>
        <v>0</v>
      </c>
      <c r="L14" s="12">
        <f>IF(AND($A14&gt;=1,$A14&lt;=HORIZON),CAPEX*INS_PCT*B14,0)</f>
        <v>0</v>
      </c>
      <c r="M14" s="12">
        <f>IF(AND($A14&gt;=1,$A14&lt;=HORIZON),POWER_KW*HRS_YEAR*CO2_FACTOR*CO2_PRICE*B14,0)</f>
        <v>0</v>
      </c>
      <c r="N14" s="12">
        <f>IF($A14=HORIZON,-DECOM_BASE*B14,0)</f>
        <v>0</v>
      </c>
      <c r="O14" s="12">
        <f>IF($A14=HORIZON,SALVAGE_BASE*B14,0)</f>
        <v>0</v>
      </c>
      <c r="P14" s="12">
        <f>SUM(D14:N14)+O14</f>
        <v>0</v>
      </c>
      <c r="Q14" s="12">
        <f>C14*P14</f>
        <v>0</v>
      </c>
      <c r="S14" s="2" t="s">
        <v>57</v>
      </c>
      <c r="T14" s="9">
        <f>SUMPRODUCT($C$2:$C$22,$O$2:$O$22)</f>
        <v>0</v>
      </c>
    </row>
    <row r="15" spans="1:20">
      <c r="A15" s="5">
        <v>13</v>
      </c>
      <c r="B15" s="11">
        <f>(1+INFLATION)^13</f>
        <v>0</v>
      </c>
      <c r="C15" s="11">
        <f>1/(1+DISCOUNT)^13</f>
        <v>0</v>
      </c>
      <c r="D15" s="12">
        <f>IF(AND($A15=0,$A15&lt;=HORIZON),CAPEX*(1-LOAN_SHARE),0)</f>
        <v>0</v>
      </c>
      <c r="E15" s="12">
        <f>IF(AND($A15&gt;=1,$A15&lt;=LOAN_TERM,$A15&lt;=HORIZON),LOAN_PAYMENT,0)</f>
        <v>0</v>
      </c>
      <c r="F15" s="12">
        <f>IF(AND($A15&gt;=1,$A15&lt;=HORIZON),POWER_KW*HRS_YEAR*P_ELEC*B15,0)</f>
        <v>0</v>
      </c>
      <c r="G15" s="12">
        <f>IF(AND($A15&gt;=1,$A15&lt;=HORIZON),CAPEX*MAINT_PCT*B15,0)</f>
        <v>0</v>
      </c>
      <c r="H15" s="12">
        <f>IF(AND($A15&gt;=1,$A15&lt;=HORIZON),DT_HOURS*DT_COST*B15,0)</f>
        <v>0</v>
      </c>
      <c r="I15" s="12">
        <f>IF(AND($A15&gt;=1,$A15&lt;=HORIZON),FTE_EQ*FTE_COST*B15,0)</f>
        <v>0</v>
      </c>
      <c r="J15" s="12">
        <f>IF(AND($A15&gt;=1,$A15&lt;=HORIZON),CONSUM_BASE*B15,0)</f>
        <v>0</v>
      </c>
      <c r="K15" s="12">
        <f>IF(AND($A15&gt;=1,$A15&lt;=HORIZON),LIC_BASE*B15,0)</f>
        <v>0</v>
      </c>
      <c r="L15" s="12">
        <f>IF(AND($A15&gt;=1,$A15&lt;=HORIZON),CAPEX*INS_PCT*B15,0)</f>
        <v>0</v>
      </c>
      <c r="M15" s="12">
        <f>IF(AND($A15&gt;=1,$A15&lt;=HORIZON),POWER_KW*HRS_YEAR*CO2_FACTOR*CO2_PRICE*B15,0)</f>
        <v>0</v>
      </c>
      <c r="N15" s="12">
        <f>IF($A15=HORIZON,-DECOM_BASE*B15,0)</f>
        <v>0</v>
      </c>
      <c r="O15" s="12">
        <f>IF($A15=HORIZON,SALVAGE_BASE*B15,0)</f>
        <v>0</v>
      </c>
      <c r="P15" s="12">
        <f>SUM(D15:N15)+O15</f>
        <v>0</v>
      </c>
      <c r="Q15" s="12">
        <f>C15*P15</f>
        <v>0</v>
      </c>
      <c r="S15" s="4" t="s">
        <v>58</v>
      </c>
      <c r="T15" s="9">
        <f>SUM(T2:T13)</f>
        <v>0</v>
      </c>
    </row>
    <row r="16" spans="1:20">
      <c r="A16" s="5">
        <v>14</v>
      </c>
      <c r="B16" s="11">
        <f>(1+INFLATION)^14</f>
        <v>0</v>
      </c>
      <c r="C16" s="11">
        <f>1/(1+DISCOUNT)^14</f>
        <v>0</v>
      </c>
      <c r="D16" s="12">
        <f>IF(AND($A16=0,$A16&lt;=HORIZON),CAPEX*(1-LOAN_SHARE),0)</f>
        <v>0</v>
      </c>
      <c r="E16" s="12">
        <f>IF(AND($A16&gt;=1,$A16&lt;=LOAN_TERM,$A16&lt;=HORIZON),LOAN_PAYMENT,0)</f>
        <v>0</v>
      </c>
      <c r="F16" s="12">
        <f>IF(AND($A16&gt;=1,$A16&lt;=HORIZON),POWER_KW*HRS_YEAR*P_ELEC*B16,0)</f>
        <v>0</v>
      </c>
      <c r="G16" s="12">
        <f>IF(AND($A16&gt;=1,$A16&lt;=HORIZON),CAPEX*MAINT_PCT*B16,0)</f>
        <v>0</v>
      </c>
      <c r="H16" s="12">
        <f>IF(AND($A16&gt;=1,$A16&lt;=HORIZON),DT_HOURS*DT_COST*B16,0)</f>
        <v>0</v>
      </c>
      <c r="I16" s="12">
        <f>IF(AND($A16&gt;=1,$A16&lt;=HORIZON),FTE_EQ*FTE_COST*B16,0)</f>
        <v>0</v>
      </c>
      <c r="J16" s="12">
        <f>IF(AND($A16&gt;=1,$A16&lt;=HORIZON),CONSUM_BASE*B16,0)</f>
        <v>0</v>
      </c>
      <c r="K16" s="12">
        <f>IF(AND($A16&gt;=1,$A16&lt;=HORIZON),LIC_BASE*B16,0)</f>
        <v>0</v>
      </c>
      <c r="L16" s="12">
        <f>IF(AND($A16&gt;=1,$A16&lt;=HORIZON),CAPEX*INS_PCT*B16,0)</f>
        <v>0</v>
      </c>
      <c r="M16" s="12">
        <f>IF(AND($A16&gt;=1,$A16&lt;=HORIZON),POWER_KW*HRS_YEAR*CO2_FACTOR*CO2_PRICE*B16,0)</f>
        <v>0</v>
      </c>
      <c r="N16" s="12">
        <f>IF($A16=HORIZON,-DECOM_BASE*B16,0)</f>
        <v>0</v>
      </c>
      <c r="O16" s="12">
        <f>IF($A16=HORIZON,SALVAGE_BASE*B16,0)</f>
        <v>0</v>
      </c>
      <c r="P16" s="12">
        <f>SUM(D16:N16)+O16</f>
        <v>0</v>
      </c>
      <c r="Q16" s="12">
        <f>C16*P16</f>
        <v>0</v>
      </c>
    </row>
    <row r="17" spans="1:17">
      <c r="A17" s="5">
        <v>15</v>
      </c>
      <c r="B17" s="11">
        <f>(1+INFLATION)^15</f>
        <v>0</v>
      </c>
      <c r="C17" s="11">
        <f>1/(1+DISCOUNT)^15</f>
        <v>0</v>
      </c>
      <c r="D17" s="12">
        <f>IF(AND($A17=0,$A17&lt;=HORIZON),CAPEX*(1-LOAN_SHARE),0)</f>
        <v>0</v>
      </c>
      <c r="E17" s="12">
        <f>IF(AND($A17&gt;=1,$A17&lt;=LOAN_TERM,$A17&lt;=HORIZON),LOAN_PAYMENT,0)</f>
        <v>0</v>
      </c>
      <c r="F17" s="12">
        <f>IF(AND($A17&gt;=1,$A17&lt;=HORIZON),POWER_KW*HRS_YEAR*P_ELEC*B17,0)</f>
        <v>0</v>
      </c>
      <c r="G17" s="12">
        <f>IF(AND($A17&gt;=1,$A17&lt;=HORIZON),CAPEX*MAINT_PCT*B17,0)</f>
        <v>0</v>
      </c>
      <c r="H17" s="12">
        <f>IF(AND($A17&gt;=1,$A17&lt;=HORIZON),DT_HOURS*DT_COST*B17,0)</f>
        <v>0</v>
      </c>
      <c r="I17" s="12">
        <f>IF(AND($A17&gt;=1,$A17&lt;=HORIZON),FTE_EQ*FTE_COST*B17,0)</f>
        <v>0</v>
      </c>
      <c r="J17" s="12">
        <f>IF(AND($A17&gt;=1,$A17&lt;=HORIZON),CONSUM_BASE*B17,0)</f>
        <v>0</v>
      </c>
      <c r="K17" s="12">
        <f>IF(AND($A17&gt;=1,$A17&lt;=HORIZON),LIC_BASE*B17,0)</f>
        <v>0</v>
      </c>
      <c r="L17" s="12">
        <f>IF(AND($A17&gt;=1,$A17&lt;=HORIZON),CAPEX*INS_PCT*B17,0)</f>
        <v>0</v>
      </c>
      <c r="M17" s="12">
        <f>IF(AND($A17&gt;=1,$A17&lt;=HORIZON),POWER_KW*HRS_YEAR*CO2_FACTOR*CO2_PRICE*B17,0)</f>
        <v>0</v>
      </c>
      <c r="N17" s="12">
        <f>IF($A17=HORIZON,-DECOM_BASE*B17,0)</f>
        <v>0</v>
      </c>
      <c r="O17" s="12">
        <f>IF($A17=HORIZON,SALVAGE_BASE*B17,0)</f>
        <v>0</v>
      </c>
      <c r="P17" s="12">
        <f>SUM(D17:N17)+O17</f>
        <v>0</v>
      </c>
      <c r="Q17" s="12">
        <f>C17*P17</f>
        <v>0</v>
      </c>
    </row>
    <row r="18" spans="1:17">
      <c r="A18" s="5">
        <v>16</v>
      </c>
      <c r="B18" s="11">
        <f>(1+INFLATION)^16</f>
        <v>0</v>
      </c>
      <c r="C18" s="11">
        <f>1/(1+DISCOUNT)^16</f>
        <v>0</v>
      </c>
      <c r="D18" s="12">
        <f>IF(AND($A18=0,$A18&lt;=HORIZON),CAPEX*(1-LOAN_SHARE),0)</f>
        <v>0</v>
      </c>
      <c r="E18" s="12">
        <f>IF(AND($A18&gt;=1,$A18&lt;=LOAN_TERM,$A18&lt;=HORIZON),LOAN_PAYMENT,0)</f>
        <v>0</v>
      </c>
      <c r="F18" s="12">
        <f>IF(AND($A18&gt;=1,$A18&lt;=HORIZON),POWER_KW*HRS_YEAR*P_ELEC*B18,0)</f>
        <v>0</v>
      </c>
      <c r="G18" s="12">
        <f>IF(AND($A18&gt;=1,$A18&lt;=HORIZON),CAPEX*MAINT_PCT*B18,0)</f>
        <v>0</v>
      </c>
      <c r="H18" s="12">
        <f>IF(AND($A18&gt;=1,$A18&lt;=HORIZON),DT_HOURS*DT_COST*B18,0)</f>
        <v>0</v>
      </c>
      <c r="I18" s="12">
        <f>IF(AND($A18&gt;=1,$A18&lt;=HORIZON),FTE_EQ*FTE_COST*B18,0)</f>
        <v>0</v>
      </c>
      <c r="J18" s="12">
        <f>IF(AND($A18&gt;=1,$A18&lt;=HORIZON),CONSUM_BASE*B18,0)</f>
        <v>0</v>
      </c>
      <c r="K18" s="12">
        <f>IF(AND($A18&gt;=1,$A18&lt;=HORIZON),LIC_BASE*B18,0)</f>
        <v>0</v>
      </c>
      <c r="L18" s="12">
        <f>IF(AND($A18&gt;=1,$A18&lt;=HORIZON),CAPEX*INS_PCT*B18,0)</f>
        <v>0</v>
      </c>
      <c r="M18" s="12">
        <f>IF(AND($A18&gt;=1,$A18&lt;=HORIZON),POWER_KW*HRS_YEAR*CO2_FACTOR*CO2_PRICE*B18,0)</f>
        <v>0</v>
      </c>
      <c r="N18" s="12">
        <f>IF($A18=HORIZON,-DECOM_BASE*B18,0)</f>
        <v>0</v>
      </c>
      <c r="O18" s="12">
        <f>IF($A18=HORIZON,SALVAGE_BASE*B18,0)</f>
        <v>0</v>
      </c>
      <c r="P18" s="12">
        <f>SUM(D18:N18)+O18</f>
        <v>0</v>
      </c>
      <c r="Q18" s="12">
        <f>C18*P18</f>
        <v>0</v>
      </c>
    </row>
    <row r="19" spans="1:17">
      <c r="A19" s="5">
        <v>17</v>
      </c>
      <c r="B19" s="11">
        <f>(1+INFLATION)^17</f>
        <v>0</v>
      </c>
      <c r="C19" s="11">
        <f>1/(1+DISCOUNT)^17</f>
        <v>0</v>
      </c>
      <c r="D19" s="12">
        <f>IF(AND($A19=0,$A19&lt;=HORIZON),CAPEX*(1-LOAN_SHARE),0)</f>
        <v>0</v>
      </c>
      <c r="E19" s="12">
        <f>IF(AND($A19&gt;=1,$A19&lt;=LOAN_TERM,$A19&lt;=HORIZON),LOAN_PAYMENT,0)</f>
        <v>0</v>
      </c>
      <c r="F19" s="12">
        <f>IF(AND($A19&gt;=1,$A19&lt;=HORIZON),POWER_KW*HRS_YEAR*P_ELEC*B19,0)</f>
        <v>0</v>
      </c>
      <c r="G19" s="12">
        <f>IF(AND($A19&gt;=1,$A19&lt;=HORIZON),CAPEX*MAINT_PCT*B19,0)</f>
        <v>0</v>
      </c>
      <c r="H19" s="12">
        <f>IF(AND($A19&gt;=1,$A19&lt;=HORIZON),DT_HOURS*DT_COST*B19,0)</f>
        <v>0</v>
      </c>
      <c r="I19" s="12">
        <f>IF(AND($A19&gt;=1,$A19&lt;=HORIZON),FTE_EQ*FTE_COST*B19,0)</f>
        <v>0</v>
      </c>
      <c r="J19" s="12">
        <f>IF(AND($A19&gt;=1,$A19&lt;=HORIZON),CONSUM_BASE*B19,0)</f>
        <v>0</v>
      </c>
      <c r="K19" s="12">
        <f>IF(AND($A19&gt;=1,$A19&lt;=HORIZON),LIC_BASE*B19,0)</f>
        <v>0</v>
      </c>
      <c r="L19" s="12">
        <f>IF(AND($A19&gt;=1,$A19&lt;=HORIZON),CAPEX*INS_PCT*B19,0)</f>
        <v>0</v>
      </c>
      <c r="M19" s="12">
        <f>IF(AND($A19&gt;=1,$A19&lt;=HORIZON),POWER_KW*HRS_YEAR*CO2_FACTOR*CO2_PRICE*B19,0)</f>
        <v>0</v>
      </c>
      <c r="N19" s="12">
        <f>IF($A19=HORIZON,-DECOM_BASE*B19,0)</f>
        <v>0</v>
      </c>
      <c r="O19" s="12">
        <f>IF($A19=HORIZON,SALVAGE_BASE*B19,0)</f>
        <v>0</v>
      </c>
      <c r="P19" s="12">
        <f>SUM(D19:N19)+O19</f>
        <v>0</v>
      </c>
      <c r="Q19" s="12">
        <f>C19*P19</f>
        <v>0</v>
      </c>
    </row>
    <row r="20" spans="1:17">
      <c r="A20" s="5">
        <v>18</v>
      </c>
      <c r="B20" s="11">
        <f>(1+INFLATION)^18</f>
        <v>0</v>
      </c>
      <c r="C20" s="11">
        <f>1/(1+DISCOUNT)^18</f>
        <v>0</v>
      </c>
      <c r="D20" s="12">
        <f>IF(AND($A20=0,$A20&lt;=HORIZON),CAPEX*(1-LOAN_SHARE),0)</f>
        <v>0</v>
      </c>
      <c r="E20" s="12">
        <f>IF(AND($A20&gt;=1,$A20&lt;=LOAN_TERM,$A20&lt;=HORIZON),LOAN_PAYMENT,0)</f>
        <v>0</v>
      </c>
      <c r="F20" s="12">
        <f>IF(AND($A20&gt;=1,$A20&lt;=HORIZON),POWER_KW*HRS_YEAR*P_ELEC*B20,0)</f>
        <v>0</v>
      </c>
      <c r="G20" s="12">
        <f>IF(AND($A20&gt;=1,$A20&lt;=HORIZON),CAPEX*MAINT_PCT*B20,0)</f>
        <v>0</v>
      </c>
      <c r="H20" s="12">
        <f>IF(AND($A20&gt;=1,$A20&lt;=HORIZON),DT_HOURS*DT_COST*B20,0)</f>
        <v>0</v>
      </c>
      <c r="I20" s="12">
        <f>IF(AND($A20&gt;=1,$A20&lt;=HORIZON),FTE_EQ*FTE_COST*B20,0)</f>
        <v>0</v>
      </c>
      <c r="J20" s="12">
        <f>IF(AND($A20&gt;=1,$A20&lt;=HORIZON),CONSUM_BASE*B20,0)</f>
        <v>0</v>
      </c>
      <c r="K20" s="12">
        <f>IF(AND($A20&gt;=1,$A20&lt;=HORIZON),LIC_BASE*B20,0)</f>
        <v>0</v>
      </c>
      <c r="L20" s="12">
        <f>IF(AND($A20&gt;=1,$A20&lt;=HORIZON),CAPEX*INS_PCT*B20,0)</f>
        <v>0</v>
      </c>
      <c r="M20" s="12">
        <f>IF(AND($A20&gt;=1,$A20&lt;=HORIZON),POWER_KW*HRS_YEAR*CO2_FACTOR*CO2_PRICE*B20,0)</f>
        <v>0</v>
      </c>
      <c r="N20" s="12">
        <f>IF($A20=HORIZON,-DECOM_BASE*B20,0)</f>
        <v>0</v>
      </c>
      <c r="O20" s="12">
        <f>IF($A20=HORIZON,SALVAGE_BASE*B20,0)</f>
        <v>0</v>
      </c>
      <c r="P20" s="12">
        <f>SUM(D20:N20)+O20</f>
        <v>0</v>
      </c>
      <c r="Q20" s="12">
        <f>C20*P20</f>
        <v>0</v>
      </c>
    </row>
    <row r="21" spans="1:17">
      <c r="A21" s="5">
        <v>19</v>
      </c>
      <c r="B21" s="11">
        <f>(1+INFLATION)^19</f>
        <v>0</v>
      </c>
      <c r="C21" s="11">
        <f>1/(1+DISCOUNT)^19</f>
        <v>0</v>
      </c>
      <c r="D21" s="12">
        <f>IF(AND($A21=0,$A21&lt;=HORIZON),CAPEX*(1-LOAN_SHARE),0)</f>
        <v>0</v>
      </c>
      <c r="E21" s="12">
        <f>IF(AND($A21&gt;=1,$A21&lt;=LOAN_TERM,$A21&lt;=HORIZON),LOAN_PAYMENT,0)</f>
        <v>0</v>
      </c>
      <c r="F21" s="12">
        <f>IF(AND($A21&gt;=1,$A21&lt;=HORIZON),POWER_KW*HRS_YEAR*P_ELEC*B21,0)</f>
        <v>0</v>
      </c>
      <c r="G21" s="12">
        <f>IF(AND($A21&gt;=1,$A21&lt;=HORIZON),CAPEX*MAINT_PCT*B21,0)</f>
        <v>0</v>
      </c>
      <c r="H21" s="12">
        <f>IF(AND($A21&gt;=1,$A21&lt;=HORIZON),DT_HOURS*DT_COST*B21,0)</f>
        <v>0</v>
      </c>
      <c r="I21" s="12">
        <f>IF(AND($A21&gt;=1,$A21&lt;=HORIZON),FTE_EQ*FTE_COST*B21,0)</f>
        <v>0</v>
      </c>
      <c r="J21" s="12">
        <f>IF(AND($A21&gt;=1,$A21&lt;=HORIZON),CONSUM_BASE*B21,0)</f>
        <v>0</v>
      </c>
      <c r="K21" s="12">
        <f>IF(AND($A21&gt;=1,$A21&lt;=HORIZON),LIC_BASE*B21,0)</f>
        <v>0</v>
      </c>
      <c r="L21" s="12">
        <f>IF(AND($A21&gt;=1,$A21&lt;=HORIZON),CAPEX*INS_PCT*B21,0)</f>
        <v>0</v>
      </c>
      <c r="M21" s="12">
        <f>IF(AND($A21&gt;=1,$A21&lt;=HORIZON),POWER_KW*HRS_YEAR*CO2_FACTOR*CO2_PRICE*B21,0)</f>
        <v>0</v>
      </c>
      <c r="N21" s="12">
        <f>IF($A21=HORIZON,-DECOM_BASE*B21,0)</f>
        <v>0</v>
      </c>
      <c r="O21" s="12">
        <f>IF($A21=HORIZON,SALVAGE_BASE*B21,0)</f>
        <v>0</v>
      </c>
      <c r="P21" s="12">
        <f>SUM(D21:N21)+O21</f>
        <v>0</v>
      </c>
      <c r="Q21" s="12">
        <f>C21*P21</f>
        <v>0</v>
      </c>
    </row>
    <row r="22" spans="1:17">
      <c r="A22" s="5">
        <v>20</v>
      </c>
      <c r="B22" s="11">
        <f>(1+INFLATION)^20</f>
        <v>0</v>
      </c>
      <c r="C22" s="11">
        <f>1/(1+DISCOUNT)^20</f>
        <v>0</v>
      </c>
      <c r="D22" s="12">
        <f>IF(AND($A22=0,$A22&lt;=HORIZON),CAPEX*(1-LOAN_SHARE),0)</f>
        <v>0</v>
      </c>
      <c r="E22" s="12">
        <f>IF(AND($A22&gt;=1,$A22&lt;=LOAN_TERM,$A22&lt;=HORIZON),LOAN_PAYMENT,0)</f>
        <v>0</v>
      </c>
      <c r="F22" s="12">
        <f>IF(AND($A22&gt;=1,$A22&lt;=HORIZON),POWER_KW*HRS_YEAR*P_ELEC*B22,0)</f>
        <v>0</v>
      </c>
      <c r="G22" s="12">
        <f>IF(AND($A22&gt;=1,$A22&lt;=HORIZON),CAPEX*MAINT_PCT*B22,0)</f>
        <v>0</v>
      </c>
      <c r="H22" s="12">
        <f>IF(AND($A22&gt;=1,$A22&lt;=HORIZON),DT_HOURS*DT_COST*B22,0)</f>
        <v>0</v>
      </c>
      <c r="I22" s="12">
        <f>IF(AND($A22&gt;=1,$A22&lt;=HORIZON),FTE_EQ*FTE_COST*B22,0)</f>
        <v>0</v>
      </c>
      <c r="J22" s="12">
        <f>IF(AND($A22&gt;=1,$A22&lt;=HORIZON),CONSUM_BASE*B22,0)</f>
        <v>0</v>
      </c>
      <c r="K22" s="12">
        <f>IF(AND($A22&gt;=1,$A22&lt;=HORIZON),LIC_BASE*B22,0)</f>
        <v>0</v>
      </c>
      <c r="L22" s="12">
        <f>IF(AND($A22&gt;=1,$A22&lt;=HORIZON),CAPEX*INS_PCT*B22,0)</f>
        <v>0</v>
      </c>
      <c r="M22" s="12">
        <f>IF(AND($A22&gt;=1,$A22&lt;=HORIZON),POWER_KW*HRS_YEAR*CO2_FACTOR*CO2_PRICE*B22,0)</f>
        <v>0</v>
      </c>
      <c r="N22" s="12">
        <f>IF($A22=HORIZON,-DECOM_BASE*B22,0)</f>
        <v>0</v>
      </c>
      <c r="O22" s="12">
        <f>IF($A22=HORIZON,SALVAGE_BASE*B22,0)</f>
        <v>0</v>
      </c>
      <c r="P22" s="12">
        <f>SUM(D22:N22)+O22</f>
        <v>0</v>
      </c>
      <c r="Q22" s="12">
        <f>C22*P22</f>
        <v>0</v>
      </c>
    </row>
    <row r="23" spans="1:17">
      <c r="O23" s="10" t="s">
        <v>51</v>
      </c>
      <c r="P23" s="9">
        <f>SUM(P2:P22)</f>
        <v>0</v>
      </c>
      <c r="Q23" s="9">
        <f>SUM(Q2:Q22)</f>
        <v>0</v>
      </c>
    </row>
    <row r="24" spans="1:17">
      <c r="O24" s="10" t="s">
        <v>52</v>
      </c>
      <c r="P24" s="13">
        <f>HRS_YEAR*HORIZON</f>
        <v>0</v>
      </c>
    </row>
    <row r="25" spans="1:17">
      <c r="O25" s="10" t="s">
        <v>53</v>
      </c>
      <c r="P25" s="14">
        <f>IF(HORIZON&gt;0,Q23/HORIZON,0)</f>
        <v>0</v>
      </c>
    </row>
    <row r="26" spans="1:17">
      <c r="O26" s="10" t="s">
        <v>54</v>
      </c>
      <c r="P26" s="15">
        <f>IF(HRS_YEAR*HORIZON&gt;0,Q23/(HRS_YEAR*HORIZON),0)</f>
        <v>0</v>
      </c>
    </row>
  </sheetData>
  <pageMargins left="0.4" right="0.4" top="0.6" bottom="0.6" header="0.3" footer="0.3"/>
  <pageSetup orientation="portrait"/>
  <headerFooter>
    <oddFooter>&amp;Llecoursgratuit.com&amp;CFlux TCO&amp;RModèle</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D15"/>
  <sheetViews>
    <sheetView workbookViewId="0"/>
  </sheetViews>
  <sheetFormatPr defaultRowHeight="15"/>
  <cols>
    <col min="1" max="1" width="34.7109375" customWidth="1"/>
    <col min="2" max="4" width="18.7109375" customWidth="1"/>
  </cols>
  <sheetData>
    <row r="1" spans="1:4" ht="26" customHeight="1">
      <c r="A1" s="1" t="s">
        <v>59</v>
      </c>
      <c r="B1" s="1"/>
      <c r="C1" s="1"/>
      <c r="D1" s="1"/>
    </row>
    <row r="3" spans="1:4">
      <c r="A3" s="3" t="s">
        <v>60</v>
      </c>
    </row>
    <row r="4" spans="1:4">
      <c r="A4" s="16" t="s">
        <v>61</v>
      </c>
      <c r="B4" s="14">
        <f>Calculs!P23</f>
        <v>0</v>
      </c>
    </row>
    <row r="5" spans="1:4">
      <c r="A5" s="16" t="s">
        <v>62</v>
      </c>
      <c r="B5" s="14">
        <f>Calculs!Q23</f>
        <v>0</v>
      </c>
    </row>
    <row r="6" spans="1:4">
      <c r="A6" s="16" t="s">
        <v>53</v>
      </c>
      <c r="B6" s="14">
        <f>Calculs!P25</f>
        <v>0</v>
      </c>
    </row>
    <row r="7" spans="1:4">
      <c r="A7" s="16" t="s">
        <v>63</v>
      </c>
      <c r="B7" s="15">
        <f>Calculs!P26</f>
        <v>0</v>
      </c>
    </row>
    <row r="9" spans="1:4">
      <c r="A9" s="3" t="s">
        <v>64</v>
      </c>
    </row>
    <row r="10" spans="1:4">
      <c r="A10" s="4" t="s">
        <v>65</v>
      </c>
      <c r="B10" s="5">
        <f>HORIZON</f>
        <v>0</v>
      </c>
    </row>
    <row r="11" spans="1:4">
      <c r="A11" s="4" t="s">
        <v>66</v>
      </c>
      <c r="B11" s="17">
        <f>DISCOUNT</f>
        <v>0</v>
      </c>
    </row>
    <row r="12" spans="1:4">
      <c r="A12" s="4" t="s">
        <v>67</v>
      </c>
      <c r="B12" s="17">
        <f>INFLATION</f>
        <v>0</v>
      </c>
    </row>
    <row r="13" spans="1:4">
      <c r="A13" s="4" t="s">
        <v>68</v>
      </c>
      <c r="B13" s="9">
        <f>CAPEX</f>
        <v>0</v>
      </c>
    </row>
    <row r="14" spans="1:4">
      <c r="A14" s="4" t="s">
        <v>69</v>
      </c>
      <c r="B14" s="17">
        <f>LOAN_SHARE</f>
        <v>0</v>
      </c>
    </row>
    <row r="15" spans="1:4">
      <c r="A15" s="4" t="s">
        <v>70</v>
      </c>
      <c r="B15" s="5">
        <f>LOAN_TERM</f>
        <v>0</v>
      </c>
    </row>
  </sheetData>
  <mergeCells count="1">
    <mergeCell ref="A1:D1"/>
  </mergeCells>
  <pageMargins left="0.4" right="0.4" top="0.6" bottom="0.6" header="0.3" footer="0.3"/>
  <pageSetup orientation="portrait"/>
  <headerFooter>
    <oddFooter>&amp;Llecoursgratuit.com&amp;COne‑page TCO&amp;RModèle</oddFooter>
  </headerFooter>
  <drawing r:id="rId1"/>
</worksheet>
</file>

<file path=xl/worksheets/sheet4.xml><?xml version="1.0" encoding="utf-8"?>
<worksheet xmlns="http://schemas.openxmlformats.org/spreadsheetml/2006/main" xmlns:r="http://schemas.openxmlformats.org/officeDocument/2006/relationships">
  <sheetPr>
    <pageSetUpPr fitToPage="1"/>
  </sheetPr>
  <dimension ref="A1:A3"/>
  <sheetViews>
    <sheetView workbookViewId="0"/>
  </sheetViews>
  <sheetFormatPr defaultRowHeight="15"/>
  <cols>
    <col min="1" max="1" width="110.7109375" customWidth="1"/>
  </cols>
  <sheetData>
    <row r="1" spans="1:1">
      <c r="A1" s="1" t="s">
        <v>71</v>
      </c>
    </row>
    <row r="3" spans="1:1">
      <c r="A3" s="18" t="s">
        <v>72</v>
      </c>
    </row>
  </sheetData>
  <pageMargins left="0.4" right="0.4" top="0.6" bottom="0.6" header="0.3" footer="0.3"/>
  <pageSetup orientation="portrait"/>
  <headerFooter>
    <oddFooter>&amp;Llecoursgratuit.com&amp;CAide&amp;RModèle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22</vt:i4>
      </vt:variant>
    </vt:vector>
  </HeadingPairs>
  <TitlesOfParts>
    <vt:vector size="26" baseType="lpstr">
      <vt:lpstr>Paramètres</vt:lpstr>
      <vt:lpstr>Calculs</vt:lpstr>
      <vt:lpstr>Dashboard</vt:lpstr>
      <vt:lpstr>Mode d'emploi</vt:lpstr>
      <vt:lpstr>CAPEX</vt:lpstr>
      <vt:lpstr>CO2_FACTOR</vt:lpstr>
      <vt:lpstr>CO2_PRICE</vt:lpstr>
      <vt:lpstr>CONSUM_BASE</vt:lpstr>
      <vt:lpstr>DECOM_BASE</vt:lpstr>
      <vt:lpstr>DISCOUNT</vt:lpstr>
      <vt:lpstr>DT_COST</vt:lpstr>
      <vt:lpstr>DT_HOURS</vt:lpstr>
      <vt:lpstr>FTE_COST</vt:lpstr>
      <vt:lpstr>FTE_EQ</vt:lpstr>
      <vt:lpstr>HORIZON</vt:lpstr>
      <vt:lpstr>HRS_YEAR</vt:lpstr>
      <vt:lpstr>INFLATION</vt:lpstr>
      <vt:lpstr>INS_PCT</vt:lpstr>
      <vt:lpstr>LIC_BASE</vt:lpstr>
      <vt:lpstr>LOAN_RATE</vt:lpstr>
      <vt:lpstr>LOAN_SHARE</vt:lpstr>
      <vt:lpstr>LOAN_TERM</vt:lpstr>
      <vt:lpstr>MAINT_PCT</vt:lpstr>
      <vt:lpstr>P_ELEC</vt:lpstr>
      <vt:lpstr>POWER_KW</vt:lpstr>
      <vt:lpstr>SALVAGE_BASE</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2025-10-08T15:56:56Z</dcterms:created>
  <dcterms:modified xsi:type="dcterms:W3CDTF">2025-10-08T15:56:56Z</dcterms:modified>
</cp:coreProperties>
</file>