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s" sheetId="1" state="visible" r:id="rId1"/>
    <sheet xmlns:r="http://schemas.openxmlformats.org/officeDocument/2006/relationships" name="CodesPostaux_FR" sheetId="2" state="visible" r:id="rId2"/>
    <sheet xmlns:r="http://schemas.openxmlformats.org/officeDocument/2006/relationships" name="Adresses" sheetId="3" state="visible" r:id="rId3"/>
    <sheet xmlns:r="http://schemas.openxmlformats.org/officeDocument/2006/relationships" name="TableauCourrier" sheetId="4" state="visible" r:id="rId4"/>
  </sheets>
  <definedNames>
    <definedName name="Liste_Sens">=Tables!$A$4:$A$5</definedName>
    <definedName name="Liste_Canal">=Tables!$B$4:$B$11</definedName>
    <definedName name="Liste_Statut">=Tables!$C$4:$C$9</definedName>
    <definedName name="Liste_Confidentialite">=Tables!$D$4:$D$7</definedName>
    <definedName name="Liste_DP">=Tables!$E$4:$E$5</definedName>
    <definedName name="Liste_Nature">=Tables!$F$4:$F$11</definedName>
    <definedName name="Liste_Pays">=Tables!$G$4:$G$9</definedName>
    <definedName name="Table_SLA">=Tables!$A$21:$B$28</definedName>
    <definedName name="Liste_Contacts">=Adresses!$A$4:$A$200</definedName>
    <definedName name="_xlnm._FilterDatabase" localSheetId="3" hidden="1">'TableauCourrier'!$A$6:$Y$55</definedName>
    <definedName name="_xlnm.Print_Area" localSheetId="3">'TableauCourrier'!$A$1:$Y$45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dd/mm/yyyy"/>
  </numFmts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</fonts>
  <fills count="5">
    <fill>
      <patternFill/>
    </fill>
    <fill>
      <patternFill patternType="gray125"/>
    </fill>
    <fill>
      <patternFill patternType="solid">
        <fgColor rgb="001E3A8A"/>
      </patternFill>
    </fill>
    <fill>
      <patternFill patternType="solid">
        <fgColor rgb="00E5E7EB"/>
      </patternFill>
    </fill>
    <fill>
      <patternFill patternType="solid">
        <fgColor rgb="00EEF2FF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2" fillId="4" borderId="0" pivotButton="0" quotePrefix="0" xfId="0"/>
    <xf numFmtId="0" fontId="2" fillId="4" borderId="1" pivotButton="0" quotePrefix="0" xfId="0"/>
    <xf numFmtId="0" fontId="0" fillId="0" borderId="1" applyAlignment="1" pivotButton="0" quotePrefix="0" xfId="0">
      <alignment vertical="center" wrapText="1"/>
    </xf>
    <xf numFmtId="164" fontId="0" fillId="0" borderId="1" applyAlignment="1" pivotButton="0" quotePrefix="0" xfId="0">
      <alignment vertical="center" wrapText="1"/>
    </xf>
    <xf numFmtId="165" fontId="0" fillId="0" borderId="1" applyAlignment="1" pivotButton="0" quotePrefix="0" xfId="0">
      <alignment vertical="center" wrapText="1"/>
    </xf>
  </cellXfs>
  <cellStyles count="1">
    <cellStyle name="Normal" xfId="0" builtinId="0" hidden="0"/>
  </cellStyles>
  <dxfs count="8">
    <dxf>
      <fill>
        <patternFill patternType="solid">
          <fgColor rgb="00F1F5F9"/>
          <bgColor rgb="00F1F5F9"/>
        </patternFill>
      </fill>
    </dxf>
    <dxf>
      <fill>
        <patternFill patternType="solid">
          <fgColor rgb="00FFF2CC"/>
          <bgColor rgb="00FFF2CC"/>
        </patternFill>
      </fill>
    </dxf>
    <dxf>
      <fill>
        <patternFill patternType="solid">
          <fgColor rgb="00FFE9A8"/>
          <bgColor rgb="00FFE9A8"/>
        </patternFill>
      </fill>
    </dxf>
    <dxf>
      <fill>
        <patternFill patternType="solid">
          <fgColor rgb="00D9EAD3"/>
          <bgColor rgb="00D9EAD3"/>
        </patternFill>
      </fill>
    </dxf>
    <dxf>
      <fill>
        <patternFill patternType="solid">
          <fgColor rgb="00DCE6F1"/>
          <bgColor rgb="00DCE6F1"/>
        </patternFill>
      </fill>
    </dxf>
    <dxf>
      <fill>
        <patternFill patternType="solid">
          <fgColor rgb="00F8D7DA"/>
          <bgColor rgb="00F8D7DA"/>
        </patternFill>
      </fill>
    </dxf>
    <dxf>
      <fill>
        <patternFill patternType="solid">
          <fgColor rgb="00FAD7E0"/>
        </patternFill>
      </fill>
    </dxf>
    <dxf>
      <fill>
        <patternFill patternType="solid">
          <fgColor rgb="00FCE4E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ables/table1.xml><?xml version="1.0" encoding="utf-8"?>
<table xmlns="http://schemas.openxmlformats.org/spreadsheetml/2006/main" id="1" name="t_courrier" displayName="t_courrier" ref="A6:Y55" headerRowCount="1">
  <autoFilter ref="A6:Y55"/>
  <tableColumns count="25">
    <tableColumn id="1" name="ID"/>
    <tableColumn id="2" name="Date"/>
    <tableColumn id="3" name="Sens"/>
    <tableColumn id="4" name="Canal"/>
    <tableColumn id="5" name="Expéditeur/Destinataire"/>
    <tableColumn id="6" name="Type contact"/>
    <tableColumn id="7" name="Adresse 1"/>
    <tableColumn id="8" name="Adresse 2"/>
    <tableColumn id="9" name="Code postal"/>
    <tableColumn id="10" name="Ville"/>
    <tableColumn id="11" name="Département"/>
    <tableColumn id="12" name="Pays"/>
    <tableColumn id="13" name="Objet / Référence"/>
    <tableColumn id="14" name="Nature"/>
    <tableColumn id="15" name="Confidentialité"/>
    <tableColumn id="16" name="Données perso (Oui/Non)"/>
    <tableColumn id="17" name="Responsable"/>
    <tableColumn id="18" name="SLA (jours)"/>
    <tableColumn id="19" name="Échéance réponse"/>
    <tableColumn id="20" name="Statut"/>
    <tableColumn id="21" name="Date réponse"/>
    <tableColumn id="22" name="SLA respecté ?"/>
    <tableColumn id="23" name="N° suivi / AR"/>
    <tableColumn id="24" name="Preuve / Lien"/>
    <tableColumn id="25" name="Observations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LISTES &amp; MAPPINGS</t>
        </is>
      </c>
    </row>
    <row r="2"/>
    <row r="3">
      <c r="A3" s="2" t="n"/>
      <c r="B3" s="2" t="n"/>
      <c r="C3" s="2" t="n"/>
      <c r="D3" s="2" t="n"/>
      <c r="E3" s="2" t="n"/>
      <c r="F3" s="2" t="n"/>
      <c r="G3" s="2" t="n"/>
    </row>
    <row r="4">
      <c r="A4" t="inlineStr">
        <is>
          <t>Entrant</t>
        </is>
      </c>
      <c r="B4" t="inlineStr">
        <is>
          <t>Lettre simple</t>
        </is>
      </c>
      <c r="C4" t="inlineStr">
        <is>
          <t>À enregistrer</t>
        </is>
      </c>
      <c r="D4" t="inlineStr">
        <is>
          <t>Public</t>
        </is>
      </c>
      <c r="E4" t="inlineStr">
        <is>
          <t>Non</t>
        </is>
      </c>
      <c r="F4" t="inlineStr">
        <is>
          <t>Facture</t>
        </is>
      </c>
      <c r="G4" t="inlineStr">
        <is>
          <t>FRANCE</t>
        </is>
      </c>
    </row>
    <row r="5">
      <c r="A5" t="inlineStr">
        <is>
          <t>Sortant</t>
        </is>
      </c>
      <c r="B5" t="inlineStr">
        <is>
          <t>LR</t>
        </is>
      </c>
      <c r="C5" t="inlineStr">
        <is>
          <t>À traiter</t>
        </is>
      </c>
      <c r="D5" t="inlineStr">
        <is>
          <t>Interne</t>
        </is>
      </c>
      <c r="E5" t="inlineStr">
        <is>
          <t>Oui</t>
        </is>
      </c>
      <c r="F5" t="inlineStr">
        <is>
          <t>Juridique</t>
        </is>
      </c>
      <c r="G5" t="inlineStr">
        <is>
          <t>BELGIQUE</t>
        </is>
      </c>
    </row>
    <row r="6">
      <c r="B6" t="inlineStr">
        <is>
          <t>LRAR</t>
        </is>
      </c>
      <c r="C6" t="inlineStr">
        <is>
          <t>En cours</t>
        </is>
      </c>
      <c r="D6" t="inlineStr">
        <is>
          <t>Confidentiel</t>
        </is>
      </c>
      <c r="F6" t="inlineStr">
        <is>
          <t>RH</t>
        </is>
      </c>
      <c r="G6" t="inlineStr">
        <is>
          <t>SUISSE</t>
        </is>
      </c>
    </row>
    <row r="7">
      <c r="B7" t="inlineStr">
        <is>
          <t>Colissimo</t>
        </is>
      </c>
      <c r="C7" t="inlineStr">
        <is>
          <t>Répondu</t>
        </is>
      </c>
      <c r="D7" t="inlineStr">
        <is>
          <t>Sensible</t>
        </is>
      </c>
      <c r="F7" t="inlineStr">
        <is>
          <t>Commercial</t>
        </is>
      </c>
      <c r="G7" t="inlineStr">
        <is>
          <t>ESPAGNE</t>
        </is>
      </c>
    </row>
    <row r="8">
      <c r="B8" t="inlineStr">
        <is>
          <t>Chronopost</t>
        </is>
      </c>
      <c r="C8" t="inlineStr">
        <is>
          <t>Archivé</t>
        </is>
      </c>
      <c r="F8" t="inlineStr">
        <is>
          <t>Technique</t>
        </is>
      </c>
      <c r="G8" t="inlineStr">
        <is>
          <t>ALLEMAGNE</t>
        </is>
      </c>
    </row>
    <row r="9">
      <c r="B9" t="inlineStr">
        <is>
          <t>Courrier interne</t>
        </is>
      </c>
      <c r="C9" t="inlineStr">
        <is>
          <t>Retourné</t>
        </is>
      </c>
      <c r="F9" t="inlineStr">
        <is>
          <t>Administratif</t>
        </is>
      </c>
      <c r="G9" t="inlineStr">
        <is>
          <t>ITALIE</t>
        </is>
      </c>
    </row>
    <row r="10">
      <c r="B10" t="inlineStr">
        <is>
          <t>Messagerie</t>
        </is>
      </c>
      <c r="F10" t="inlineStr">
        <is>
          <t>Marketing</t>
        </is>
      </c>
    </row>
    <row r="11">
      <c r="B11" t="inlineStr">
        <is>
          <t>Colis</t>
        </is>
      </c>
      <c r="F11" t="inlineStr">
        <is>
          <t>Autre</t>
        </is>
      </c>
    </row>
    <row r="20">
      <c r="A20" s="2" t="inlineStr">
        <is>
          <t>Nature</t>
        </is>
      </c>
      <c r="B20" s="2" t="inlineStr">
        <is>
          <t>SLA (jours)</t>
        </is>
      </c>
    </row>
    <row r="21">
      <c r="A21" t="inlineStr">
        <is>
          <t>Facture</t>
        </is>
      </c>
      <c r="B21" t="n">
        <v>5</v>
      </c>
    </row>
    <row r="22">
      <c r="A22" t="inlineStr">
        <is>
          <t>Juridique</t>
        </is>
      </c>
      <c r="B22" t="n">
        <v>2</v>
      </c>
    </row>
    <row r="23">
      <c r="A23" t="inlineStr">
        <is>
          <t>RH</t>
        </is>
      </c>
      <c r="B23" t="n">
        <v>3</v>
      </c>
    </row>
    <row r="24">
      <c r="A24" t="inlineStr">
        <is>
          <t>Commercial</t>
        </is>
      </c>
      <c r="B24" t="n">
        <v>5</v>
      </c>
    </row>
    <row r="25">
      <c r="A25" t="inlineStr">
        <is>
          <t>Technique</t>
        </is>
      </c>
      <c r="B25" t="n">
        <v>3</v>
      </c>
    </row>
    <row r="26">
      <c r="A26" t="inlineStr">
        <is>
          <t>Administratif</t>
        </is>
      </c>
      <c r="B26" t="n">
        <v>10</v>
      </c>
    </row>
    <row r="27">
      <c r="A27" t="inlineStr">
        <is>
          <t>Marketing</t>
        </is>
      </c>
      <c r="B27" t="n">
        <v>7</v>
      </c>
    </row>
    <row r="28">
      <c r="A28" t="inlineStr">
        <is>
          <t>Autre</t>
        </is>
      </c>
      <c r="B28" t="n">
        <v>15</v>
      </c>
    </row>
  </sheetData>
  <mergeCells count="1">
    <mergeCell ref="A1:H2"/>
  </mergeCells>
  <pageMargins left="0.4" right="0.4" top="0.6" bottom="0.6" header="0.3" footer="0.3"/>
  <pageSetup orientation="portrait" paperSize="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CODES POSTAUX FR (ÉCHANTILLON)</t>
        </is>
      </c>
    </row>
    <row r="2"/>
    <row r="3">
      <c r="A3" s="2" t="n"/>
      <c r="B3" s="2" t="n"/>
      <c r="C3" s="2" t="n"/>
      <c r="D3" s="2" t="n"/>
    </row>
    <row r="4">
      <c r="A4" t="inlineStr">
        <is>
          <t>06000</t>
        </is>
      </c>
      <c r="B4" t="inlineStr">
        <is>
          <t>Nice</t>
        </is>
      </c>
      <c r="C4" t="inlineStr">
        <is>
          <t>Alpes-Maritimes</t>
        </is>
      </c>
      <c r="D4" t="inlineStr">
        <is>
          <t>Provence-Alpes-Côte d'Azur</t>
        </is>
      </c>
    </row>
    <row r="5">
      <c r="A5" t="inlineStr">
        <is>
          <t>13001</t>
        </is>
      </c>
      <c r="B5" t="inlineStr">
        <is>
          <t>Marseille</t>
        </is>
      </c>
      <c r="C5" t="inlineStr">
        <is>
          <t>Bouches-du-Rhône</t>
        </is>
      </c>
      <c r="D5" t="inlineStr">
        <is>
          <t>Provence-Alpes-Côte d'Azur</t>
        </is>
      </c>
    </row>
    <row r="6">
      <c r="A6" t="inlineStr">
        <is>
          <t>31000</t>
        </is>
      </c>
      <c r="B6" t="inlineStr">
        <is>
          <t>Toulouse</t>
        </is>
      </c>
      <c r="C6" t="inlineStr">
        <is>
          <t>Haute-Garonne</t>
        </is>
      </c>
      <c r="D6" t="inlineStr">
        <is>
          <t>Occitanie</t>
        </is>
      </c>
    </row>
    <row r="7">
      <c r="A7" t="inlineStr">
        <is>
          <t>33000</t>
        </is>
      </c>
      <c r="B7" t="inlineStr">
        <is>
          <t>Bordeaux</t>
        </is>
      </c>
      <c r="C7" t="inlineStr">
        <is>
          <t>Gironde</t>
        </is>
      </c>
      <c r="D7" t="inlineStr">
        <is>
          <t>Nouvelle-Aquitaine</t>
        </is>
      </c>
    </row>
    <row r="8">
      <c r="A8" t="inlineStr">
        <is>
          <t>35000</t>
        </is>
      </c>
      <c r="B8" t="inlineStr">
        <is>
          <t>Rennes</t>
        </is>
      </c>
      <c r="C8" t="inlineStr">
        <is>
          <t>Ille-et-Vilaine</t>
        </is>
      </c>
      <c r="D8" t="inlineStr">
        <is>
          <t>Bretagne</t>
        </is>
      </c>
    </row>
    <row r="9">
      <c r="A9" t="inlineStr">
        <is>
          <t>37000</t>
        </is>
      </c>
      <c r="B9" t="inlineStr">
        <is>
          <t>Tours</t>
        </is>
      </c>
      <c r="C9" t="inlineStr">
        <is>
          <t>Indre-et-Loire</t>
        </is>
      </c>
      <c r="D9" t="inlineStr">
        <is>
          <t>Centre-Val de Loire</t>
        </is>
      </c>
    </row>
    <row r="10">
      <c r="A10" t="inlineStr">
        <is>
          <t>44000</t>
        </is>
      </c>
      <c r="B10" t="inlineStr">
        <is>
          <t>Nantes</t>
        </is>
      </c>
      <c r="C10" t="inlineStr">
        <is>
          <t>Loire-Atlantique</t>
        </is>
      </c>
      <c r="D10" t="inlineStr">
        <is>
          <t>Pays de la Loire</t>
        </is>
      </c>
    </row>
    <row r="11">
      <c r="A11" t="inlineStr">
        <is>
          <t>45000</t>
        </is>
      </c>
      <c r="B11" t="inlineStr">
        <is>
          <t>Orléans</t>
        </is>
      </c>
      <c r="C11" t="inlineStr">
        <is>
          <t>Loiret</t>
        </is>
      </c>
      <c r="D11" t="inlineStr">
        <is>
          <t>Centre-Val de Loire</t>
        </is>
      </c>
    </row>
    <row r="12">
      <c r="A12" t="inlineStr">
        <is>
          <t>49100</t>
        </is>
      </c>
      <c r="B12" t="inlineStr">
        <is>
          <t>Angers</t>
        </is>
      </c>
      <c r="C12" t="inlineStr">
        <is>
          <t>Maine-et-Loire</t>
        </is>
      </c>
      <c r="D12" t="inlineStr">
        <is>
          <t>Pays de la Loire</t>
        </is>
      </c>
    </row>
    <row r="13">
      <c r="A13" t="inlineStr">
        <is>
          <t>59000</t>
        </is>
      </c>
      <c r="B13" t="inlineStr">
        <is>
          <t>Lille</t>
        </is>
      </c>
      <c r="C13" t="inlineStr">
        <is>
          <t>Nord</t>
        </is>
      </c>
      <c r="D13" t="inlineStr">
        <is>
          <t>Hauts-de-France</t>
        </is>
      </c>
    </row>
    <row r="14">
      <c r="A14" t="inlineStr">
        <is>
          <t>69001</t>
        </is>
      </c>
      <c r="B14" t="inlineStr">
        <is>
          <t>Lyon</t>
        </is>
      </c>
      <c r="C14" t="inlineStr">
        <is>
          <t>Rhône</t>
        </is>
      </c>
      <c r="D14" t="inlineStr">
        <is>
          <t>Auvergne-Rhône-Alpes</t>
        </is>
      </c>
    </row>
    <row r="15">
      <c r="A15" t="inlineStr">
        <is>
          <t>69100</t>
        </is>
      </c>
      <c r="B15" t="inlineStr">
        <is>
          <t>Villeurbanne</t>
        </is>
      </c>
      <c r="C15" t="inlineStr">
        <is>
          <t>Rhône</t>
        </is>
      </c>
      <c r="D15" t="inlineStr">
        <is>
          <t>Auvergne-Rhône-Alpes</t>
        </is>
      </c>
    </row>
    <row r="16">
      <c r="A16" t="inlineStr">
        <is>
          <t>75001</t>
        </is>
      </c>
      <c r="B16" t="inlineStr">
        <is>
          <t>Paris</t>
        </is>
      </c>
      <c r="C16" t="inlineStr">
        <is>
          <t>Paris</t>
        </is>
      </c>
      <c r="D16" t="inlineStr">
        <is>
          <t>Île-de-France</t>
        </is>
      </c>
    </row>
    <row r="17">
      <c r="A17" t="inlineStr">
        <is>
          <t>75011</t>
        </is>
      </c>
      <c r="B17" t="inlineStr">
        <is>
          <t>Paris</t>
        </is>
      </c>
      <c r="C17" t="inlineStr">
        <is>
          <t>Paris</t>
        </is>
      </c>
      <c r="D17" t="inlineStr">
        <is>
          <t>Île-de-France</t>
        </is>
      </c>
    </row>
    <row r="18">
      <c r="A18" t="inlineStr">
        <is>
          <t>76000</t>
        </is>
      </c>
      <c r="B18" t="inlineStr">
        <is>
          <t>Rouen</t>
        </is>
      </c>
      <c r="C18" t="inlineStr">
        <is>
          <t>Seine-Maritime</t>
        </is>
      </c>
      <c r="D18" t="inlineStr">
        <is>
          <t>Normandie</t>
        </is>
      </c>
    </row>
    <row r="19">
      <c r="A19" t="inlineStr">
        <is>
          <t>80000</t>
        </is>
      </c>
      <c r="B19" t="inlineStr">
        <is>
          <t>Amiens</t>
        </is>
      </c>
      <c r="C19" t="inlineStr">
        <is>
          <t>Somme</t>
        </is>
      </c>
      <c r="D19" t="inlineStr">
        <is>
          <t>Hauts-de-France</t>
        </is>
      </c>
    </row>
    <row r="20">
      <c r="A20" t="inlineStr">
        <is>
          <t>84000</t>
        </is>
      </c>
      <c r="B20" t="inlineStr">
        <is>
          <t>Avignon</t>
        </is>
      </c>
      <c r="C20" t="inlineStr">
        <is>
          <t>Vaucluse</t>
        </is>
      </c>
      <c r="D20" t="inlineStr">
        <is>
          <t>Provence-Alpes-Côte d'Azur</t>
        </is>
      </c>
    </row>
    <row r="21">
      <c r="A21" t="inlineStr">
        <is>
          <t>86000</t>
        </is>
      </c>
      <c r="B21" t="inlineStr">
        <is>
          <t>Poitiers</t>
        </is>
      </c>
      <c r="C21" t="inlineStr">
        <is>
          <t>Vienne</t>
        </is>
      </c>
      <c r="D21" t="inlineStr">
        <is>
          <t>Nouvelle-Aquitaine</t>
        </is>
      </c>
    </row>
  </sheetData>
  <mergeCells count="1">
    <mergeCell ref="A1:D2"/>
  </mergeCells>
  <pageMargins left="0.4" right="0.4" top="0.6" bottom="0.6" header="0.3" footer="0.3"/>
  <pageSetup orientation="portrait" paperSize="9" fitToHeight="1" fitToWidth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ADRESSES POSTALES (CONTACTS / TIERS)</t>
        </is>
      </c>
    </row>
    <row r="2"/>
    <row r="3">
      <c r="A3" s="3" t="inlineStr">
        <is>
          <t>Contact / Entité</t>
        </is>
      </c>
      <c r="B3" s="3" t="inlineStr">
        <is>
          <t>Type (Client/Fourn./Inst./Interne)</t>
        </is>
      </c>
      <c r="C3" s="3" t="inlineStr">
        <is>
          <t>Adresse 1</t>
        </is>
      </c>
      <c r="D3" s="3" t="inlineStr">
        <is>
          <t>Adresse 2</t>
        </is>
      </c>
      <c r="E3" s="3" t="inlineStr">
        <is>
          <t>Code postal</t>
        </is>
      </c>
      <c r="F3" s="3" t="inlineStr">
        <is>
          <t>Ville</t>
        </is>
      </c>
      <c r="G3" s="3" t="inlineStr">
        <is>
          <t>Département</t>
        </is>
      </c>
      <c r="H3" s="3" t="inlineStr">
        <is>
          <t>Pays</t>
        </is>
      </c>
      <c r="I3" s="3" t="inlineStr">
        <is>
          <t>Sensibilité (Normal/Sensible)</t>
        </is>
      </c>
      <c r="J3" s="3" t="inlineStr">
        <is>
          <t>Notes</t>
        </is>
      </c>
    </row>
    <row r="4">
      <c r="A4" t="inlineStr">
        <is>
          <t>Préfecture de Police de Paris</t>
        </is>
      </c>
      <c r="B4" t="inlineStr">
        <is>
          <t>Institution</t>
        </is>
      </c>
      <c r="C4" t="inlineStr">
        <is>
          <t>1 Rue de Lutèce</t>
        </is>
      </c>
      <c r="E4" t="inlineStr">
        <is>
          <t>75001</t>
        </is>
      </c>
      <c r="F4" t="inlineStr">
        <is>
          <t>Paris</t>
        </is>
      </c>
      <c r="G4" t="inlineStr">
        <is>
          <t>Paris</t>
        </is>
      </c>
      <c r="H4" t="inlineStr">
        <is>
          <t>FRANCE</t>
        </is>
      </c>
      <c r="I4" t="inlineStr">
        <is>
          <t>Sensible</t>
        </is>
      </c>
    </row>
    <row r="5">
      <c r="A5" t="inlineStr">
        <is>
          <t>Société ACME SAS</t>
        </is>
      </c>
      <c r="B5" t="inlineStr">
        <is>
          <t>Client</t>
        </is>
      </c>
      <c r="C5" t="inlineStr">
        <is>
          <t>10 Avenue de la République</t>
        </is>
      </c>
      <c r="E5" t="inlineStr">
        <is>
          <t>75011</t>
        </is>
      </c>
      <c r="F5" t="inlineStr">
        <is>
          <t>Paris</t>
        </is>
      </c>
      <c r="G5" t="inlineStr">
        <is>
          <t>Paris</t>
        </is>
      </c>
      <c r="H5" t="inlineStr">
        <is>
          <t>FRANCE</t>
        </is>
      </c>
      <c r="I5" t="inlineStr">
        <is>
          <t>Normal</t>
        </is>
      </c>
    </row>
    <row r="6">
      <c r="A6" t="inlineStr">
        <is>
          <t>Cabinet JurisLex</t>
        </is>
      </c>
      <c r="B6" t="inlineStr">
        <is>
          <t>Fourn.</t>
        </is>
      </c>
      <c r="C6" t="inlineStr">
        <is>
          <t>25 Rue des Fleurs</t>
        </is>
      </c>
      <c r="D6" t="inlineStr">
        <is>
          <t>Bât. B</t>
        </is>
      </c>
      <c r="E6" t="inlineStr">
        <is>
          <t>33000</t>
        </is>
      </c>
      <c r="F6" t="inlineStr">
        <is>
          <t>Bordeaux</t>
        </is>
      </c>
      <c r="G6" t="inlineStr">
        <is>
          <t>Gironde</t>
        </is>
      </c>
      <c r="H6" t="inlineStr">
        <is>
          <t>FRANCE</t>
        </is>
      </c>
      <c r="I6" t="inlineStr">
        <is>
          <t>Sensible</t>
        </is>
      </c>
    </row>
    <row r="7">
      <c r="A7" t="inlineStr">
        <is>
          <t>Clinique Sainte-Marie</t>
        </is>
      </c>
      <c r="B7" t="inlineStr">
        <is>
          <t>Client</t>
        </is>
      </c>
      <c r="C7" t="inlineStr">
        <is>
          <t>12 Rue de la Santé</t>
        </is>
      </c>
      <c r="E7" t="inlineStr">
        <is>
          <t>35000</t>
        </is>
      </c>
      <c r="F7" t="inlineStr">
        <is>
          <t>Rennes</t>
        </is>
      </c>
      <c r="G7" t="inlineStr">
        <is>
          <t>Ille-et-Vilaine</t>
        </is>
      </c>
      <c r="H7" t="inlineStr">
        <is>
          <t>FRANCE</t>
        </is>
      </c>
      <c r="I7" t="inlineStr">
        <is>
          <t>Normal</t>
        </is>
      </c>
    </row>
    <row r="8">
      <c r="A8" t="inlineStr">
        <is>
          <t>Mairie de Nantes</t>
        </is>
      </c>
      <c r="B8" t="inlineStr">
        <is>
          <t>Institution</t>
        </is>
      </c>
      <c r="C8" t="inlineStr">
        <is>
          <t>2 Rue de Strasbourg</t>
        </is>
      </c>
      <c r="E8" t="inlineStr">
        <is>
          <t>44000</t>
        </is>
      </c>
      <c r="F8" t="inlineStr">
        <is>
          <t>Nantes</t>
        </is>
      </c>
      <c r="G8" t="inlineStr">
        <is>
          <t>Loire-Atlantique</t>
        </is>
      </c>
      <c r="H8" t="inlineStr">
        <is>
          <t>FRANCE</t>
        </is>
      </c>
      <c r="I8" t="inlineStr">
        <is>
          <t>Normal</t>
        </is>
      </c>
    </row>
    <row r="9">
      <c r="A9" t="inlineStr">
        <is>
          <t>URSSAF Île-de-France</t>
        </is>
      </c>
      <c r="B9" t="inlineStr">
        <is>
          <t>Institution</t>
        </is>
      </c>
      <c r="C9" t="inlineStr">
        <is>
          <t>Tour Gamma A</t>
        </is>
      </c>
      <c r="E9" t="inlineStr">
        <is>
          <t>75001</t>
        </is>
      </c>
      <c r="F9" t="inlineStr">
        <is>
          <t>Paris</t>
        </is>
      </c>
      <c r="G9" t="inlineStr">
        <is>
          <t>Paris</t>
        </is>
      </c>
      <c r="H9" t="inlineStr">
        <is>
          <t>FRANCE</t>
        </is>
      </c>
      <c r="I9" t="inlineStr">
        <is>
          <t>Sensible</t>
        </is>
      </c>
    </row>
    <row r="10">
      <c r="A10" t="inlineStr">
        <is>
          <t>La Poste — Centre LRAR</t>
        </is>
      </c>
      <c r="B10" t="inlineStr">
        <is>
          <t>Interne</t>
        </is>
      </c>
      <c r="C10" t="inlineStr">
        <is>
          <t>Centre Opérationnel LRAR</t>
        </is>
      </c>
      <c r="E10" t="inlineStr">
        <is>
          <t>37000</t>
        </is>
      </c>
      <c r="F10" t="inlineStr">
        <is>
          <t>Tours</t>
        </is>
      </c>
      <c r="G10" t="inlineStr">
        <is>
          <t>Indre-et-Loire</t>
        </is>
      </c>
      <c r="H10" t="inlineStr">
        <is>
          <t>FRANCE</t>
        </is>
      </c>
      <c r="I10" t="inlineStr">
        <is>
          <t>Normal</t>
        </is>
      </c>
    </row>
    <row r="11">
      <c r="A11" t="inlineStr">
        <is>
          <t>Société TechNova</t>
        </is>
      </c>
      <c r="B11" t="inlineStr">
        <is>
          <t>Client</t>
        </is>
      </c>
      <c r="C11" t="inlineStr">
        <is>
          <t>5 Boulevard des Sciences</t>
        </is>
      </c>
      <c r="E11" t="inlineStr">
        <is>
          <t>69100</t>
        </is>
      </c>
      <c r="F11" t="inlineStr">
        <is>
          <t>Villeurbanne</t>
        </is>
      </c>
      <c r="G11" t="inlineStr">
        <is>
          <t>Rhône</t>
        </is>
      </c>
      <c r="H11" t="inlineStr">
        <is>
          <t>FRANCE</t>
        </is>
      </c>
      <c r="I11" t="inlineStr">
        <is>
          <t>Normal</t>
        </is>
      </c>
    </row>
    <row r="12">
      <c r="A12" t="inlineStr">
        <is>
          <t>Avocat Me Durand</t>
        </is>
      </c>
      <c r="B12" t="inlineStr">
        <is>
          <t>Fourn.</t>
        </is>
      </c>
      <c r="C12" t="inlineStr">
        <is>
          <t>14 Rue du Temple</t>
        </is>
      </c>
      <c r="E12" t="inlineStr">
        <is>
          <t>31000</t>
        </is>
      </c>
      <c r="F12" t="inlineStr">
        <is>
          <t>Toulouse</t>
        </is>
      </c>
      <c r="G12" t="inlineStr">
        <is>
          <t>Haute-Garonne</t>
        </is>
      </c>
      <c r="H12" t="inlineStr">
        <is>
          <t>FRANCE</t>
        </is>
      </c>
      <c r="I12" t="inlineStr">
        <is>
          <t>Sensible</t>
        </is>
      </c>
    </row>
    <row r="13">
      <c r="A13" t="inlineStr">
        <is>
          <t>Hôpital Central Bordeaux</t>
        </is>
      </c>
      <c r="B13" t="inlineStr">
        <is>
          <t>Client</t>
        </is>
      </c>
      <c r="C13" t="inlineStr">
        <is>
          <t>1 Place Amélie Raba Léon</t>
        </is>
      </c>
      <c r="E13" t="inlineStr">
        <is>
          <t>33000</t>
        </is>
      </c>
      <c r="F13" t="inlineStr">
        <is>
          <t>Bordeaux</t>
        </is>
      </c>
      <c r="G13" t="inlineStr">
        <is>
          <t>Gironde</t>
        </is>
      </c>
      <c r="H13" t="inlineStr">
        <is>
          <t>FRANCE</t>
        </is>
      </c>
      <c r="I13" t="inlineStr">
        <is>
          <t>Normal</t>
        </is>
      </c>
    </row>
    <row r="14">
      <c r="A14" t="inlineStr">
        <is>
          <t>Préfecture du Rhône</t>
        </is>
      </c>
      <c r="B14" t="inlineStr">
        <is>
          <t>Institution</t>
        </is>
      </c>
      <c r="C14" t="inlineStr">
        <is>
          <t>106 Rue Pierre Corneille</t>
        </is>
      </c>
      <c r="E14" t="inlineStr">
        <is>
          <t>69001</t>
        </is>
      </c>
      <c r="F14" t="inlineStr">
        <is>
          <t>Lyon</t>
        </is>
      </c>
      <c r="G14" t="inlineStr">
        <is>
          <t>Rhône</t>
        </is>
      </c>
      <c r="H14" t="inlineStr">
        <is>
          <t>FRANCE</t>
        </is>
      </c>
      <c r="I14" t="inlineStr">
        <is>
          <t>Sensible</t>
        </is>
      </c>
    </row>
    <row r="15">
      <c r="A15" t="inlineStr">
        <is>
          <t>Direction Finances ACME</t>
        </is>
      </c>
      <c r="B15" t="inlineStr">
        <is>
          <t>Interne</t>
        </is>
      </c>
      <c r="C15" t="inlineStr">
        <is>
          <t>Siège — Bât. A</t>
        </is>
      </c>
      <c r="D15" t="inlineStr">
        <is>
          <t>Etage 5</t>
        </is>
      </c>
      <c r="E15" t="inlineStr">
        <is>
          <t>75011</t>
        </is>
      </c>
      <c r="F15" t="inlineStr">
        <is>
          <t>Paris</t>
        </is>
      </c>
      <c r="G15" t="inlineStr">
        <is>
          <t>Paris</t>
        </is>
      </c>
      <c r="H15" t="inlineStr">
        <is>
          <t>FRANCE</t>
        </is>
      </c>
      <c r="I15" t="inlineStr">
        <is>
          <t>Normal</t>
        </is>
      </c>
    </row>
    <row r="16">
      <c r="A16" t="inlineStr">
        <is>
          <t>Société AgroPlus</t>
        </is>
      </c>
      <c r="B16" t="inlineStr">
        <is>
          <t>Fourn.</t>
        </is>
      </c>
      <c r="C16" t="inlineStr">
        <is>
          <t>Parc d’Activités Les Chênes</t>
        </is>
      </c>
      <c r="E16" t="inlineStr">
        <is>
          <t>86000</t>
        </is>
      </c>
      <c r="F16" t="inlineStr">
        <is>
          <t>Poitiers</t>
        </is>
      </c>
      <c r="G16" t="inlineStr">
        <is>
          <t>Vienne</t>
        </is>
      </c>
      <c r="H16" t="inlineStr">
        <is>
          <t>FRANCE</t>
        </is>
      </c>
      <c r="I16" t="inlineStr">
        <is>
          <t>Normal</t>
        </is>
      </c>
    </row>
    <row r="17">
      <c r="A17" t="inlineStr">
        <is>
          <t>Société LogiTrans</t>
        </is>
      </c>
      <c r="B17" t="inlineStr">
        <is>
          <t>Fourn.</t>
        </is>
      </c>
      <c r="C17" t="inlineStr">
        <is>
          <t>ZAC du Port</t>
        </is>
      </c>
      <c r="E17" t="inlineStr">
        <is>
          <t>76000</t>
        </is>
      </c>
      <c r="F17" t="inlineStr">
        <is>
          <t>Rouen</t>
        </is>
      </c>
      <c r="G17" t="inlineStr">
        <is>
          <t>Seine-Maritime</t>
        </is>
      </c>
      <c r="H17" t="inlineStr">
        <is>
          <t>FRANCE</t>
        </is>
      </c>
      <c r="I17" t="inlineStr">
        <is>
          <t>Normal</t>
        </is>
      </c>
    </row>
    <row r="18">
      <c r="A18" t="inlineStr">
        <is>
          <t>Banque Crédit Hexagone</t>
        </is>
      </c>
      <c r="B18" t="inlineStr">
        <is>
          <t>Fourn.</t>
        </is>
      </c>
      <c r="C18" t="inlineStr">
        <is>
          <t>22 Avenue de France</t>
        </is>
      </c>
      <c r="E18" t="inlineStr">
        <is>
          <t>75001</t>
        </is>
      </c>
      <c r="F18" t="inlineStr">
        <is>
          <t>Paris</t>
        </is>
      </c>
      <c r="G18" t="inlineStr">
        <is>
          <t>Paris</t>
        </is>
      </c>
      <c r="H18" t="inlineStr">
        <is>
          <t>FRANCE</t>
        </is>
      </c>
      <c r="I18" t="inlineStr">
        <is>
          <t>Sensible</t>
        </is>
      </c>
    </row>
  </sheetData>
  <mergeCells count="1">
    <mergeCell ref="A1:J2"/>
  </mergeCells>
  <pageMargins left="0.4" right="0.4" top="0.6" bottom="0.6" header="0.3" footer="0.3"/>
  <pageSetup orientation="portrait" paperSize="9" fitToHeight="1" fitToWidth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Y55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8" customWidth="1" min="1" max="1"/>
    <col width="12" customWidth="1" min="2" max="2"/>
    <col width="12" customWidth="1" min="3" max="3"/>
    <col width="14" customWidth="1" min="4" max="4"/>
    <col width="28" customWidth="1" min="5" max="5"/>
    <col width="14" customWidth="1" min="6" max="6"/>
    <col width="26" customWidth="1" min="7" max="7"/>
    <col width="22" customWidth="1" min="8" max="8"/>
    <col width="12" customWidth="1" min="9" max="9"/>
    <col width="18" customWidth="1" min="10" max="10"/>
    <col width="18" customWidth="1" min="11" max="11"/>
    <col width="12" customWidth="1" min="12" max="12"/>
    <col width="28" customWidth="1" min="13" max="13"/>
    <col width="16" customWidth="1" min="14" max="14"/>
    <col width="16" customWidth="1" min="15" max="15"/>
    <col width="14" customWidth="1" min="16" max="16"/>
    <col width="18" customWidth="1" min="17" max="17"/>
    <col width="12" customWidth="1" min="18" max="18"/>
    <col width="14" customWidth="1" min="19" max="19"/>
    <col width="16" customWidth="1" min="20" max="20"/>
    <col width="14" customWidth="1" min="21" max="21"/>
    <col width="16" customWidth="1" min="22" max="22"/>
    <col width="24" customWidth="1" min="23" max="23"/>
    <col width="26" customWidth="1" min="24" max="24"/>
    <col width="26" customWidth="1" min="25" max="25"/>
  </cols>
  <sheetData>
    <row r="1">
      <c r="A1" s="1" t="inlineStr">
        <is>
          <t>GESTION DU COURRIER POSTAL — REGISTRE (ENTREPRISE)</t>
        </is>
      </c>
    </row>
    <row r="2"/>
    <row r="4">
      <c r="A4" s="2" t="inlineStr">
        <is>
          <t>Réf.</t>
        </is>
      </c>
      <c r="E4" s="2" t="inlineStr">
        <is>
          <t>Période</t>
        </is>
      </c>
      <c r="I4" s="2" t="inlineStr">
        <is>
          <t>Service</t>
        </is>
      </c>
      <c r="M4" s="2" t="inlineStr">
        <is>
          <t>Propriétaire</t>
        </is>
      </c>
    </row>
    <row r="6">
      <c r="A6" s="4" t="inlineStr">
        <is>
          <t>ID</t>
        </is>
      </c>
      <c r="B6" s="4" t="inlineStr">
        <is>
          <t>Date</t>
        </is>
      </c>
      <c r="C6" s="4" t="inlineStr">
        <is>
          <t>Sens</t>
        </is>
      </c>
      <c r="D6" s="4" t="inlineStr">
        <is>
          <t>Canal</t>
        </is>
      </c>
      <c r="E6" s="4" t="inlineStr">
        <is>
          <t>Expéditeur/Destinataire</t>
        </is>
      </c>
      <c r="F6" s="4" t="inlineStr">
        <is>
          <t>Type contact</t>
        </is>
      </c>
      <c r="G6" s="4" t="inlineStr">
        <is>
          <t>Adresse 1</t>
        </is>
      </c>
      <c r="H6" s="4" t="inlineStr">
        <is>
          <t>Adresse 2</t>
        </is>
      </c>
      <c r="I6" s="4" t="inlineStr">
        <is>
          <t>Code postal</t>
        </is>
      </c>
      <c r="J6" s="4" t="inlineStr">
        <is>
          <t>Ville</t>
        </is>
      </c>
      <c r="K6" s="4" t="inlineStr">
        <is>
          <t>Département</t>
        </is>
      </c>
      <c r="L6" s="4" t="inlineStr">
        <is>
          <t>Pays</t>
        </is>
      </c>
      <c r="M6" s="4" t="inlineStr">
        <is>
          <t>Objet / Référence</t>
        </is>
      </c>
      <c r="N6" s="4" t="inlineStr">
        <is>
          <t>Nature</t>
        </is>
      </c>
      <c r="O6" s="4" t="inlineStr">
        <is>
          <t>Confidentialité</t>
        </is>
      </c>
      <c r="P6" s="4" t="inlineStr">
        <is>
          <t>Données perso (Oui/Non)</t>
        </is>
      </c>
      <c r="Q6" s="4" t="inlineStr">
        <is>
          <t>Responsable</t>
        </is>
      </c>
      <c r="R6" s="4" t="inlineStr">
        <is>
          <t>SLA (jours)</t>
        </is>
      </c>
      <c r="S6" s="4" t="inlineStr">
        <is>
          <t>Échéance réponse</t>
        </is>
      </c>
      <c r="T6" s="4" t="inlineStr">
        <is>
          <t>Statut</t>
        </is>
      </c>
      <c r="U6" s="4" t="inlineStr">
        <is>
          <t>Date réponse</t>
        </is>
      </c>
      <c r="V6" s="4" t="inlineStr">
        <is>
          <t>SLA respecté ?</t>
        </is>
      </c>
      <c r="W6" s="4" t="inlineStr">
        <is>
          <t>N° suivi / AR</t>
        </is>
      </c>
      <c r="X6" s="4" t="inlineStr">
        <is>
          <t>Preuve / Lien</t>
        </is>
      </c>
      <c r="Y6" s="4" t="inlineStr">
        <is>
          <t>Observations</t>
        </is>
      </c>
    </row>
    <row r="7">
      <c r="A7" s="5">
        <f>TEXT(1,"0000")</f>
        <v/>
      </c>
      <c r="B7" s="7" t="n">
        <v>45943</v>
      </c>
      <c r="C7" s="5" t="inlineStr">
        <is>
          <t>Entrant</t>
        </is>
      </c>
      <c r="D7" s="5" t="inlineStr">
        <is>
          <t>LR</t>
        </is>
      </c>
      <c r="E7" s="5" t="inlineStr">
        <is>
          <t>Société ACME SAS</t>
        </is>
      </c>
      <c r="F7" s="5" t="n"/>
      <c r="G7" s="5">
        <f>IFERROR(XLOOKUP($E7,Adresses!$A$4:$A$200,Adresses!$C$4:$C$200),"")</f>
        <v/>
      </c>
      <c r="H7" s="5">
        <f>IFERROR(XLOOKUP($E7,Adresses!$A$4:$A$200,Adresses!$D$4:$D$200),"")</f>
        <v/>
      </c>
      <c r="I7" s="5">
        <f>IFERROR(XLOOKUP($E7,Adresses!$A$4:$A$200,Adresses!$E$4:$E$200),"")</f>
        <v/>
      </c>
      <c r="J7" s="5">
        <f>IFERROR(VLOOKUP($I7,CodesPostaux_FR!$A:$C,2,FALSE),"")</f>
        <v/>
      </c>
      <c r="K7" s="5">
        <f>IFERROR(VLOOKUP($I7,CodesPostaux_FR!$A:$C,3,FALSE),"")</f>
        <v/>
      </c>
      <c r="L7" s="5">
        <f>IFERROR(XLOOKUP($E7,Adresses!$A$4:$A$200,Adresses!$H$4:$H$200),"FRANCE")</f>
        <v/>
      </c>
      <c r="M7" s="5" t="inlineStr">
        <is>
          <t>Courrier 1000 — Dossier A</t>
        </is>
      </c>
      <c r="N7" s="5" t="inlineStr">
        <is>
          <t>RH</t>
        </is>
      </c>
      <c r="O7" s="5" t="inlineStr">
        <is>
          <t>Sensible</t>
        </is>
      </c>
      <c r="P7" s="5" t="inlineStr">
        <is>
          <t>Oui</t>
        </is>
      </c>
      <c r="Q7" s="5" t="inlineStr">
        <is>
          <t>A. Martin</t>
        </is>
      </c>
      <c r="R7" s="5">
        <f>IFERROR(XLOOKUP($N7,Tables!$A$21:$A$28,Tables!$B$21:$B$28),15)</f>
        <v/>
      </c>
      <c r="S7" s="7">
        <f>IF($B7="","",$B7+$R7)</f>
        <v/>
      </c>
      <c r="T7" s="5" t="inlineStr">
        <is>
          <t>En cours</t>
        </is>
      </c>
      <c r="U7" s="7" t="inlineStr"/>
      <c r="V7" s="5">
        <f>IF($U7&lt;&gt;"",IF($U7&lt;=$S7,"Oui","Non"),IF(TODAY()&lt;=$S7,"À l'heure","En retard"))</f>
        <v/>
      </c>
      <c r="W7" s="5" t="inlineStr">
        <is>
          <t>1A100000FR</t>
        </is>
      </c>
      <c r="X7" s="5" t="inlineStr">
        <is>
          <t>link://dms/courrier/1000</t>
        </is>
      </c>
      <c r="Y7" s="5" t="inlineStr"/>
    </row>
    <row r="8">
      <c r="A8" s="5">
        <f>TEXT(2,"0000")</f>
        <v/>
      </c>
      <c r="B8" s="7" t="n">
        <v>45944</v>
      </c>
      <c r="C8" s="5" t="inlineStr">
        <is>
          <t>Sortant</t>
        </is>
      </c>
      <c r="D8" s="5" t="inlineStr">
        <is>
          <t>LRAR</t>
        </is>
      </c>
      <c r="E8" s="5" t="inlineStr">
        <is>
          <t>Clinique Sainte-Marie</t>
        </is>
      </c>
      <c r="F8" s="5" t="n"/>
      <c r="G8" s="5">
        <f>IFERROR(XLOOKUP($E8,Adresses!$A$4:$A$200,Adresses!$C$4:$C$200),"")</f>
        <v/>
      </c>
      <c r="H8" s="5">
        <f>IFERROR(XLOOKUP($E8,Adresses!$A$4:$A$200,Adresses!$D$4:$D$200),"")</f>
        <v/>
      </c>
      <c r="I8" s="5">
        <f>IFERROR(XLOOKUP($E8,Adresses!$A$4:$A$200,Adresses!$E$4:$E$200),"")</f>
        <v/>
      </c>
      <c r="J8" s="5">
        <f>IFERROR(VLOOKUP($I8,CodesPostaux_FR!$A:$C,2,FALSE),"")</f>
        <v/>
      </c>
      <c r="K8" s="5">
        <f>IFERROR(VLOOKUP($I8,CodesPostaux_FR!$A:$C,3,FALSE),"")</f>
        <v/>
      </c>
      <c r="L8" s="5">
        <f>IFERROR(XLOOKUP($E8,Adresses!$A$4:$A$200,Adresses!$H$4:$H$200),"FRANCE")</f>
        <v/>
      </c>
      <c r="M8" s="5" t="inlineStr">
        <is>
          <t>Courrier 1001 — Dossier B</t>
        </is>
      </c>
      <c r="N8" s="5" t="inlineStr">
        <is>
          <t>Commercial</t>
        </is>
      </c>
      <c r="O8" s="5" t="inlineStr">
        <is>
          <t>Public</t>
        </is>
      </c>
      <c r="P8" s="5" t="inlineStr">
        <is>
          <t>Non</t>
        </is>
      </c>
      <c r="Q8" s="5" t="inlineStr">
        <is>
          <t>S. Benali</t>
        </is>
      </c>
      <c r="R8" s="5">
        <f>IFERROR(XLOOKUP($N8,Tables!$A$21:$A$28,Tables!$B$21:$B$28),15)</f>
        <v/>
      </c>
      <c r="S8" s="7">
        <f>IF($B8="","",$B8+$R8)</f>
        <v/>
      </c>
      <c r="T8" s="5" t="inlineStr">
        <is>
          <t>Répondu</t>
        </is>
      </c>
      <c r="U8" s="7" t="n">
        <v>45950</v>
      </c>
      <c r="V8" s="5">
        <f>IF($U8&lt;&gt;"",IF($U8&lt;=$S8,"Oui","Non"),IF(TODAY()&lt;=$S8,"À l'heure","En retard"))</f>
        <v/>
      </c>
      <c r="W8" s="5" t="inlineStr">
        <is>
          <t>2B100001FR</t>
        </is>
      </c>
      <c r="X8" s="5" t="inlineStr">
        <is>
          <t>link://dms/courrier/1001</t>
        </is>
      </c>
      <c r="Y8" s="5" t="inlineStr">
        <is>
          <t>AR reçu</t>
        </is>
      </c>
    </row>
    <row r="9">
      <c r="A9" s="5">
        <f>TEXT(3,"0000")</f>
        <v/>
      </c>
      <c r="B9" s="7" t="n">
        <v>45945</v>
      </c>
      <c r="C9" s="5" t="inlineStr">
        <is>
          <t>Entrant</t>
        </is>
      </c>
      <c r="D9" s="5" t="inlineStr">
        <is>
          <t>Colissimo</t>
        </is>
      </c>
      <c r="E9" s="5" t="inlineStr">
        <is>
          <t>URSSAF Île-de-France</t>
        </is>
      </c>
      <c r="F9" s="5" t="n"/>
      <c r="G9" s="5">
        <f>IFERROR(XLOOKUP($E9,Adresses!$A$4:$A$200,Adresses!$C$4:$C$200),"")</f>
        <v/>
      </c>
      <c r="H9" s="5">
        <f>IFERROR(XLOOKUP($E9,Adresses!$A$4:$A$200,Adresses!$D$4:$D$200),"")</f>
        <v/>
      </c>
      <c r="I9" s="5">
        <f>IFERROR(XLOOKUP($E9,Adresses!$A$4:$A$200,Adresses!$E$4:$E$200),"")</f>
        <v/>
      </c>
      <c r="J9" s="5">
        <f>IFERROR(VLOOKUP($I9,CodesPostaux_FR!$A:$C,2,FALSE),"")</f>
        <v/>
      </c>
      <c r="K9" s="5">
        <f>IFERROR(VLOOKUP($I9,CodesPostaux_FR!$A:$C,3,FALSE),"")</f>
        <v/>
      </c>
      <c r="L9" s="5">
        <f>IFERROR(XLOOKUP($E9,Adresses!$A$4:$A$200,Adresses!$H$4:$H$200),"FRANCE")</f>
        <v/>
      </c>
      <c r="M9" s="5" t="inlineStr">
        <is>
          <t>Courrier 1002 — Dossier C</t>
        </is>
      </c>
      <c r="N9" s="5" t="inlineStr">
        <is>
          <t>Technique</t>
        </is>
      </c>
      <c r="O9" s="5" t="inlineStr">
        <is>
          <t>Interne</t>
        </is>
      </c>
      <c r="P9" s="5" t="inlineStr">
        <is>
          <t>Oui</t>
        </is>
      </c>
      <c r="Q9" s="5" t="inlineStr">
        <is>
          <t>L. Moreau</t>
        </is>
      </c>
      <c r="R9" s="5">
        <f>IFERROR(XLOOKUP($N9,Tables!$A$21:$A$28,Tables!$B$21:$B$28),15)</f>
        <v/>
      </c>
      <c r="S9" s="7">
        <f>IF($B9="","",$B9+$R9)</f>
        <v/>
      </c>
      <c r="T9" s="5" t="inlineStr">
        <is>
          <t>Archivé</t>
        </is>
      </c>
      <c r="U9" s="7" t="n">
        <v>45949</v>
      </c>
      <c r="V9" s="5">
        <f>IF($U9&lt;&gt;"",IF($U9&lt;=$S9,"Oui","Non"),IF(TODAY()&lt;=$S9,"À l'heure","En retard"))</f>
        <v/>
      </c>
      <c r="W9" s="5" t="inlineStr">
        <is>
          <t>3C100002FR</t>
        </is>
      </c>
      <c r="X9" s="5" t="inlineStr">
        <is>
          <t>link://dms/courrier/1002</t>
        </is>
      </c>
      <c r="Y9" s="5" t="inlineStr">
        <is>
          <t>Relance envoyée</t>
        </is>
      </c>
    </row>
    <row r="10">
      <c r="A10" s="5">
        <f>TEXT(4,"0000")</f>
        <v/>
      </c>
      <c r="B10" s="7" t="n">
        <v>45946</v>
      </c>
      <c r="C10" s="5" t="inlineStr">
        <is>
          <t>Sortant</t>
        </is>
      </c>
      <c r="D10" s="5" t="inlineStr">
        <is>
          <t>Chronopost</t>
        </is>
      </c>
      <c r="E10" s="5" t="inlineStr">
        <is>
          <t>Société TechNova</t>
        </is>
      </c>
      <c r="F10" s="5" t="n"/>
      <c r="G10" s="5">
        <f>IFERROR(XLOOKUP($E10,Adresses!$A$4:$A$200,Adresses!$C$4:$C$200),"")</f>
        <v/>
      </c>
      <c r="H10" s="5">
        <f>IFERROR(XLOOKUP($E10,Adresses!$A$4:$A$200,Adresses!$D$4:$D$200),"")</f>
        <v/>
      </c>
      <c r="I10" s="5">
        <f>IFERROR(XLOOKUP($E10,Adresses!$A$4:$A$200,Adresses!$E$4:$E$200),"")</f>
        <v/>
      </c>
      <c r="J10" s="5">
        <f>IFERROR(VLOOKUP($I10,CodesPostaux_FR!$A:$C,2,FALSE),"")</f>
        <v/>
      </c>
      <c r="K10" s="5">
        <f>IFERROR(VLOOKUP($I10,CodesPostaux_FR!$A:$C,3,FALSE),"")</f>
        <v/>
      </c>
      <c r="L10" s="5">
        <f>IFERROR(XLOOKUP($E10,Adresses!$A$4:$A$200,Adresses!$H$4:$H$200),"FRANCE")</f>
        <v/>
      </c>
      <c r="M10" s="5" t="inlineStr">
        <is>
          <t>Courrier 1003 — Dossier D</t>
        </is>
      </c>
      <c r="N10" s="5" t="inlineStr">
        <is>
          <t>Administratif</t>
        </is>
      </c>
      <c r="O10" s="5" t="inlineStr">
        <is>
          <t>Confidentiel</t>
        </is>
      </c>
      <c r="P10" s="5" t="inlineStr">
        <is>
          <t>Non</t>
        </is>
      </c>
      <c r="Q10" s="5" t="inlineStr">
        <is>
          <t>C. Dupont</t>
        </is>
      </c>
      <c r="R10" s="5">
        <f>IFERROR(XLOOKUP($N10,Tables!$A$21:$A$28,Tables!$B$21:$B$28),15)</f>
        <v/>
      </c>
      <c r="S10" s="7">
        <f>IF($B10="","",$B10+$R10)</f>
        <v/>
      </c>
      <c r="T10" s="5" t="inlineStr">
        <is>
          <t>Retourné</t>
        </is>
      </c>
      <c r="U10" s="7" t="inlineStr"/>
      <c r="V10" s="5">
        <f>IF($U10&lt;&gt;"",IF($U10&lt;=$S10,"Oui","Non"),IF(TODAY()&lt;=$S10,"À l'heure","En retard"))</f>
        <v/>
      </c>
      <c r="W10" s="5" t="inlineStr">
        <is>
          <t>4D100003FR</t>
        </is>
      </c>
      <c r="X10" s="5" t="inlineStr">
        <is>
          <t>link://dms/courrier/1003</t>
        </is>
      </c>
      <c r="Y10" s="5" t="inlineStr">
        <is>
          <t>Attente complément</t>
        </is>
      </c>
    </row>
    <row r="11">
      <c r="A11" s="5">
        <f>TEXT(5,"0000")</f>
        <v/>
      </c>
      <c r="B11" s="7" t="n">
        <v>45947</v>
      </c>
      <c r="C11" s="5" t="inlineStr">
        <is>
          <t>Entrant</t>
        </is>
      </c>
      <c r="D11" s="5" t="inlineStr">
        <is>
          <t>Courrier interne</t>
        </is>
      </c>
      <c r="E11" s="5" t="inlineStr">
        <is>
          <t>Hôpital Central Bordeaux</t>
        </is>
      </c>
      <c r="F11" s="5" t="n"/>
      <c r="G11" s="5">
        <f>IFERROR(XLOOKUP($E11,Adresses!$A$4:$A$200,Adresses!$C$4:$C$200),"")</f>
        <v/>
      </c>
      <c r="H11" s="5">
        <f>IFERROR(XLOOKUP($E11,Adresses!$A$4:$A$200,Adresses!$D$4:$D$200),"")</f>
        <v/>
      </c>
      <c r="I11" s="5">
        <f>IFERROR(XLOOKUP($E11,Adresses!$A$4:$A$200,Adresses!$E$4:$E$200),"")</f>
        <v/>
      </c>
      <c r="J11" s="5">
        <f>IFERROR(VLOOKUP($I11,CodesPostaux_FR!$A:$C,2,FALSE),"")</f>
        <v/>
      </c>
      <c r="K11" s="5">
        <f>IFERROR(VLOOKUP($I11,CodesPostaux_FR!$A:$C,3,FALSE),"")</f>
        <v/>
      </c>
      <c r="L11" s="5">
        <f>IFERROR(XLOOKUP($E11,Adresses!$A$4:$A$200,Adresses!$H$4:$H$200),"FRANCE")</f>
        <v/>
      </c>
      <c r="M11" s="5" t="inlineStr">
        <is>
          <t>Courrier 1004 — Dossier A</t>
        </is>
      </c>
      <c r="N11" s="5" t="inlineStr">
        <is>
          <t>Marketing</t>
        </is>
      </c>
      <c r="O11" s="5" t="inlineStr">
        <is>
          <t>Sensible</t>
        </is>
      </c>
      <c r="P11" s="5" t="inlineStr">
        <is>
          <t>Oui</t>
        </is>
      </c>
      <c r="Q11" s="5" t="inlineStr">
        <is>
          <t>A. Martin</t>
        </is>
      </c>
      <c r="R11" s="5">
        <f>IFERROR(XLOOKUP($N11,Tables!$A$21:$A$28,Tables!$B$21:$B$28),15)</f>
        <v/>
      </c>
      <c r="S11" s="7">
        <f>IF($B11="","",$B11+$R11)</f>
        <v/>
      </c>
      <c r="T11" s="5" t="inlineStr">
        <is>
          <t>À enregistrer</t>
        </is>
      </c>
      <c r="U11" s="7" t="inlineStr"/>
      <c r="V11" s="5">
        <f>IF($U11&lt;&gt;"",IF($U11&lt;=$S11,"Oui","Non"),IF(TODAY()&lt;=$S11,"À l'heure","En retard"))</f>
        <v/>
      </c>
      <c r="W11" s="5" t="inlineStr"/>
      <c r="X11" s="5" t="inlineStr">
        <is>
          <t>link://dms/courrier/1004</t>
        </is>
      </c>
      <c r="Y11" s="5" t="inlineStr"/>
    </row>
    <row r="12">
      <c r="A12" s="5">
        <f>TEXT(6,"0000")</f>
        <v/>
      </c>
      <c r="B12" s="7" t="n">
        <v>45948</v>
      </c>
      <c r="C12" s="5" t="inlineStr">
        <is>
          <t>Sortant</t>
        </is>
      </c>
      <c r="D12" s="5" t="inlineStr">
        <is>
          <t>Messagerie</t>
        </is>
      </c>
      <c r="E12" s="5" t="inlineStr">
        <is>
          <t>Direction Finances ACME</t>
        </is>
      </c>
      <c r="F12" s="5" t="n"/>
      <c r="G12" s="5">
        <f>IFERROR(XLOOKUP($E12,Adresses!$A$4:$A$200,Adresses!$C$4:$C$200),"")</f>
        <v/>
      </c>
      <c r="H12" s="5">
        <f>IFERROR(XLOOKUP($E12,Adresses!$A$4:$A$200,Adresses!$D$4:$D$200),"")</f>
        <v/>
      </c>
      <c r="I12" s="5">
        <f>IFERROR(XLOOKUP($E12,Adresses!$A$4:$A$200,Adresses!$E$4:$E$200),"")</f>
        <v/>
      </c>
      <c r="J12" s="5">
        <f>IFERROR(VLOOKUP($I12,CodesPostaux_FR!$A:$C,2,FALSE),"")</f>
        <v/>
      </c>
      <c r="K12" s="5">
        <f>IFERROR(VLOOKUP($I12,CodesPostaux_FR!$A:$C,3,FALSE),"")</f>
        <v/>
      </c>
      <c r="L12" s="5">
        <f>IFERROR(XLOOKUP($E12,Adresses!$A$4:$A$200,Adresses!$H$4:$H$200),"FRANCE")</f>
        <v/>
      </c>
      <c r="M12" s="5" t="inlineStr">
        <is>
          <t>Courrier 1005 — Dossier B</t>
        </is>
      </c>
      <c r="N12" s="5" t="inlineStr">
        <is>
          <t>Autre</t>
        </is>
      </c>
      <c r="O12" s="5" t="inlineStr">
        <is>
          <t>Public</t>
        </is>
      </c>
      <c r="P12" s="5" t="inlineStr">
        <is>
          <t>Non</t>
        </is>
      </c>
      <c r="Q12" s="5" t="inlineStr">
        <is>
          <t>S. Benali</t>
        </is>
      </c>
      <c r="R12" s="5">
        <f>IFERROR(XLOOKUP($N12,Tables!$A$21:$A$28,Tables!$B$21:$B$28),15)</f>
        <v/>
      </c>
      <c r="S12" s="7">
        <f>IF($B12="","",$B12+$R12)</f>
        <v/>
      </c>
      <c r="T12" s="5" t="inlineStr">
        <is>
          <t>À traiter</t>
        </is>
      </c>
      <c r="U12" s="7" t="inlineStr"/>
      <c r="V12" s="5">
        <f>IF($U12&lt;&gt;"",IF($U12&lt;=$S12,"Oui","Non"),IF(TODAY()&lt;=$S12,"À l'heure","En retard"))</f>
        <v/>
      </c>
      <c r="W12" s="5" t="inlineStr"/>
      <c r="X12" s="5" t="inlineStr">
        <is>
          <t>link://dms/courrier/1005</t>
        </is>
      </c>
      <c r="Y12" s="5" t="inlineStr">
        <is>
          <t>AR reçu</t>
        </is>
      </c>
    </row>
    <row r="13">
      <c r="A13" s="5">
        <f>TEXT(7,"0000")</f>
        <v/>
      </c>
      <c r="B13" s="7" t="n">
        <v>45949</v>
      </c>
      <c r="C13" s="5" t="inlineStr">
        <is>
          <t>Entrant</t>
        </is>
      </c>
      <c r="D13" s="5" t="inlineStr">
        <is>
          <t>Colis</t>
        </is>
      </c>
      <c r="E13" s="5" t="inlineStr">
        <is>
          <t>Société LogiTrans</t>
        </is>
      </c>
      <c r="F13" s="5" t="n"/>
      <c r="G13" s="5">
        <f>IFERROR(XLOOKUP($E13,Adresses!$A$4:$A$200,Adresses!$C$4:$C$200),"")</f>
        <v/>
      </c>
      <c r="H13" s="5">
        <f>IFERROR(XLOOKUP($E13,Adresses!$A$4:$A$200,Adresses!$D$4:$D$200),"")</f>
        <v/>
      </c>
      <c r="I13" s="5">
        <f>IFERROR(XLOOKUP($E13,Adresses!$A$4:$A$200,Adresses!$E$4:$E$200),"")</f>
        <v/>
      </c>
      <c r="J13" s="5">
        <f>IFERROR(VLOOKUP($I13,CodesPostaux_FR!$A:$C,2,FALSE),"")</f>
        <v/>
      </c>
      <c r="K13" s="5">
        <f>IFERROR(VLOOKUP($I13,CodesPostaux_FR!$A:$C,3,FALSE),"")</f>
        <v/>
      </c>
      <c r="L13" s="5">
        <f>IFERROR(XLOOKUP($E13,Adresses!$A$4:$A$200,Adresses!$H$4:$H$200),"FRANCE")</f>
        <v/>
      </c>
      <c r="M13" s="5" t="inlineStr">
        <is>
          <t>Courrier 1006 — Dossier C</t>
        </is>
      </c>
      <c r="N13" s="5" t="inlineStr">
        <is>
          <t>Facture</t>
        </is>
      </c>
      <c r="O13" s="5" t="inlineStr">
        <is>
          <t>Interne</t>
        </is>
      </c>
      <c r="P13" s="5" t="inlineStr">
        <is>
          <t>Oui</t>
        </is>
      </c>
      <c r="Q13" s="5" t="inlineStr">
        <is>
          <t>L. Moreau</t>
        </is>
      </c>
      <c r="R13" s="5">
        <f>IFERROR(XLOOKUP($N13,Tables!$A$21:$A$28,Tables!$B$21:$B$28),15)</f>
        <v/>
      </c>
      <c r="S13" s="7">
        <f>IF($B13="","",$B13+$R13)</f>
        <v/>
      </c>
      <c r="T13" s="5" t="inlineStr">
        <is>
          <t>En cours</t>
        </is>
      </c>
      <c r="U13" s="7" t="inlineStr"/>
      <c r="V13" s="5">
        <f>IF($U13&lt;&gt;"",IF($U13&lt;=$S13,"Oui","Non"),IF(TODAY()&lt;=$S13,"À l'heure","En retard"))</f>
        <v/>
      </c>
      <c r="W13" s="5" t="inlineStr"/>
      <c r="X13" s="5" t="inlineStr">
        <is>
          <t>link://dms/courrier/1006</t>
        </is>
      </c>
      <c r="Y13" s="5" t="inlineStr">
        <is>
          <t>Relance envoyée</t>
        </is>
      </c>
    </row>
    <row r="14">
      <c r="A14" s="5">
        <f>TEXT(8,"0000")</f>
        <v/>
      </c>
      <c r="B14" s="7" t="n">
        <v>45950</v>
      </c>
      <c r="C14" s="5" t="inlineStr">
        <is>
          <t>Sortant</t>
        </is>
      </c>
      <c r="D14" s="5" t="inlineStr">
        <is>
          <t>Lettre simple</t>
        </is>
      </c>
      <c r="E14" s="5" t="inlineStr">
        <is>
          <t>Préfecture de Police de Paris</t>
        </is>
      </c>
      <c r="F14" s="5" t="n"/>
      <c r="G14" s="5">
        <f>IFERROR(XLOOKUP($E14,Adresses!$A$4:$A$200,Adresses!$C$4:$C$200),"")</f>
        <v/>
      </c>
      <c r="H14" s="5">
        <f>IFERROR(XLOOKUP($E14,Adresses!$A$4:$A$200,Adresses!$D$4:$D$200),"")</f>
        <v/>
      </c>
      <c r="I14" s="5">
        <f>IFERROR(XLOOKUP($E14,Adresses!$A$4:$A$200,Adresses!$E$4:$E$200),"")</f>
        <v/>
      </c>
      <c r="J14" s="5">
        <f>IFERROR(VLOOKUP($I14,CodesPostaux_FR!$A:$C,2,FALSE),"")</f>
        <v/>
      </c>
      <c r="K14" s="5">
        <f>IFERROR(VLOOKUP($I14,CodesPostaux_FR!$A:$C,3,FALSE),"")</f>
        <v/>
      </c>
      <c r="L14" s="5">
        <f>IFERROR(XLOOKUP($E14,Adresses!$A$4:$A$200,Adresses!$H$4:$H$200),"FRANCE")</f>
        <v/>
      </c>
      <c r="M14" s="5" t="inlineStr">
        <is>
          <t>Courrier 1007 — Dossier D</t>
        </is>
      </c>
      <c r="N14" s="5" t="inlineStr">
        <is>
          <t>Juridique</t>
        </is>
      </c>
      <c r="O14" s="5" t="inlineStr">
        <is>
          <t>Confidentiel</t>
        </is>
      </c>
      <c r="P14" s="5" t="inlineStr">
        <is>
          <t>Non</t>
        </is>
      </c>
      <c r="Q14" s="5" t="inlineStr">
        <is>
          <t>C. Dupont</t>
        </is>
      </c>
      <c r="R14" s="5">
        <f>IFERROR(XLOOKUP($N14,Tables!$A$21:$A$28,Tables!$B$21:$B$28),15)</f>
        <v/>
      </c>
      <c r="S14" s="7">
        <f>IF($B14="","",$B14+$R14)</f>
        <v/>
      </c>
      <c r="T14" s="5" t="inlineStr">
        <is>
          <t>Répondu</t>
        </is>
      </c>
      <c r="U14" s="7" t="n">
        <v>45950</v>
      </c>
      <c r="V14" s="5">
        <f>IF($U14&lt;&gt;"",IF($U14&lt;=$S14,"Oui","Non"),IF(TODAY()&lt;=$S14,"À l'heure","En retard"))</f>
        <v/>
      </c>
      <c r="W14" s="5" t="inlineStr"/>
      <c r="X14" s="5" t="inlineStr">
        <is>
          <t>link://dms/courrier/1007</t>
        </is>
      </c>
      <c r="Y14" s="5" t="inlineStr">
        <is>
          <t>Attente complément</t>
        </is>
      </c>
    </row>
    <row r="15">
      <c r="A15" s="5">
        <f>TEXT(9,"0000")</f>
        <v/>
      </c>
      <c r="B15" s="7" t="n">
        <v>45951</v>
      </c>
      <c r="C15" s="5" t="inlineStr">
        <is>
          <t>Entrant</t>
        </is>
      </c>
      <c r="D15" s="5" t="inlineStr">
        <is>
          <t>LR</t>
        </is>
      </c>
      <c r="E15" s="5" t="inlineStr">
        <is>
          <t>Cabinet JurisLex</t>
        </is>
      </c>
      <c r="F15" s="5" t="n"/>
      <c r="G15" s="5">
        <f>IFERROR(XLOOKUP($E15,Adresses!$A$4:$A$200,Adresses!$C$4:$C$200),"")</f>
        <v/>
      </c>
      <c r="H15" s="5">
        <f>IFERROR(XLOOKUP($E15,Adresses!$A$4:$A$200,Adresses!$D$4:$D$200),"")</f>
        <v/>
      </c>
      <c r="I15" s="5">
        <f>IFERROR(XLOOKUP($E15,Adresses!$A$4:$A$200,Adresses!$E$4:$E$200),"")</f>
        <v/>
      </c>
      <c r="J15" s="5">
        <f>IFERROR(VLOOKUP($I15,CodesPostaux_FR!$A:$C,2,FALSE),"")</f>
        <v/>
      </c>
      <c r="K15" s="5">
        <f>IFERROR(VLOOKUP($I15,CodesPostaux_FR!$A:$C,3,FALSE),"")</f>
        <v/>
      </c>
      <c r="L15" s="5">
        <f>IFERROR(XLOOKUP($E15,Adresses!$A$4:$A$200,Adresses!$H$4:$H$200),"FRANCE")</f>
        <v/>
      </c>
      <c r="M15" s="5" t="inlineStr">
        <is>
          <t>Courrier 1008 — Dossier A</t>
        </is>
      </c>
      <c r="N15" s="5" t="inlineStr">
        <is>
          <t>RH</t>
        </is>
      </c>
      <c r="O15" s="5" t="inlineStr">
        <is>
          <t>Sensible</t>
        </is>
      </c>
      <c r="P15" s="5" t="inlineStr">
        <is>
          <t>Oui</t>
        </is>
      </c>
      <c r="Q15" s="5" t="inlineStr">
        <is>
          <t>A. Martin</t>
        </is>
      </c>
      <c r="R15" s="5">
        <f>IFERROR(XLOOKUP($N15,Tables!$A$21:$A$28,Tables!$B$21:$B$28),15)</f>
        <v/>
      </c>
      <c r="S15" s="7">
        <f>IF($B15="","",$B15+$R15)</f>
        <v/>
      </c>
      <c r="T15" s="5" t="inlineStr">
        <is>
          <t>Archivé</t>
        </is>
      </c>
      <c r="U15" s="7" t="n">
        <v>45949</v>
      </c>
      <c r="V15" s="5">
        <f>IF($U15&lt;&gt;"",IF($U15&lt;=$S15,"Oui","Non"),IF(TODAY()&lt;=$S15,"À l'heure","En retard"))</f>
        <v/>
      </c>
      <c r="W15" s="5" t="inlineStr">
        <is>
          <t>1A100008FR</t>
        </is>
      </c>
      <c r="X15" s="5" t="inlineStr">
        <is>
          <t>link://dms/courrier/1008</t>
        </is>
      </c>
      <c r="Y15" s="5" t="inlineStr"/>
    </row>
    <row r="16">
      <c r="A16" s="5">
        <f>TEXT(10,"0000")</f>
        <v/>
      </c>
      <c r="B16" s="7" t="n">
        <v>45912</v>
      </c>
      <c r="C16" s="5" t="inlineStr">
        <is>
          <t>Sortant</t>
        </is>
      </c>
      <c r="D16" s="5" t="inlineStr">
        <is>
          <t>LRAR</t>
        </is>
      </c>
      <c r="E16" s="5" t="inlineStr">
        <is>
          <t>Mairie de Nantes</t>
        </is>
      </c>
      <c r="F16" s="5" t="n"/>
      <c r="G16" s="5">
        <f>IFERROR(XLOOKUP($E16,Adresses!$A$4:$A$200,Adresses!$C$4:$C$200),"")</f>
        <v/>
      </c>
      <c r="H16" s="5">
        <f>IFERROR(XLOOKUP($E16,Adresses!$A$4:$A$200,Adresses!$D$4:$D$200),"")</f>
        <v/>
      </c>
      <c r="I16" s="5">
        <f>IFERROR(XLOOKUP($E16,Adresses!$A$4:$A$200,Adresses!$E$4:$E$200),"")</f>
        <v/>
      </c>
      <c r="J16" s="5">
        <f>IFERROR(VLOOKUP($I16,CodesPostaux_FR!$A:$C,2,FALSE),"")</f>
        <v/>
      </c>
      <c r="K16" s="5">
        <f>IFERROR(VLOOKUP($I16,CodesPostaux_FR!$A:$C,3,FALSE),"")</f>
        <v/>
      </c>
      <c r="L16" s="5">
        <f>IFERROR(XLOOKUP($E16,Adresses!$A$4:$A$200,Adresses!$H$4:$H$200),"FRANCE")</f>
        <v/>
      </c>
      <c r="M16" s="5" t="inlineStr">
        <is>
          <t>Courrier 1009 — Dossier B</t>
        </is>
      </c>
      <c r="N16" s="5" t="inlineStr">
        <is>
          <t>Commercial</t>
        </is>
      </c>
      <c r="O16" s="5" t="inlineStr">
        <is>
          <t>Public</t>
        </is>
      </c>
      <c r="P16" s="5" t="inlineStr">
        <is>
          <t>Non</t>
        </is>
      </c>
      <c r="Q16" s="5" t="inlineStr">
        <is>
          <t>S. Benali</t>
        </is>
      </c>
      <c r="R16" s="5">
        <f>IFERROR(XLOOKUP($N16,Tables!$A$21:$A$28,Tables!$B$21:$B$28),15)</f>
        <v/>
      </c>
      <c r="S16" s="7">
        <f>IF($B16="","",$B16+$R16)</f>
        <v/>
      </c>
      <c r="T16" s="5" t="inlineStr">
        <is>
          <t>Retourné</t>
        </is>
      </c>
      <c r="U16" s="7" t="inlineStr"/>
      <c r="V16" s="5">
        <f>IF($U16&lt;&gt;"",IF($U16&lt;=$S16,"Oui","Non"),IF(TODAY()&lt;=$S16,"À l'heure","En retard"))</f>
        <v/>
      </c>
      <c r="W16" s="5" t="inlineStr">
        <is>
          <t>2B100009FR</t>
        </is>
      </c>
      <c r="X16" s="5" t="inlineStr">
        <is>
          <t>link://dms/courrier/1009</t>
        </is>
      </c>
      <c r="Y16" s="5" t="inlineStr">
        <is>
          <t>AR reçu</t>
        </is>
      </c>
    </row>
    <row r="17">
      <c r="A17" s="5">
        <f>TEXT(11,"0000")</f>
        <v/>
      </c>
      <c r="B17" s="7" t="n">
        <v>45913</v>
      </c>
      <c r="C17" s="5" t="inlineStr">
        <is>
          <t>Entrant</t>
        </is>
      </c>
      <c r="D17" s="5" t="inlineStr">
        <is>
          <t>Colissimo</t>
        </is>
      </c>
      <c r="E17" s="5" t="inlineStr">
        <is>
          <t>La Poste — Centre LRAR</t>
        </is>
      </c>
      <c r="F17" s="5" t="n"/>
      <c r="G17" s="5">
        <f>IFERROR(XLOOKUP($E17,Adresses!$A$4:$A$200,Adresses!$C$4:$C$200),"")</f>
        <v/>
      </c>
      <c r="H17" s="5">
        <f>IFERROR(XLOOKUP($E17,Adresses!$A$4:$A$200,Adresses!$D$4:$D$200),"")</f>
        <v/>
      </c>
      <c r="I17" s="5">
        <f>IFERROR(XLOOKUP($E17,Adresses!$A$4:$A$200,Adresses!$E$4:$E$200),"")</f>
        <v/>
      </c>
      <c r="J17" s="5">
        <f>IFERROR(VLOOKUP($I17,CodesPostaux_FR!$A:$C,2,FALSE),"")</f>
        <v/>
      </c>
      <c r="K17" s="5">
        <f>IFERROR(VLOOKUP($I17,CodesPostaux_FR!$A:$C,3,FALSE),"")</f>
        <v/>
      </c>
      <c r="L17" s="5">
        <f>IFERROR(XLOOKUP($E17,Adresses!$A$4:$A$200,Adresses!$H$4:$H$200),"FRANCE")</f>
        <v/>
      </c>
      <c r="M17" s="5" t="inlineStr">
        <is>
          <t>Courrier 1010 — Dossier C</t>
        </is>
      </c>
      <c r="N17" s="5" t="inlineStr">
        <is>
          <t>Technique</t>
        </is>
      </c>
      <c r="O17" s="5" t="inlineStr">
        <is>
          <t>Interne</t>
        </is>
      </c>
      <c r="P17" s="5" t="inlineStr">
        <is>
          <t>Oui</t>
        </is>
      </c>
      <c r="Q17" s="5" t="inlineStr">
        <is>
          <t>L. Moreau</t>
        </is>
      </c>
      <c r="R17" s="5">
        <f>IFERROR(XLOOKUP($N17,Tables!$A$21:$A$28,Tables!$B$21:$B$28),15)</f>
        <v/>
      </c>
      <c r="S17" s="7">
        <f>IF($B17="","",$B17+$R17)</f>
        <v/>
      </c>
      <c r="T17" s="5" t="inlineStr">
        <is>
          <t>À enregistrer</t>
        </is>
      </c>
      <c r="U17" s="7" t="inlineStr"/>
      <c r="V17" s="5">
        <f>IF($U17&lt;&gt;"",IF($U17&lt;=$S17,"Oui","Non"),IF(TODAY()&lt;=$S17,"À l'heure","En retard"))</f>
        <v/>
      </c>
      <c r="W17" s="5" t="inlineStr">
        <is>
          <t>3C100010FR</t>
        </is>
      </c>
      <c r="X17" s="5" t="inlineStr">
        <is>
          <t>link://dms/courrier/1010</t>
        </is>
      </c>
      <c r="Y17" s="5" t="inlineStr">
        <is>
          <t>Relance envoyée</t>
        </is>
      </c>
    </row>
    <row r="18">
      <c r="A18" s="5">
        <f>TEXT(12,"0000")</f>
        <v/>
      </c>
      <c r="B18" s="7" t="n">
        <v>45914</v>
      </c>
      <c r="C18" s="5" t="inlineStr">
        <is>
          <t>Sortant</t>
        </is>
      </c>
      <c r="D18" s="5" t="inlineStr">
        <is>
          <t>Chronopost</t>
        </is>
      </c>
      <c r="E18" s="5" t="inlineStr">
        <is>
          <t>Avocat Me Durand</t>
        </is>
      </c>
      <c r="F18" s="5" t="n"/>
      <c r="G18" s="5">
        <f>IFERROR(XLOOKUP($E18,Adresses!$A$4:$A$200,Adresses!$C$4:$C$200),"")</f>
        <v/>
      </c>
      <c r="H18" s="5">
        <f>IFERROR(XLOOKUP($E18,Adresses!$A$4:$A$200,Adresses!$D$4:$D$200),"")</f>
        <v/>
      </c>
      <c r="I18" s="5">
        <f>IFERROR(XLOOKUP($E18,Adresses!$A$4:$A$200,Adresses!$E$4:$E$200),"")</f>
        <v/>
      </c>
      <c r="J18" s="5">
        <f>IFERROR(VLOOKUP($I18,CodesPostaux_FR!$A:$C,2,FALSE),"")</f>
        <v/>
      </c>
      <c r="K18" s="5">
        <f>IFERROR(VLOOKUP($I18,CodesPostaux_FR!$A:$C,3,FALSE),"")</f>
        <v/>
      </c>
      <c r="L18" s="5">
        <f>IFERROR(XLOOKUP($E18,Adresses!$A$4:$A$200,Adresses!$H$4:$H$200),"FRANCE")</f>
        <v/>
      </c>
      <c r="M18" s="5" t="inlineStr">
        <is>
          <t>Courrier 1011 — Dossier D</t>
        </is>
      </c>
      <c r="N18" s="5" t="inlineStr">
        <is>
          <t>Administratif</t>
        </is>
      </c>
      <c r="O18" s="5" t="inlineStr">
        <is>
          <t>Confidentiel</t>
        </is>
      </c>
      <c r="P18" s="5" t="inlineStr">
        <is>
          <t>Non</t>
        </is>
      </c>
      <c r="Q18" s="5" t="inlineStr">
        <is>
          <t>C. Dupont</t>
        </is>
      </c>
      <c r="R18" s="5">
        <f>IFERROR(XLOOKUP($N18,Tables!$A$21:$A$28,Tables!$B$21:$B$28),15)</f>
        <v/>
      </c>
      <c r="S18" s="7">
        <f>IF($B18="","",$B18+$R18)</f>
        <v/>
      </c>
      <c r="T18" s="5" t="inlineStr">
        <is>
          <t>À traiter</t>
        </is>
      </c>
      <c r="U18" s="7" t="inlineStr"/>
      <c r="V18" s="5">
        <f>IF($U18&lt;&gt;"",IF($U18&lt;=$S18,"Oui","Non"),IF(TODAY()&lt;=$S18,"À l'heure","En retard"))</f>
        <v/>
      </c>
      <c r="W18" s="5" t="inlineStr">
        <is>
          <t>4D100011FR</t>
        </is>
      </c>
      <c r="X18" s="5" t="inlineStr">
        <is>
          <t>link://dms/courrier/1011</t>
        </is>
      </c>
      <c r="Y18" s="5" t="inlineStr">
        <is>
          <t>Attente complément</t>
        </is>
      </c>
    </row>
    <row r="19">
      <c r="A19" s="5">
        <f>TEXT(13,"0000")</f>
        <v/>
      </c>
      <c r="B19" s="7" t="n">
        <v>45915</v>
      </c>
      <c r="C19" s="5" t="inlineStr">
        <is>
          <t>Entrant</t>
        </is>
      </c>
      <c r="D19" s="5" t="inlineStr">
        <is>
          <t>Courrier interne</t>
        </is>
      </c>
      <c r="E19" s="5" t="inlineStr">
        <is>
          <t>Préfecture du Rhône</t>
        </is>
      </c>
      <c r="F19" s="5" t="n"/>
      <c r="G19" s="5">
        <f>IFERROR(XLOOKUP($E19,Adresses!$A$4:$A$200,Adresses!$C$4:$C$200),"")</f>
        <v/>
      </c>
      <c r="H19" s="5">
        <f>IFERROR(XLOOKUP($E19,Adresses!$A$4:$A$200,Adresses!$D$4:$D$200),"")</f>
        <v/>
      </c>
      <c r="I19" s="5">
        <f>IFERROR(XLOOKUP($E19,Adresses!$A$4:$A$200,Adresses!$E$4:$E$200),"")</f>
        <v/>
      </c>
      <c r="J19" s="5">
        <f>IFERROR(VLOOKUP($I19,CodesPostaux_FR!$A:$C,2,FALSE),"")</f>
        <v/>
      </c>
      <c r="K19" s="5">
        <f>IFERROR(VLOOKUP($I19,CodesPostaux_FR!$A:$C,3,FALSE),"")</f>
        <v/>
      </c>
      <c r="L19" s="5">
        <f>IFERROR(XLOOKUP($E19,Adresses!$A$4:$A$200,Adresses!$H$4:$H$200),"FRANCE")</f>
        <v/>
      </c>
      <c r="M19" s="5" t="inlineStr">
        <is>
          <t>Courrier 1012 — Dossier A</t>
        </is>
      </c>
      <c r="N19" s="5" t="inlineStr">
        <is>
          <t>Marketing</t>
        </is>
      </c>
      <c r="O19" s="5" t="inlineStr">
        <is>
          <t>Sensible</t>
        </is>
      </c>
      <c r="P19" s="5" t="inlineStr">
        <is>
          <t>Oui</t>
        </is>
      </c>
      <c r="Q19" s="5" t="inlineStr">
        <is>
          <t>A. Martin</t>
        </is>
      </c>
      <c r="R19" s="5">
        <f>IFERROR(XLOOKUP($N19,Tables!$A$21:$A$28,Tables!$B$21:$B$28),15)</f>
        <v/>
      </c>
      <c r="S19" s="7">
        <f>IF($B19="","",$B19+$R19)</f>
        <v/>
      </c>
      <c r="T19" s="5" t="inlineStr">
        <is>
          <t>En cours</t>
        </is>
      </c>
      <c r="U19" s="7" t="inlineStr"/>
      <c r="V19" s="5">
        <f>IF($U19&lt;&gt;"",IF($U19&lt;=$S19,"Oui","Non"),IF(TODAY()&lt;=$S19,"À l'heure","En retard"))</f>
        <v/>
      </c>
      <c r="W19" s="5" t="inlineStr"/>
      <c r="X19" s="5" t="inlineStr">
        <is>
          <t>link://dms/courrier/1012</t>
        </is>
      </c>
      <c r="Y19" s="5" t="inlineStr"/>
    </row>
    <row r="20">
      <c r="A20" s="5">
        <f>TEXT(14,"0000")</f>
        <v/>
      </c>
      <c r="B20" s="7" t="n">
        <v>45916</v>
      </c>
      <c r="C20" s="5" t="inlineStr">
        <is>
          <t>Sortant</t>
        </is>
      </c>
      <c r="D20" s="5" t="inlineStr">
        <is>
          <t>Messagerie</t>
        </is>
      </c>
      <c r="E20" s="5" t="inlineStr">
        <is>
          <t>Société AgroPlus</t>
        </is>
      </c>
      <c r="F20" s="5" t="n"/>
      <c r="G20" s="5">
        <f>IFERROR(XLOOKUP($E20,Adresses!$A$4:$A$200,Adresses!$C$4:$C$200),"")</f>
        <v/>
      </c>
      <c r="H20" s="5">
        <f>IFERROR(XLOOKUP($E20,Adresses!$A$4:$A$200,Adresses!$D$4:$D$200),"")</f>
        <v/>
      </c>
      <c r="I20" s="5">
        <f>IFERROR(XLOOKUP($E20,Adresses!$A$4:$A$200,Adresses!$E$4:$E$200),"")</f>
        <v/>
      </c>
      <c r="J20" s="5">
        <f>IFERROR(VLOOKUP($I20,CodesPostaux_FR!$A:$C,2,FALSE),"")</f>
        <v/>
      </c>
      <c r="K20" s="5">
        <f>IFERROR(VLOOKUP($I20,CodesPostaux_FR!$A:$C,3,FALSE),"")</f>
        <v/>
      </c>
      <c r="L20" s="5">
        <f>IFERROR(XLOOKUP($E20,Adresses!$A$4:$A$200,Adresses!$H$4:$H$200),"FRANCE")</f>
        <v/>
      </c>
      <c r="M20" s="5" t="inlineStr">
        <is>
          <t>Courrier 1013 — Dossier B</t>
        </is>
      </c>
      <c r="N20" s="5" t="inlineStr">
        <is>
          <t>Autre</t>
        </is>
      </c>
      <c r="O20" s="5" t="inlineStr">
        <is>
          <t>Public</t>
        </is>
      </c>
      <c r="P20" s="5" t="inlineStr">
        <is>
          <t>Non</t>
        </is>
      </c>
      <c r="Q20" s="5" t="inlineStr">
        <is>
          <t>S. Benali</t>
        </is>
      </c>
      <c r="R20" s="5">
        <f>IFERROR(XLOOKUP($N20,Tables!$A$21:$A$28,Tables!$B$21:$B$28),15)</f>
        <v/>
      </c>
      <c r="S20" s="7">
        <f>IF($B20="","",$B20+$R20)</f>
        <v/>
      </c>
      <c r="T20" s="5" t="inlineStr">
        <is>
          <t>Répondu</t>
        </is>
      </c>
      <c r="U20" s="7" t="n">
        <v>45950</v>
      </c>
      <c r="V20" s="5">
        <f>IF($U20&lt;&gt;"",IF($U20&lt;=$S20,"Oui","Non"),IF(TODAY()&lt;=$S20,"À l'heure","En retard"))</f>
        <v/>
      </c>
      <c r="W20" s="5" t="inlineStr"/>
      <c r="X20" s="5" t="inlineStr">
        <is>
          <t>link://dms/courrier/1013</t>
        </is>
      </c>
      <c r="Y20" s="5" t="inlineStr">
        <is>
          <t>AR reçu</t>
        </is>
      </c>
    </row>
    <row r="21">
      <c r="A21" s="5">
        <f>TEXT(15,"0000")</f>
        <v/>
      </c>
      <c r="B21" s="7" t="n">
        <v>45917</v>
      </c>
      <c r="C21" s="5" t="inlineStr">
        <is>
          <t>Entrant</t>
        </is>
      </c>
      <c r="D21" s="5" t="inlineStr">
        <is>
          <t>Colis</t>
        </is>
      </c>
      <c r="E21" s="5" t="inlineStr">
        <is>
          <t>Banque Crédit Hexagone</t>
        </is>
      </c>
      <c r="F21" s="5" t="n"/>
      <c r="G21" s="5">
        <f>IFERROR(XLOOKUP($E21,Adresses!$A$4:$A$200,Adresses!$C$4:$C$200),"")</f>
        <v/>
      </c>
      <c r="H21" s="5">
        <f>IFERROR(XLOOKUP($E21,Adresses!$A$4:$A$200,Adresses!$D$4:$D$200),"")</f>
        <v/>
      </c>
      <c r="I21" s="5">
        <f>IFERROR(XLOOKUP($E21,Adresses!$A$4:$A$200,Adresses!$E$4:$E$200),"")</f>
        <v/>
      </c>
      <c r="J21" s="5">
        <f>IFERROR(VLOOKUP($I21,CodesPostaux_FR!$A:$C,2,FALSE),"")</f>
        <v/>
      </c>
      <c r="K21" s="5">
        <f>IFERROR(VLOOKUP($I21,CodesPostaux_FR!$A:$C,3,FALSE),"")</f>
        <v/>
      </c>
      <c r="L21" s="5">
        <f>IFERROR(XLOOKUP($E21,Adresses!$A$4:$A$200,Adresses!$H$4:$H$200),"FRANCE")</f>
        <v/>
      </c>
      <c r="M21" s="5" t="inlineStr">
        <is>
          <t>Courrier 1014 — Dossier C</t>
        </is>
      </c>
      <c r="N21" s="5" t="inlineStr">
        <is>
          <t>Facture</t>
        </is>
      </c>
      <c r="O21" s="5" t="inlineStr">
        <is>
          <t>Interne</t>
        </is>
      </c>
      <c r="P21" s="5" t="inlineStr">
        <is>
          <t>Oui</t>
        </is>
      </c>
      <c r="Q21" s="5" t="inlineStr">
        <is>
          <t>L. Moreau</t>
        </is>
      </c>
      <c r="R21" s="5">
        <f>IFERROR(XLOOKUP($N21,Tables!$A$21:$A$28,Tables!$B$21:$B$28),15)</f>
        <v/>
      </c>
      <c r="S21" s="7">
        <f>IF($B21="","",$B21+$R21)</f>
        <v/>
      </c>
      <c r="T21" s="5" t="inlineStr">
        <is>
          <t>Archivé</t>
        </is>
      </c>
      <c r="U21" s="7" t="n">
        <v>45949</v>
      </c>
      <c r="V21" s="5">
        <f>IF($U21&lt;&gt;"",IF($U21&lt;=$S21,"Oui","Non"),IF(TODAY()&lt;=$S21,"À l'heure","En retard"))</f>
        <v/>
      </c>
      <c r="W21" s="5" t="inlineStr"/>
      <c r="X21" s="5" t="inlineStr">
        <is>
          <t>link://dms/courrier/1014</t>
        </is>
      </c>
      <c r="Y21" s="5" t="inlineStr">
        <is>
          <t>Relance envoyée</t>
        </is>
      </c>
    </row>
    <row r="22">
      <c r="A22" s="5">
        <f>TEXT(16,"0000")</f>
        <v/>
      </c>
      <c r="B22" s="7" t="n">
        <v>45918</v>
      </c>
      <c r="C22" s="5" t="inlineStr">
        <is>
          <t>Sortant</t>
        </is>
      </c>
      <c r="D22" s="5" t="inlineStr">
        <is>
          <t>Lettre simple</t>
        </is>
      </c>
      <c r="E22" s="5" t="inlineStr">
        <is>
          <t>Société ACME SAS</t>
        </is>
      </c>
      <c r="F22" s="5" t="n"/>
      <c r="G22" s="5">
        <f>IFERROR(XLOOKUP($E22,Adresses!$A$4:$A$200,Adresses!$C$4:$C$200),"")</f>
        <v/>
      </c>
      <c r="H22" s="5">
        <f>IFERROR(XLOOKUP($E22,Adresses!$A$4:$A$200,Adresses!$D$4:$D$200),"")</f>
        <v/>
      </c>
      <c r="I22" s="5">
        <f>IFERROR(XLOOKUP($E22,Adresses!$A$4:$A$200,Adresses!$E$4:$E$200),"")</f>
        <v/>
      </c>
      <c r="J22" s="5">
        <f>IFERROR(VLOOKUP($I22,CodesPostaux_FR!$A:$C,2,FALSE),"")</f>
        <v/>
      </c>
      <c r="K22" s="5">
        <f>IFERROR(VLOOKUP($I22,CodesPostaux_FR!$A:$C,3,FALSE),"")</f>
        <v/>
      </c>
      <c r="L22" s="5">
        <f>IFERROR(XLOOKUP($E22,Adresses!$A$4:$A$200,Adresses!$H$4:$H$200),"FRANCE")</f>
        <v/>
      </c>
      <c r="M22" s="5" t="inlineStr">
        <is>
          <t>Courrier 1015 — Dossier D</t>
        </is>
      </c>
      <c r="N22" s="5" t="inlineStr">
        <is>
          <t>Juridique</t>
        </is>
      </c>
      <c r="O22" s="5" t="inlineStr">
        <is>
          <t>Confidentiel</t>
        </is>
      </c>
      <c r="P22" s="5" t="inlineStr">
        <is>
          <t>Non</t>
        </is>
      </c>
      <c r="Q22" s="5" t="inlineStr">
        <is>
          <t>C. Dupont</t>
        </is>
      </c>
      <c r="R22" s="5">
        <f>IFERROR(XLOOKUP($N22,Tables!$A$21:$A$28,Tables!$B$21:$B$28),15)</f>
        <v/>
      </c>
      <c r="S22" s="7">
        <f>IF($B22="","",$B22+$R22)</f>
        <v/>
      </c>
      <c r="T22" s="5" t="inlineStr">
        <is>
          <t>Retourné</t>
        </is>
      </c>
      <c r="U22" s="7" t="inlineStr"/>
      <c r="V22" s="5">
        <f>IF($U22&lt;&gt;"",IF($U22&lt;=$S22,"Oui","Non"),IF(TODAY()&lt;=$S22,"À l'heure","En retard"))</f>
        <v/>
      </c>
      <c r="W22" s="5" t="inlineStr"/>
      <c r="X22" s="5" t="inlineStr">
        <is>
          <t>link://dms/courrier/1015</t>
        </is>
      </c>
      <c r="Y22" s="5" t="inlineStr">
        <is>
          <t>Attente complément</t>
        </is>
      </c>
    </row>
    <row r="23">
      <c r="A23" s="5">
        <f>TEXT(17,"0000")</f>
        <v/>
      </c>
      <c r="B23" s="7" t="n">
        <v>45919</v>
      </c>
      <c r="C23" s="5" t="inlineStr">
        <is>
          <t>Entrant</t>
        </is>
      </c>
      <c r="D23" s="5" t="inlineStr">
        <is>
          <t>LR</t>
        </is>
      </c>
      <c r="E23" s="5" t="inlineStr">
        <is>
          <t>Clinique Sainte-Marie</t>
        </is>
      </c>
      <c r="F23" s="5" t="n"/>
      <c r="G23" s="5">
        <f>IFERROR(XLOOKUP($E23,Adresses!$A$4:$A$200,Adresses!$C$4:$C$200),"")</f>
        <v/>
      </c>
      <c r="H23" s="5">
        <f>IFERROR(XLOOKUP($E23,Adresses!$A$4:$A$200,Adresses!$D$4:$D$200),"")</f>
        <v/>
      </c>
      <c r="I23" s="5">
        <f>IFERROR(XLOOKUP($E23,Adresses!$A$4:$A$200,Adresses!$E$4:$E$200),"")</f>
        <v/>
      </c>
      <c r="J23" s="5">
        <f>IFERROR(VLOOKUP($I23,CodesPostaux_FR!$A:$C,2,FALSE),"")</f>
        <v/>
      </c>
      <c r="K23" s="5">
        <f>IFERROR(VLOOKUP($I23,CodesPostaux_FR!$A:$C,3,FALSE),"")</f>
        <v/>
      </c>
      <c r="L23" s="5">
        <f>IFERROR(XLOOKUP($E23,Adresses!$A$4:$A$200,Adresses!$H$4:$H$200),"FRANCE")</f>
        <v/>
      </c>
      <c r="M23" s="5" t="inlineStr">
        <is>
          <t>Courrier 1016 — Dossier A</t>
        </is>
      </c>
      <c r="N23" s="5" t="inlineStr">
        <is>
          <t>RH</t>
        </is>
      </c>
      <c r="O23" s="5" t="inlineStr">
        <is>
          <t>Sensible</t>
        </is>
      </c>
      <c r="P23" s="5" t="inlineStr">
        <is>
          <t>Oui</t>
        </is>
      </c>
      <c r="Q23" s="5" t="inlineStr">
        <is>
          <t>A. Martin</t>
        </is>
      </c>
      <c r="R23" s="5">
        <f>IFERROR(XLOOKUP($N23,Tables!$A$21:$A$28,Tables!$B$21:$B$28),15)</f>
        <v/>
      </c>
      <c r="S23" s="7">
        <f>IF($B23="","",$B23+$R23)</f>
        <v/>
      </c>
      <c r="T23" s="5" t="inlineStr">
        <is>
          <t>À enregistrer</t>
        </is>
      </c>
      <c r="U23" s="7" t="inlineStr"/>
      <c r="V23" s="5">
        <f>IF($U23&lt;&gt;"",IF($U23&lt;=$S23,"Oui","Non"),IF(TODAY()&lt;=$S23,"À l'heure","En retard"))</f>
        <v/>
      </c>
      <c r="W23" s="5" t="inlineStr">
        <is>
          <t>1A100016FR</t>
        </is>
      </c>
      <c r="X23" s="5" t="inlineStr">
        <is>
          <t>link://dms/courrier/1016</t>
        </is>
      </c>
      <c r="Y23" s="5" t="inlineStr"/>
    </row>
    <row r="24">
      <c r="A24" s="5">
        <f>TEXT(18,"0000")</f>
        <v/>
      </c>
      <c r="B24" s="7" t="n">
        <v>45920</v>
      </c>
      <c r="C24" s="5" t="inlineStr">
        <is>
          <t>Sortant</t>
        </is>
      </c>
      <c r="D24" s="5" t="inlineStr">
        <is>
          <t>LRAR</t>
        </is>
      </c>
      <c r="E24" s="5" t="inlineStr">
        <is>
          <t>URSSAF Île-de-France</t>
        </is>
      </c>
      <c r="F24" s="5" t="n"/>
      <c r="G24" s="5">
        <f>IFERROR(XLOOKUP($E24,Adresses!$A$4:$A$200,Adresses!$C$4:$C$200),"")</f>
        <v/>
      </c>
      <c r="H24" s="5">
        <f>IFERROR(XLOOKUP($E24,Adresses!$A$4:$A$200,Adresses!$D$4:$D$200),"")</f>
        <v/>
      </c>
      <c r="I24" s="5">
        <f>IFERROR(XLOOKUP($E24,Adresses!$A$4:$A$200,Adresses!$E$4:$E$200),"")</f>
        <v/>
      </c>
      <c r="J24" s="5">
        <f>IFERROR(VLOOKUP($I24,CodesPostaux_FR!$A:$C,2,FALSE),"")</f>
        <v/>
      </c>
      <c r="K24" s="5">
        <f>IFERROR(VLOOKUP($I24,CodesPostaux_FR!$A:$C,3,FALSE),"")</f>
        <v/>
      </c>
      <c r="L24" s="5">
        <f>IFERROR(XLOOKUP($E24,Adresses!$A$4:$A$200,Adresses!$H$4:$H$200),"FRANCE")</f>
        <v/>
      </c>
      <c r="M24" s="5" t="inlineStr">
        <is>
          <t>Courrier 1017 — Dossier B</t>
        </is>
      </c>
      <c r="N24" s="5" t="inlineStr">
        <is>
          <t>Commercial</t>
        </is>
      </c>
      <c r="O24" s="5" t="inlineStr">
        <is>
          <t>Public</t>
        </is>
      </c>
      <c r="P24" s="5" t="inlineStr">
        <is>
          <t>Non</t>
        </is>
      </c>
      <c r="Q24" s="5" t="inlineStr">
        <is>
          <t>S. Benali</t>
        </is>
      </c>
      <c r="R24" s="5">
        <f>IFERROR(XLOOKUP($N24,Tables!$A$21:$A$28,Tables!$B$21:$B$28),15)</f>
        <v/>
      </c>
      <c r="S24" s="7">
        <f>IF($B24="","",$B24+$R24)</f>
        <v/>
      </c>
      <c r="T24" s="5" t="inlineStr">
        <is>
          <t>À traiter</t>
        </is>
      </c>
      <c r="U24" s="7" t="inlineStr"/>
      <c r="V24" s="5">
        <f>IF($U24&lt;&gt;"",IF($U24&lt;=$S24,"Oui","Non"),IF(TODAY()&lt;=$S24,"À l'heure","En retard"))</f>
        <v/>
      </c>
      <c r="W24" s="5" t="inlineStr">
        <is>
          <t>2B100017FR</t>
        </is>
      </c>
      <c r="X24" s="5" t="inlineStr">
        <is>
          <t>link://dms/courrier/1017</t>
        </is>
      </c>
      <c r="Y24" s="5" t="inlineStr">
        <is>
          <t>AR reçu</t>
        </is>
      </c>
    </row>
    <row r="25">
      <c r="A25" s="5">
        <f>TEXT(19,"0000")</f>
        <v/>
      </c>
      <c r="B25" s="7" t="n">
        <v>45921</v>
      </c>
      <c r="C25" s="5" t="inlineStr">
        <is>
          <t>Entrant</t>
        </is>
      </c>
      <c r="D25" s="5" t="inlineStr">
        <is>
          <t>Colissimo</t>
        </is>
      </c>
      <c r="E25" s="5" t="inlineStr">
        <is>
          <t>Société TechNova</t>
        </is>
      </c>
      <c r="F25" s="5" t="n"/>
      <c r="G25" s="5">
        <f>IFERROR(XLOOKUP($E25,Adresses!$A$4:$A$200,Adresses!$C$4:$C$200),"")</f>
        <v/>
      </c>
      <c r="H25" s="5">
        <f>IFERROR(XLOOKUP($E25,Adresses!$A$4:$A$200,Adresses!$D$4:$D$200),"")</f>
        <v/>
      </c>
      <c r="I25" s="5">
        <f>IFERROR(XLOOKUP($E25,Adresses!$A$4:$A$200,Adresses!$E$4:$E$200),"")</f>
        <v/>
      </c>
      <c r="J25" s="5">
        <f>IFERROR(VLOOKUP($I25,CodesPostaux_FR!$A:$C,2,FALSE),"")</f>
        <v/>
      </c>
      <c r="K25" s="5">
        <f>IFERROR(VLOOKUP($I25,CodesPostaux_FR!$A:$C,3,FALSE),"")</f>
        <v/>
      </c>
      <c r="L25" s="5">
        <f>IFERROR(XLOOKUP($E25,Adresses!$A$4:$A$200,Adresses!$H$4:$H$200),"FRANCE")</f>
        <v/>
      </c>
      <c r="M25" s="5" t="inlineStr">
        <is>
          <t>Courrier 1018 — Dossier C</t>
        </is>
      </c>
      <c r="N25" s="5" t="inlineStr">
        <is>
          <t>Technique</t>
        </is>
      </c>
      <c r="O25" s="5" t="inlineStr">
        <is>
          <t>Interne</t>
        </is>
      </c>
      <c r="P25" s="5" t="inlineStr">
        <is>
          <t>Oui</t>
        </is>
      </c>
      <c r="Q25" s="5" t="inlineStr">
        <is>
          <t>L. Moreau</t>
        </is>
      </c>
      <c r="R25" s="5">
        <f>IFERROR(XLOOKUP($N25,Tables!$A$21:$A$28,Tables!$B$21:$B$28),15)</f>
        <v/>
      </c>
      <c r="S25" s="7">
        <f>IF($B25="","",$B25+$R25)</f>
        <v/>
      </c>
      <c r="T25" s="5" t="inlineStr">
        <is>
          <t>En cours</t>
        </is>
      </c>
      <c r="U25" s="7" t="inlineStr"/>
      <c r="V25" s="5">
        <f>IF($U25&lt;&gt;"",IF($U25&lt;=$S25,"Oui","Non"),IF(TODAY()&lt;=$S25,"À l'heure","En retard"))</f>
        <v/>
      </c>
      <c r="W25" s="5" t="inlineStr">
        <is>
          <t>3C100018FR</t>
        </is>
      </c>
      <c r="X25" s="5" t="inlineStr">
        <is>
          <t>link://dms/courrier/1018</t>
        </is>
      </c>
      <c r="Y25" s="5" t="inlineStr">
        <is>
          <t>Relance envoyée</t>
        </is>
      </c>
    </row>
    <row r="26">
      <c r="A26" s="5">
        <f>TEXT(20,"0000")</f>
        <v/>
      </c>
      <c r="B26" s="7" t="n">
        <v>45922</v>
      </c>
      <c r="C26" s="5" t="inlineStr">
        <is>
          <t>Sortant</t>
        </is>
      </c>
      <c r="D26" s="5" t="inlineStr">
        <is>
          <t>Chronopost</t>
        </is>
      </c>
      <c r="E26" s="5" t="inlineStr">
        <is>
          <t>Hôpital Central Bordeaux</t>
        </is>
      </c>
      <c r="F26" s="5" t="n"/>
      <c r="G26" s="5">
        <f>IFERROR(XLOOKUP($E26,Adresses!$A$4:$A$200,Adresses!$C$4:$C$200),"")</f>
        <v/>
      </c>
      <c r="H26" s="5">
        <f>IFERROR(XLOOKUP($E26,Adresses!$A$4:$A$200,Adresses!$D$4:$D$200),"")</f>
        <v/>
      </c>
      <c r="I26" s="5">
        <f>IFERROR(XLOOKUP($E26,Adresses!$A$4:$A$200,Adresses!$E$4:$E$200),"")</f>
        <v/>
      </c>
      <c r="J26" s="5">
        <f>IFERROR(VLOOKUP($I26,CodesPostaux_FR!$A:$C,2,FALSE),"")</f>
        <v/>
      </c>
      <c r="K26" s="5">
        <f>IFERROR(VLOOKUP($I26,CodesPostaux_FR!$A:$C,3,FALSE),"")</f>
        <v/>
      </c>
      <c r="L26" s="5">
        <f>IFERROR(XLOOKUP($E26,Adresses!$A$4:$A$200,Adresses!$H$4:$H$200),"FRANCE")</f>
        <v/>
      </c>
      <c r="M26" s="5" t="inlineStr">
        <is>
          <t>Courrier 1019 — Dossier D</t>
        </is>
      </c>
      <c r="N26" s="5" t="inlineStr">
        <is>
          <t>Administratif</t>
        </is>
      </c>
      <c r="O26" s="5" t="inlineStr">
        <is>
          <t>Confidentiel</t>
        </is>
      </c>
      <c r="P26" s="5" t="inlineStr">
        <is>
          <t>Non</t>
        </is>
      </c>
      <c r="Q26" s="5" t="inlineStr">
        <is>
          <t>C. Dupont</t>
        </is>
      </c>
      <c r="R26" s="5">
        <f>IFERROR(XLOOKUP($N26,Tables!$A$21:$A$28,Tables!$B$21:$B$28),15)</f>
        <v/>
      </c>
      <c r="S26" s="7">
        <f>IF($B26="","",$B26+$R26)</f>
        <v/>
      </c>
      <c r="T26" s="5" t="inlineStr">
        <is>
          <t>Répondu</t>
        </is>
      </c>
      <c r="U26" s="7" t="n">
        <v>45950</v>
      </c>
      <c r="V26" s="5">
        <f>IF($U26&lt;&gt;"",IF($U26&lt;=$S26,"Oui","Non"),IF(TODAY()&lt;=$S26,"À l'heure","En retard"))</f>
        <v/>
      </c>
      <c r="W26" s="5" t="inlineStr">
        <is>
          <t>4D100019FR</t>
        </is>
      </c>
      <c r="X26" s="5" t="inlineStr">
        <is>
          <t>link://dms/courrier/1019</t>
        </is>
      </c>
      <c r="Y26" s="5" t="inlineStr">
        <is>
          <t>Attente complément</t>
        </is>
      </c>
    </row>
    <row r="27">
      <c r="A27" s="5">
        <f>TEXT(21,"0000")</f>
        <v/>
      </c>
      <c r="B27" s="7" t="n">
        <v>45923</v>
      </c>
      <c r="C27" s="5" t="inlineStr">
        <is>
          <t>Entrant</t>
        </is>
      </c>
      <c r="D27" s="5" t="inlineStr">
        <is>
          <t>Courrier interne</t>
        </is>
      </c>
      <c r="E27" s="5" t="inlineStr">
        <is>
          <t>Direction Finances ACME</t>
        </is>
      </c>
      <c r="F27" s="5" t="n"/>
      <c r="G27" s="5">
        <f>IFERROR(XLOOKUP($E27,Adresses!$A$4:$A$200,Adresses!$C$4:$C$200),"")</f>
        <v/>
      </c>
      <c r="H27" s="5">
        <f>IFERROR(XLOOKUP($E27,Adresses!$A$4:$A$200,Adresses!$D$4:$D$200),"")</f>
        <v/>
      </c>
      <c r="I27" s="5">
        <f>IFERROR(XLOOKUP($E27,Adresses!$A$4:$A$200,Adresses!$E$4:$E$200),"")</f>
        <v/>
      </c>
      <c r="J27" s="5">
        <f>IFERROR(VLOOKUP($I27,CodesPostaux_FR!$A:$C,2,FALSE),"")</f>
        <v/>
      </c>
      <c r="K27" s="5">
        <f>IFERROR(VLOOKUP($I27,CodesPostaux_FR!$A:$C,3,FALSE),"")</f>
        <v/>
      </c>
      <c r="L27" s="5">
        <f>IFERROR(XLOOKUP($E27,Adresses!$A$4:$A$200,Adresses!$H$4:$H$200),"FRANCE")</f>
        <v/>
      </c>
      <c r="M27" s="5" t="inlineStr">
        <is>
          <t>Courrier 1020 — Dossier A</t>
        </is>
      </c>
      <c r="N27" s="5" t="inlineStr">
        <is>
          <t>Marketing</t>
        </is>
      </c>
      <c r="O27" s="5" t="inlineStr">
        <is>
          <t>Sensible</t>
        </is>
      </c>
      <c r="P27" s="5" t="inlineStr">
        <is>
          <t>Oui</t>
        </is>
      </c>
      <c r="Q27" s="5" t="inlineStr">
        <is>
          <t>A. Martin</t>
        </is>
      </c>
      <c r="R27" s="5">
        <f>IFERROR(XLOOKUP($N27,Tables!$A$21:$A$28,Tables!$B$21:$B$28),15)</f>
        <v/>
      </c>
      <c r="S27" s="7">
        <f>IF($B27="","",$B27+$R27)</f>
        <v/>
      </c>
      <c r="T27" s="5" t="inlineStr">
        <is>
          <t>Archivé</t>
        </is>
      </c>
      <c r="U27" s="7" t="n">
        <v>45949</v>
      </c>
      <c r="V27" s="5">
        <f>IF($U27&lt;&gt;"",IF($U27&lt;=$S27,"Oui","Non"),IF(TODAY()&lt;=$S27,"À l'heure","En retard"))</f>
        <v/>
      </c>
      <c r="W27" s="5" t="inlineStr"/>
      <c r="X27" s="5" t="inlineStr">
        <is>
          <t>link://dms/courrier/1020</t>
        </is>
      </c>
      <c r="Y27" s="5" t="inlineStr"/>
    </row>
    <row r="28">
      <c r="A28" s="5">
        <f>TEXT(22,"0000")</f>
        <v/>
      </c>
      <c r="B28" s="7" t="n">
        <v>45924</v>
      </c>
      <c r="C28" s="5" t="inlineStr">
        <is>
          <t>Sortant</t>
        </is>
      </c>
      <c r="D28" s="5" t="inlineStr">
        <is>
          <t>Messagerie</t>
        </is>
      </c>
      <c r="E28" s="5" t="inlineStr">
        <is>
          <t>Société LogiTrans</t>
        </is>
      </c>
      <c r="F28" s="5" t="n"/>
      <c r="G28" s="5">
        <f>IFERROR(XLOOKUP($E28,Adresses!$A$4:$A$200,Adresses!$C$4:$C$200),"")</f>
        <v/>
      </c>
      <c r="H28" s="5">
        <f>IFERROR(XLOOKUP($E28,Adresses!$A$4:$A$200,Adresses!$D$4:$D$200),"")</f>
        <v/>
      </c>
      <c r="I28" s="5">
        <f>IFERROR(XLOOKUP($E28,Adresses!$A$4:$A$200,Adresses!$E$4:$E$200),"")</f>
        <v/>
      </c>
      <c r="J28" s="5">
        <f>IFERROR(VLOOKUP($I28,CodesPostaux_FR!$A:$C,2,FALSE),"")</f>
        <v/>
      </c>
      <c r="K28" s="5">
        <f>IFERROR(VLOOKUP($I28,CodesPostaux_FR!$A:$C,3,FALSE),"")</f>
        <v/>
      </c>
      <c r="L28" s="5">
        <f>IFERROR(XLOOKUP($E28,Adresses!$A$4:$A$200,Adresses!$H$4:$H$200),"FRANCE")</f>
        <v/>
      </c>
      <c r="M28" s="5" t="inlineStr">
        <is>
          <t>Courrier 1021 — Dossier B</t>
        </is>
      </c>
      <c r="N28" s="5" t="inlineStr">
        <is>
          <t>Autre</t>
        </is>
      </c>
      <c r="O28" s="5" t="inlineStr">
        <is>
          <t>Public</t>
        </is>
      </c>
      <c r="P28" s="5" t="inlineStr">
        <is>
          <t>Non</t>
        </is>
      </c>
      <c r="Q28" s="5" t="inlineStr">
        <is>
          <t>S. Benali</t>
        </is>
      </c>
      <c r="R28" s="5">
        <f>IFERROR(XLOOKUP($N28,Tables!$A$21:$A$28,Tables!$B$21:$B$28),15)</f>
        <v/>
      </c>
      <c r="S28" s="7">
        <f>IF($B28="","",$B28+$R28)</f>
        <v/>
      </c>
      <c r="T28" s="5" t="inlineStr">
        <is>
          <t>Retourné</t>
        </is>
      </c>
      <c r="U28" s="7" t="inlineStr"/>
      <c r="V28" s="5">
        <f>IF($U28&lt;&gt;"",IF($U28&lt;=$S28,"Oui","Non"),IF(TODAY()&lt;=$S28,"À l'heure","En retard"))</f>
        <v/>
      </c>
      <c r="W28" s="5" t="inlineStr"/>
      <c r="X28" s="5" t="inlineStr">
        <is>
          <t>link://dms/courrier/1021</t>
        </is>
      </c>
      <c r="Y28" s="5" t="inlineStr">
        <is>
          <t>AR reçu</t>
        </is>
      </c>
    </row>
    <row r="29">
      <c r="A29" s="5">
        <f>TEXT(23,"0000")</f>
        <v/>
      </c>
      <c r="B29" s="7" t="n">
        <v>45925</v>
      </c>
      <c r="C29" s="5" t="inlineStr">
        <is>
          <t>Entrant</t>
        </is>
      </c>
      <c r="D29" s="5" t="inlineStr">
        <is>
          <t>Colis</t>
        </is>
      </c>
      <c r="E29" s="5" t="inlineStr">
        <is>
          <t>Préfecture de Police de Paris</t>
        </is>
      </c>
      <c r="F29" s="5" t="n"/>
      <c r="G29" s="5">
        <f>IFERROR(XLOOKUP($E29,Adresses!$A$4:$A$200,Adresses!$C$4:$C$200),"")</f>
        <v/>
      </c>
      <c r="H29" s="5">
        <f>IFERROR(XLOOKUP($E29,Adresses!$A$4:$A$200,Adresses!$D$4:$D$200),"")</f>
        <v/>
      </c>
      <c r="I29" s="5">
        <f>IFERROR(XLOOKUP($E29,Adresses!$A$4:$A$200,Adresses!$E$4:$E$200),"")</f>
        <v/>
      </c>
      <c r="J29" s="5">
        <f>IFERROR(VLOOKUP($I29,CodesPostaux_FR!$A:$C,2,FALSE),"")</f>
        <v/>
      </c>
      <c r="K29" s="5">
        <f>IFERROR(VLOOKUP($I29,CodesPostaux_FR!$A:$C,3,FALSE),"")</f>
        <v/>
      </c>
      <c r="L29" s="5">
        <f>IFERROR(XLOOKUP($E29,Adresses!$A$4:$A$200,Adresses!$H$4:$H$200),"FRANCE")</f>
        <v/>
      </c>
      <c r="M29" s="5" t="inlineStr">
        <is>
          <t>Courrier 1022 — Dossier C</t>
        </is>
      </c>
      <c r="N29" s="5" t="inlineStr">
        <is>
          <t>Facture</t>
        </is>
      </c>
      <c r="O29" s="5" t="inlineStr">
        <is>
          <t>Interne</t>
        </is>
      </c>
      <c r="P29" s="5" t="inlineStr">
        <is>
          <t>Oui</t>
        </is>
      </c>
      <c r="Q29" s="5" t="inlineStr">
        <is>
          <t>L. Moreau</t>
        </is>
      </c>
      <c r="R29" s="5">
        <f>IFERROR(XLOOKUP($N29,Tables!$A$21:$A$28,Tables!$B$21:$B$28),15)</f>
        <v/>
      </c>
      <c r="S29" s="7">
        <f>IF($B29="","",$B29+$R29)</f>
        <v/>
      </c>
      <c r="T29" s="5" t="inlineStr">
        <is>
          <t>À enregistrer</t>
        </is>
      </c>
      <c r="U29" s="7" t="inlineStr"/>
      <c r="V29" s="5">
        <f>IF($U29&lt;&gt;"",IF($U29&lt;=$S29,"Oui","Non"),IF(TODAY()&lt;=$S29,"À l'heure","En retard"))</f>
        <v/>
      </c>
      <c r="W29" s="5" t="inlineStr"/>
      <c r="X29" s="5" t="inlineStr">
        <is>
          <t>link://dms/courrier/1022</t>
        </is>
      </c>
      <c r="Y29" s="5" t="inlineStr">
        <is>
          <t>Relance envoyée</t>
        </is>
      </c>
    </row>
    <row r="30">
      <c r="A30" s="5">
        <f>TEXT(24,"0000")</f>
        <v/>
      </c>
      <c r="B30" s="7" t="n">
        <v>45926</v>
      </c>
      <c r="C30" s="5" t="inlineStr">
        <is>
          <t>Sortant</t>
        </is>
      </c>
      <c r="D30" s="5" t="inlineStr">
        <is>
          <t>Lettre simple</t>
        </is>
      </c>
      <c r="E30" s="5" t="inlineStr">
        <is>
          <t>Cabinet JurisLex</t>
        </is>
      </c>
      <c r="F30" s="5" t="n"/>
      <c r="G30" s="5">
        <f>IFERROR(XLOOKUP($E30,Adresses!$A$4:$A$200,Adresses!$C$4:$C$200),"")</f>
        <v/>
      </c>
      <c r="H30" s="5">
        <f>IFERROR(XLOOKUP($E30,Adresses!$A$4:$A$200,Adresses!$D$4:$D$200),"")</f>
        <v/>
      </c>
      <c r="I30" s="5">
        <f>IFERROR(XLOOKUP($E30,Adresses!$A$4:$A$200,Adresses!$E$4:$E$200),"")</f>
        <v/>
      </c>
      <c r="J30" s="5">
        <f>IFERROR(VLOOKUP($I30,CodesPostaux_FR!$A:$C,2,FALSE),"")</f>
        <v/>
      </c>
      <c r="K30" s="5">
        <f>IFERROR(VLOOKUP($I30,CodesPostaux_FR!$A:$C,3,FALSE),"")</f>
        <v/>
      </c>
      <c r="L30" s="5">
        <f>IFERROR(XLOOKUP($E30,Adresses!$A$4:$A$200,Adresses!$H$4:$H$200),"FRANCE")</f>
        <v/>
      </c>
      <c r="M30" s="5" t="inlineStr">
        <is>
          <t>Courrier 1023 — Dossier D</t>
        </is>
      </c>
      <c r="N30" s="5" t="inlineStr">
        <is>
          <t>Juridique</t>
        </is>
      </c>
      <c r="O30" s="5" t="inlineStr">
        <is>
          <t>Confidentiel</t>
        </is>
      </c>
      <c r="P30" s="5" t="inlineStr">
        <is>
          <t>Non</t>
        </is>
      </c>
      <c r="Q30" s="5" t="inlineStr">
        <is>
          <t>C. Dupont</t>
        </is>
      </c>
      <c r="R30" s="5">
        <f>IFERROR(XLOOKUP($N30,Tables!$A$21:$A$28,Tables!$B$21:$B$28),15)</f>
        <v/>
      </c>
      <c r="S30" s="7">
        <f>IF($B30="","",$B30+$R30)</f>
        <v/>
      </c>
      <c r="T30" s="5" t="inlineStr">
        <is>
          <t>À traiter</t>
        </is>
      </c>
      <c r="U30" s="7" t="inlineStr"/>
      <c r="V30" s="5">
        <f>IF($U30&lt;&gt;"",IF($U30&lt;=$S30,"Oui","Non"),IF(TODAY()&lt;=$S30,"À l'heure","En retard"))</f>
        <v/>
      </c>
      <c r="W30" s="5" t="inlineStr"/>
      <c r="X30" s="5" t="inlineStr">
        <is>
          <t>link://dms/courrier/1023</t>
        </is>
      </c>
      <c r="Y30" s="5" t="inlineStr">
        <is>
          <t>Attente complément</t>
        </is>
      </c>
    </row>
    <row r="31">
      <c r="A31" s="5">
        <f>TEXT(25,"0000")</f>
        <v/>
      </c>
      <c r="B31" s="7" t="n">
        <v>45927</v>
      </c>
      <c r="C31" s="5" t="inlineStr">
        <is>
          <t>Entrant</t>
        </is>
      </c>
      <c r="D31" s="5" t="inlineStr">
        <is>
          <t>LR</t>
        </is>
      </c>
      <c r="E31" s="5" t="inlineStr">
        <is>
          <t>Mairie de Nantes</t>
        </is>
      </c>
      <c r="F31" s="5" t="n"/>
      <c r="G31" s="5">
        <f>IFERROR(XLOOKUP($E31,Adresses!$A$4:$A$200,Adresses!$C$4:$C$200),"")</f>
        <v/>
      </c>
      <c r="H31" s="5">
        <f>IFERROR(XLOOKUP($E31,Adresses!$A$4:$A$200,Adresses!$D$4:$D$200),"")</f>
        <v/>
      </c>
      <c r="I31" s="5">
        <f>IFERROR(XLOOKUP($E31,Adresses!$A$4:$A$200,Adresses!$E$4:$E$200),"")</f>
        <v/>
      </c>
      <c r="J31" s="5">
        <f>IFERROR(VLOOKUP($I31,CodesPostaux_FR!$A:$C,2,FALSE),"")</f>
        <v/>
      </c>
      <c r="K31" s="5">
        <f>IFERROR(VLOOKUP($I31,CodesPostaux_FR!$A:$C,3,FALSE),"")</f>
        <v/>
      </c>
      <c r="L31" s="5">
        <f>IFERROR(XLOOKUP($E31,Adresses!$A$4:$A$200,Adresses!$H$4:$H$200),"FRANCE")</f>
        <v/>
      </c>
      <c r="M31" s="5" t="inlineStr">
        <is>
          <t>Courrier 1024 — Dossier A</t>
        </is>
      </c>
      <c r="N31" s="5" t="inlineStr">
        <is>
          <t>RH</t>
        </is>
      </c>
      <c r="O31" s="5" t="inlineStr">
        <is>
          <t>Sensible</t>
        </is>
      </c>
      <c r="P31" s="5" t="inlineStr">
        <is>
          <t>Oui</t>
        </is>
      </c>
      <c r="Q31" s="5" t="inlineStr">
        <is>
          <t>A. Martin</t>
        </is>
      </c>
      <c r="R31" s="5">
        <f>IFERROR(XLOOKUP($N31,Tables!$A$21:$A$28,Tables!$B$21:$B$28),15)</f>
        <v/>
      </c>
      <c r="S31" s="7">
        <f>IF($B31="","",$B31+$R31)</f>
        <v/>
      </c>
      <c r="T31" s="5" t="inlineStr">
        <is>
          <t>En cours</t>
        </is>
      </c>
      <c r="U31" s="7" t="inlineStr"/>
      <c r="V31" s="5">
        <f>IF($U31&lt;&gt;"",IF($U31&lt;=$S31,"Oui","Non"),IF(TODAY()&lt;=$S31,"À l'heure","En retard"))</f>
        <v/>
      </c>
      <c r="W31" s="5" t="inlineStr">
        <is>
          <t>1A100024FR</t>
        </is>
      </c>
      <c r="X31" s="5" t="inlineStr">
        <is>
          <t>link://dms/courrier/1024</t>
        </is>
      </c>
      <c r="Y31" s="5" t="inlineStr"/>
    </row>
    <row r="32">
      <c r="A32" s="5">
        <f>TEXT(26,"0000")</f>
        <v/>
      </c>
      <c r="B32" s="7" t="n">
        <v>45928</v>
      </c>
      <c r="C32" s="5" t="inlineStr">
        <is>
          <t>Sortant</t>
        </is>
      </c>
      <c r="D32" s="5" t="inlineStr">
        <is>
          <t>LRAR</t>
        </is>
      </c>
      <c r="E32" s="5" t="inlineStr">
        <is>
          <t>La Poste — Centre LRAR</t>
        </is>
      </c>
      <c r="F32" s="5" t="n"/>
      <c r="G32" s="5">
        <f>IFERROR(XLOOKUP($E32,Adresses!$A$4:$A$200,Adresses!$C$4:$C$200),"")</f>
        <v/>
      </c>
      <c r="H32" s="5">
        <f>IFERROR(XLOOKUP($E32,Adresses!$A$4:$A$200,Adresses!$D$4:$D$200),"")</f>
        <v/>
      </c>
      <c r="I32" s="5">
        <f>IFERROR(XLOOKUP($E32,Adresses!$A$4:$A$200,Adresses!$E$4:$E$200),"")</f>
        <v/>
      </c>
      <c r="J32" s="5">
        <f>IFERROR(VLOOKUP($I32,CodesPostaux_FR!$A:$C,2,FALSE),"")</f>
        <v/>
      </c>
      <c r="K32" s="5">
        <f>IFERROR(VLOOKUP($I32,CodesPostaux_FR!$A:$C,3,FALSE),"")</f>
        <v/>
      </c>
      <c r="L32" s="5">
        <f>IFERROR(XLOOKUP($E32,Adresses!$A$4:$A$200,Adresses!$H$4:$H$200),"FRANCE")</f>
        <v/>
      </c>
      <c r="M32" s="5" t="inlineStr">
        <is>
          <t>Courrier 1025 — Dossier B</t>
        </is>
      </c>
      <c r="N32" s="5" t="inlineStr">
        <is>
          <t>Commercial</t>
        </is>
      </c>
      <c r="O32" s="5" t="inlineStr">
        <is>
          <t>Public</t>
        </is>
      </c>
      <c r="P32" s="5" t="inlineStr">
        <is>
          <t>Non</t>
        </is>
      </c>
      <c r="Q32" s="5" t="inlineStr">
        <is>
          <t>S. Benali</t>
        </is>
      </c>
      <c r="R32" s="5">
        <f>IFERROR(XLOOKUP($N32,Tables!$A$21:$A$28,Tables!$B$21:$B$28),15)</f>
        <v/>
      </c>
      <c r="S32" s="7">
        <f>IF($B32="","",$B32+$R32)</f>
        <v/>
      </c>
      <c r="T32" s="5" t="inlineStr">
        <is>
          <t>Répondu</t>
        </is>
      </c>
      <c r="U32" s="7" t="n">
        <v>45950</v>
      </c>
      <c r="V32" s="5">
        <f>IF($U32&lt;&gt;"",IF($U32&lt;=$S32,"Oui","Non"),IF(TODAY()&lt;=$S32,"À l'heure","En retard"))</f>
        <v/>
      </c>
      <c r="W32" s="5" t="inlineStr">
        <is>
          <t>2B100025FR</t>
        </is>
      </c>
      <c r="X32" s="5" t="inlineStr">
        <is>
          <t>link://dms/courrier/1025</t>
        </is>
      </c>
      <c r="Y32" s="5" t="inlineStr">
        <is>
          <t>AR reçu</t>
        </is>
      </c>
    </row>
    <row r="33">
      <c r="A33" s="5">
        <f>TEXT(27,"0000")</f>
        <v/>
      </c>
      <c r="B33" s="7" t="n">
        <v>45929</v>
      </c>
      <c r="C33" s="5" t="inlineStr">
        <is>
          <t>Entrant</t>
        </is>
      </c>
      <c r="D33" s="5" t="inlineStr">
        <is>
          <t>Colissimo</t>
        </is>
      </c>
      <c r="E33" s="5" t="inlineStr">
        <is>
          <t>Avocat Me Durand</t>
        </is>
      </c>
      <c r="F33" s="5" t="n"/>
      <c r="G33" s="5">
        <f>IFERROR(XLOOKUP($E33,Adresses!$A$4:$A$200,Adresses!$C$4:$C$200),"")</f>
        <v/>
      </c>
      <c r="H33" s="5">
        <f>IFERROR(XLOOKUP($E33,Adresses!$A$4:$A$200,Adresses!$D$4:$D$200),"")</f>
        <v/>
      </c>
      <c r="I33" s="5">
        <f>IFERROR(XLOOKUP($E33,Adresses!$A$4:$A$200,Adresses!$E$4:$E$200),"")</f>
        <v/>
      </c>
      <c r="J33" s="5">
        <f>IFERROR(VLOOKUP($I33,CodesPostaux_FR!$A:$C,2,FALSE),"")</f>
        <v/>
      </c>
      <c r="K33" s="5">
        <f>IFERROR(VLOOKUP($I33,CodesPostaux_FR!$A:$C,3,FALSE),"")</f>
        <v/>
      </c>
      <c r="L33" s="5">
        <f>IFERROR(XLOOKUP($E33,Adresses!$A$4:$A$200,Adresses!$H$4:$H$200),"FRANCE")</f>
        <v/>
      </c>
      <c r="M33" s="5" t="inlineStr">
        <is>
          <t>Courrier 1026 — Dossier C</t>
        </is>
      </c>
      <c r="N33" s="5" t="inlineStr">
        <is>
          <t>Technique</t>
        </is>
      </c>
      <c r="O33" s="5" t="inlineStr">
        <is>
          <t>Interne</t>
        </is>
      </c>
      <c r="P33" s="5" t="inlineStr">
        <is>
          <t>Oui</t>
        </is>
      </c>
      <c r="Q33" s="5" t="inlineStr">
        <is>
          <t>L. Moreau</t>
        </is>
      </c>
      <c r="R33" s="5">
        <f>IFERROR(XLOOKUP($N33,Tables!$A$21:$A$28,Tables!$B$21:$B$28),15)</f>
        <v/>
      </c>
      <c r="S33" s="7">
        <f>IF($B33="","",$B33+$R33)</f>
        <v/>
      </c>
      <c r="T33" s="5" t="inlineStr">
        <is>
          <t>Archivé</t>
        </is>
      </c>
      <c r="U33" s="7" t="n">
        <v>45949</v>
      </c>
      <c r="V33" s="5">
        <f>IF($U33&lt;&gt;"",IF($U33&lt;=$S33,"Oui","Non"),IF(TODAY()&lt;=$S33,"À l'heure","En retard"))</f>
        <v/>
      </c>
      <c r="W33" s="5" t="inlineStr">
        <is>
          <t>3C100026FR</t>
        </is>
      </c>
      <c r="X33" s="5" t="inlineStr">
        <is>
          <t>link://dms/courrier/1026</t>
        </is>
      </c>
      <c r="Y33" s="5" t="inlineStr">
        <is>
          <t>Relance envoyée</t>
        </is>
      </c>
    </row>
    <row r="34">
      <c r="A34" s="5">
        <f>TEXT(28,"0000")</f>
        <v/>
      </c>
      <c r="B34" s="7" t="n">
        <v>45930</v>
      </c>
      <c r="C34" s="5" t="inlineStr">
        <is>
          <t>Sortant</t>
        </is>
      </c>
      <c r="D34" s="5" t="inlineStr">
        <is>
          <t>Chronopost</t>
        </is>
      </c>
      <c r="E34" s="5" t="inlineStr">
        <is>
          <t>Préfecture du Rhône</t>
        </is>
      </c>
      <c r="F34" s="5" t="n"/>
      <c r="G34" s="5">
        <f>IFERROR(XLOOKUP($E34,Adresses!$A$4:$A$200,Adresses!$C$4:$C$200),"")</f>
        <v/>
      </c>
      <c r="H34" s="5">
        <f>IFERROR(XLOOKUP($E34,Adresses!$A$4:$A$200,Adresses!$D$4:$D$200),"")</f>
        <v/>
      </c>
      <c r="I34" s="5">
        <f>IFERROR(XLOOKUP($E34,Adresses!$A$4:$A$200,Adresses!$E$4:$E$200),"")</f>
        <v/>
      </c>
      <c r="J34" s="5">
        <f>IFERROR(VLOOKUP($I34,CodesPostaux_FR!$A:$C,2,FALSE),"")</f>
        <v/>
      </c>
      <c r="K34" s="5">
        <f>IFERROR(VLOOKUP($I34,CodesPostaux_FR!$A:$C,3,FALSE),"")</f>
        <v/>
      </c>
      <c r="L34" s="5">
        <f>IFERROR(XLOOKUP($E34,Adresses!$A$4:$A$200,Adresses!$H$4:$H$200),"FRANCE")</f>
        <v/>
      </c>
      <c r="M34" s="5" t="inlineStr">
        <is>
          <t>Courrier 1027 — Dossier D</t>
        </is>
      </c>
      <c r="N34" s="5" t="inlineStr">
        <is>
          <t>Administratif</t>
        </is>
      </c>
      <c r="O34" s="5" t="inlineStr">
        <is>
          <t>Confidentiel</t>
        </is>
      </c>
      <c r="P34" s="5" t="inlineStr">
        <is>
          <t>Non</t>
        </is>
      </c>
      <c r="Q34" s="5" t="inlineStr">
        <is>
          <t>C. Dupont</t>
        </is>
      </c>
      <c r="R34" s="5">
        <f>IFERROR(XLOOKUP($N34,Tables!$A$21:$A$28,Tables!$B$21:$B$28),15)</f>
        <v/>
      </c>
      <c r="S34" s="7">
        <f>IF($B34="","",$B34+$R34)</f>
        <v/>
      </c>
      <c r="T34" s="5" t="inlineStr">
        <is>
          <t>Retourné</t>
        </is>
      </c>
      <c r="U34" s="7" t="inlineStr"/>
      <c r="V34" s="5">
        <f>IF($U34&lt;&gt;"",IF($U34&lt;=$S34,"Oui","Non"),IF(TODAY()&lt;=$S34,"À l'heure","En retard"))</f>
        <v/>
      </c>
      <c r="W34" s="5" t="inlineStr">
        <is>
          <t>4D100027FR</t>
        </is>
      </c>
      <c r="X34" s="5" t="inlineStr">
        <is>
          <t>link://dms/courrier/1027</t>
        </is>
      </c>
      <c r="Y34" s="5" t="inlineStr">
        <is>
          <t>Attente complément</t>
        </is>
      </c>
    </row>
    <row r="35">
      <c r="A35" s="5">
        <f>TEXT(29,"0000")</f>
        <v/>
      </c>
      <c r="B35" s="7" t="n">
        <v>45931</v>
      </c>
      <c r="C35" s="5" t="inlineStr">
        <is>
          <t>Entrant</t>
        </is>
      </c>
      <c r="D35" s="5" t="inlineStr">
        <is>
          <t>Courrier interne</t>
        </is>
      </c>
      <c r="E35" s="5" t="inlineStr">
        <is>
          <t>Société AgroPlus</t>
        </is>
      </c>
      <c r="F35" s="5" t="n"/>
      <c r="G35" s="5">
        <f>IFERROR(XLOOKUP($E35,Adresses!$A$4:$A$200,Adresses!$C$4:$C$200),"")</f>
        <v/>
      </c>
      <c r="H35" s="5">
        <f>IFERROR(XLOOKUP($E35,Adresses!$A$4:$A$200,Adresses!$D$4:$D$200),"")</f>
        <v/>
      </c>
      <c r="I35" s="5">
        <f>IFERROR(XLOOKUP($E35,Adresses!$A$4:$A$200,Adresses!$E$4:$E$200),"")</f>
        <v/>
      </c>
      <c r="J35" s="5">
        <f>IFERROR(VLOOKUP($I35,CodesPostaux_FR!$A:$C,2,FALSE),"")</f>
        <v/>
      </c>
      <c r="K35" s="5">
        <f>IFERROR(VLOOKUP($I35,CodesPostaux_FR!$A:$C,3,FALSE),"")</f>
        <v/>
      </c>
      <c r="L35" s="5">
        <f>IFERROR(XLOOKUP($E35,Adresses!$A$4:$A$200,Adresses!$H$4:$H$200),"FRANCE")</f>
        <v/>
      </c>
      <c r="M35" s="5" t="inlineStr">
        <is>
          <t>Courrier 1028 — Dossier A</t>
        </is>
      </c>
      <c r="N35" s="5" t="inlineStr">
        <is>
          <t>Marketing</t>
        </is>
      </c>
      <c r="O35" s="5" t="inlineStr">
        <is>
          <t>Sensible</t>
        </is>
      </c>
      <c r="P35" s="5" t="inlineStr">
        <is>
          <t>Oui</t>
        </is>
      </c>
      <c r="Q35" s="5" t="inlineStr">
        <is>
          <t>A. Martin</t>
        </is>
      </c>
      <c r="R35" s="5">
        <f>IFERROR(XLOOKUP($N35,Tables!$A$21:$A$28,Tables!$B$21:$B$28),15)</f>
        <v/>
      </c>
      <c r="S35" s="7">
        <f>IF($B35="","",$B35+$R35)</f>
        <v/>
      </c>
      <c r="T35" s="5" t="inlineStr">
        <is>
          <t>À enregistrer</t>
        </is>
      </c>
      <c r="U35" s="7" t="inlineStr"/>
      <c r="V35" s="5">
        <f>IF($U35&lt;&gt;"",IF($U35&lt;=$S35,"Oui","Non"),IF(TODAY()&lt;=$S35,"À l'heure","En retard"))</f>
        <v/>
      </c>
      <c r="W35" s="5" t="inlineStr"/>
      <c r="X35" s="5" t="inlineStr">
        <is>
          <t>link://dms/courrier/1028</t>
        </is>
      </c>
      <c r="Y35" s="5" t="inlineStr"/>
    </row>
    <row r="36">
      <c r="A36" s="5">
        <f>TEXT(30,"0000")</f>
        <v/>
      </c>
      <c r="B36" s="7" t="n">
        <v>45932</v>
      </c>
      <c r="C36" s="5" t="inlineStr">
        <is>
          <t>Sortant</t>
        </is>
      </c>
      <c r="D36" s="5" t="inlineStr">
        <is>
          <t>Messagerie</t>
        </is>
      </c>
      <c r="E36" s="5" t="inlineStr">
        <is>
          <t>Banque Crédit Hexagone</t>
        </is>
      </c>
      <c r="F36" s="5" t="n"/>
      <c r="G36" s="5">
        <f>IFERROR(XLOOKUP($E36,Adresses!$A$4:$A$200,Adresses!$C$4:$C$200),"")</f>
        <v/>
      </c>
      <c r="H36" s="5">
        <f>IFERROR(XLOOKUP($E36,Adresses!$A$4:$A$200,Adresses!$D$4:$D$200),"")</f>
        <v/>
      </c>
      <c r="I36" s="5">
        <f>IFERROR(XLOOKUP($E36,Adresses!$A$4:$A$200,Adresses!$E$4:$E$200),"")</f>
        <v/>
      </c>
      <c r="J36" s="5">
        <f>IFERROR(VLOOKUP($I36,CodesPostaux_FR!$A:$C,2,FALSE),"")</f>
        <v/>
      </c>
      <c r="K36" s="5">
        <f>IFERROR(VLOOKUP($I36,CodesPostaux_FR!$A:$C,3,FALSE),"")</f>
        <v/>
      </c>
      <c r="L36" s="5">
        <f>IFERROR(XLOOKUP($E36,Adresses!$A$4:$A$200,Adresses!$H$4:$H$200),"FRANCE")</f>
        <v/>
      </c>
      <c r="M36" s="5" t="inlineStr">
        <is>
          <t>Courrier 1029 — Dossier B</t>
        </is>
      </c>
      <c r="N36" s="5" t="inlineStr">
        <is>
          <t>Autre</t>
        </is>
      </c>
      <c r="O36" s="5" t="inlineStr">
        <is>
          <t>Public</t>
        </is>
      </c>
      <c r="P36" s="5" t="inlineStr">
        <is>
          <t>Non</t>
        </is>
      </c>
      <c r="Q36" s="5" t="inlineStr">
        <is>
          <t>S. Benali</t>
        </is>
      </c>
      <c r="R36" s="5">
        <f>IFERROR(XLOOKUP($N36,Tables!$A$21:$A$28,Tables!$B$21:$B$28),15)</f>
        <v/>
      </c>
      <c r="S36" s="7">
        <f>IF($B36="","",$B36+$R36)</f>
        <v/>
      </c>
      <c r="T36" s="5" t="inlineStr">
        <is>
          <t>À traiter</t>
        </is>
      </c>
      <c r="U36" s="7" t="inlineStr"/>
      <c r="V36" s="5">
        <f>IF($U36&lt;&gt;"",IF($U36&lt;=$S36,"Oui","Non"),IF(TODAY()&lt;=$S36,"À l'heure","En retard"))</f>
        <v/>
      </c>
      <c r="W36" s="5" t="inlineStr"/>
      <c r="X36" s="5" t="inlineStr">
        <is>
          <t>link://dms/courrier/1029</t>
        </is>
      </c>
      <c r="Y36" s="5" t="inlineStr">
        <is>
          <t>AR reçu</t>
        </is>
      </c>
    </row>
    <row r="37">
      <c r="A37" s="5">
        <f>TEXT(31,"0000")</f>
        <v/>
      </c>
      <c r="B37" s="7" t="n">
        <v>45933</v>
      </c>
      <c r="C37" s="5" t="inlineStr">
        <is>
          <t>Entrant</t>
        </is>
      </c>
      <c r="D37" s="5" t="inlineStr">
        <is>
          <t>Colis</t>
        </is>
      </c>
      <c r="E37" s="5" t="inlineStr">
        <is>
          <t>Société ACME SAS</t>
        </is>
      </c>
      <c r="F37" s="5" t="n"/>
      <c r="G37" s="5">
        <f>IFERROR(XLOOKUP($E37,Adresses!$A$4:$A$200,Adresses!$C$4:$C$200),"")</f>
        <v/>
      </c>
      <c r="H37" s="5">
        <f>IFERROR(XLOOKUP($E37,Adresses!$A$4:$A$200,Adresses!$D$4:$D$200),"")</f>
        <v/>
      </c>
      <c r="I37" s="5">
        <f>IFERROR(XLOOKUP($E37,Adresses!$A$4:$A$200,Adresses!$E$4:$E$200),"")</f>
        <v/>
      </c>
      <c r="J37" s="5">
        <f>IFERROR(VLOOKUP($I37,CodesPostaux_FR!$A:$C,2,FALSE),"")</f>
        <v/>
      </c>
      <c r="K37" s="5">
        <f>IFERROR(VLOOKUP($I37,CodesPostaux_FR!$A:$C,3,FALSE),"")</f>
        <v/>
      </c>
      <c r="L37" s="5">
        <f>IFERROR(XLOOKUP($E37,Adresses!$A$4:$A$200,Adresses!$H$4:$H$200),"FRANCE")</f>
        <v/>
      </c>
      <c r="M37" s="5" t="inlineStr">
        <is>
          <t>Courrier 1030 — Dossier C</t>
        </is>
      </c>
      <c r="N37" s="5" t="inlineStr">
        <is>
          <t>Facture</t>
        </is>
      </c>
      <c r="O37" s="5" t="inlineStr">
        <is>
          <t>Interne</t>
        </is>
      </c>
      <c r="P37" s="5" t="inlineStr">
        <is>
          <t>Oui</t>
        </is>
      </c>
      <c r="Q37" s="5" t="inlineStr">
        <is>
          <t>L. Moreau</t>
        </is>
      </c>
      <c r="R37" s="5">
        <f>IFERROR(XLOOKUP($N37,Tables!$A$21:$A$28,Tables!$B$21:$B$28),15)</f>
        <v/>
      </c>
      <c r="S37" s="7">
        <f>IF($B37="","",$B37+$R37)</f>
        <v/>
      </c>
      <c r="T37" s="5" t="inlineStr">
        <is>
          <t>En cours</t>
        </is>
      </c>
      <c r="U37" s="7" t="inlineStr"/>
      <c r="V37" s="5">
        <f>IF($U37&lt;&gt;"",IF($U37&lt;=$S37,"Oui","Non"),IF(TODAY()&lt;=$S37,"À l'heure","En retard"))</f>
        <v/>
      </c>
      <c r="W37" s="5" t="inlineStr"/>
      <c r="X37" s="5" t="inlineStr">
        <is>
          <t>link://dms/courrier/1030</t>
        </is>
      </c>
      <c r="Y37" s="5" t="inlineStr">
        <is>
          <t>Relance envoyée</t>
        </is>
      </c>
    </row>
    <row r="38">
      <c r="A38" s="5">
        <f>TEXT(32,"0000")</f>
        <v/>
      </c>
      <c r="B38" s="7" t="n">
        <v>45934</v>
      </c>
      <c r="C38" s="5" t="inlineStr">
        <is>
          <t>Sortant</t>
        </is>
      </c>
      <c r="D38" s="5" t="inlineStr">
        <is>
          <t>Lettre simple</t>
        </is>
      </c>
      <c r="E38" s="5" t="inlineStr">
        <is>
          <t>Clinique Sainte-Marie</t>
        </is>
      </c>
      <c r="F38" s="5" t="n"/>
      <c r="G38" s="5">
        <f>IFERROR(XLOOKUP($E38,Adresses!$A$4:$A$200,Adresses!$C$4:$C$200),"")</f>
        <v/>
      </c>
      <c r="H38" s="5">
        <f>IFERROR(XLOOKUP($E38,Adresses!$A$4:$A$200,Adresses!$D$4:$D$200),"")</f>
        <v/>
      </c>
      <c r="I38" s="5">
        <f>IFERROR(XLOOKUP($E38,Adresses!$A$4:$A$200,Adresses!$E$4:$E$200),"")</f>
        <v/>
      </c>
      <c r="J38" s="5">
        <f>IFERROR(VLOOKUP($I38,CodesPostaux_FR!$A:$C,2,FALSE),"")</f>
        <v/>
      </c>
      <c r="K38" s="5">
        <f>IFERROR(VLOOKUP($I38,CodesPostaux_FR!$A:$C,3,FALSE),"")</f>
        <v/>
      </c>
      <c r="L38" s="5">
        <f>IFERROR(XLOOKUP($E38,Adresses!$A$4:$A$200,Adresses!$H$4:$H$200),"FRANCE")</f>
        <v/>
      </c>
      <c r="M38" s="5" t="inlineStr">
        <is>
          <t>Courrier 1031 — Dossier D</t>
        </is>
      </c>
      <c r="N38" s="5" t="inlineStr">
        <is>
          <t>Juridique</t>
        </is>
      </c>
      <c r="O38" s="5" t="inlineStr">
        <is>
          <t>Confidentiel</t>
        </is>
      </c>
      <c r="P38" s="5" t="inlineStr">
        <is>
          <t>Non</t>
        </is>
      </c>
      <c r="Q38" s="5" t="inlineStr">
        <is>
          <t>C. Dupont</t>
        </is>
      </c>
      <c r="R38" s="5">
        <f>IFERROR(XLOOKUP($N38,Tables!$A$21:$A$28,Tables!$B$21:$B$28),15)</f>
        <v/>
      </c>
      <c r="S38" s="7">
        <f>IF($B38="","",$B38+$R38)</f>
        <v/>
      </c>
      <c r="T38" s="5" t="inlineStr">
        <is>
          <t>Répondu</t>
        </is>
      </c>
      <c r="U38" s="7" t="n">
        <v>45950</v>
      </c>
      <c r="V38" s="5">
        <f>IF($U38&lt;&gt;"",IF($U38&lt;=$S38,"Oui","Non"),IF(TODAY()&lt;=$S38,"À l'heure","En retard"))</f>
        <v/>
      </c>
      <c r="W38" s="5" t="inlineStr"/>
      <c r="X38" s="5" t="inlineStr">
        <is>
          <t>link://dms/courrier/1031</t>
        </is>
      </c>
      <c r="Y38" s="5" t="inlineStr">
        <is>
          <t>Attente complément</t>
        </is>
      </c>
    </row>
    <row r="39">
      <c r="A39" s="5">
        <f>TEXT(33,"0000")</f>
        <v/>
      </c>
      <c r="B39" s="7" t="n">
        <v>45935</v>
      </c>
      <c r="C39" s="5" t="inlineStr">
        <is>
          <t>Entrant</t>
        </is>
      </c>
      <c r="D39" s="5" t="inlineStr">
        <is>
          <t>LR</t>
        </is>
      </c>
      <c r="E39" s="5" t="inlineStr">
        <is>
          <t>URSSAF Île-de-France</t>
        </is>
      </c>
      <c r="F39" s="5" t="n"/>
      <c r="G39" s="5">
        <f>IFERROR(XLOOKUP($E39,Adresses!$A$4:$A$200,Adresses!$C$4:$C$200),"")</f>
        <v/>
      </c>
      <c r="H39" s="5">
        <f>IFERROR(XLOOKUP($E39,Adresses!$A$4:$A$200,Adresses!$D$4:$D$200),"")</f>
        <v/>
      </c>
      <c r="I39" s="5">
        <f>IFERROR(XLOOKUP($E39,Adresses!$A$4:$A$200,Adresses!$E$4:$E$200),"")</f>
        <v/>
      </c>
      <c r="J39" s="5">
        <f>IFERROR(VLOOKUP($I39,CodesPostaux_FR!$A:$C,2,FALSE),"")</f>
        <v/>
      </c>
      <c r="K39" s="5">
        <f>IFERROR(VLOOKUP($I39,CodesPostaux_FR!$A:$C,3,FALSE),"")</f>
        <v/>
      </c>
      <c r="L39" s="5">
        <f>IFERROR(XLOOKUP($E39,Adresses!$A$4:$A$200,Adresses!$H$4:$H$200),"FRANCE")</f>
        <v/>
      </c>
      <c r="M39" s="5" t="inlineStr">
        <is>
          <t>Courrier 1032 — Dossier A</t>
        </is>
      </c>
      <c r="N39" s="5" t="inlineStr">
        <is>
          <t>RH</t>
        </is>
      </c>
      <c r="O39" s="5" t="inlineStr">
        <is>
          <t>Sensible</t>
        </is>
      </c>
      <c r="P39" s="5" t="inlineStr">
        <is>
          <t>Oui</t>
        </is>
      </c>
      <c r="Q39" s="5" t="inlineStr">
        <is>
          <t>A. Martin</t>
        </is>
      </c>
      <c r="R39" s="5">
        <f>IFERROR(XLOOKUP($N39,Tables!$A$21:$A$28,Tables!$B$21:$B$28),15)</f>
        <v/>
      </c>
      <c r="S39" s="7">
        <f>IF($B39="","",$B39+$R39)</f>
        <v/>
      </c>
      <c r="T39" s="5" t="inlineStr">
        <is>
          <t>Archivé</t>
        </is>
      </c>
      <c r="U39" s="7" t="n">
        <v>45949</v>
      </c>
      <c r="V39" s="5">
        <f>IF($U39&lt;&gt;"",IF($U39&lt;=$S39,"Oui","Non"),IF(TODAY()&lt;=$S39,"À l'heure","En retard"))</f>
        <v/>
      </c>
      <c r="W39" s="5" t="inlineStr">
        <is>
          <t>1A100032FR</t>
        </is>
      </c>
      <c r="X39" s="5" t="inlineStr">
        <is>
          <t>link://dms/courrier/1032</t>
        </is>
      </c>
      <c r="Y39" s="5" t="inlineStr"/>
    </row>
    <row r="40">
      <c r="A40" s="5">
        <f>TEXT(34,"0000")</f>
        <v/>
      </c>
      <c r="B40" s="7" t="n">
        <v>45936</v>
      </c>
      <c r="C40" s="5" t="inlineStr">
        <is>
          <t>Sortant</t>
        </is>
      </c>
      <c r="D40" s="5" t="inlineStr">
        <is>
          <t>LRAR</t>
        </is>
      </c>
      <c r="E40" s="5" t="inlineStr">
        <is>
          <t>Société TechNova</t>
        </is>
      </c>
      <c r="F40" s="5" t="n"/>
      <c r="G40" s="5">
        <f>IFERROR(XLOOKUP($E40,Adresses!$A$4:$A$200,Adresses!$C$4:$C$200),"")</f>
        <v/>
      </c>
      <c r="H40" s="5">
        <f>IFERROR(XLOOKUP($E40,Adresses!$A$4:$A$200,Adresses!$D$4:$D$200),"")</f>
        <v/>
      </c>
      <c r="I40" s="5">
        <f>IFERROR(XLOOKUP($E40,Adresses!$A$4:$A$200,Adresses!$E$4:$E$200),"")</f>
        <v/>
      </c>
      <c r="J40" s="5">
        <f>IFERROR(VLOOKUP($I40,CodesPostaux_FR!$A:$C,2,FALSE),"")</f>
        <v/>
      </c>
      <c r="K40" s="5">
        <f>IFERROR(VLOOKUP($I40,CodesPostaux_FR!$A:$C,3,FALSE),"")</f>
        <v/>
      </c>
      <c r="L40" s="5">
        <f>IFERROR(XLOOKUP($E40,Adresses!$A$4:$A$200,Adresses!$H$4:$H$200),"FRANCE")</f>
        <v/>
      </c>
      <c r="M40" s="5" t="inlineStr">
        <is>
          <t>Courrier 1033 — Dossier B</t>
        </is>
      </c>
      <c r="N40" s="5" t="inlineStr">
        <is>
          <t>Commercial</t>
        </is>
      </c>
      <c r="O40" s="5" t="inlineStr">
        <is>
          <t>Public</t>
        </is>
      </c>
      <c r="P40" s="5" t="inlineStr">
        <is>
          <t>Non</t>
        </is>
      </c>
      <c r="Q40" s="5" t="inlineStr">
        <is>
          <t>S. Benali</t>
        </is>
      </c>
      <c r="R40" s="5">
        <f>IFERROR(XLOOKUP($N40,Tables!$A$21:$A$28,Tables!$B$21:$B$28),15)</f>
        <v/>
      </c>
      <c r="S40" s="7">
        <f>IF($B40="","",$B40+$R40)</f>
        <v/>
      </c>
      <c r="T40" s="5" t="inlineStr">
        <is>
          <t>Retourné</t>
        </is>
      </c>
      <c r="U40" s="7" t="inlineStr"/>
      <c r="V40" s="5">
        <f>IF($U40&lt;&gt;"",IF($U40&lt;=$S40,"Oui","Non"),IF(TODAY()&lt;=$S40,"À l'heure","En retard"))</f>
        <v/>
      </c>
      <c r="W40" s="5" t="inlineStr">
        <is>
          <t>2B100033FR</t>
        </is>
      </c>
      <c r="X40" s="5" t="inlineStr">
        <is>
          <t>link://dms/courrier/1033</t>
        </is>
      </c>
      <c r="Y40" s="5" t="inlineStr">
        <is>
          <t>AR reçu</t>
        </is>
      </c>
    </row>
    <row r="41">
      <c r="A41" s="5">
        <f>TEXT(35,"0000")</f>
        <v/>
      </c>
      <c r="B41" s="7" t="n">
        <v>45937</v>
      </c>
      <c r="C41" s="5" t="inlineStr">
        <is>
          <t>Entrant</t>
        </is>
      </c>
      <c r="D41" s="5" t="inlineStr">
        <is>
          <t>Colissimo</t>
        </is>
      </c>
      <c r="E41" s="5" t="inlineStr">
        <is>
          <t>Hôpital Central Bordeaux</t>
        </is>
      </c>
      <c r="F41" s="5" t="n"/>
      <c r="G41" s="5">
        <f>IFERROR(XLOOKUP($E41,Adresses!$A$4:$A$200,Adresses!$C$4:$C$200),"")</f>
        <v/>
      </c>
      <c r="H41" s="5">
        <f>IFERROR(XLOOKUP($E41,Adresses!$A$4:$A$200,Adresses!$D$4:$D$200),"")</f>
        <v/>
      </c>
      <c r="I41" s="5">
        <f>IFERROR(XLOOKUP($E41,Adresses!$A$4:$A$200,Adresses!$E$4:$E$200),"")</f>
        <v/>
      </c>
      <c r="J41" s="5">
        <f>IFERROR(VLOOKUP($I41,CodesPostaux_FR!$A:$C,2,FALSE),"")</f>
        <v/>
      </c>
      <c r="K41" s="5">
        <f>IFERROR(VLOOKUP($I41,CodesPostaux_FR!$A:$C,3,FALSE),"")</f>
        <v/>
      </c>
      <c r="L41" s="5">
        <f>IFERROR(XLOOKUP($E41,Adresses!$A$4:$A$200,Adresses!$H$4:$H$200),"FRANCE")</f>
        <v/>
      </c>
      <c r="M41" s="5" t="inlineStr">
        <is>
          <t>Courrier 1034 — Dossier C</t>
        </is>
      </c>
      <c r="N41" s="5" t="inlineStr">
        <is>
          <t>Technique</t>
        </is>
      </c>
      <c r="O41" s="5" t="inlineStr">
        <is>
          <t>Interne</t>
        </is>
      </c>
      <c r="P41" s="5" t="inlineStr">
        <is>
          <t>Oui</t>
        </is>
      </c>
      <c r="Q41" s="5" t="inlineStr">
        <is>
          <t>L. Moreau</t>
        </is>
      </c>
      <c r="R41" s="5">
        <f>IFERROR(XLOOKUP($N41,Tables!$A$21:$A$28,Tables!$B$21:$B$28),15)</f>
        <v/>
      </c>
      <c r="S41" s="7">
        <f>IF($B41="","",$B41+$R41)</f>
        <v/>
      </c>
      <c r="T41" s="5" t="inlineStr">
        <is>
          <t>À enregistrer</t>
        </is>
      </c>
      <c r="U41" s="7" t="inlineStr"/>
      <c r="V41" s="5">
        <f>IF($U41&lt;&gt;"",IF($U41&lt;=$S41,"Oui","Non"),IF(TODAY()&lt;=$S41,"À l'heure","En retard"))</f>
        <v/>
      </c>
      <c r="W41" s="5" t="inlineStr">
        <is>
          <t>3C100034FR</t>
        </is>
      </c>
      <c r="X41" s="5" t="inlineStr">
        <is>
          <t>link://dms/courrier/1034</t>
        </is>
      </c>
      <c r="Y41" s="5" t="inlineStr">
        <is>
          <t>Relance envoyée</t>
        </is>
      </c>
    </row>
    <row r="42">
      <c r="A42" s="5">
        <f>TEXT(36,"0000")</f>
        <v/>
      </c>
      <c r="B42" s="7" t="n">
        <v>45938</v>
      </c>
      <c r="C42" s="5" t="inlineStr">
        <is>
          <t>Sortant</t>
        </is>
      </c>
      <c r="D42" s="5" t="inlineStr">
        <is>
          <t>Chronopost</t>
        </is>
      </c>
      <c r="E42" s="5" t="inlineStr">
        <is>
          <t>Direction Finances ACME</t>
        </is>
      </c>
      <c r="F42" s="5" t="n"/>
      <c r="G42" s="5">
        <f>IFERROR(XLOOKUP($E42,Adresses!$A$4:$A$200,Adresses!$C$4:$C$200),"")</f>
        <v/>
      </c>
      <c r="H42" s="5">
        <f>IFERROR(XLOOKUP($E42,Adresses!$A$4:$A$200,Adresses!$D$4:$D$200),"")</f>
        <v/>
      </c>
      <c r="I42" s="5">
        <f>IFERROR(XLOOKUP($E42,Adresses!$A$4:$A$200,Adresses!$E$4:$E$200),"")</f>
        <v/>
      </c>
      <c r="J42" s="5">
        <f>IFERROR(VLOOKUP($I42,CodesPostaux_FR!$A:$C,2,FALSE),"")</f>
        <v/>
      </c>
      <c r="K42" s="5">
        <f>IFERROR(VLOOKUP($I42,CodesPostaux_FR!$A:$C,3,FALSE),"")</f>
        <v/>
      </c>
      <c r="L42" s="5">
        <f>IFERROR(XLOOKUP($E42,Adresses!$A$4:$A$200,Adresses!$H$4:$H$200),"FRANCE")</f>
        <v/>
      </c>
      <c r="M42" s="5" t="inlineStr">
        <is>
          <t>Courrier 1035 — Dossier D</t>
        </is>
      </c>
      <c r="N42" s="5" t="inlineStr">
        <is>
          <t>Administratif</t>
        </is>
      </c>
      <c r="O42" s="5" t="inlineStr">
        <is>
          <t>Confidentiel</t>
        </is>
      </c>
      <c r="P42" s="5" t="inlineStr">
        <is>
          <t>Non</t>
        </is>
      </c>
      <c r="Q42" s="5" t="inlineStr">
        <is>
          <t>C. Dupont</t>
        </is>
      </c>
      <c r="R42" s="5">
        <f>IFERROR(XLOOKUP($N42,Tables!$A$21:$A$28,Tables!$B$21:$B$28),15)</f>
        <v/>
      </c>
      <c r="S42" s="7">
        <f>IF($B42="","",$B42+$R42)</f>
        <v/>
      </c>
      <c r="T42" s="5" t="inlineStr">
        <is>
          <t>À traiter</t>
        </is>
      </c>
      <c r="U42" s="7" t="inlineStr"/>
      <c r="V42" s="5">
        <f>IF($U42&lt;&gt;"",IF($U42&lt;=$S42,"Oui","Non"),IF(TODAY()&lt;=$S42,"À l'heure","En retard"))</f>
        <v/>
      </c>
      <c r="W42" s="5" t="inlineStr">
        <is>
          <t>4D100035FR</t>
        </is>
      </c>
      <c r="X42" s="5" t="inlineStr">
        <is>
          <t>link://dms/courrier/1035</t>
        </is>
      </c>
      <c r="Y42" s="5" t="inlineStr">
        <is>
          <t>Attente complément</t>
        </is>
      </c>
    </row>
    <row r="43">
      <c r="A43" s="5">
        <f>TEXT(37,"0000")</f>
        <v/>
      </c>
      <c r="B43" s="7" t="n">
        <v>45939</v>
      </c>
      <c r="C43" s="5" t="inlineStr">
        <is>
          <t>Entrant</t>
        </is>
      </c>
      <c r="D43" s="5" t="inlineStr">
        <is>
          <t>Courrier interne</t>
        </is>
      </c>
      <c r="E43" s="5" t="inlineStr">
        <is>
          <t>Société LogiTrans</t>
        </is>
      </c>
      <c r="F43" s="5" t="n"/>
      <c r="G43" s="5">
        <f>IFERROR(XLOOKUP($E43,Adresses!$A$4:$A$200,Adresses!$C$4:$C$200),"")</f>
        <v/>
      </c>
      <c r="H43" s="5">
        <f>IFERROR(XLOOKUP($E43,Adresses!$A$4:$A$200,Adresses!$D$4:$D$200),"")</f>
        <v/>
      </c>
      <c r="I43" s="5">
        <f>IFERROR(XLOOKUP($E43,Adresses!$A$4:$A$200,Adresses!$E$4:$E$200),"")</f>
        <v/>
      </c>
      <c r="J43" s="5">
        <f>IFERROR(VLOOKUP($I43,CodesPostaux_FR!$A:$C,2,FALSE),"")</f>
        <v/>
      </c>
      <c r="K43" s="5">
        <f>IFERROR(VLOOKUP($I43,CodesPostaux_FR!$A:$C,3,FALSE),"")</f>
        <v/>
      </c>
      <c r="L43" s="5">
        <f>IFERROR(XLOOKUP($E43,Adresses!$A$4:$A$200,Adresses!$H$4:$H$200),"FRANCE")</f>
        <v/>
      </c>
      <c r="M43" s="5" t="inlineStr">
        <is>
          <t>Courrier 1036 — Dossier A</t>
        </is>
      </c>
      <c r="N43" s="5" t="inlineStr">
        <is>
          <t>Marketing</t>
        </is>
      </c>
      <c r="O43" s="5" t="inlineStr">
        <is>
          <t>Sensible</t>
        </is>
      </c>
      <c r="P43" s="5" t="inlineStr">
        <is>
          <t>Oui</t>
        </is>
      </c>
      <c r="Q43" s="5" t="inlineStr">
        <is>
          <t>A. Martin</t>
        </is>
      </c>
      <c r="R43" s="5">
        <f>IFERROR(XLOOKUP($N43,Tables!$A$21:$A$28,Tables!$B$21:$B$28),15)</f>
        <v/>
      </c>
      <c r="S43" s="7">
        <f>IF($B43="","",$B43+$R43)</f>
        <v/>
      </c>
      <c r="T43" s="5" t="inlineStr">
        <is>
          <t>En cours</t>
        </is>
      </c>
      <c r="U43" s="7" t="inlineStr"/>
      <c r="V43" s="5">
        <f>IF($U43&lt;&gt;"",IF($U43&lt;=$S43,"Oui","Non"),IF(TODAY()&lt;=$S43,"À l'heure","En retard"))</f>
        <v/>
      </c>
      <c r="W43" s="5" t="inlineStr"/>
      <c r="X43" s="5" t="inlineStr">
        <is>
          <t>link://dms/courrier/1036</t>
        </is>
      </c>
      <c r="Y43" s="5" t="inlineStr"/>
    </row>
    <row r="44">
      <c r="A44" s="5">
        <f>TEXT(38,"0000")</f>
        <v/>
      </c>
      <c r="B44" s="7" t="n">
        <v>45940</v>
      </c>
      <c r="C44" s="5" t="inlineStr">
        <is>
          <t>Sortant</t>
        </is>
      </c>
      <c r="D44" s="5" t="inlineStr">
        <is>
          <t>Messagerie</t>
        </is>
      </c>
      <c r="E44" s="5" t="inlineStr">
        <is>
          <t>Préfecture de Police de Paris</t>
        </is>
      </c>
      <c r="F44" s="5" t="n"/>
      <c r="G44" s="5">
        <f>IFERROR(XLOOKUP($E44,Adresses!$A$4:$A$200,Adresses!$C$4:$C$200),"")</f>
        <v/>
      </c>
      <c r="H44" s="5">
        <f>IFERROR(XLOOKUP($E44,Adresses!$A$4:$A$200,Adresses!$D$4:$D$200),"")</f>
        <v/>
      </c>
      <c r="I44" s="5">
        <f>IFERROR(XLOOKUP($E44,Adresses!$A$4:$A$200,Adresses!$E$4:$E$200),"")</f>
        <v/>
      </c>
      <c r="J44" s="5">
        <f>IFERROR(VLOOKUP($I44,CodesPostaux_FR!$A:$C,2,FALSE),"")</f>
        <v/>
      </c>
      <c r="K44" s="5">
        <f>IFERROR(VLOOKUP($I44,CodesPostaux_FR!$A:$C,3,FALSE),"")</f>
        <v/>
      </c>
      <c r="L44" s="5">
        <f>IFERROR(XLOOKUP($E44,Adresses!$A$4:$A$200,Adresses!$H$4:$H$200),"FRANCE")</f>
        <v/>
      </c>
      <c r="M44" s="5" t="inlineStr">
        <is>
          <t>Courrier 1037 — Dossier B</t>
        </is>
      </c>
      <c r="N44" s="5" t="inlineStr">
        <is>
          <t>Autre</t>
        </is>
      </c>
      <c r="O44" s="5" t="inlineStr">
        <is>
          <t>Public</t>
        </is>
      </c>
      <c r="P44" s="5" t="inlineStr">
        <is>
          <t>Non</t>
        </is>
      </c>
      <c r="Q44" s="5" t="inlineStr">
        <is>
          <t>S. Benali</t>
        </is>
      </c>
      <c r="R44" s="5">
        <f>IFERROR(XLOOKUP($N44,Tables!$A$21:$A$28,Tables!$B$21:$B$28),15)</f>
        <v/>
      </c>
      <c r="S44" s="7">
        <f>IF($B44="","",$B44+$R44)</f>
        <v/>
      </c>
      <c r="T44" s="5" t="inlineStr">
        <is>
          <t>Répondu</t>
        </is>
      </c>
      <c r="U44" s="7" t="n">
        <v>45950</v>
      </c>
      <c r="V44" s="5">
        <f>IF($U44&lt;&gt;"",IF($U44&lt;=$S44,"Oui","Non"),IF(TODAY()&lt;=$S44,"À l'heure","En retard"))</f>
        <v/>
      </c>
      <c r="W44" s="5" t="inlineStr"/>
      <c r="X44" s="5" t="inlineStr">
        <is>
          <t>link://dms/courrier/1037</t>
        </is>
      </c>
      <c r="Y44" s="5" t="inlineStr">
        <is>
          <t>AR reçu</t>
        </is>
      </c>
    </row>
    <row r="45">
      <c r="A45" s="5">
        <f>TEXT(39,"0000")</f>
        <v/>
      </c>
      <c r="B45" s="7" t="n">
        <v>45941</v>
      </c>
      <c r="C45" s="5" t="inlineStr">
        <is>
          <t>Entrant</t>
        </is>
      </c>
      <c r="D45" s="5" t="inlineStr">
        <is>
          <t>Colis</t>
        </is>
      </c>
      <c r="E45" s="5" t="inlineStr">
        <is>
          <t>Cabinet JurisLex</t>
        </is>
      </c>
      <c r="F45" s="5" t="n"/>
      <c r="G45" s="5">
        <f>IFERROR(XLOOKUP($E45,Adresses!$A$4:$A$200,Adresses!$C$4:$C$200),"")</f>
        <v/>
      </c>
      <c r="H45" s="5">
        <f>IFERROR(XLOOKUP($E45,Adresses!$A$4:$A$200,Adresses!$D$4:$D$200),"")</f>
        <v/>
      </c>
      <c r="I45" s="5">
        <f>IFERROR(XLOOKUP($E45,Adresses!$A$4:$A$200,Adresses!$E$4:$E$200),"")</f>
        <v/>
      </c>
      <c r="J45" s="5">
        <f>IFERROR(VLOOKUP($I45,CodesPostaux_FR!$A:$C,2,FALSE),"")</f>
        <v/>
      </c>
      <c r="K45" s="5">
        <f>IFERROR(VLOOKUP($I45,CodesPostaux_FR!$A:$C,3,FALSE),"")</f>
        <v/>
      </c>
      <c r="L45" s="5">
        <f>IFERROR(XLOOKUP($E45,Adresses!$A$4:$A$200,Adresses!$H$4:$H$200),"FRANCE")</f>
        <v/>
      </c>
      <c r="M45" s="5" t="inlineStr">
        <is>
          <t>Courrier 1038 — Dossier C</t>
        </is>
      </c>
      <c r="N45" s="5" t="inlineStr">
        <is>
          <t>Facture</t>
        </is>
      </c>
      <c r="O45" s="5" t="inlineStr">
        <is>
          <t>Interne</t>
        </is>
      </c>
      <c r="P45" s="5" t="inlineStr">
        <is>
          <t>Oui</t>
        </is>
      </c>
      <c r="Q45" s="5" t="inlineStr">
        <is>
          <t>L. Moreau</t>
        </is>
      </c>
      <c r="R45" s="5">
        <f>IFERROR(XLOOKUP($N45,Tables!$A$21:$A$28,Tables!$B$21:$B$28),15)</f>
        <v/>
      </c>
      <c r="S45" s="7">
        <f>IF($B45="","",$B45+$R45)</f>
        <v/>
      </c>
      <c r="T45" s="5" t="inlineStr">
        <is>
          <t>Archivé</t>
        </is>
      </c>
      <c r="U45" s="7" t="n">
        <v>45949</v>
      </c>
      <c r="V45" s="5">
        <f>IF($U45&lt;&gt;"",IF($U45&lt;=$S45,"Oui","Non"),IF(TODAY()&lt;=$S45,"À l'heure","En retard"))</f>
        <v/>
      </c>
      <c r="W45" s="5" t="inlineStr"/>
      <c r="X45" s="5" t="inlineStr">
        <is>
          <t>link://dms/courrier/1038</t>
        </is>
      </c>
      <c r="Y45" s="5" t="inlineStr">
        <is>
          <t>Relance envoyée</t>
        </is>
      </c>
    </row>
    <row r="46">
      <c r="A46" s="5">
        <f>TEXT(40,"0000")</f>
        <v/>
      </c>
      <c r="B46" s="7" t="n">
        <v>45942</v>
      </c>
      <c r="C46" s="5" t="inlineStr">
        <is>
          <t>Sortant</t>
        </is>
      </c>
      <c r="D46" s="5" t="inlineStr">
        <is>
          <t>Lettre simple</t>
        </is>
      </c>
      <c r="E46" s="5" t="inlineStr">
        <is>
          <t>Mairie de Nantes</t>
        </is>
      </c>
      <c r="F46" s="5" t="n"/>
      <c r="G46" s="5">
        <f>IFERROR(XLOOKUP($E46,Adresses!$A$4:$A$200,Adresses!$C$4:$C$200),"")</f>
        <v/>
      </c>
      <c r="H46" s="5">
        <f>IFERROR(XLOOKUP($E46,Adresses!$A$4:$A$200,Adresses!$D$4:$D$200),"")</f>
        <v/>
      </c>
      <c r="I46" s="5">
        <f>IFERROR(XLOOKUP($E46,Adresses!$A$4:$A$200,Adresses!$E$4:$E$200),"")</f>
        <v/>
      </c>
      <c r="J46" s="5">
        <f>IFERROR(VLOOKUP($I46,CodesPostaux_FR!$A:$C,2,FALSE),"")</f>
        <v/>
      </c>
      <c r="K46" s="5">
        <f>IFERROR(VLOOKUP($I46,CodesPostaux_FR!$A:$C,3,FALSE),"")</f>
        <v/>
      </c>
      <c r="L46" s="5">
        <f>IFERROR(XLOOKUP($E46,Adresses!$A$4:$A$200,Adresses!$H$4:$H$200),"FRANCE")</f>
        <v/>
      </c>
      <c r="M46" s="5" t="inlineStr">
        <is>
          <t>Courrier 1039 — Dossier D</t>
        </is>
      </c>
      <c r="N46" s="5" t="inlineStr">
        <is>
          <t>Juridique</t>
        </is>
      </c>
      <c r="O46" s="5" t="inlineStr">
        <is>
          <t>Confidentiel</t>
        </is>
      </c>
      <c r="P46" s="5" t="inlineStr">
        <is>
          <t>Non</t>
        </is>
      </c>
      <c r="Q46" s="5" t="inlineStr">
        <is>
          <t>C. Dupont</t>
        </is>
      </c>
      <c r="R46" s="5">
        <f>IFERROR(XLOOKUP($N46,Tables!$A$21:$A$28,Tables!$B$21:$B$28),15)</f>
        <v/>
      </c>
      <c r="S46" s="7">
        <f>IF($B46="","",$B46+$R46)</f>
        <v/>
      </c>
      <c r="T46" s="5" t="inlineStr">
        <is>
          <t>Retourné</t>
        </is>
      </c>
      <c r="U46" s="7" t="inlineStr"/>
      <c r="V46" s="5">
        <f>IF($U46&lt;&gt;"",IF($U46&lt;=$S46,"Oui","Non"),IF(TODAY()&lt;=$S46,"À l'heure","En retard"))</f>
        <v/>
      </c>
      <c r="W46" s="5" t="inlineStr"/>
      <c r="X46" s="5" t="inlineStr">
        <is>
          <t>link://dms/courrier/1039</t>
        </is>
      </c>
      <c r="Y46" s="5" t="inlineStr">
        <is>
          <t>Attente complément</t>
        </is>
      </c>
    </row>
    <row r="47">
      <c r="A47" s="5">
        <f>TEXT(41,"0000")</f>
        <v/>
      </c>
      <c r="B47" s="7" t="n">
        <v>45943</v>
      </c>
      <c r="C47" s="5" t="inlineStr">
        <is>
          <t>Entrant</t>
        </is>
      </c>
      <c r="D47" s="5" t="inlineStr">
        <is>
          <t>LR</t>
        </is>
      </c>
      <c r="E47" s="5" t="inlineStr">
        <is>
          <t>La Poste — Centre LRAR</t>
        </is>
      </c>
      <c r="F47" s="5" t="n"/>
      <c r="G47" s="5">
        <f>IFERROR(XLOOKUP($E47,Adresses!$A$4:$A$200,Adresses!$C$4:$C$200),"")</f>
        <v/>
      </c>
      <c r="H47" s="5">
        <f>IFERROR(XLOOKUP($E47,Adresses!$A$4:$A$200,Adresses!$D$4:$D$200),"")</f>
        <v/>
      </c>
      <c r="I47" s="5">
        <f>IFERROR(XLOOKUP($E47,Adresses!$A$4:$A$200,Adresses!$E$4:$E$200),"")</f>
        <v/>
      </c>
      <c r="J47" s="5">
        <f>IFERROR(VLOOKUP($I47,CodesPostaux_FR!$A:$C,2,FALSE),"")</f>
        <v/>
      </c>
      <c r="K47" s="5">
        <f>IFERROR(VLOOKUP($I47,CodesPostaux_FR!$A:$C,3,FALSE),"")</f>
        <v/>
      </c>
      <c r="L47" s="5">
        <f>IFERROR(XLOOKUP($E47,Adresses!$A$4:$A$200,Adresses!$H$4:$H$200),"FRANCE")</f>
        <v/>
      </c>
      <c r="M47" s="5" t="inlineStr">
        <is>
          <t>Courrier 1040 — Dossier A</t>
        </is>
      </c>
      <c r="N47" s="5" t="inlineStr">
        <is>
          <t>RH</t>
        </is>
      </c>
      <c r="O47" s="5" t="inlineStr">
        <is>
          <t>Sensible</t>
        </is>
      </c>
      <c r="P47" s="5" t="inlineStr">
        <is>
          <t>Oui</t>
        </is>
      </c>
      <c r="Q47" s="5" t="inlineStr">
        <is>
          <t>A. Martin</t>
        </is>
      </c>
      <c r="R47" s="5">
        <f>IFERROR(XLOOKUP($N47,Tables!$A$21:$A$28,Tables!$B$21:$B$28),15)</f>
        <v/>
      </c>
      <c r="S47" s="7">
        <f>IF($B47="","",$B47+$R47)</f>
        <v/>
      </c>
      <c r="T47" s="5" t="inlineStr">
        <is>
          <t>À enregistrer</t>
        </is>
      </c>
      <c r="U47" s="7" t="inlineStr"/>
      <c r="V47" s="5">
        <f>IF($U47&lt;&gt;"",IF($U47&lt;=$S47,"Oui","Non"),IF(TODAY()&lt;=$S47,"À l'heure","En retard"))</f>
        <v/>
      </c>
      <c r="W47" s="5" t="inlineStr">
        <is>
          <t>1A100040FR</t>
        </is>
      </c>
      <c r="X47" s="5" t="inlineStr">
        <is>
          <t>link://dms/courrier/1040</t>
        </is>
      </c>
      <c r="Y47" s="5" t="inlineStr"/>
    </row>
    <row r="48">
      <c r="A48" s="5">
        <f>TEXT(42,"0000")</f>
        <v/>
      </c>
      <c r="B48" s="7" t="n">
        <v>45944</v>
      </c>
      <c r="C48" s="5" t="inlineStr">
        <is>
          <t>Sortant</t>
        </is>
      </c>
      <c r="D48" s="5" t="inlineStr">
        <is>
          <t>LRAR</t>
        </is>
      </c>
      <c r="E48" s="5" t="inlineStr">
        <is>
          <t>Avocat Me Durand</t>
        </is>
      </c>
      <c r="F48" s="5" t="n"/>
      <c r="G48" s="5">
        <f>IFERROR(XLOOKUP($E48,Adresses!$A$4:$A$200,Adresses!$C$4:$C$200),"")</f>
        <v/>
      </c>
      <c r="H48" s="5">
        <f>IFERROR(XLOOKUP($E48,Adresses!$A$4:$A$200,Adresses!$D$4:$D$200),"")</f>
        <v/>
      </c>
      <c r="I48" s="5">
        <f>IFERROR(XLOOKUP($E48,Adresses!$A$4:$A$200,Adresses!$E$4:$E$200),"")</f>
        <v/>
      </c>
      <c r="J48" s="5">
        <f>IFERROR(VLOOKUP($I48,CodesPostaux_FR!$A:$C,2,FALSE),"")</f>
        <v/>
      </c>
      <c r="K48" s="5">
        <f>IFERROR(VLOOKUP($I48,CodesPostaux_FR!$A:$C,3,FALSE),"")</f>
        <v/>
      </c>
      <c r="L48" s="5">
        <f>IFERROR(XLOOKUP($E48,Adresses!$A$4:$A$200,Adresses!$H$4:$H$200),"FRANCE")</f>
        <v/>
      </c>
      <c r="M48" s="5" t="inlineStr">
        <is>
          <t>Courrier 1041 — Dossier B</t>
        </is>
      </c>
      <c r="N48" s="5" t="inlineStr">
        <is>
          <t>Commercial</t>
        </is>
      </c>
      <c r="O48" s="5" t="inlineStr">
        <is>
          <t>Public</t>
        </is>
      </c>
      <c r="P48" s="5" t="inlineStr">
        <is>
          <t>Non</t>
        </is>
      </c>
      <c r="Q48" s="5" t="inlineStr">
        <is>
          <t>S. Benali</t>
        </is>
      </c>
      <c r="R48" s="5">
        <f>IFERROR(XLOOKUP($N48,Tables!$A$21:$A$28,Tables!$B$21:$B$28),15)</f>
        <v/>
      </c>
      <c r="S48" s="7">
        <f>IF($B48="","",$B48+$R48)</f>
        <v/>
      </c>
      <c r="T48" s="5" t="inlineStr">
        <is>
          <t>À traiter</t>
        </is>
      </c>
      <c r="U48" s="7" t="inlineStr"/>
      <c r="V48" s="5">
        <f>IF($U48&lt;&gt;"",IF($U48&lt;=$S48,"Oui","Non"),IF(TODAY()&lt;=$S48,"À l'heure","En retard"))</f>
        <v/>
      </c>
      <c r="W48" s="5" t="inlineStr">
        <is>
          <t>2B100041FR</t>
        </is>
      </c>
      <c r="X48" s="5" t="inlineStr">
        <is>
          <t>link://dms/courrier/1041</t>
        </is>
      </c>
      <c r="Y48" s="5" t="inlineStr">
        <is>
          <t>AR reçu</t>
        </is>
      </c>
    </row>
    <row r="49">
      <c r="A49" s="5">
        <f>TEXT(43,"0000")</f>
        <v/>
      </c>
      <c r="B49" s="7" t="n">
        <v>45945</v>
      </c>
      <c r="C49" s="5" t="inlineStr">
        <is>
          <t>Entrant</t>
        </is>
      </c>
      <c r="D49" s="5" t="inlineStr">
        <is>
          <t>Colissimo</t>
        </is>
      </c>
      <c r="E49" s="5" t="inlineStr">
        <is>
          <t>Préfecture du Rhône</t>
        </is>
      </c>
      <c r="F49" s="5" t="n"/>
      <c r="G49" s="5">
        <f>IFERROR(XLOOKUP($E49,Adresses!$A$4:$A$200,Adresses!$C$4:$C$200),"")</f>
        <v/>
      </c>
      <c r="H49" s="5">
        <f>IFERROR(XLOOKUP($E49,Adresses!$A$4:$A$200,Adresses!$D$4:$D$200),"")</f>
        <v/>
      </c>
      <c r="I49" s="5">
        <f>IFERROR(XLOOKUP($E49,Adresses!$A$4:$A$200,Adresses!$E$4:$E$200),"")</f>
        <v/>
      </c>
      <c r="J49" s="5">
        <f>IFERROR(VLOOKUP($I49,CodesPostaux_FR!$A:$C,2,FALSE),"")</f>
        <v/>
      </c>
      <c r="K49" s="5">
        <f>IFERROR(VLOOKUP($I49,CodesPostaux_FR!$A:$C,3,FALSE),"")</f>
        <v/>
      </c>
      <c r="L49" s="5">
        <f>IFERROR(XLOOKUP($E49,Adresses!$A$4:$A$200,Adresses!$H$4:$H$200),"FRANCE")</f>
        <v/>
      </c>
      <c r="M49" s="5" t="inlineStr">
        <is>
          <t>Courrier 1042 — Dossier C</t>
        </is>
      </c>
      <c r="N49" s="5" t="inlineStr">
        <is>
          <t>Technique</t>
        </is>
      </c>
      <c r="O49" s="5" t="inlineStr">
        <is>
          <t>Interne</t>
        </is>
      </c>
      <c r="P49" s="5" t="inlineStr">
        <is>
          <t>Oui</t>
        </is>
      </c>
      <c r="Q49" s="5" t="inlineStr">
        <is>
          <t>L. Moreau</t>
        </is>
      </c>
      <c r="R49" s="5">
        <f>IFERROR(XLOOKUP($N49,Tables!$A$21:$A$28,Tables!$B$21:$B$28),15)</f>
        <v/>
      </c>
      <c r="S49" s="7">
        <f>IF($B49="","",$B49+$R49)</f>
        <v/>
      </c>
      <c r="T49" s="5" t="inlineStr">
        <is>
          <t>En cours</t>
        </is>
      </c>
      <c r="U49" s="7" t="inlineStr"/>
      <c r="V49" s="5">
        <f>IF($U49&lt;&gt;"",IF($U49&lt;=$S49,"Oui","Non"),IF(TODAY()&lt;=$S49,"À l'heure","En retard"))</f>
        <v/>
      </c>
      <c r="W49" s="5" t="inlineStr">
        <is>
          <t>3C100042FR</t>
        </is>
      </c>
      <c r="X49" s="5" t="inlineStr">
        <is>
          <t>link://dms/courrier/1042</t>
        </is>
      </c>
      <c r="Y49" s="5" t="inlineStr">
        <is>
          <t>Relance envoyée</t>
        </is>
      </c>
    </row>
    <row r="50">
      <c r="A50" s="5">
        <f>TEXT(44,"0000")</f>
        <v/>
      </c>
      <c r="B50" s="7" t="n">
        <v>45946</v>
      </c>
      <c r="C50" s="5" t="inlineStr">
        <is>
          <t>Sortant</t>
        </is>
      </c>
      <c r="D50" s="5" t="inlineStr">
        <is>
          <t>Chronopost</t>
        </is>
      </c>
      <c r="E50" s="5" t="inlineStr">
        <is>
          <t>Société AgroPlus</t>
        </is>
      </c>
      <c r="F50" s="5" t="n"/>
      <c r="G50" s="5">
        <f>IFERROR(XLOOKUP($E50,Adresses!$A$4:$A$200,Adresses!$C$4:$C$200),"")</f>
        <v/>
      </c>
      <c r="H50" s="5">
        <f>IFERROR(XLOOKUP($E50,Adresses!$A$4:$A$200,Adresses!$D$4:$D$200),"")</f>
        <v/>
      </c>
      <c r="I50" s="5">
        <f>IFERROR(XLOOKUP($E50,Adresses!$A$4:$A$200,Adresses!$E$4:$E$200),"")</f>
        <v/>
      </c>
      <c r="J50" s="5">
        <f>IFERROR(VLOOKUP($I50,CodesPostaux_FR!$A:$C,2,FALSE),"")</f>
        <v/>
      </c>
      <c r="K50" s="5">
        <f>IFERROR(VLOOKUP($I50,CodesPostaux_FR!$A:$C,3,FALSE),"")</f>
        <v/>
      </c>
      <c r="L50" s="5">
        <f>IFERROR(XLOOKUP($E50,Adresses!$A$4:$A$200,Adresses!$H$4:$H$200),"FRANCE")</f>
        <v/>
      </c>
      <c r="M50" s="5" t="inlineStr">
        <is>
          <t>Courrier 1043 — Dossier D</t>
        </is>
      </c>
      <c r="N50" s="5" t="inlineStr">
        <is>
          <t>Administratif</t>
        </is>
      </c>
      <c r="O50" s="5" t="inlineStr">
        <is>
          <t>Confidentiel</t>
        </is>
      </c>
      <c r="P50" s="5" t="inlineStr">
        <is>
          <t>Non</t>
        </is>
      </c>
      <c r="Q50" s="5" t="inlineStr">
        <is>
          <t>C. Dupont</t>
        </is>
      </c>
      <c r="R50" s="5">
        <f>IFERROR(XLOOKUP($N50,Tables!$A$21:$A$28,Tables!$B$21:$B$28),15)</f>
        <v/>
      </c>
      <c r="S50" s="7">
        <f>IF($B50="","",$B50+$R50)</f>
        <v/>
      </c>
      <c r="T50" s="5" t="inlineStr">
        <is>
          <t>Répondu</t>
        </is>
      </c>
      <c r="U50" s="7" t="n">
        <v>45950</v>
      </c>
      <c r="V50" s="5">
        <f>IF($U50&lt;&gt;"",IF($U50&lt;=$S50,"Oui","Non"),IF(TODAY()&lt;=$S50,"À l'heure","En retard"))</f>
        <v/>
      </c>
      <c r="W50" s="5" t="inlineStr">
        <is>
          <t>4D100043FR</t>
        </is>
      </c>
      <c r="X50" s="5" t="inlineStr">
        <is>
          <t>link://dms/courrier/1043</t>
        </is>
      </c>
      <c r="Y50" s="5" t="inlineStr">
        <is>
          <t>Attente complément</t>
        </is>
      </c>
    </row>
    <row r="51">
      <c r="A51" s="5">
        <f>TEXT(45,"0000")</f>
        <v/>
      </c>
      <c r="B51" s="7" t="n">
        <v>45947</v>
      </c>
      <c r="C51" s="5" t="inlineStr">
        <is>
          <t>Entrant</t>
        </is>
      </c>
      <c r="D51" s="5" t="inlineStr">
        <is>
          <t>Courrier interne</t>
        </is>
      </c>
      <c r="E51" s="5" t="inlineStr">
        <is>
          <t>Banque Crédit Hexagone</t>
        </is>
      </c>
      <c r="F51" s="5" t="n"/>
      <c r="G51" s="5">
        <f>IFERROR(XLOOKUP($E51,Adresses!$A$4:$A$200,Adresses!$C$4:$C$200),"")</f>
        <v/>
      </c>
      <c r="H51" s="5">
        <f>IFERROR(XLOOKUP($E51,Adresses!$A$4:$A$200,Adresses!$D$4:$D$200),"")</f>
        <v/>
      </c>
      <c r="I51" s="5">
        <f>IFERROR(XLOOKUP($E51,Adresses!$A$4:$A$200,Adresses!$E$4:$E$200),"")</f>
        <v/>
      </c>
      <c r="J51" s="5">
        <f>IFERROR(VLOOKUP($I51,CodesPostaux_FR!$A:$C,2,FALSE),"")</f>
        <v/>
      </c>
      <c r="K51" s="5">
        <f>IFERROR(VLOOKUP($I51,CodesPostaux_FR!$A:$C,3,FALSE),"")</f>
        <v/>
      </c>
      <c r="L51" s="5">
        <f>IFERROR(XLOOKUP($E51,Adresses!$A$4:$A$200,Adresses!$H$4:$H$200),"FRANCE")</f>
        <v/>
      </c>
      <c r="M51" s="5" t="inlineStr">
        <is>
          <t>Courrier 1044 — Dossier A</t>
        </is>
      </c>
      <c r="N51" s="5" t="inlineStr">
        <is>
          <t>Marketing</t>
        </is>
      </c>
      <c r="O51" s="5" t="inlineStr">
        <is>
          <t>Sensible</t>
        </is>
      </c>
      <c r="P51" s="5" t="inlineStr">
        <is>
          <t>Oui</t>
        </is>
      </c>
      <c r="Q51" s="5" t="inlineStr">
        <is>
          <t>A. Martin</t>
        </is>
      </c>
      <c r="R51" s="5">
        <f>IFERROR(XLOOKUP($N51,Tables!$A$21:$A$28,Tables!$B$21:$B$28),15)</f>
        <v/>
      </c>
      <c r="S51" s="7">
        <f>IF($B51="","",$B51+$R51)</f>
        <v/>
      </c>
      <c r="T51" s="5" t="inlineStr">
        <is>
          <t>Archivé</t>
        </is>
      </c>
      <c r="U51" s="7" t="n">
        <v>45949</v>
      </c>
      <c r="V51" s="5">
        <f>IF($U51&lt;&gt;"",IF($U51&lt;=$S51,"Oui","Non"),IF(TODAY()&lt;=$S51,"À l'heure","En retard"))</f>
        <v/>
      </c>
      <c r="W51" s="5" t="inlineStr"/>
      <c r="X51" s="5" t="inlineStr">
        <is>
          <t>link://dms/courrier/1044</t>
        </is>
      </c>
      <c r="Y51" s="5" t="inlineStr"/>
    </row>
    <row r="52">
      <c r="A52" s="5">
        <f>TEXT(46,"0000")</f>
        <v/>
      </c>
      <c r="B52" s="7" t="n">
        <v>45948</v>
      </c>
      <c r="C52" s="5" t="inlineStr">
        <is>
          <t>Sortant</t>
        </is>
      </c>
      <c r="D52" s="5" t="inlineStr">
        <is>
          <t>Messagerie</t>
        </is>
      </c>
      <c r="E52" s="5" t="inlineStr">
        <is>
          <t>Société ACME SAS</t>
        </is>
      </c>
      <c r="F52" s="5" t="n"/>
      <c r="G52" s="5">
        <f>IFERROR(XLOOKUP($E52,Adresses!$A$4:$A$200,Adresses!$C$4:$C$200),"")</f>
        <v/>
      </c>
      <c r="H52" s="5">
        <f>IFERROR(XLOOKUP($E52,Adresses!$A$4:$A$200,Adresses!$D$4:$D$200),"")</f>
        <v/>
      </c>
      <c r="I52" s="5">
        <f>IFERROR(XLOOKUP($E52,Adresses!$A$4:$A$200,Adresses!$E$4:$E$200),"")</f>
        <v/>
      </c>
      <c r="J52" s="5">
        <f>IFERROR(VLOOKUP($I52,CodesPostaux_FR!$A:$C,2,FALSE),"")</f>
        <v/>
      </c>
      <c r="K52" s="5">
        <f>IFERROR(VLOOKUP($I52,CodesPostaux_FR!$A:$C,3,FALSE),"")</f>
        <v/>
      </c>
      <c r="L52" s="5">
        <f>IFERROR(XLOOKUP($E52,Adresses!$A$4:$A$200,Adresses!$H$4:$H$200),"FRANCE")</f>
        <v/>
      </c>
      <c r="M52" s="5" t="inlineStr">
        <is>
          <t>Courrier 1045 — Dossier B</t>
        </is>
      </c>
      <c r="N52" s="5" t="inlineStr">
        <is>
          <t>Autre</t>
        </is>
      </c>
      <c r="O52" s="5" t="inlineStr">
        <is>
          <t>Public</t>
        </is>
      </c>
      <c r="P52" s="5" t="inlineStr">
        <is>
          <t>Non</t>
        </is>
      </c>
      <c r="Q52" s="5" t="inlineStr">
        <is>
          <t>S. Benali</t>
        </is>
      </c>
      <c r="R52" s="5">
        <f>IFERROR(XLOOKUP($N52,Tables!$A$21:$A$28,Tables!$B$21:$B$28),15)</f>
        <v/>
      </c>
      <c r="S52" s="7">
        <f>IF($B52="","",$B52+$R52)</f>
        <v/>
      </c>
      <c r="T52" s="5" t="inlineStr">
        <is>
          <t>Retourné</t>
        </is>
      </c>
      <c r="U52" s="7" t="inlineStr"/>
      <c r="V52" s="5">
        <f>IF($U52&lt;&gt;"",IF($U52&lt;=$S52,"Oui","Non"),IF(TODAY()&lt;=$S52,"À l'heure","En retard"))</f>
        <v/>
      </c>
      <c r="W52" s="5" t="inlineStr"/>
      <c r="X52" s="5" t="inlineStr">
        <is>
          <t>link://dms/courrier/1045</t>
        </is>
      </c>
      <c r="Y52" s="5" t="inlineStr">
        <is>
          <t>AR reçu</t>
        </is>
      </c>
    </row>
    <row r="53">
      <c r="A53" s="5">
        <f>TEXT(47,"0000")</f>
        <v/>
      </c>
      <c r="B53" s="7" t="n">
        <v>45949</v>
      </c>
      <c r="C53" s="5" t="inlineStr">
        <is>
          <t>Entrant</t>
        </is>
      </c>
      <c r="D53" s="5" t="inlineStr">
        <is>
          <t>Colis</t>
        </is>
      </c>
      <c r="E53" s="5" t="inlineStr">
        <is>
          <t>Clinique Sainte-Marie</t>
        </is>
      </c>
      <c r="F53" s="5" t="n"/>
      <c r="G53" s="5">
        <f>IFERROR(XLOOKUP($E53,Adresses!$A$4:$A$200,Adresses!$C$4:$C$200),"")</f>
        <v/>
      </c>
      <c r="H53" s="5">
        <f>IFERROR(XLOOKUP($E53,Adresses!$A$4:$A$200,Adresses!$D$4:$D$200),"")</f>
        <v/>
      </c>
      <c r="I53" s="5">
        <f>IFERROR(XLOOKUP($E53,Adresses!$A$4:$A$200,Adresses!$E$4:$E$200),"")</f>
        <v/>
      </c>
      <c r="J53" s="5">
        <f>IFERROR(VLOOKUP($I53,CodesPostaux_FR!$A:$C,2,FALSE),"")</f>
        <v/>
      </c>
      <c r="K53" s="5">
        <f>IFERROR(VLOOKUP($I53,CodesPostaux_FR!$A:$C,3,FALSE),"")</f>
        <v/>
      </c>
      <c r="L53" s="5">
        <f>IFERROR(XLOOKUP($E53,Adresses!$A$4:$A$200,Adresses!$H$4:$H$200),"FRANCE")</f>
        <v/>
      </c>
      <c r="M53" s="5" t="inlineStr">
        <is>
          <t>Courrier 1046 — Dossier C</t>
        </is>
      </c>
      <c r="N53" s="5" t="inlineStr">
        <is>
          <t>Facture</t>
        </is>
      </c>
      <c r="O53" s="5" t="inlineStr">
        <is>
          <t>Interne</t>
        </is>
      </c>
      <c r="P53" s="5" t="inlineStr">
        <is>
          <t>Oui</t>
        </is>
      </c>
      <c r="Q53" s="5" t="inlineStr">
        <is>
          <t>L. Moreau</t>
        </is>
      </c>
      <c r="R53" s="5">
        <f>IFERROR(XLOOKUP($N53,Tables!$A$21:$A$28,Tables!$B$21:$B$28),15)</f>
        <v/>
      </c>
      <c r="S53" s="7">
        <f>IF($B53="","",$B53+$R53)</f>
        <v/>
      </c>
      <c r="T53" s="5" t="inlineStr">
        <is>
          <t>À enregistrer</t>
        </is>
      </c>
      <c r="U53" s="7" t="inlineStr"/>
      <c r="V53" s="5">
        <f>IF($U53&lt;&gt;"",IF($U53&lt;=$S53,"Oui","Non"),IF(TODAY()&lt;=$S53,"À l'heure","En retard"))</f>
        <v/>
      </c>
      <c r="W53" s="5" t="inlineStr"/>
      <c r="X53" s="5" t="inlineStr">
        <is>
          <t>link://dms/courrier/1046</t>
        </is>
      </c>
      <c r="Y53" s="5" t="inlineStr">
        <is>
          <t>Relance envoyée</t>
        </is>
      </c>
    </row>
    <row r="54">
      <c r="A54" s="5">
        <f>TEXT(48,"0000")</f>
        <v/>
      </c>
      <c r="B54" s="7" t="n">
        <v>45950</v>
      </c>
      <c r="C54" s="5" t="inlineStr">
        <is>
          <t>Sortant</t>
        </is>
      </c>
      <c r="D54" s="5" t="inlineStr">
        <is>
          <t>Lettre simple</t>
        </is>
      </c>
      <c r="E54" s="5" t="inlineStr">
        <is>
          <t>URSSAF Île-de-France</t>
        </is>
      </c>
      <c r="F54" s="5" t="n"/>
      <c r="G54" s="5">
        <f>IFERROR(XLOOKUP($E54,Adresses!$A$4:$A$200,Adresses!$C$4:$C$200),"")</f>
        <v/>
      </c>
      <c r="H54" s="5">
        <f>IFERROR(XLOOKUP($E54,Adresses!$A$4:$A$200,Adresses!$D$4:$D$200),"")</f>
        <v/>
      </c>
      <c r="I54" s="5">
        <f>IFERROR(XLOOKUP($E54,Adresses!$A$4:$A$200,Adresses!$E$4:$E$200),"")</f>
        <v/>
      </c>
      <c r="J54" s="5">
        <f>IFERROR(VLOOKUP($I54,CodesPostaux_FR!$A:$C,2,FALSE),"")</f>
        <v/>
      </c>
      <c r="K54" s="5">
        <f>IFERROR(VLOOKUP($I54,CodesPostaux_FR!$A:$C,3,FALSE),"")</f>
        <v/>
      </c>
      <c r="L54" s="5">
        <f>IFERROR(XLOOKUP($E54,Adresses!$A$4:$A$200,Adresses!$H$4:$H$200),"FRANCE")</f>
        <v/>
      </c>
      <c r="M54" s="5" t="inlineStr">
        <is>
          <t>Courrier 1047 — Dossier D</t>
        </is>
      </c>
      <c r="N54" s="5" t="inlineStr">
        <is>
          <t>Juridique</t>
        </is>
      </c>
      <c r="O54" s="5" t="inlineStr">
        <is>
          <t>Confidentiel</t>
        </is>
      </c>
      <c r="P54" s="5" t="inlineStr">
        <is>
          <t>Non</t>
        </is>
      </c>
      <c r="Q54" s="5" t="inlineStr">
        <is>
          <t>C. Dupont</t>
        </is>
      </c>
      <c r="R54" s="5">
        <f>IFERROR(XLOOKUP($N54,Tables!$A$21:$A$28,Tables!$B$21:$B$28),15)</f>
        <v/>
      </c>
      <c r="S54" s="7">
        <f>IF($B54="","",$B54+$R54)</f>
        <v/>
      </c>
      <c r="T54" s="5" t="inlineStr">
        <is>
          <t>À traiter</t>
        </is>
      </c>
      <c r="U54" s="7" t="inlineStr"/>
      <c r="V54" s="5">
        <f>IF($U54&lt;&gt;"",IF($U54&lt;=$S54,"Oui","Non"),IF(TODAY()&lt;=$S54,"À l'heure","En retard"))</f>
        <v/>
      </c>
      <c r="W54" s="5" t="inlineStr"/>
      <c r="X54" s="5" t="inlineStr">
        <is>
          <t>link://dms/courrier/1047</t>
        </is>
      </c>
      <c r="Y54" s="5" t="inlineStr">
        <is>
          <t>Attente complément</t>
        </is>
      </c>
    </row>
    <row r="55">
      <c r="A55" s="5">
        <f>TEXT(49,"0000")</f>
        <v/>
      </c>
      <c r="B55" s="7" t="n">
        <v>45951</v>
      </c>
      <c r="C55" s="5" t="inlineStr">
        <is>
          <t>Entrant</t>
        </is>
      </c>
      <c r="D55" s="5" t="inlineStr">
        <is>
          <t>LR</t>
        </is>
      </c>
      <c r="E55" s="5" t="inlineStr">
        <is>
          <t>Société TechNova</t>
        </is>
      </c>
      <c r="F55" s="5" t="n"/>
      <c r="G55" s="5">
        <f>IFERROR(XLOOKUP($E55,Adresses!$A$4:$A$200,Adresses!$C$4:$C$200),"")</f>
        <v/>
      </c>
      <c r="H55" s="5">
        <f>IFERROR(XLOOKUP($E55,Adresses!$A$4:$A$200,Adresses!$D$4:$D$200),"")</f>
        <v/>
      </c>
      <c r="I55" s="5">
        <f>IFERROR(XLOOKUP($E55,Adresses!$A$4:$A$200,Adresses!$E$4:$E$200),"")</f>
        <v/>
      </c>
      <c r="J55" s="5">
        <f>IFERROR(VLOOKUP($I55,CodesPostaux_FR!$A:$C,2,FALSE),"")</f>
        <v/>
      </c>
      <c r="K55" s="5">
        <f>IFERROR(VLOOKUP($I55,CodesPostaux_FR!$A:$C,3,FALSE),"")</f>
        <v/>
      </c>
      <c r="L55" s="5">
        <f>IFERROR(XLOOKUP($E55,Adresses!$A$4:$A$200,Adresses!$H$4:$H$200),"FRANCE")</f>
        <v/>
      </c>
      <c r="M55" s="5" t="inlineStr">
        <is>
          <t>Courrier 1048 — Dossier A</t>
        </is>
      </c>
      <c r="N55" s="5" t="inlineStr">
        <is>
          <t>RH</t>
        </is>
      </c>
      <c r="O55" s="5" t="inlineStr">
        <is>
          <t>Sensible</t>
        </is>
      </c>
      <c r="P55" s="5" t="inlineStr">
        <is>
          <t>Oui</t>
        </is>
      </c>
      <c r="Q55" s="5" t="inlineStr">
        <is>
          <t>A. Martin</t>
        </is>
      </c>
      <c r="R55" s="5">
        <f>IFERROR(XLOOKUP($N55,Tables!$A$21:$A$28,Tables!$B$21:$B$28),15)</f>
        <v/>
      </c>
      <c r="S55" s="7">
        <f>IF($B55="","",$B55+$R55)</f>
        <v/>
      </c>
      <c r="T55" s="5" t="inlineStr">
        <is>
          <t>En cours</t>
        </is>
      </c>
      <c r="U55" s="7" t="inlineStr"/>
      <c r="V55" s="5">
        <f>IF($U55&lt;&gt;"",IF($U55&lt;=$S55,"Oui","Non"),IF(TODAY()&lt;=$S55,"À l'heure","En retard"))</f>
        <v/>
      </c>
      <c r="W55" s="5" t="inlineStr">
        <is>
          <t>1A100048FR</t>
        </is>
      </c>
      <c r="X55" s="5" t="inlineStr">
        <is>
          <t>link://dms/courrier/1048</t>
        </is>
      </c>
      <c r="Y55" s="5" t="inlineStr"/>
    </row>
  </sheetData>
  <autoFilter ref="A6:Y55"/>
  <mergeCells count="1">
    <mergeCell ref="A1:Y2"/>
  </mergeCells>
  <conditionalFormatting sqref="T7:T55">
    <cfRule type="containsText" priority="1" operator="containsText" dxfId="0" text="À enregistrer"/>
    <cfRule type="containsText" priority="2" operator="containsText" dxfId="1" text="À traiter"/>
    <cfRule type="containsText" priority="3" operator="containsText" dxfId="2" text="En cours"/>
    <cfRule type="containsText" priority="4" operator="containsText" dxfId="3" text="Répondu"/>
    <cfRule type="containsText" priority="5" operator="containsText" dxfId="4" text="Archivé"/>
    <cfRule type="containsText" priority="6" operator="containsText" dxfId="5" text="Retourné"/>
  </conditionalFormatting>
  <conditionalFormatting sqref="O7">
    <cfRule type="expression" priority="7" dxfId="6" stopIfTrue="0">
      <formula>$O7="Sensible"</formula>
    </cfRule>
  </conditionalFormatting>
  <conditionalFormatting sqref="O8">
    <cfRule type="expression" priority="8" dxfId="6" stopIfTrue="0">
      <formula>$O8="Sensible"</formula>
    </cfRule>
  </conditionalFormatting>
  <conditionalFormatting sqref="O9">
    <cfRule type="expression" priority="9" dxfId="6" stopIfTrue="0">
      <formula>$O9="Sensible"</formula>
    </cfRule>
  </conditionalFormatting>
  <conditionalFormatting sqref="O10">
    <cfRule type="expression" priority="10" dxfId="6" stopIfTrue="0">
      <formula>$O10="Sensible"</formula>
    </cfRule>
  </conditionalFormatting>
  <conditionalFormatting sqref="O11">
    <cfRule type="expression" priority="11" dxfId="6" stopIfTrue="0">
      <formula>$O11="Sensible"</formula>
    </cfRule>
  </conditionalFormatting>
  <conditionalFormatting sqref="O12">
    <cfRule type="expression" priority="12" dxfId="6" stopIfTrue="0">
      <formula>$O12="Sensible"</formula>
    </cfRule>
  </conditionalFormatting>
  <conditionalFormatting sqref="O13">
    <cfRule type="expression" priority="13" dxfId="6" stopIfTrue="0">
      <formula>$O13="Sensible"</formula>
    </cfRule>
  </conditionalFormatting>
  <conditionalFormatting sqref="O14">
    <cfRule type="expression" priority="14" dxfId="6" stopIfTrue="0">
      <formula>$O14="Sensible"</formula>
    </cfRule>
  </conditionalFormatting>
  <conditionalFormatting sqref="O15">
    <cfRule type="expression" priority="15" dxfId="6" stopIfTrue="0">
      <formula>$O15="Sensible"</formula>
    </cfRule>
  </conditionalFormatting>
  <conditionalFormatting sqref="O16">
    <cfRule type="expression" priority="16" dxfId="6" stopIfTrue="0">
      <formula>$O16="Sensible"</formula>
    </cfRule>
  </conditionalFormatting>
  <conditionalFormatting sqref="O17">
    <cfRule type="expression" priority="17" dxfId="6" stopIfTrue="0">
      <formula>$O17="Sensible"</formula>
    </cfRule>
  </conditionalFormatting>
  <conditionalFormatting sqref="O18">
    <cfRule type="expression" priority="18" dxfId="6" stopIfTrue="0">
      <formula>$O18="Sensible"</formula>
    </cfRule>
  </conditionalFormatting>
  <conditionalFormatting sqref="O19">
    <cfRule type="expression" priority="19" dxfId="6" stopIfTrue="0">
      <formula>$O19="Sensible"</formula>
    </cfRule>
  </conditionalFormatting>
  <conditionalFormatting sqref="O20">
    <cfRule type="expression" priority="20" dxfId="6" stopIfTrue="0">
      <formula>$O20="Sensible"</formula>
    </cfRule>
  </conditionalFormatting>
  <conditionalFormatting sqref="O21">
    <cfRule type="expression" priority="21" dxfId="6" stopIfTrue="0">
      <formula>$O21="Sensible"</formula>
    </cfRule>
  </conditionalFormatting>
  <conditionalFormatting sqref="O22">
    <cfRule type="expression" priority="22" dxfId="6" stopIfTrue="0">
      <formula>$O22="Sensible"</formula>
    </cfRule>
  </conditionalFormatting>
  <conditionalFormatting sqref="O23">
    <cfRule type="expression" priority="23" dxfId="6" stopIfTrue="0">
      <formula>$O23="Sensible"</formula>
    </cfRule>
  </conditionalFormatting>
  <conditionalFormatting sqref="O24">
    <cfRule type="expression" priority="24" dxfId="6" stopIfTrue="0">
      <formula>$O24="Sensible"</formula>
    </cfRule>
  </conditionalFormatting>
  <conditionalFormatting sqref="O25">
    <cfRule type="expression" priority="25" dxfId="6" stopIfTrue="0">
      <formula>$O25="Sensible"</formula>
    </cfRule>
  </conditionalFormatting>
  <conditionalFormatting sqref="O26">
    <cfRule type="expression" priority="26" dxfId="6" stopIfTrue="0">
      <formula>$O26="Sensible"</formula>
    </cfRule>
  </conditionalFormatting>
  <conditionalFormatting sqref="O27">
    <cfRule type="expression" priority="27" dxfId="6" stopIfTrue="0">
      <formula>$O27="Sensible"</formula>
    </cfRule>
  </conditionalFormatting>
  <conditionalFormatting sqref="O28">
    <cfRule type="expression" priority="28" dxfId="6" stopIfTrue="0">
      <formula>$O28="Sensible"</formula>
    </cfRule>
  </conditionalFormatting>
  <conditionalFormatting sqref="O29">
    <cfRule type="expression" priority="29" dxfId="6" stopIfTrue="0">
      <formula>$O29="Sensible"</formula>
    </cfRule>
  </conditionalFormatting>
  <conditionalFormatting sqref="O30">
    <cfRule type="expression" priority="30" dxfId="6" stopIfTrue="0">
      <formula>$O30="Sensible"</formula>
    </cfRule>
  </conditionalFormatting>
  <conditionalFormatting sqref="O31">
    <cfRule type="expression" priority="31" dxfId="6" stopIfTrue="0">
      <formula>$O31="Sensible"</formula>
    </cfRule>
  </conditionalFormatting>
  <conditionalFormatting sqref="O32">
    <cfRule type="expression" priority="32" dxfId="6" stopIfTrue="0">
      <formula>$O32="Sensible"</formula>
    </cfRule>
  </conditionalFormatting>
  <conditionalFormatting sqref="O33">
    <cfRule type="expression" priority="33" dxfId="6" stopIfTrue="0">
      <formula>$O33="Sensible"</formula>
    </cfRule>
  </conditionalFormatting>
  <conditionalFormatting sqref="O34">
    <cfRule type="expression" priority="34" dxfId="6" stopIfTrue="0">
      <formula>$O34="Sensible"</formula>
    </cfRule>
  </conditionalFormatting>
  <conditionalFormatting sqref="O35">
    <cfRule type="expression" priority="35" dxfId="6" stopIfTrue="0">
      <formula>$O35="Sensible"</formula>
    </cfRule>
  </conditionalFormatting>
  <conditionalFormatting sqref="O36">
    <cfRule type="expression" priority="36" dxfId="6" stopIfTrue="0">
      <formula>$O36="Sensible"</formula>
    </cfRule>
  </conditionalFormatting>
  <conditionalFormatting sqref="O37">
    <cfRule type="expression" priority="37" dxfId="6" stopIfTrue="0">
      <formula>$O37="Sensible"</formula>
    </cfRule>
  </conditionalFormatting>
  <conditionalFormatting sqref="O38">
    <cfRule type="expression" priority="38" dxfId="6" stopIfTrue="0">
      <formula>$O38="Sensible"</formula>
    </cfRule>
  </conditionalFormatting>
  <conditionalFormatting sqref="O39">
    <cfRule type="expression" priority="39" dxfId="6" stopIfTrue="0">
      <formula>$O39="Sensible"</formula>
    </cfRule>
  </conditionalFormatting>
  <conditionalFormatting sqref="O40">
    <cfRule type="expression" priority="40" dxfId="6" stopIfTrue="0">
      <formula>$O40="Sensible"</formula>
    </cfRule>
  </conditionalFormatting>
  <conditionalFormatting sqref="O41">
    <cfRule type="expression" priority="41" dxfId="6" stopIfTrue="0">
      <formula>$O41="Sensible"</formula>
    </cfRule>
  </conditionalFormatting>
  <conditionalFormatting sqref="O42">
    <cfRule type="expression" priority="42" dxfId="6" stopIfTrue="0">
      <formula>$O42="Sensible"</formula>
    </cfRule>
  </conditionalFormatting>
  <conditionalFormatting sqref="O43">
    <cfRule type="expression" priority="43" dxfId="6" stopIfTrue="0">
      <formula>$O43="Sensible"</formula>
    </cfRule>
  </conditionalFormatting>
  <conditionalFormatting sqref="O44">
    <cfRule type="expression" priority="44" dxfId="6" stopIfTrue="0">
      <formula>$O44="Sensible"</formula>
    </cfRule>
  </conditionalFormatting>
  <conditionalFormatting sqref="O45">
    <cfRule type="expression" priority="45" dxfId="6" stopIfTrue="0">
      <formula>$O45="Sensible"</formula>
    </cfRule>
  </conditionalFormatting>
  <conditionalFormatting sqref="O46">
    <cfRule type="expression" priority="46" dxfId="6" stopIfTrue="0">
      <formula>$O46="Sensible"</formula>
    </cfRule>
  </conditionalFormatting>
  <conditionalFormatting sqref="O47">
    <cfRule type="expression" priority="47" dxfId="6" stopIfTrue="0">
      <formula>$O47="Sensible"</formula>
    </cfRule>
  </conditionalFormatting>
  <conditionalFormatting sqref="O48">
    <cfRule type="expression" priority="48" dxfId="6" stopIfTrue="0">
      <formula>$O48="Sensible"</formula>
    </cfRule>
  </conditionalFormatting>
  <conditionalFormatting sqref="O49">
    <cfRule type="expression" priority="49" dxfId="6" stopIfTrue="0">
      <formula>$O49="Sensible"</formula>
    </cfRule>
  </conditionalFormatting>
  <conditionalFormatting sqref="O50">
    <cfRule type="expression" priority="50" dxfId="6" stopIfTrue="0">
      <formula>$O50="Sensible"</formula>
    </cfRule>
  </conditionalFormatting>
  <conditionalFormatting sqref="O51">
    <cfRule type="expression" priority="51" dxfId="6" stopIfTrue="0">
      <formula>$O51="Sensible"</formula>
    </cfRule>
  </conditionalFormatting>
  <conditionalFormatting sqref="O52">
    <cfRule type="expression" priority="52" dxfId="6" stopIfTrue="0">
      <formula>$O52="Sensible"</formula>
    </cfRule>
  </conditionalFormatting>
  <conditionalFormatting sqref="O53">
    <cfRule type="expression" priority="53" dxfId="6" stopIfTrue="0">
      <formula>$O53="Sensible"</formula>
    </cfRule>
  </conditionalFormatting>
  <conditionalFormatting sqref="O54">
    <cfRule type="expression" priority="54" dxfId="6" stopIfTrue="0">
      <formula>$O54="Sensible"</formula>
    </cfRule>
  </conditionalFormatting>
  <conditionalFormatting sqref="O55">
    <cfRule type="expression" priority="55" dxfId="6" stopIfTrue="0">
      <formula>$O55="Sensible"</formula>
    </cfRule>
  </conditionalFormatting>
  <conditionalFormatting sqref="S7">
    <cfRule type="expression" priority="56" dxfId="7" stopIfTrue="0">
      <formula>AND($S7&lt;TODAY(), $T7&lt;&gt;"Répondu", $T7&lt;&gt;"Archivé", $S7&lt;&gt;"")</formula>
    </cfRule>
  </conditionalFormatting>
  <conditionalFormatting sqref="S8">
    <cfRule type="expression" priority="57" dxfId="7" stopIfTrue="0">
      <formula>AND($S8&lt;TODAY(), $T8&lt;&gt;"Répondu", $T8&lt;&gt;"Archivé", $S8&lt;&gt;"")</formula>
    </cfRule>
  </conditionalFormatting>
  <conditionalFormatting sqref="S9">
    <cfRule type="expression" priority="58" dxfId="7" stopIfTrue="0">
      <formula>AND($S9&lt;TODAY(), $T9&lt;&gt;"Répondu", $T9&lt;&gt;"Archivé", $S9&lt;&gt;"")</formula>
    </cfRule>
  </conditionalFormatting>
  <conditionalFormatting sqref="S10">
    <cfRule type="expression" priority="59" dxfId="7" stopIfTrue="0">
      <formula>AND($S10&lt;TODAY(), $T10&lt;&gt;"Répondu", $T10&lt;&gt;"Archivé", $S10&lt;&gt;"")</formula>
    </cfRule>
  </conditionalFormatting>
  <conditionalFormatting sqref="S11">
    <cfRule type="expression" priority="60" dxfId="7" stopIfTrue="0">
      <formula>AND($S11&lt;TODAY(), $T11&lt;&gt;"Répondu", $T11&lt;&gt;"Archivé", $S11&lt;&gt;"")</formula>
    </cfRule>
  </conditionalFormatting>
  <conditionalFormatting sqref="S12">
    <cfRule type="expression" priority="61" dxfId="7" stopIfTrue="0">
      <formula>AND($S12&lt;TODAY(), $T12&lt;&gt;"Répondu", $T12&lt;&gt;"Archivé", $S12&lt;&gt;"")</formula>
    </cfRule>
  </conditionalFormatting>
  <conditionalFormatting sqref="S13">
    <cfRule type="expression" priority="62" dxfId="7" stopIfTrue="0">
      <formula>AND($S13&lt;TODAY(), $T13&lt;&gt;"Répondu", $T13&lt;&gt;"Archivé", $S13&lt;&gt;"")</formula>
    </cfRule>
  </conditionalFormatting>
  <conditionalFormatting sqref="S14">
    <cfRule type="expression" priority="63" dxfId="7" stopIfTrue="0">
      <formula>AND($S14&lt;TODAY(), $T14&lt;&gt;"Répondu", $T14&lt;&gt;"Archivé", $S14&lt;&gt;"")</formula>
    </cfRule>
  </conditionalFormatting>
  <conditionalFormatting sqref="S15">
    <cfRule type="expression" priority="64" dxfId="7" stopIfTrue="0">
      <formula>AND($S15&lt;TODAY(), $T15&lt;&gt;"Répondu", $T15&lt;&gt;"Archivé", $S15&lt;&gt;"")</formula>
    </cfRule>
  </conditionalFormatting>
  <conditionalFormatting sqref="S16">
    <cfRule type="expression" priority="65" dxfId="7" stopIfTrue="0">
      <formula>AND($S16&lt;TODAY(), $T16&lt;&gt;"Répondu", $T16&lt;&gt;"Archivé", $S16&lt;&gt;"")</formula>
    </cfRule>
  </conditionalFormatting>
  <conditionalFormatting sqref="S17">
    <cfRule type="expression" priority="66" dxfId="7" stopIfTrue="0">
      <formula>AND($S17&lt;TODAY(), $T17&lt;&gt;"Répondu", $T17&lt;&gt;"Archivé", $S17&lt;&gt;"")</formula>
    </cfRule>
  </conditionalFormatting>
  <conditionalFormatting sqref="S18">
    <cfRule type="expression" priority="67" dxfId="7" stopIfTrue="0">
      <formula>AND($S18&lt;TODAY(), $T18&lt;&gt;"Répondu", $T18&lt;&gt;"Archivé", $S18&lt;&gt;"")</formula>
    </cfRule>
  </conditionalFormatting>
  <conditionalFormatting sqref="S19">
    <cfRule type="expression" priority="68" dxfId="7" stopIfTrue="0">
      <formula>AND($S19&lt;TODAY(), $T19&lt;&gt;"Répondu", $T19&lt;&gt;"Archivé", $S19&lt;&gt;"")</formula>
    </cfRule>
  </conditionalFormatting>
  <conditionalFormatting sqref="S20">
    <cfRule type="expression" priority="69" dxfId="7" stopIfTrue="0">
      <formula>AND($S20&lt;TODAY(), $T20&lt;&gt;"Répondu", $T20&lt;&gt;"Archivé", $S20&lt;&gt;"")</formula>
    </cfRule>
  </conditionalFormatting>
  <conditionalFormatting sqref="S21">
    <cfRule type="expression" priority="70" dxfId="7" stopIfTrue="0">
      <formula>AND($S21&lt;TODAY(), $T21&lt;&gt;"Répondu", $T21&lt;&gt;"Archivé", $S21&lt;&gt;"")</formula>
    </cfRule>
  </conditionalFormatting>
  <conditionalFormatting sqref="S22">
    <cfRule type="expression" priority="71" dxfId="7" stopIfTrue="0">
      <formula>AND($S22&lt;TODAY(), $T22&lt;&gt;"Répondu", $T22&lt;&gt;"Archivé", $S22&lt;&gt;"")</formula>
    </cfRule>
  </conditionalFormatting>
  <conditionalFormatting sqref="S23">
    <cfRule type="expression" priority="72" dxfId="7" stopIfTrue="0">
      <formula>AND($S23&lt;TODAY(), $T23&lt;&gt;"Répondu", $T23&lt;&gt;"Archivé", $S23&lt;&gt;"")</formula>
    </cfRule>
  </conditionalFormatting>
  <conditionalFormatting sqref="S24">
    <cfRule type="expression" priority="73" dxfId="7" stopIfTrue="0">
      <formula>AND($S24&lt;TODAY(), $T24&lt;&gt;"Répondu", $T24&lt;&gt;"Archivé", $S24&lt;&gt;"")</formula>
    </cfRule>
  </conditionalFormatting>
  <conditionalFormatting sqref="S25">
    <cfRule type="expression" priority="74" dxfId="7" stopIfTrue="0">
      <formula>AND($S25&lt;TODAY(), $T25&lt;&gt;"Répondu", $T25&lt;&gt;"Archivé", $S25&lt;&gt;"")</formula>
    </cfRule>
  </conditionalFormatting>
  <conditionalFormatting sqref="S26">
    <cfRule type="expression" priority="75" dxfId="7" stopIfTrue="0">
      <formula>AND($S26&lt;TODAY(), $T26&lt;&gt;"Répondu", $T26&lt;&gt;"Archivé", $S26&lt;&gt;"")</formula>
    </cfRule>
  </conditionalFormatting>
  <conditionalFormatting sqref="S27">
    <cfRule type="expression" priority="76" dxfId="7" stopIfTrue="0">
      <formula>AND($S27&lt;TODAY(), $T27&lt;&gt;"Répondu", $T27&lt;&gt;"Archivé", $S27&lt;&gt;"")</formula>
    </cfRule>
  </conditionalFormatting>
  <conditionalFormatting sqref="S28">
    <cfRule type="expression" priority="77" dxfId="7" stopIfTrue="0">
      <formula>AND($S28&lt;TODAY(), $T28&lt;&gt;"Répondu", $T28&lt;&gt;"Archivé", $S28&lt;&gt;"")</formula>
    </cfRule>
  </conditionalFormatting>
  <conditionalFormatting sqref="S29">
    <cfRule type="expression" priority="78" dxfId="7" stopIfTrue="0">
      <formula>AND($S29&lt;TODAY(), $T29&lt;&gt;"Répondu", $T29&lt;&gt;"Archivé", $S29&lt;&gt;"")</formula>
    </cfRule>
  </conditionalFormatting>
  <conditionalFormatting sqref="S30">
    <cfRule type="expression" priority="79" dxfId="7" stopIfTrue="0">
      <formula>AND($S30&lt;TODAY(), $T30&lt;&gt;"Répondu", $T30&lt;&gt;"Archivé", $S30&lt;&gt;"")</formula>
    </cfRule>
  </conditionalFormatting>
  <conditionalFormatting sqref="S31">
    <cfRule type="expression" priority="80" dxfId="7" stopIfTrue="0">
      <formula>AND($S31&lt;TODAY(), $T31&lt;&gt;"Répondu", $T31&lt;&gt;"Archivé", $S31&lt;&gt;"")</formula>
    </cfRule>
  </conditionalFormatting>
  <conditionalFormatting sqref="S32">
    <cfRule type="expression" priority="81" dxfId="7" stopIfTrue="0">
      <formula>AND($S32&lt;TODAY(), $T32&lt;&gt;"Répondu", $T32&lt;&gt;"Archivé", $S32&lt;&gt;"")</formula>
    </cfRule>
  </conditionalFormatting>
  <conditionalFormatting sqref="S33">
    <cfRule type="expression" priority="82" dxfId="7" stopIfTrue="0">
      <formula>AND($S33&lt;TODAY(), $T33&lt;&gt;"Répondu", $T33&lt;&gt;"Archivé", $S33&lt;&gt;"")</formula>
    </cfRule>
  </conditionalFormatting>
  <conditionalFormatting sqref="S34">
    <cfRule type="expression" priority="83" dxfId="7" stopIfTrue="0">
      <formula>AND($S34&lt;TODAY(), $T34&lt;&gt;"Répondu", $T34&lt;&gt;"Archivé", $S34&lt;&gt;"")</formula>
    </cfRule>
  </conditionalFormatting>
  <conditionalFormatting sqref="S35">
    <cfRule type="expression" priority="84" dxfId="7" stopIfTrue="0">
      <formula>AND($S35&lt;TODAY(), $T35&lt;&gt;"Répondu", $T35&lt;&gt;"Archivé", $S35&lt;&gt;"")</formula>
    </cfRule>
  </conditionalFormatting>
  <conditionalFormatting sqref="S36">
    <cfRule type="expression" priority="85" dxfId="7" stopIfTrue="0">
      <formula>AND($S36&lt;TODAY(), $T36&lt;&gt;"Répondu", $T36&lt;&gt;"Archivé", $S36&lt;&gt;"")</formula>
    </cfRule>
  </conditionalFormatting>
  <conditionalFormatting sqref="S37">
    <cfRule type="expression" priority="86" dxfId="7" stopIfTrue="0">
      <formula>AND($S37&lt;TODAY(), $T37&lt;&gt;"Répondu", $T37&lt;&gt;"Archivé", $S37&lt;&gt;"")</formula>
    </cfRule>
  </conditionalFormatting>
  <conditionalFormatting sqref="S38">
    <cfRule type="expression" priority="87" dxfId="7" stopIfTrue="0">
      <formula>AND($S38&lt;TODAY(), $T38&lt;&gt;"Répondu", $T38&lt;&gt;"Archivé", $S38&lt;&gt;"")</formula>
    </cfRule>
  </conditionalFormatting>
  <conditionalFormatting sqref="S39">
    <cfRule type="expression" priority="88" dxfId="7" stopIfTrue="0">
      <formula>AND($S39&lt;TODAY(), $T39&lt;&gt;"Répondu", $T39&lt;&gt;"Archivé", $S39&lt;&gt;"")</formula>
    </cfRule>
  </conditionalFormatting>
  <conditionalFormatting sqref="S40">
    <cfRule type="expression" priority="89" dxfId="7" stopIfTrue="0">
      <formula>AND($S40&lt;TODAY(), $T40&lt;&gt;"Répondu", $T40&lt;&gt;"Archivé", $S40&lt;&gt;"")</formula>
    </cfRule>
  </conditionalFormatting>
  <conditionalFormatting sqref="S41">
    <cfRule type="expression" priority="90" dxfId="7" stopIfTrue="0">
      <formula>AND($S41&lt;TODAY(), $T41&lt;&gt;"Répondu", $T41&lt;&gt;"Archivé", $S41&lt;&gt;"")</formula>
    </cfRule>
  </conditionalFormatting>
  <conditionalFormatting sqref="S42">
    <cfRule type="expression" priority="91" dxfId="7" stopIfTrue="0">
      <formula>AND($S42&lt;TODAY(), $T42&lt;&gt;"Répondu", $T42&lt;&gt;"Archivé", $S42&lt;&gt;"")</formula>
    </cfRule>
  </conditionalFormatting>
  <conditionalFormatting sqref="S43">
    <cfRule type="expression" priority="92" dxfId="7" stopIfTrue="0">
      <formula>AND($S43&lt;TODAY(), $T43&lt;&gt;"Répondu", $T43&lt;&gt;"Archivé", $S43&lt;&gt;"")</formula>
    </cfRule>
  </conditionalFormatting>
  <conditionalFormatting sqref="S44">
    <cfRule type="expression" priority="93" dxfId="7" stopIfTrue="0">
      <formula>AND($S44&lt;TODAY(), $T44&lt;&gt;"Répondu", $T44&lt;&gt;"Archivé", $S44&lt;&gt;"")</formula>
    </cfRule>
  </conditionalFormatting>
  <conditionalFormatting sqref="S45">
    <cfRule type="expression" priority="94" dxfId="7" stopIfTrue="0">
      <formula>AND($S45&lt;TODAY(), $T45&lt;&gt;"Répondu", $T45&lt;&gt;"Archivé", $S45&lt;&gt;"")</formula>
    </cfRule>
  </conditionalFormatting>
  <conditionalFormatting sqref="S46">
    <cfRule type="expression" priority="95" dxfId="7" stopIfTrue="0">
      <formula>AND($S46&lt;TODAY(), $T46&lt;&gt;"Répondu", $T46&lt;&gt;"Archivé", $S46&lt;&gt;"")</formula>
    </cfRule>
  </conditionalFormatting>
  <conditionalFormatting sqref="S47">
    <cfRule type="expression" priority="96" dxfId="7" stopIfTrue="0">
      <formula>AND($S47&lt;TODAY(), $T47&lt;&gt;"Répondu", $T47&lt;&gt;"Archivé", $S47&lt;&gt;"")</formula>
    </cfRule>
  </conditionalFormatting>
  <conditionalFormatting sqref="S48">
    <cfRule type="expression" priority="97" dxfId="7" stopIfTrue="0">
      <formula>AND($S48&lt;TODAY(), $T48&lt;&gt;"Répondu", $T48&lt;&gt;"Archivé", $S48&lt;&gt;"")</formula>
    </cfRule>
  </conditionalFormatting>
  <conditionalFormatting sqref="S49">
    <cfRule type="expression" priority="98" dxfId="7" stopIfTrue="0">
      <formula>AND($S49&lt;TODAY(), $T49&lt;&gt;"Répondu", $T49&lt;&gt;"Archivé", $S49&lt;&gt;"")</formula>
    </cfRule>
  </conditionalFormatting>
  <conditionalFormatting sqref="S50">
    <cfRule type="expression" priority="99" dxfId="7" stopIfTrue="0">
      <formula>AND($S50&lt;TODAY(), $T50&lt;&gt;"Répondu", $T50&lt;&gt;"Archivé", $S50&lt;&gt;"")</formula>
    </cfRule>
  </conditionalFormatting>
  <conditionalFormatting sqref="S51">
    <cfRule type="expression" priority="100" dxfId="7" stopIfTrue="0">
      <formula>AND($S51&lt;TODAY(), $T51&lt;&gt;"Répondu", $T51&lt;&gt;"Archivé", $S51&lt;&gt;"")</formula>
    </cfRule>
  </conditionalFormatting>
  <conditionalFormatting sqref="S52">
    <cfRule type="expression" priority="101" dxfId="7" stopIfTrue="0">
      <formula>AND($S52&lt;TODAY(), $T52&lt;&gt;"Répondu", $T52&lt;&gt;"Archivé", $S52&lt;&gt;"")</formula>
    </cfRule>
  </conditionalFormatting>
  <conditionalFormatting sqref="S53">
    <cfRule type="expression" priority="102" dxfId="7" stopIfTrue="0">
      <formula>AND($S53&lt;TODAY(), $T53&lt;&gt;"Répondu", $T53&lt;&gt;"Archivé", $S53&lt;&gt;"")</formula>
    </cfRule>
  </conditionalFormatting>
  <conditionalFormatting sqref="S54">
    <cfRule type="expression" priority="103" dxfId="7" stopIfTrue="0">
      <formula>AND($S54&lt;TODAY(), $T54&lt;&gt;"Répondu", $T54&lt;&gt;"Archivé", $S54&lt;&gt;"")</formula>
    </cfRule>
  </conditionalFormatting>
  <conditionalFormatting sqref="S55">
    <cfRule type="expression" priority="104" dxfId="7" stopIfTrue="0">
      <formula>AND($S55&lt;TODAY(), $T55&lt;&gt;"Répondu", $T55&lt;&gt;"Archivé", $S55&lt;&gt;"")</formula>
    </cfRule>
  </conditionalFormatting>
  <dataValidations count="8">
    <dataValidation sqref="C7:C300" showErrorMessage="1" showInputMessage="1" allowBlank="1" type="list">
      <formula1>=Liste_Sens</formula1>
    </dataValidation>
    <dataValidation sqref="D7:D300" showErrorMessage="1" showInputMessage="1" allowBlank="1" type="list">
      <formula1>=Liste_Canal</formula1>
    </dataValidation>
    <dataValidation sqref="T7:T300" showErrorMessage="1" showInputMessage="1" allowBlank="1" type="list">
      <formula1>=Liste_Statut</formula1>
    </dataValidation>
    <dataValidation sqref="O7:O300" showErrorMessage="1" showInputMessage="1" allowBlank="1" type="list">
      <formula1>=Liste_Confidentialite</formula1>
    </dataValidation>
    <dataValidation sqref="P7:P300" showErrorMessage="1" showInputMessage="1" allowBlank="1" type="list">
      <formula1>=Liste_DP</formula1>
    </dataValidation>
    <dataValidation sqref="N7:N300" showErrorMessage="1" showInputMessage="1" allowBlank="1" type="list">
      <formula1>=Liste_Nature</formula1>
    </dataValidation>
    <dataValidation sqref="L7:L300" showErrorMessage="1" showInputMessage="1" allowBlank="1" type="list">
      <formula1>=Liste_Pays</formula1>
    </dataValidation>
    <dataValidation sqref="E7:E300" showErrorMessage="1" showInputMessage="1" allowBlank="1" type="list">
      <formula1>=Liste_Contacts</formula1>
    </dataValidation>
  </dataValidations>
  <pageMargins left="0.4" right="0.4" top="0.6" bottom="0.6" header="0.3" footer="0.3"/>
  <pageSetup orientation="portrait" paperSize="9" fitToHeight="1" fitToWidth="1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2025-10-21T14:43:06Z</dcterms:created>
  <dcterms:modified xmlns:dcterms="http://purl.org/dc/terms/" xmlns:xsi="http://www.w3.org/2001/XMLSchema-instance" xsi:type="dcterms:W3CDTF">2025-10-21T14:43:06Z</dcterms:modified>
</cp:coreProperties>
</file>