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334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pc\Documents\"/>
    </mc:Choice>
  </mc:AlternateContent>
  <xr:revisionPtr revIDLastSave="0" documentId="8_{686B637F-A928-4792-A01A-B4C19E5F65F5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Parametres" sheetId="2" r:id="rId1"/>
    <sheet name="Articles" sheetId="3" r:id="rId2"/>
    <sheet name="Planification" sheetId="4" r:id="rId3"/>
    <sheet name="Comptages" sheetId="5" r:id="rId4"/>
    <sheet name="KPI" sheetId="6" r:id="rId5"/>
    <sheet name="Dashboard" sheetId="7" r:id="rId6"/>
  </sheets>
  <definedNames>
    <definedName name="date_debut">Parametres!$B$3</definedName>
    <definedName name="freq_A">Parametres!$B$11</definedName>
    <definedName name="freq_B">Parametres!$B$12</definedName>
    <definedName name="freq_C">Parametres!$B$13</definedName>
    <definedName name="nb_jours_plan">Parametres!$B$4</definedName>
    <definedName name="seuil_A_val">Parametres!$B$21</definedName>
    <definedName name="seuil_B_val">Parametres!$B$22</definedName>
    <definedName name="tol_A">Parametres!$B$16</definedName>
    <definedName name="tol_B">Parametres!$B$17</definedName>
    <definedName name="tol_C">Parametres!$B$18</definedName>
  </definedNames>
  <calcPr calcId="191029"/>
  <fileRecoveryPr repairLoad="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B3" i="6" l="1"/>
  <c r="B5" i="6"/>
  <c r="Q37" i="5"/>
  <c r="O37" i="5"/>
  <c r="K37" i="5"/>
  <c r="H37" i="5"/>
  <c r="J37" i="5" s="1"/>
  <c r="N37" i="5" s="1"/>
  <c r="G37" i="5"/>
  <c r="F37" i="5"/>
  <c r="E37" i="5"/>
  <c r="L37" i="5" s="1"/>
  <c r="D37" i="5"/>
  <c r="C37" i="5"/>
  <c r="Q36" i="5"/>
  <c r="J36" i="5"/>
  <c r="N36" i="5" s="1"/>
  <c r="O36" i="5" s="1"/>
  <c r="H36" i="5"/>
  <c r="G36" i="5"/>
  <c r="F36" i="5"/>
  <c r="E36" i="5"/>
  <c r="L36" i="5" s="1"/>
  <c r="D36" i="5"/>
  <c r="C36" i="5"/>
  <c r="Q35" i="5"/>
  <c r="O35" i="5"/>
  <c r="K35" i="5"/>
  <c r="H35" i="5"/>
  <c r="J35" i="5" s="1"/>
  <c r="N35" i="5" s="1"/>
  <c r="G35" i="5"/>
  <c r="F35" i="5"/>
  <c r="E35" i="5"/>
  <c r="L35" i="5" s="1"/>
  <c r="D35" i="5"/>
  <c r="C35" i="5"/>
  <c r="Q34" i="5"/>
  <c r="J34" i="5"/>
  <c r="N34" i="5" s="1"/>
  <c r="O34" i="5" s="1"/>
  <c r="H34" i="5"/>
  <c r="G34" i="5"/>
  <c r="F34" i="5"/>
  <c r="E34" i="5"/>
  <c r="L34" i="5" s="1"/>
  <c r="D34" i="5"/>
  <c r="C34" i="5"/>
  <c r="Q33" i="5"/>
  <c r="O33" i="5"/>
  <c r="K33" i="5"/>
  <c r="H33" i="5"/>
  <c r="J33" i="5" s="1"/>
  <c r="N33" i="5" s="1"/>
  <c r="G33" i="5"/>
  <c r="F33" i="5"/>
  <c r="E33" i="5"/>
  <c r="L33" i="5" s="1"/>
  <c r="D33" i="5"/>
  <c r="C33" i="5"/>
  <c r="Q32" i="5"/>
  <c r="J32" i="5"/>
  <c r="N32" i="5" s="1"/>
  <c r="O32" i="5" s="1"/>
  <c r="H32" i="5"/>
  <c r="G32" i="5"/>
  <c r="F32" i="5"/>
  <c r="E32" i="5"/>
  <c r="L32" i="5" s="1"/>
  <c r="D32" i="5"/>
  <c r="C32" i="5"/>
  <c r="Q31" i="5"/>
  <c r="O31" i="5"/>
  <c r="K31" i="5"/>
  <c r="H31" i="5"/>
  <c r="J31" i="5" s="1"/>
  <c r="N31" i="5" s="1"/>
  <c r="G31" i="5"/>
  <c r="F31" i="5"/>
  <c r="E31" i="5"/>
  <c r="L31" i="5" s="1"/>
  <c r="D31" i="5"/>
  <c r="C31" i="5"/>
  <c r="Q30" i="5"/>
  <c r="J30" i="5"/>
  <c r="N30" i="5" s="1"/>
  <c r="O30" i="5" s="1"/>
  <c r="H30" i="5"/>
  <c r="G30" i="5"/>
  <c r="F30" i="5"/>
  <c r="E30" i="5"/>
  <c r="L30" i="5" s="1"/>
  <c r="D30" i="5"/>
  <c r="C30" i="5"/>
  <c r="Q29" i="5"/>
  <c r="O29" i="5"/>
  <c r="K29" i="5"/>
  <c r="H29" i="5"/>
  <c r="J29" i="5" s="1"/>
  <c r="N29" i="5" s="1"/>
  <c r="G29" i="5"/>
  <c r="F29" i="5"/>
  <c r="E29" i="5"/>
  <c r="L29" i="5" s="1"/>
  <c r="D29" i="5"/>
  <c r="C29" i="5"/>
  <c r="Q28" i="5"/>
  <c r="J28" i="5"/>
  <c r="N28" i="5" s="1"/>
  <c r="O28" i="5" s="1"/>
  <c r="H28" i="5"/>
  <c r="G28" i="5"/>
  <c r="F28" i="5"/>
  <c r="E28" i="5"/>
  <c r="L28" i="5" s="1"/>
  <c r="D28" i="5"/>
  <c r="C28" i="5"/>
  <c r="Q27" i="5"/>
  <c r="O27" i="5"/>
  <c r="K27" i="5"/>
  <c r="H27" i="5"/>
  <c r="J27" i="5" s="1"/>
  <c r="N27" i="5" s="1"/>
  <c r="G27" i="5"/>
  <c r="F27" i="5"/>
  <c r="E27" i="5"/>
  <c r="L27" i="5" s="1"/>
  <c r="D27" i="5"/>
  <c r="C27" i="5"/>
  <c r="Q26" i="5"/>
  <c r="J26" i="5"/>
  <c r="N26" i="5" s="1"/>
  <c r="O26" i="5" s="1"/>
  <c r="H26" i="5"/>
  <c r="G26" i="5"/>
  <c r="F26" i="5"/>
  <c r="E26" i="5"/>
  <c r="L26" i="5" s="1"/>
  <c r="D26" i="5"/>
  <c r="C26" i="5"/>
  <c r="Q25" i="5"/>
  <c r="O25" i="5"/>
  <c r="K25" i="5"/>
  <c r="H25" i="5"/>
  <c r="J25" i="5" s="1"/>
  <c r="N25" i="5" s="1"/>
  <c r="G25" i="5"/>
  <c r="F25" i="5"/>
  <c r="E25" i="5"/>
  <c r="L25" i="5" s="1"/>
  <c r="D25" i="5"/>
  <c r="C25" i="5"/>
  <c r="Q24" i="5"/>
  <c r="J24" i="5"/>
  <c r="N24" i="5" s="1"/>
  <c r="O24" i="5" s="1"/>
  <c r="H24" i="5"/>
  <c r="G24" i="5"/>
  <c r="F24" i="5"/>
  <c r="E24" i="5"/>
  <c r="L24" i="5" s="1"/>
  <c r="D24" i="5"/>
  <c r="C24" i="5"/>
  <c r="Q23" i="5"/>
  <c r="O23" i="5"/>
  <c r="K23" i="5"/>
  <c r="H23" i="5"/>
  <c r="J23" i="5" s="1"/>
  <c r="N23" i="5" s="1"/>
  <c r="G23" i="5"/>
  <c r="F23" i="5"/>
  <c r="E23" i="5"/>
  <c r="L23" i="5" s="1"/>
  <c r="D23" i="5"/>
  <c r="C23" i="5"/>
  <c r="Q22" i="5"/>
  <c r="J22" i="5"/>
  <c r="N22" i="5" s="1"/>
  <c r="O22" i="5" s="1"/>
  <c r="H22" i="5"/>
  <c r="G22" i="5"/>
  <c r="F22" i="5"/>
  <c r="E22" i="5"/>
  <c r="L22" i="5" s="1"/>
  <c r="D22" i="5"/>
  <c r="C22" i="5"/>
  <c r="Q21" i="5"/>
  <c r="O21" i="5"/>
  <c r="K21" i="5"/>
  <c r="H21" i="5"/>
  <c r="J21" i="5" s="1"/>
  <c r="N21" i="5" s="1"/>
  <c r="G21" i="5"/>
  <c r="F21" i="5"/>
  <c r="E21" i="5"/>
  <c r="L21" i="5" s="1"/>
  <c r="D21" i="5"/>
  <c r="C21" i="5"/>
  <c r="Q20" i="5"/>
  <c r="J20" i="5"/>
  <c r="N20" i="5" s="1"/>
  <c r="O20" i="5" s="1"/>
  <c r="H20" i="5"/>
  <c r="G20" i="5"/>
  <c r="F20" i="5"/>
  <c r="E20" i="5"/>
  <c r="L20" i="5" s="1"/>
  <c r="D20" i="5"/>
  <c r="C20" i="5"/>
  <c r="Q19" i="5"/>
  <c r="O19" i="5"/>
  <c r="K19" i="5"/>
  <c r="H19" i="5"/>
  <c r="J19" i="5" s="1"/>
  <c r="N19" i="5" s="1"/>
  <c r="G19" i="5"/>
  <c r="F19" i="5"/>
  <c r="E19" i="5"/>
  <c r="L19" i="5" s="1"/>
  <c r="D19" i="5"/>
  <c r="C19" i="5"/>
  <c r="Q18" i="5"/>
  <c r="J18" i="5"/>
  <c r="N18" i="5" s="1"/>
  <c r="O18" i="5" s="1"/>
  <c r="H18" i="5"/>
  <c r="G18" i="5"/>
  <c r="F18" i="5"/>
  <c r="E18" i="5"/>
  <c r="L18" i="5" s="1"/>
  <c r="D18" i="5"/>
  <c r="C18" i="5"/>
  <c r="Q17" i="5"/>
  <c r="O17" i="5"/>
  <c r="K17" i="5"/>
  <c r="H17" i="5"/>
  <c r="J17" i="5" s="1"/>
  <c r="N17" i="5" s="1"/>
  <c r="G17" i="5"/>
  <c r="F17" i="5"/>
  <c r="E17" i="5"/>
  <c r="L17" i="5" s="1"/>
  <c r="D17" i="5"/>
  <c r="C17" i="5"/>
  <c r="Q16" i="5"/>
  <c r="J16" i="5"/>
  <c r="N16" i="5" s="1"/>
  <c r="O16" i="5" s="1"/>
  <c r="H16" i="5"/>
  <c r="G16" i="5"/>
  <c r="F16" i="5"/>
  <c r="E16" i="5"/>
  <c r="L16" i="5" s="1"/>
  <c r="D16" i="5"/>
  <c r="C16" i="5"/>
  <c r="Q15" i="5"/>
  <c r="O15" i="5"/>
  <c r="K15" i="5"/>
  <c r="H15" i="5"/>
  <c r="J15" i="5" s="1"/>
  <c r="N15" i="5" s="1"/>
  <c r="G15" i="5"/>
  <c r="F15" i="5"/>
  <c r="E15" i="5"/>
  <c r="L15" i="5" s="1"/>
  <c r="D15" i="5"/>
  <c r="C15" i="5"/>
  <c r="Q14" i="5"/>
  <c r="J14" i="5"/>
  <c r="N14" i="5" s="1"/>
  <c r="O14" i="5" s="1"/>
  <c r="H14" i="5"/>
  <c r="G14" i="5"/>
  <c r="F14" i="5"/>
  <c r="E14" i="5"/>
  <c r="L14" i="5" s="1"/>
  <c r="D14" i="5"/>
  <c r="C14" i="5"/>
  <c r="Q13" i="5"/>
  <c r="O13" i="5"/>
  <c r="K13" i="5"/>
  <c r="H13" i="5"/>
  <c r="J13" i="5" s="1"/>
  <c r="N13" i="5" s="1"/>
  <c r="G13" i="5"/>
  <c r="F13" i="5"/>
  <c r="E13" i="5"/>
  <c r="L13" i="5" s="1"/>
  <c r="D13" i="5"/>
  <c r="C13" i="5"/>
  <c r="Q12" i="5"/>
  <c r="J12" i="5"/>
  <c r="N12" i="5" s="1"/>
  <c r="O12" i="5" s="1"/>
  <c r="H12" i="5"/>
  <c r="G12" i="5"/>
  <c r="F12" i="5"/>
  <c r="E12" i="5"/>
  <c r="L12" i="5" s="1"/>
  <c r="D12" i="5"/>
  <c r="C12" i="5"/>
  <c r="Q11" i="5"/>
  <c r="K11" i="5"/>
  <c r="H11" i="5"/>
  <c r="J11" i="5" s="1"/>
  <c r="G11" i="5"/>
  <c r="F11" i="5"/>
  <c r="E11" i="5"/>
  <c r="L11" i="5" s="1"/>
  <c r="D11" i="5"/>
  <c r="C11" i="5"/>
  <c r="Q10" i="5"/>
  <c r="H10" i="5"/>
  <c r="J10" i="5" s="1"/>
  <c r="N10" i="5" s="1"/>
  <c r="O10" i="5" s="1"/>
  <c r="G10" i="5"/>
  <c r="F10" i="5"/>
  <c r="E10" i="5"/>
  <c r="L10" i="5" s="1"/>
  <c r="D10" i="5"/>
  <c r="C10" i="5"/>
  <c r="Q9" i="5"/>
  <c r="J9" i="5"/>
  <c r="N9" i="5" s="1"/>
  <c r="O9" i="5" s="1"/>
  <c r="H9" i="5"/>
  <c r="G9" i="5"/>
  <c r="F9" i="5"/>
  <c r="E9" i="5"/>
  <c r="L9" i="5" s="1"/>
  <c r="D9" i="5"/>
  <c r="C9" i="5"/>
  <c r="Q8" i="5"/>
  <c r="H8" i="5"/>
  <c r="J8" i="5" s="1"/>
  <c r="N8" i="5" s="1"/>
  <c r="O8" i="5" s="1"/>
  <c r="G8" i="5"/>
  <c r="F8" i="5"/>
  <c r="E8" i="5"/>
  <c r="L8" i="5" s="1"/>
  <c r="D8" i="5"/>
  <c r="C8" i="5"/>
  <c r="Q7" i="5"/>
  <c r="J7" i="5"/>
  <c r="N7" i="5" s="1"/>
  <c r="O7" i="5" s="1"/>
  <c r="H7" i="5"/>
  <c r="G7" i="5"/>
  <c r="F7" i="5"/>
  <c r="E7" i="5"/>
  <c r="L7" i="5" s="1"/>
  <c r="D7" i="5"/>
  <c r="C7" i="5"/>
  <c r="Q6" i="5"/>
  <c r="H6" i="5"/>
  <c r="J6" i="5" s="1"/>
  <c r="N6" i="5" s="1"/>
  <c r="O6" i="5" s="1"/>
  <c r="G6" i="5"/>
  <c r="F6" i="5"/>
  <c r="E6" i="5"/>
  <c r="L6" i="5" s="1"/>
  <c r="D6" i="5"/>
  <c r="C6" i="5"/>
  <c r="Q5" i="5"/>
  <c r="J5" i="5"/>
  <c r="B9" i="6" s="1"/>
  <c r="B5" i="7" s="1"/>
  <c r="H5" i="5"/>
  <c r="G5" i="5"/>
  <c r="F5" i="5"/>
  <c r="E5" i="5"/>
  <c r="L5" i="5" s="1"/>
  <c r="D5" i="5"/>
  <c r="C5" i="5"/>
  <c r="J24" i="3"/>
  <c r="J23" i="3"/>
  <c r="J22" i="3"/>
  <c r="J21" i="3"/>
  <c r="J20" i="3"/>
  <c r="J19" i="3"/>
  <c r="J18" i="3"/>
  <c r="J17" i="3"/>
  <c r="J16" i="3"/>
  <c r="J15" i="3"/>
  <c r="J14" i="3"/>
  <c r="J13" i="3"/>
  <c r="J12" i="3"/>
  <c r="J11" i="3"/>
  <c r="J10" i="3"/>
  <c r="J9" i="3"/>
  <c r="J8" i="3"/>
  <c r="J7" i="3"/>
  <c r="J6" i="3"/>
  <c r="J5" i="3"/>
  <c r="B22" i="2"/>
  <c r="B21" i="2"/>
  <c r="M5" i="5" l="1"/>
  <c r="N5" i="5"/>
  <c r="K6" i="5"/>
  <c r="M6" i="5"/>
  <c r="K10" i="5"/>
  <c r="K8" i="5"/>
  <c r="M8" i="5" s="1"/>
  <c r="M10" i="5"/>
  <c r="K5" i="5"/>
  <c r="K7" i="5"/>
  <c r="M7" i="5" s="1"/>
  <c r="K9" i="5"/>
  <c r="M9" i="5" s="1"/>
  <c r="N11" i="5"/>
  <c r="O11" i="5" s="1"/>
  <c r="M11" i="5"/>
  <c r="M13" i="5"/>
  <c r="M14" i="5"/>
  <c r="M15" i="5"/>
  <c r="M17" i="5"/>
  <c r="M18" i="5"/>
  <c r="M19" i="5"/>
  <c r="M21" i="5"/>
  <c r="M22" i="5"/>
  <c r="M23" i="5"/>
  <c r="M25" i="5"/>
  <c r="M26" i="5"/>
  <c r="M27" i="5"/>
  <c r="M29" i="5"/>
  <c r="M30" i="5"/>
  <c r="M31" i="5"/>
  <c r="M33" i="5"/>
  <c r="M34" i="5"/>
  <c r="M35" i="5"/>
  <c r="M37" i="5"/>
  <c r="K12" i="5"/>
  <c r="M12" i="5" s="1"/>
  <c r="K14" i="5"/>
  <c r="K16" i="5"/>
  <c r="M16" i="5" s="1"/>
  <c r="K18" i="5"/>
  <c r="K20" i="5"/>
  <c r="M20" i="5" s="1"/>
  <c r="K22" i="5"/>
  <c r="K24" i="5"/>
  <c r="M24" i="5" s="1"/>
  <c r="K26" i="5"/>
  <c r="K28" i="5"/>
  <c r="M28" i="5" s="1"/>
  <c r="K30" i="5"/>
  <c r="K32" i="5"/>
  <c r="M32" i="5" s="1"/>
  <c r="K34" i="5"/>
  <c r="K36" i="5"/>
  <c r="M36" i="5" s="1"/>
  <c r="B6" i="6" l="1"/>
  <c r="B7" i="6" s="1"/>
  <c r="B3" i="7" s="1"/>
  <c r="B10" i="6"/>
  <c r="B11" i="6" s="1"/>
  <c r="B7" i="7" s="1"/>
  <c r="O5" i="5"/>
</calcChain>
</file>

<file path=xl/sharedStrings.xml><?xml version="1.0" encoding="utf-8"?>
<sst xmlns="http://schemas.openxmlformats.org/spreadsheetml/2006/main" count="236" uniqueCount="127">
  <si>
    <t>Paramètres généraux</t>
  </si>
  <si>
    <t>Date de début (planification)</t>
  </si>
  <si>
    <t>Horizon planification (jours)</t>
  </si>
  <si>
    <t>Seuils ABC (percentiles)</t>
  </si>
  <si>
    <t>Percentile A</t>
  </si>
  <si>
    <t>Percentile B</t>
  </si>
  <si>
    <t>Fréquences (jours) A/B/C</t>
  </si>
  <si>
    <t>A</t>
  </si>
  <si>
    <t>Tolérances (écart %) A/B/C</t>
  </si>
  <si>
    <t>Seuil valeur annuelle A (calc)</t>
  </si>
  <si>
    <t>Seuil valeur annuelle B (calc)</t>
  </si>
  <si>
    <t>Référentiel Articles</t>
  </si>
  <si>
    <t>ID</t>
  </si>
  <si>
    <t>Désignation</t>
  </si>
  <si>
    <t>Emplacement</t>
  </si>
  <si>
    <t>Unité</t>
  </si>
  <si>
    <t>Coût_Unitaire</t>
  </si>
  <si>
    <t>Stock_Système</t>
  </si>
  <si>
    <t>Conso_Ann</t>
  </si>
  <si>
    <t>Valeur_Annuelle</t>
  </si>
  <si>
    <t>ABC</t>
  </si>
  <si>
    <t>Jours_Frequence</t>
  </si>
  <si>
    <t>Valeur_Stock</t>
  </si>
  <si>
    <t>Jour_Slot</t>
  </si>
  <si>
    <t>Date_Proposée</t>
  </si>
  <si>
    <t>A-0001</t>
  </si>
  <si>
    <t>Roulement 6203 ZZ</t>
  </si>
  <si>
    <t>A01</t>
  </si>
  <si>
    <t>pcs</t>
  </si>
  <si>
    <t>A-0002</t>
  </si>
  <si>
    <t>Courroie trapézoïdale 13x1000</t>
  </si>
  <si>
    <t>A02</t>
  </si>
  <si>
    <t>A-0003</t>
  </si>
  <si>
    <t>Capteur inductif M12</t>
  </si>
  <si>
    <t>B01</t>
  </si>
  <si>
    <t>A-0004</t>
  </si>
  <si>
    <t>Huile hydraulique H46 (20L)</t>
  </si>
  <si>
    <t>MAG</t>
  </si>
  <si>
    <t>bidon</t>
  </si>
  <si>
    <t>A-0005</t>
  </si>
  <si>
    <t>Joints toriques assortis (kit)</t>
  </si>
  <si>
    <t>B03</t>
  </si>
  <si>
    <t>kit</t>
  </si>
  <si>
    <t>A-0006</t>
  </si>
  <si>
    <t>Gants nitrile XL</t>
  </si>
  <si>
    <t>paquet</t>
  </si>
  <si>
    <t>A-0007</t>
  </si>
  <si>
    <t>Masque FFP2</t>
  </si>
  <si>
    <t>boîte</t>
  </si>
  <si>
    <t>A-0008</t>
  </si>
  <si>
    <t>Relais temporisé 24V</t>
  </si>
  <si>
    <t>E01</t>
  </si>
  <si>
    <t>A-0009</t>
  </si>
  <si>
    <t>Contacteur 3P 25A</t>
  </si>
  <si>
    <t>E02</t>
  </si>
  <si>
    <t>A-0010</t>
  </si>
  <si>
    <t>Embout vissé 1/2''</t>
  </si>
  <si>
    <t>H01</t>
  </si>
  <si>
    <t>A-0011</t>
  </si>
  <si>
    <t>Tuyau air comprimé 10m</t>
  </si>
  <si>
    <t>H02</t>
  </si>
  <si>
    <t>A-0012</t>
  </si>
  <si>
    <t>Roulette pivotante Ø50</t>
  </si>
  <si>
    <t>M01</t>
  </si>
  <si>
    <t>A-0013</t>
  </si>
  <si>
    <t>Ampoule LED E27 10W</t>
  </si>
  <si>
    <t>E03</t>
  </si>
  <si>
    <t>A-0014</t>
  </si>
  <si>
    <t>Pointeuse badge RFID</t>
  </si>
  <si>
    <t>IT1</t>
  </si>
  <si>
    <t>A-0015</t>
  </si>
  <si>
    <t>Goupille bêta 3mm</t>
  </si>
  <si>
    <t>M02</t>
  </si>
  <si>
    <t>A-0016</t>
  </si>
  <si>
    <t>Clé plate 13mm</t>
  </si>
  <si>
    <t>O01</t>
  </si>
  <si>
    <t>A-0017</t>
  </si>
  <si>
    <t>Graisse multi-usage (400g)</t>
  </si>
  <si>
    <t>cart.</t>
  </si>
  <si>
    <t>A-0018</t>
  </si>
  <si>
    <t>Poulie fonte 2 gorges</t>
  </si>
  <si>
    <t>M03</t>
  </si>
  <si>
    <t>A-0019</t>
  </si>
  <si>
    <t>Bande abrasive P80</t>
  </si>
  <si>
    <t>O02</t>
  </si>
  <si>
    <t>A-0020</t>
  </si>
  <si>
    <t>Gaine ICTA Ø20</t>
  </si>
  <si>
    <t>E04</t>
  </si>
  <si>
    <t>m</t>
  </si>
  <si>
    <t>Date</t>
  </si>
  <si>
    <t>IDs à compter</t>
  </si>
  <si>
    <t>Quantité_Comptée</t>
  </si>
  <si>
    <t>Écart</t>
  </si>
  <si>
    <t>Écart_%</t>
  </si>
  <si>
    <t>Tolérance_%</t>
  </si>
  <si>
    <t>Conforme ?</t>
  </si>
  <si>
    <t>Valeur_Écart</t>
  </si>
  <si>
    <t>Valeur_Abs</t>
  </si>
  <si>
    <t>Compté_par</t>
  </si>
  <si>
    <t>ID_Counté</t>
  </si>
  <si>
    <t>Camille Faure</t>
  </si>
  <si>
    <t>Chloé Dubois</t>
  </si>
  <si>
    <t>Hugo Roussel</t>
  </si>
  <si>
    <t>Thomas Mercier</t>
  </si>
  <si>
    <t>Nicolas Colin</t>
  </si>
  <si>
    <t>Karim Benali</t>
  </si>
  <si>
    <t>Élodie Simon</t>
  </si>
  <si>
    <t>Anaïs Garcia</t>
  </si>
  <si>
    <t>Martin Dupont</t>
  </si>
  <si>
    <t>Sofia Moreau</t>
  </si>
  <si>
    <t>Manon Mathieu</t>
  </si>
  <si>
    <t>Baptiste Robert</t>
  </si>
  <si>
    <t>Clara Lopez</t>
  </si>
  <si>
    <t>Léa Fontaine</t>
  </si>
  <si>
    <t>Lucie Bernard</t>
  </si>
  <si>
    <t>Maxime Petit</t>
  </si>
  <si>
    <t>Indicateurs (Compat 2016/2019)</t>
  </si>
  <si>
    <t>Valeur totale du stock</t>
  </si>
  <si>
    <t>Lignes comptées (nb)</t>
  </si>
  <si>
    <t>Lignes conformes (nb)</t>
  </si>
  <si>
    <t>Taux de conformité</t>
  </si>
  <si>
    <t>Valeur des écarts (absolue cumulée)</t>
  </si>
  <si>
    <t>Écart valeur négatif (perte)</t>
  </si>
  <si>
    <t>Taux de shrinkage (pertes / valeur stock)</t>
  </si>
  <si>
    <t>Valeur abs. des écarts</t>
  </si>
  <si>
    <t>Shrinkage (pertes/stock)</t>
  </si>
  <si>
    <t xml:space="preserve">Dashboard — 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</si>
</sst>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yyyy\-mm\-dd"/>
    <numFmt numFmtId="165" formatCode="#,##0.00&quot; €&quot;"/>
    <numFmt numFmtId="166" formatCode="0.0%"/>
  </numFmts>
  <fonts count="4" x14ac:knownFonts="1">
    <font>
      <sz val="11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F2F2F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3" tint="0.59999389629810485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2">
    <xf numFmtId="0" fontId="0" fillId="0" borderId="0" xfId="0"/>
    <xf numFmtId="0" fontId="1" fillId="0" borderId="0" xfId="0" applyFont="1"/>
    <xf numFmtId="0" fontId="2" fillId="0" borderId="0" xfId="0" applyFont="1"/>
    <xf numFmtId="164" fontId="0" fillId="0" borderId="1" xfId="0" applyNumberFormat="1" applyBorder="1"/>
    <xf numFmtId="165" fontId="0" fillId="0" borderId="1" xfId="0" applyNumberFormat="1" applyBorder="1"/>
    <xf numFmtId="0" fontId="0" fillId="0" borderId="1" xfId="0" applyBorder="1"/>
    <xf numFmtId="0" fontId="0" fillId="0" borderId="1" xfId="0" applyBorder="1" applyAlignment="1">
      <alignment horizontal="center"/>
    </xf>
    <xf numFmtId="3" fontId="0" fillId="0" borderId="1" xfId="0" applyNumberFormat="1" applyBorder="1"/>
    <xf numFmtId="0" fontId="3" fillId="2" borderId="1" xfId="0" applyFont="1" applyFill="1" applyBorder="1"/>
    <xf numFmtId="166" fontId="0" fillId="0" borderId="1" xfId="0" applyNumberFormat="1" applyBorder="1"/>
    <xf numFmtId="0" fontId="2" fillId="3" borderId="0" xfId="0" applyFont="1" applyFill="1"/>
    <xf numFmtId="165" fontId="0" fillId="4" borderId="1" xfId="0" applyNumberFormat="1" applyFill="1" applyBorder="1"/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00000000-000C-0000-FFFF-FFFF00000000}" name="Articles" displayName="Articles" ref="A4:M24" totalsRowShown="0">
  <autoFilter ref="A4:M24" xr:uid="{00000000-0009-0000-0100-000001000000}"/>
  <tableColumns count="13">
    <tableColumn id="1" xr3:uid="{00000000-0010-0000-0000-000001000000}" name="ID"/>
    <tableColumn id="2" xr3:uid="{00000000-0010-0000-0000-000002000000}" name="Désignation"/>
    <tableColumn id="3" xr3:uid="{00000000-0010-0000-0000-000003000000}" name="Emplacement"/>
    <tableColumn id="4" xr3:uid="{00000000-0010-0000-0000-000004000000}" name="Unité"/>
    <tableColumn id="5" xr3:uid="{00000000-0010-0000-0000-000005000000}" name="Coût_Unitaire"/>
    <tableColumn id="6" xr3:uid="{00000000-0010-0000-0000-000006000000}" name="Stock_Système"/>
    <tableColumn id="7" xr3:uid="{00000000-0010-0000-0000-000007000000}" name="Conso_Ann"/>
    <tableColumn id="8" xr3:uid="{00000000-0010-0000-0000-000008000000}" name="Valeur_Annuelle"/>
    <tableColumn id="9" xr3:uid="{00000000-0010-0000-0000-000009000000}" name="ABC"/>
    <tableColumn id="10" xr3:uid="{00000000-0010-0000-0000-00000A000000}" name="Jours_Frequence">
      <calculatedColumnFormula>IF(Articles[[#This Row],[ABC]]="A",freq_A,IF(Articles[[#This Row],[ABC]]="B",freq_B,freq_C))</calculatedColumnFormula>
    </tableColumn>
    <tableColumn id="11" xr3:uid="{00000000-0010-0000-0000-00000B000000}" name="Valeur_Stock"/>
    <tableColumn id="12" xr3:uid="{00000000-0010-0000-0000-00000C000000}" name="Jour_Slot"/>
    <tableColumn id="13" xr3:uid="{00000000-0010-0000-0000-00000D000000}" name="Date_Proposée"/>
  </tableColumns>
  <tableStyleInfo name="TableStyleLight9" showFirstColumn="0" showLastColumn="0" showRowStripes="1" showColumnStripes="0"/>
</table>
</file>

<file path=xl/tables/table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" xr:uid="{00000000-000C-0000-FFFF-FFFF01000000}" name="Comptages" displayName="Comptages" ref="A4:Q37" totalsRowShown="0">
  <autoFilter ref="A4:Q37" xr:uid="{00000000-0009-0000-0100-000002000000}"/>
  <tableColumns count="17">
    <tableColumn id="1" xr3:uid="{00000000-0010-0000-0100-000001000000}" name="Date"/>
    <tableColumn id="2" xr3:uid="{00000000-0010-0000-0100-000002000000}" name="ID"/>
    <tableColumn id="3" xr3:uid="{00000000-0010-0000-0100-000003000000}" name="Désignation"/>
    <tableColumn id="4" xr3:uid="{00000000-0010-0000-0100-000004000000}" name="Emplacement"/>
    <tableColumn id="5" xr3:uid="{00000000-0010-0000-0100-000005000000}" name="ABC"/>
    <tableColumn id="6" xr3:uid="{00000000-0010-0000-0100-000006000000}" name="Unité"/>
    <tableColumn id="7" xr3:uid="{00000000-0010-0000-0100-000007000000}" name="Coût_Unitaire"/>
    <tableColumn id="8" xr3:uid="{00000000-0010-0000-0100-000008000000}" name="Stock_Système"/>
    <tableColumn id="9" xr3:uid="{00000000-0010-0000-0100-000009000000}" name="Quantité_Comptée"/>
    <tableColumn id="10" xr3:uid="{00000000-0010-0000-0100-00000A000000}" name="Écart"/>
    <tableColumn id="11" xr3:uid="{00000000-0010-0000-0100-00000B000000}" name="Écart_%"/>
    <tableColumn id="12" xr3:uid="{00000000-0010-0000-0100-00000C000000}" name="Tolérance_%"/>
    <tableColumn id="13" xr3:uid="{00000000-0010-0000-0100-00000D000000}" name="Conforme ?"/>
    <tableColumn id="14" xr3:uid="{00000000-0010-0000-0100-00000E000000}" name="Valeur_Écart"/>
    <tableColumn id="15" xr3:uid="{00000000-0010-0000-0100-00000F000000}" name="Valeur_Abs"/>
    <tableColumn id="16" xr3:uid="{00000000-0010-0000-0100-000010000000}" name="Compté_par"/>
    <tableColumn id="17" xr3:uid="{00000000-0010-0000-0100-000011000000}" name="ID_Counté"/>
  </tableColumns>
  <tableStyleInfo name="TableStyleLight9" showFirstColumn="0" showLastColumn="0" showRowStripes="1" showColumnStripes="0"/>
</table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table" Target="../tables/table2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D22"/>
  <sheetViews>
    <sheetView tabSelected="1" workbookViewId="0"/>
  </sheetViews>
  <sheetFormatPr baseColWidth="10" defaultColWidth="9.140625" defaultRowHeight="15" x14ac:dyDescent="0.25"/>
  <cols>
    <col min="1" max="1" width="36.7109375" customWidth="1"/>
    <col min="2" max="2" width="22.7109375" customWidth="1"/>
  </cols>
  <sheetData>
    <row r="1" spans="1:4" ht="15.75" x14ac:dyDescent="0.25">
      <c r="A1" s="2" t="s">
        <v>0</v>
      </c>
    </row>
    <row r="3" spans="1:4" x14ac:dyDescent="0.25">
      <c r="A3" t="s">
        <v>1</v>
      </c>
      <c r="B3" s="3">
        <v>45658</v>
      </c>
    </row>
    <row r="4" spans="1:4" x14ac:dyDescent="0.25">
      <c r="A4" t="s">
        <v>2</v>
      </c>
      <c r="B4">
        <v>120</v>
      </c>
    </row>
    <row r="6" spans="1:4" ht="15.75" x14ac:dyDescent="0.25">
      <c r="A6" s="2" t="s">
        <v>3</v>
      </c>
    </row>
    <row r="7" spans="1:4" x14ac:dyDescent="0.25">
      <c r="A7" t="s">
        <v>4</v>
      </c>
      <c r="B7">
        <v>0.9</v>
      </c>
    </row>
    <row r="8" spans="1:4" x14ac:dyDescent="0.25">
      <c r="A8" t="s">
        <v>5</v>
      </c>
      <c r="B8">
        <v>0.7</v>
      </c>
    </row>
    <row r="10" spans="1:4" ht="15.75" x14ac:dyDescent="0.25">
      <c r="A10" s="2" t="s">
        <v>6</v>
      </c>
    </row>
    <row r="11" spans="1:4" x14ac:dyDescent="0.25">
      <c r="A11" t="s">
        <v>7</v>
      </c>
      <c r="B11">
        <v>30</v>
      </c>
      <c r="C11">
        <v>90</v>
      </c>
      <c r="D11">
        <v>180</v>
      </c>
    </row>
    <row r="15" spans="1:4" ht="15.75" x14ac:dyDescent="0.25">
      <c r="A15" s="2" t="s">
        <v>8</v>
      </c>
    </row>
    <row r="16" spans="1:4" x14ac:dyDescent="0.25">
      <c r="A16" t="s">
        <v>7</v>
      </c>
      <c r="B16">
        <v>0.01</v>
      </c>
      <c r="C16">
        <v>0.02</v>
      </c>
      <c r="D16">
        <v>0.05</v>
      </c>
    </row>
    <row r="21" spans="1:2" x14ac:dyDescent="0.25">
      <c r="A21" t="s">
        <v>9</v>
      </c>
      <c r="B21" s="4" t="str">
        <f ca="1">IFERROR(_xludf.PERCENTILE.INC(Articles[Valeur_Annuelle],B7),"")</f>
        <v/>
      </c>
    </row>
    <row r="22" spans="1:2" x14ac:dyDescent="0.25">
      <c r="A22" t="s">
        <v>10</v>
      </c>
      <c r="B22" s="4" t="str">
        <f ca="1">IFERROR(_xludf.PERCENTILE.INC(Articles[Valeur_Annuelle],B8),"")</f>
        <v/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M24"/>
  <sheetViews>
    <sheetView workbookViewId="0">
      <pane ySplit="1" topLeftCell="A2" activePane="bottomLeft" state="frozen"/>
      <selection pane="bottomLeft" activeCell="J17" sqref="J17"/>
    </sheetView>
  </sheetViews>
  <sheetFormatPr baseColWidth="10" defaultColWidth="9.140625" defaultRowHeight="15" x14ac:dyDescent="0.25"/>
  <cols>
    <col min="1" max="1" width="16.7109375" customWidth="1"/>
    <col min="2" max="2" width="36.7109375" customWidth="1"/>
    <col min="3" max="3" width="16.7109375" customWidth="1"/>
    <col min="4" max="4" width="12.7109375" customWidth="1"/>
    <col min="5" max="6" width="14.7109375" customWidth="1"/>
    <col min="7" max="7" width="16.7109375" customWidth="1"/>
    <col min="8" max="8" width="14.7109375" customWidth="1"/>
    <col min="9" max="9" width="12.7109375" customWidth="1"/>
    <col min="10" max="10" width="16.7109375" customWidth="1"/>
    <col min="11" max="11" width="12.7109375" customWidth="1"/>
    <col min="12" max="12" width="14.7109375" customWidth="1"/>
    <col min="13" max="13" width="16.7109375" customWidth="1"/>
  </cols>
  <sheetData>
    <row r="1" spans="1:13" ht="15.75" x14ac:dyDescent="0.25">
      <c r="A1" s="2" t="s">
        <v>11</v>
      </c>
    </row>
    <row r="4" spans="1:13" x14ac:dyDescent="0.25">
      <c r="A4" t="s">
        <v>12</v>
      </c>
      <c r="B4" t="s">
        <v>13</v>
      </c>
      <c r="C4" t="s">
        <v>14</v>
      </c>
      <c r="D4" t="s">
        <v>15</v>
      </c>
      <c r="E4" t="s">
        <v>16</v>
      </c>
      <c r="F4" t="s">
        <v>17</v>
      </c>
      <c r="G4" t="s">
        <v>18</v>
      </c>
      <c r="H4" t="s">
        <v>19</v>
      </c>
      <c r="I4" t="s">
        <v>20</v>
      </c>
      <c r="J4" t="s">
        <v>21</v>
      </c>
      <c r="K4" t="s">
        <v>22</v>
      </c>
      <c r="L4" t="s">
        <v>23</v>
      </c>
      <c r="M4" t="s">
        <v>24</v>
      </c>
    </row>
    <row r="5" spans="1:13" x14ac:dyDescent="0.25">
      <c r="A5" s="5" t="s">
        <v>25</v>
      </c>
      <c r="B5" s="5" t="s">
        <v>26</v>
      </c>
      <c r="C5" s="6" t="s">
        <v>27</v>
      </c>
      <c r="D5" s="6" t="s">
        <v>28</v>
      </c>
      <c r="E5" s="4">
        <v>3.2</v>
      </c>
      <c r="F5" s="7">
        <v>150</v>
      </c>
      <c r="G5" s="7">
        <v>800</v>
      </c>
      <c r="H5">
        <v>0</v>
      </c>
      <c r="I5">
        <v>0</v>
      </c>
      <c r="J5">
        <f>IF(Articles[[#This Row],[ABC]]="A",freq_A,IF(Articles[[#This Row],[ABC]]="B",freq_B,freq_C))</f>
        <v>0</v>
      </c>
      <c r="K5">
        <v>0</v>
      </c>
      <c r="L5">
        <v>0</v>
      </c>
      <c r="M5">
        <v>0</v>
      </c>
    </row>
    <row r="6" spans="1:13" x14ac:dyDescent="0.25">
      <c r="A6" s="5" t="s">
        <v>29</v>
      </c>
      <c r="B6" s="5" t="s">
        <v>30</v>
      </c>
      <c r="C6" s="6" t="s">
        <v>31</v>
      </c>
      <c r="D6" s="6" t="s">
        <v>28</v>
      </c>
      <c r="E6" s="4">
        <v>5.9</v>
      </c>
      <c r="F6" s="7">
        <v>60</v>
      </c>
      <c r="G6" s="7">
        <v>180</v>
      </c>
      <c r="H6">
        <v>0</v>
      </c>
      <c r="I6">
        <v>0</v>
      </c>
      <c r="J6">
        <f>IF(Articles[[#This Row],[ABC]]="A",freq_A,IF(Articles[[#This Row],[ABC]]="B",freq_B,freq_C))</f>
        <v>0</v>
      </c>
      <c r="K6">
        <v>0</v>
      </c>
      <c r="L6">
        <v>0</v>
      </c>
      <c r="M6">
        <v>0</v>
      </c>
    </row>
    <row r="7" spans="1:13" x14ac:dyDescent="0.25">
      <c r="A7" s="5" t="s">
        <v>32</v>
      </c>
      <c r="B7" s="5" t="s">
        <v>33</v>
      </c>
      <c r="C7" s="6" t="s">
        <v>34</v>
      </c>
      <c r="D7" s="6" t="s">
        <v>28</v>
      </c>
      <c r="E7" s="4">
        <v>21.5</v>
      </c>
      <c r="F7" s="7">
        <v>35</v>
      </c>
      <c r="G7" s="7">
        <v>90</v>
      </c>
      <c r="H7">
        <v>0</v>
      </c>
      <c r="I7">
        <v>0</v>
      </c>
      <c r="J7">
        <f>IF(Articles[[#This Row],[ABC]]="A",freq_A,IF(Articles[[#This Row],[ABC]]="B",freq_B,freq_C))</f>
        <v>0</v>
      </c>
      <c r="K7">
        <v>0</v>
      </c>
      <c r="L7">
        <v>0</v>
      </c>
      <c r="M7">
        <v>0</v>
      </c>
    </row>
    <row r="8" spans="1:13" x14ac:dyDescent="0.25">
      <c r="A8" s="5" t="s">
        <v>35</v>
      </c>
      <c r="B8" s="5" t="s">
        <v>36</v>
      </c>
      <c r="C8" s="6" t="s">
        <v>37</v>
      </c>
      <c r="D8" s="6" t="s">
        <v>38</v>
      </c>
      <c r="E8" s="4">
        <v>45</v>
      </c>
      <c r="F8" s="7">
        <v>22</v>
      </c>
      <c r="G8" s="7">
        <v>60</v>
      </c>
      <c r="H8">
        <v>0</v>
      </c>
      <c r="I8">
        <v>0</v>
      </c>
      <c r="J8">
        <f>IF(Articles[[#This Row],[ABC]]="A",freq_A,IF(Articles[[#This Row],[ABC]]="B",freq_B,freq_C))</f>
        <v>0</v>
      </c>
      <c r="K8">
        <v>0</v>
      </c>
      <c r="L8">
        <v>0</v>
      </c>
      <c r="M8">
        <v>0</v>
      </c>
    </row>
    <row r="9" spans="1:13" x14ac:dyDescent="0.25">
      <c r="A9" s="5" t="s">
        <v>39</v>
      </c>
      <c r="B9" s="5" t="s">
        <v>40</v>
      </c>
      <c r="C9" s="6" t="s">
        <v>41</v>
      </c>
      <c r="D9" s="6" t="s">
        <v>42</v>
      </c>
      <c r="E9" s="4">
        <v>12</v>
      </c>
      <c r="F9" s="7">
        <v>18</v>
      </c>
      <c r="G9" s="7">
        <v>40</v>
      </c>
      <c r="H9">
        <v>0</v>
      </c>
      <c r="I9">
        <v>0</v>
      </c>
      <c r="J9">
        <f>IF(Articles[[#This Row],[ABC]]="A",freq_A,IF(Articles[[#This Row],[ABC]]="B",freq_B,freq_C))</f>
        <v>0</v>
      </c>
      <c r="K9">
        <v>0</v>
      </c>
      <c r="L9">
        <v>0</v>
      </c>
      <c r="M9">
        <v>0</v>
      </c>
    </row>
    <row r="10" spans="1:13" x14ac:dyDescent="0.25">
      <c r="A10" s="5" t="s">
        <v>43</v>
      </c>
      <c r="B10" s="5" t="s">
        <v>44</v>
      </c>
      <c r="C10" s="6" t="s">
        <v>37</v>
      </c>
      <c r="D10" s="6" t="s">
        <v>45</v>
      </c>
      <c r="E10" s="4">
        <v>8.5</v>
      </c>
      <c r="F10" s="7">
        <v>100</v>
      </c>
      <c r="G10" s="7">
        <v>600</v>
      </c>
      <c r="H10">
        <v>0</v>
      </c>
      <c r="I10">
        <v>0</v>
      </c>
      <c r="J10">
        <f>IF(Articles[[#This Row],[ABC]]="A",freq_A,IF(Articles[[#This Row],[ABC]]="B",freq_B,freq_C))</f>
        <v>0</v>
      </c>
      <c r="K10">
        <v>0</v>
      </c>
      <c r="L10">
        <v>0</v>
      </c>
      <c r="M10">
        <v>0</v>
      </c>
    </row>
    <row r="11" spans="1:13" x14ac:dyDescent="0.25">
      <c r="A11" s="5" t="s">
        <v>46</v>
      </c>
      <c r="B11" s="5" t="s">
        <v>47</v>
      </c>
      <c r="C11" s="6" t="s">
        <v>37</v>
      </c>
      <c r="D11" s="6" t="s">
        <v>48</v>
      </c>
      <c r="E11" s="4">
        <v>14</v>
      </c>
      <c r="F11" s="7">
        <v>40</v>
      </c>
      <c r="G11" s="7">
        <v>200</v>
      </c>
      <c r="H11">
        <v>0</v>
      </c>
      <c r="I11">
        <v>0</v>
      </c>
      <c r="J11">
        <f>IF(Articles[[#This Row],[ABC]]="A",freq_A,IF(Articles[[#This Row],[ABC]]="B",freq_B,freq_C))</f>
        <v>0</v>
      </c>
      <c r="K11">
        <v>0</v>
      </c>
      <c r="L11">
        <v>0</v>
      </c>
      <c r="M11">
        <v>0</v>
      </c>
    </row>
    <row r="12" spans="1:13" x14ac:dyDescent="0.25">
      <c r="A12" s="5" t="s">
        <v>49</v>
      </c>
      <c r="B12" s="5" t="s">
        <v>50</v>
      </c>
      <c r="C12" s="6" t="s">
        <v>51</v>
      </c>
      <c r="D12" s="6" t="s">
        <v>28</v>
      </c>
      <c r="E12" s="4">
        <v>28</v>
      </c>
      <c r="F12" s="7">
        <v>12</v>
      </c>
      <c r="G12" s="7">
        <v>30</v>
      </c>
      <c r="H12">
        <v>0</v>
      </c>
      <c r="I12">
        <v>0</v>
      </c>
      <c r="J12">
        <f>IF(Articles[[#This Row],[ABC]]="A",freq_A,IF(Articles[[#This Row],[ABC]]="B",freq_B,freq_C))</f>
        <v>0</v>
      </c>
      <c r="K12">
        <v>0</v>
      </c>
      <c r="L12">
        <v>0</v>
      </c>
      <c r="M12">
        <v>0</v>
      </c>
    </row>
    <row r="13" spans="1:13" x14ac:dyDescent="0.25">
      <c r="A13" s="5" t="s">
        <v>52</v>
      </c>
      <c r="B13" s="5" t="s">
        <v>53</v>
      </c>
      <c r="C13" s="6" t="s">
        <v>54</v>
      </c>
      <c r="D13" s="6" t="s">
        <v>28</v>
      </c>
      <c r="E13" s="4">
        <v>39</v>
      </c>
      <c r="F13" s="7">
        <v>14</v>
      </c>
      <c r="G13" s="7">
        <v>35</v>
      </c>
      <c r="H13">
        <v>0</v>
      </c>
      <c r="I13">
        <v>0</v>
      </c>
      <c r="J13">
        <f>IF(Articles[[#This Row],[ABC]]="A",freq_A,IF(Articles[[#This Row],[ABC]]="B",freq_B,freq_C))</f>
        <v>0</v>
      </c>
      <c r="K13">
        <v>0</v>
      </c>
      <c r="L13">
        <v>0</v>
      </c>
      <c r="M13">
        <v>0</v>
      </c>
    </row>
    <row r="14" spans="1:13" x14ac:dyDescent="0.25">
      <c r="A14" s="5" t="s">
        <v>55</v>
      </c>
      <c r="B14" s="5" t="s">
        <v>56</v>
      </c>
      <c r="C14" s="6" t="s">
        <v>57</v>
      </c>
      <c r="D14" s="6" t="s">
        <v>28</v>
      </c>
      <c r="E14" s="4">
        <v>1.2</v>
      </c>
      <c r="F14" s="7">
        <v>240</v>
      </c>
      <c r="G14" s="7">
        <v>1000</v>
      </c>
      <c r="H14">
        <v>0</v>
      </c>
      <c r="I14">
        <v>0</v>
      </c>
      <c r="J14">
        <f>IF(Articles[[#This Row],[ABC]]="A",freq_A,IF(Articles[[#This Row],[ABC]]="B",freq_B,freq_C))</f>
        <v>0</v>
      </c>
      <c r="K14">
        <v>0</v>
      </c>
      <c r="L14">
        <v>0</v>
      </c>
      <c r="M14">
        <v>0</v>
      </c>
    </row>
    <row r="15" spans="1:13" x14ac:dyDescent="0.25">
      <c r="A15" s="5" t="s">
        <v>58</v>
      </c>
      <c r="B15" s="5" t="s">
        <v>59</v>
      </c>
      <c r="C15" s="6" t="s">
        <v>60</v>
      </c>
      <c r="D15" s="6" t="s">
        <v>28</v>
      </c>
      <c r="E15" s="4">
        <v>19.5</v>
      </c>
      <c r="F15" s="7">
        <v>10</v>
      </c>
      <c r="G15" s="7">
        <v>20</v>
      </c>
      <c r="H15">
        <v>0</v>
      </c>
      <c r="I15">
        <v>0</v>
      </c>
      <c r="J15">
        <f>IF(Articles[[#This Row],[ABC]]="A",freq_A,IF(Articles[[#This Row],[ABC]]="B",freq_B,freq_C))</f>
        <v>0</v>
      </c>
      <c r="K15">
        <v>0</v>
      </c>
      <c r="L15">
        <v>0</v>
      </c>
      <c r="M15">
        <v>0</v>
      </c>
    </row>
    <row r="16" spans="1:13" x14ac:dyDescent="0.25">
      <c r="A16" s="5" t="s">
        <v>61</v>
      </c>
      <c r="B16" s="5" t="s">
        <v>62</v>
      </c>
      <c r="C16" s="6" t="s">
        <v>63</v>
      </c>
      <c r="D16" s="6" t="s">
        <v>28</v>
      </c>
      <c r="E16" s="4">
        <v>7.6</v>
      </c>
      <c r="F16" s="7">
        <v>70</v>
      </c>
      <c r="G16" s="7">
        <v>300</v>
      </c>
      <c r="H16">
        <v>0</v>
      </c>
      <c r="I16">
        <v>0</v>
      </c>
      <c r="J16">
        <f>IF(Articles[[#This Row],[ABC]]="A",freq_A,IF(Articles[[#This Row],[ABC]]="B",freq_B,freq_C))</f>
        <v>0</v>
      </c>
      <c r="K16">
        <v>0</v>
      </c>
      <c r="L16">
        <v>0</v>
      </c>
      <c r="M16">
        <v>0</v>
      </c>
    </row>
    <row r="17" spans="1:13" x14ac:dyDescent="0.25">
      <c r="A17" s="5" t="s">
        <v>64</v>
      </c>
      <c r="B17" s="5" t="s">
        <v>65</v>
      </c>
      <c r="C17" s="6" t="s">
        <v>66</v>
      </c>
      <c r="D17" s="6" t="s">
        <v>28</v>
      </c>
      <c r="E17" s="4">
        <v>2.6</v>
      </c>
      <c r="F17" s="7">
        <v>120</v>
      </c>
      <c r="G17" s="7">
        <v>900</v>
      </c>
      <c r="H17">
        <v>0</v>
      </c>
      <c r="I17">
        <v>0</v>
      </c>
      <c r="J17">
        <f>IF(Articles[[#This Row],[ABC]]="A",freq_A,IF(Articles[[#This Row],[ABC]]="B",freq_B,freq_C))</f>
        <v>0</v>
      </c>
      <c r="K17">
        <v>0</v>
      </c>
      <c r="L17">
        <v>0</v>
      </c>
      <c r="M17">
        <v>0</v>
      </c>
    </row>
    <row r="18" spans="1:13" x14ac:dyDescent="0.25">
      <c r="A18" s="5" t="s">
        <v>67</v>
      </c>
      <c r="B18" s="5" t="s">
        <v>68</v>
      </c>
      <c r="C18" s="6" t="s">
        <v>69</v>
      </c>
      <c r="D18" s="6" t="s">
        <v>28</v>
      </c>
      <c r="E18" s="4">
        <v>95</v>
      </c>
      <c r="F18" s="7">
        <v>4</v>
      </c>
      <c r="G18" s="7">
        <v>8</v>
      </c>
      <c r="H18">
        <v>0</v>
      </c>
      <c r="I18">
        <v>0</v>
      </c>
      <c r="J18">
        <f>IF(Articles[[#This Row],[ABC]]="A",freq_A,IF(Articles[[#This Row],[ABC]]="B",freq_B,freq_C))</f>
        <v>0</v>
      </c>
      <c r="K18">
        <v>0</v>
      </c>
      <c r="L18">
        <v>0</v>
      </c>
      <c r="M18">
        <v>0</v>
      </c>
    </row>
    <row r="19" spans="1:13" x14ac:dyDescent="0.25">
      <c r="A19" s="5" t="s">
        <v>70</v>
      </c>
      <c r="B19" s="5" t="s">
        <v>71</v>
      </c>
      <c r="C19" s="6" t="s">
        <v>72</v>
      </c>
      <c r="D19" s="6" t="s">
        <v>28</v>
      </c>
      <c r="E19" s="4">
        <v>0.12</v>
      </c>
      <c r="F19" s="7">
        <v>500</v>
      </c>
      <c r="G19" s="7">
        <v>4000</v>
      </c>
      <c r="H19">
        <v>0</v>
      </c>
      <c r="I19">
        <v>0</v>
      </c>
      <c r="J19">
        <f>IF(Articles[[#This Row],[ABC]]="A",freq_A,IF(Articles[[#This Row],[ABC]]="B",freq_B,freq_C))</f>
        <v>0</v>
      </c>
      <c r="K19">
        <v>0</v>
      </c>
      <c r="L19">
        <v>0</v>
      </c>
      <c r="M19">
        <v>0</v>
      </c>
    </row>
    <row r="20" spans="1:13" x14ac:dyDescent="0.25">
      <c r="A20" s="5" t="s">
        <v>73</v>
      </c>
      <c r="B20" s="5" t="s">
        <v>74</v>
      </c>
      <c r="C20" s="6" t="s">
        <v>75</v>
      </c>
      <c r="D20" s="6" t="s">
        <v>28</v>
      </c>
      <c r="E20" s="4">
        <v>3.8</v>
      </c>
      <c r="F20" s="7">
        <v>25</v>
      </c>
      <c r="G20" s="7">
        <v>50</v>
      </c>
      <c r="H20">
        <v>0</v>
      </c>
      <c r="I20">
        <v>0</v>
      </c>
      <c r="J20">
        <f>IF(Articles[[#This Row],[ABC]]="A",freq_A,IF(Articles[[#This Row],[ABC]]="B",freq_B,freq_C))</f>
        <v>0</v>
      </c>
      <c r="K20">
        <v>0</v>
      </c>
      <c r="L20">
        <v>0</v>
      </c>
      <c r="M20">
        <v>0</v>
      </c>
    </row>
    <row r="21" spans="1:13" x14ac:dyDescent="0.25">
      <c r="A21" s="5" t="s">
        <v>76</v>
      </c>
      <c r="B21" s="5" t="s">
        <v>77</v>
      </c>
      <c r="C21" s="6" t="s">
        <v>37</v>
      </c>
      <c r="D21" s="6" t="s">
        <v>78</v>
      </c>
      <c r="E21" s="4">
        <v>6.4</v>
      </c>
      <c r="F21" s="7">
        <v>60</v>
      </c>
      <c r="G21" s="7">
        <v>200</v>
      </c>
      <c r="H21">
        <v>0</v>
      </c>
      <c r="I21">
        <v>0</v>
      </c>
      <c r="J21">
        <f>IF(Articles[[#This Row],[ABC]]="A",freq_A,IF(Articles[[#This Row],[ABC]]="B",freq_B,freq_C))</f>
        <v>0</v>
      </c>
      <c r="K21">
        <v>0</v>
      </c>
      <c r="L21">
        <v>0</v>
      </c>
      <c r="M21">
        <v>0</v>
      </c>
    </row>
    <row r="22" spans="1:13" x14ac:dyDescent="0.25">
      <c r="A22" s="5" t="s">
        <v>79</v>
      </c>
      <c r="B22" s="5" t="s">
        <v>80</v>
      </c>
      <c r="C22" s="6" t="s">
        <v>81</v>
      </c>
      <c r="D22" s="6" t="s">
        <v>28</v>
      </c>
      <c r="E22" s="4">
        <v>32</v>
      </c>
      <c r="F22" s="7">
        <v>6</v>
      </c>
      <c r="G22" s="7">
        <v>12</v>
      </c>
      <c r="H22">
        <v>0</v>
      </c>
      <c r="I22">
        <v>0</v>
      </c>
      <c r="J22">
        <f>IF(Articles[[#This Row],[ABC]]="A",freq_A,IF(Articles[[#This Row],[ABC]]="B",freq_B,freq_C))</f>
        <v>0</v>
      </c>
      <c r="K22">
        <v>0</v>
      </c>
      <c r="L22">
        <v>0</v>
      </c>
      <c r="M22">
        <v>0</v>
      </c>
    </row>
    <row r="23" spans="1:13" x14ac:dyDescent="0.25">
      <c r="A23" s="5" t="s">
        <v>82</v>
      </c>
      <c r="B23" s="5" t="s">
        <v>83</v>
      </c>
      <c r="C23" s="6" t="s">
        <v>84</v>
      </c>
      <c r="D23" s="6" t="s">
        <v>28</v>
      </c>
      <c r="E23" s="4">
        <v>1.9</v>
      </c>
      <c r="F23" s="7">
        <v>120</v>
      </c>
      <c r="G23" s="7">
        <v>700</v>
      </c>
      <c r="H23">
        <v>0</v>
      </c>
      <c r="I23">
        <v>0</v>
      </c>
      <c r="J23">
        <f>IF(Articles[[#This Row],[ABC]]="A",freq_A,IF(Articles[[#This Row],[ABC]]="B",freq_B,freq_C))</f>
        <v>0</v>
      </c>
      <c r="K23">
        <v>0</v>
      </c>
      <c r="L23">
        <v>0</v>
      </c>
      <c r="M23">
        <v>0</v>
      </c>
    </row>
    <row r="24" spans="1:13" x14ac:dyDescent="0.25">
      <c r="A24" s="5" t="s">
        <v>85</v>
      </c>
      <c r="B24" s="5" t="s">
        <v>86</v>
      </c>
      <c r="C24" s="6" t="s">
        <v>87</v>
      </c>
      <c r="D24" s="6" t="s">
        <v>88</v>
      </c>
      <c r="E24" s="4">
        <v>0.35</v>
      </c>
      <c r="F24" s="7">
        <v>500</v>
      </c>
      <c r="G24" s="7">
        <v>5500</v>
      </c>
      <c r="H24">
        <v>0</v>
      </c>
      <c r="I24">
        <v>0</v>
      </c>
      <c r="J24">
        <f>IF(Articles[[#This Row],[ABC]]="A",freq_A,IF(Articles[[#This Row],[ABC]]="B",freq_B,freq_C))</f>
        <v>0</v>
      </c>
      <c r="K24">
        <v>0</v>
      </c>
      <c r="L24">
        <v>0</v>
      </c>
      <c r="M24">
        <v>0</v>
      </c>
    </row>
  </sheetData>
  <pageMargins left="0.7" right="0.7" top="0.75" bottom="0.75" header="0.3" footer="0.3"/>
  <tableParts count="1">
    <tablePart r:id="rId1"/>
  </tablePart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2:B122"/>
  <sheetViews>
    <sheetView workbookViewId="0"/>
  </sheetViews>
  <sheetFormatPr baseColWidth="10" defaultColWidth="9.140625" defaultRowHeight="15" x14ac:dyDescent="0.25"/>
  <cols>
    <col min="1" max="1" width="16.7109375" customWidth="1"/>
    <col min="2" max="2" width="80.7109375" customWidth="1"/>
  </cols>
  <sheetData>
    <row r="2" spans="1:2" x14ac:dyDescent="0.25">
      <c r="A2" s="8" t="s">
        <v>89</v>
      </c>
      <c r="B2" s="8" t="s">
        <v>90</v>
      </c>
    </row>
    <row r="3" spans="1:2" x14ac:dyDescent="0.25">
      <c r="A3" s="3">
        <v>45658</v>
      </c>
      <c r="B3" s="5" t="s">
        <v>25</v>
      </c>
    </row>
    <row r="4" spans="1:2" x14ac:dyDescent="0.25">
      <c r="A4" s="3">
        <v>45659</v>
      </c>
      <c r="B4" s="5" t="s">
        <v>29</v>
      </c>
    </row>
    <row r="5" spans="1:2" x14ac:dyDescent="0.25">
      <c r="A5" s="3">
        <v>45660</v>
      </c>
      <c r="B5" s="5" t="s">
        <v>32</v>
      </c>
    </row>
    <row r="6" spans="1:2" x14ac:dyDescent="0.25">
      <c r="A6" s="3">
        <v>45661</v>
      </c>
      <c r="B6" s="5" t="s">
        <v>35</v>
      </c>
    </row>
    <row r="7" spans="1:2" x14ac:dyDescent="0.25">
      <c r="A7" s="3">
        <v>45662</v>
      </c>
      <c r="B7" s="5" t="s">
        <v>39</v>
      </c>
    </row>
    <row r="8" spans="1:2" x14ac:dyDescent="0.25">
      <c r="A8" s="3">
        <v>45663</v>
      </c>
      <c r="B8" s="5" t="s">
        <v>43</v>
      </c>
    </row>
    <row r="9" spans="1:2" x14ac:dyDescent="0.25">
      <c r="A9" s="3">
        <v>45664</v>
      </c>
      <c r="B9" s="5" t="s">
        <v>46</v>
      </c>
    </row>
    <row r="10" spans="1:2" x14ac:dyDescent="0.25">
      <c r="A10" s="3">
        <v>45665</v>
      </c>
      <c r="B10" s="5" t="s">
        <v>49</v>
      </c>
    </row>
    <row r="11" spans="1:2" x14ac:dyDescent="0.25">
      <c r="A11" s="3">
        <v>45666</v>
      </c>
      <c r="B11" s="5" t="s">
        <v>52</v>
      </c>
    </row>
    <row r="12" spans="1:2" x14ac:dyDescent="0.25">
      <c r="A12" s="3">
        <v>45667</v>
      </c>
      <c r="B12" s="5" t="s">
        <v>55</v>
      </c>
    </row>
    <row r="13" spans="1:2" x14ac:dyDescent="0.25">
      <c r="A13" s="3">
        <v>45668</v>
      </c>
      <c r="B13" s="5" t="s">
        <v>58</v>
      </c>
    </row>
    <row r="14" spans="1:2" x14ac:dyDescent="0.25">
      <c r="A14" s="3">
        <v>45669</v>
      </c>
      <c r="B14" s="5" t="s">
        <v>61</v>
      </c>
    </row>
    <row r="15" spans="1:2" x14ac:dyDescent="0.25">
      <c r="A15" s="3">
        <v>45670</v>
      </c>
      <c r="B15" s="5" t="s">
        <v>64</v>
      </c>
    </row>
    <row r="16" spans="1:2" x14ac:dyDescent="0.25">
      <c r="A16" s="3">
        <v>45671</v>
      </c>
      <c r="B16" s="5" t="s">
        <v>67</v>
      </c>
    </row>
    <row r="17" spans="1:2" x14ac:dyDescent="0.25">
      <c r="A17" s="3">
        <v>45672</v>
      </c>
      <c r="B17" s="5" t="s">
        <v>70</v>
      </c>
    </row>
    <row r="18" spans="1:2" x14ac:dyDescent="0.25">
      <c r="A18" s="3">
        <v>45673</v>
      </c>
      <c r="B18" s="5" t="s">
        <v>73</v>
      </c>
    </row>
    <row r="19" spans="1:2" x14ac:dyDescent="0.25">
      <c r="A19" s="3">
        <v>45674</v>
      </c>
      <c r="B19" s="5" t="s">
        <v>76</v>
      </c>
    </row>
    <row r="20" spans="1:2" x14ac:dyDescent="0.25">
      <c r="A20" s="3">
        <v>45675</v>
      </c>
      <c r="B20" s="5" t="s">
        <v>79</v>
      </c>
    </row>
    <row r="21" spans="1:2" x14ac:dyDescent="0.25">
      <c r="A21" s="3">
        <v>45676</v>
      </c>
      <c r="B21" s="5" t="s">
        <v>82</v>
      </c>
    </row>
    <row r="22" spans="1:2" x14ac:dyDescent="0.25">
      <c r="A22" s="3">
        <v>45677</v>
      </c>
      <c r="B22" s="5" t="s">
        <v>85</v>
      </c>
    </row>
    <row r="23" spans="1:2" x14ac:dyDescent="0.25">
      <c r="A23" s="3">
        <v>45678</v>
      </c>
      <c r="B23" s="5"/>
    </row>
    <row r="24" spans="1:2" x14ac:dyDescent="0.25">
      <c r="A24" s="3">
        <v>45679</v>
      </c>
      <c r="B24" s="5"/>
    </row>
    <row r="25" spans="1:2" x14ac:dyDescent="0.25">
      <c r="A25" s="3">
        <v>45680</v>
      </c>
      <c r="B25" s="5"/>
    </row>
    <row r="26" spans="1:2" x14ac:dyDescent="0.25">
      <c r="A26" s="3">
        <v>45681</v>
      </c>
      <c r="B26" s="5"/>
    </row>
    <row r="27" spans="1:2" x14ac:dyDescent="0.25">
      <c r="A27" s="3">
        <v>45682</v>
      </c>
      <c r="B27" s="5"/>
    </row>
    <row r="28" spans="1:2" x14ac:dyDescent="0.25">
      <c r="A28" s="3">
        <v>45683</v>
      </c>
      <c r="B28" s="5"/>
    </row>
    <row r="29" spans="1:2" x14ac:dyDescent="0.25">
      <c r="A29" s="3">
        <v>45684</v>
      </c>
      <c r="B29" s="5"/>
    </row>
    <row r="30" spans="1:2" x14ac:dyDescent="0.25">
      <c r="A30" s="3">
        <v>45685</v>
      </c>
      <c r="B30" s="5"/>
    </row>
    <row r="31" spans="1:2" x14ac:dyDescent="0.25">
      <c r="A31" s="3">
        <v>45686</v>
      </c>
      <c r="B31" s="5"/>
    </row>
    <row r="32" spans="1:2" x14ac:dyDescent="0.25">
      <c r="A32" s="3">
        <v>45687</v>
      </c>
      <c r="B32" s="5"/>
    </row>
    <row r="33" spans="1:2" x14ac:dyDescent="0.25">
      <c r="A33" s="3">
        <v>45688</v>
      </c>
      <c r="B33" s="5"/>
    </row>
    <row r="34" spans="1:2" x14ac:dyDescent="0.25">
      <c r="A34" s="3">
        <v>45689</v>
      </c>
      <c r="B34" s="5"/>
    </row>
    <row r="35" spans="1:2" x14ac:dyDescent="0.25">
      <c r="A35" s="3">
        <v>45690</v>
      </c>
      <c r="B35" s="5"/>
    </row>
    <row r="36" spans="1:2" x14ac:dyDescent="0.25">
      <c r="A36" s="3">
        <v>45691</v>
      </c>
      <c r="B36" s="5" t="s">
        <v>35</v>
      </c>
    </row>
    <row r="37" spans="1:2" x14ac:dyDescent="0.25">
      <c r="A37" s="3">
        <v>45692</v>
      </c>
      <c r="B37" s="5"/>
    </row>
    <row r="38" spans="1:2" x14ac:dyDescent="0.25">
      <c r="A38" s="3">
        <v>45693</v>
      </c>
      <c r="B38" s="5" t="s">
        <v>43</v>
      </c>
    </row>
    <row r="39" spans="1:2" x14ac:dyDescent="0.25">
      <c r="A39" s="3">
        <v>45694</v>
      </c>
      <c r="B39" s="5" t="s">
        <v>46</v>
      </c>
    </row>
    <row r="40" spans="1:2" x14ac:dyDescent="0.25">
      <c r="A40" s="3">
        <v>45695</v>
      </c>
      <c r="B40" s="5"/>
    </row>
    <row r="41" spans="1:2" x14ac:dyDescent="0.25">
      <c r="A41" s="3">
        <v>45696</v>
      </c>
      <c r="B41" s="5"/>
    </row>
    <row r="42" spans="1:2" x14ac:dyDescent="0.25">
      <c r="A42" s="3">
        <v>45697</v>
      </c>
      <c r="B42" s="5"/>
    </row>
    <row r="43" spans="1:2" x14ac:dyDescent="0.25">
      <c r="A43" s="3">
        <v>45698</v>
      </c>
      <c r="B43" s="5"/>
    </row>
    <row r="44" spans="1:2" x14ac:dyDescent="0.25">
      <c r="A44" s="3">
        <v>45699</v>
      </c>
      <c r="B44" s="5"/>
    </row>
    <row r="45" spans="1:2" x14ac:dyDescent="0.25">
      <c r="A45" s="3">
        <v>45700</v>
      </c>
      <c r="B45" s="5"/>
    </row>
    <row r="46" spans="1:2" x14ac:dyDescent="0.25">
      <c r="A46" s="3">
        <v>45701</v>
      </c>
      <c r="B46" s="5"/>
    </row>
    <row r="47" spans="1:2" x14ac:dyDescent="0.25">
      <c r="A47" s="3">
        <v>45702</v>
      </c>
      <c r="B47" s="5"/>
    </row>
    <row r="48" spans="1:2" x14ac:dyDescent="0.25">
      <c r="A48" s="3">
        <v>45703</v>
      </c>
      <c r="B48" s="5"/>
    </row>
    <row r="49" spans="1:2" x14ac:dyDescent="0.25">
      <c r="A49" s="3">
        <v>45704</v>
      </c>
      <c r="B49" s="5"/>
    </row>
    <row r="50" spans="1:2" x14ac:dyDescent="0.25">
      <c r="A50" s="3">
        <v>45705</v>
      </c>
      <c r="B50" s="5"/>
    </row>
    <row r="51" spans="1:2" x14ac:dyDescent="0.25">
      <c r="A51" s="3">
        <v>45706</v>
      </c>
      <c r="B51" s="5"/>
    </row>
    <row r="52" spans="1:2" x14ac:dyDescent="0.25">
      <c r="A52" s="3">
        <v>45707</v>
      </c>
      <c r="B52" s="5"/>
    </row>
    <row r="53" spans="1:2" x14ac:dyDescent="0.25">
      <c r="A53" s="3">
        <v>45708</v>
      </c>
      <c r="B53" s="5"/>
    </row>
    <row r="54" spans="1:2" x14ac:dyDescent="0.25">
      <c r="A54" s="3">
        <v>45709</v>
      </c>
      <c r="B54" s="5"/>
    </row>
    <row r="55" spans="1:2" x14ac:dyDescent="0.25">
      <c r="A55" s="3">
        <v>45710</v>
      </c>
      <c r="B55" s="5"/>
    </row>
    <row r="56" spans="1:2" x14ac:dyDescent="0.25">
      <c r="A56" s="3">
        <v>45711</v>
      </c>
      <c r="B56" s="5"/>
    </row>
    <row r="57" spans="1:2" x14ac:dyDescent="0.25">
      <c r="A57" s="3">
        <v>45712</v>
      </c>
      <c r="B57" s="5"/>
    </row>
    <row r="58" spans="1:2" x14ac:dyDescent="0.25">
      <c r="A58" s="3">
        <v>45713</v>
      </c>
      <c r="B58" s="5"/>
    </row>
    <row r="59" spans="1:2" x14ac:dyDescent="0.25">
      <c r="A59" s="3">
        <v>45714</v>
      </c>
      <c r="B59" s="5"/>
    </row>
    <row r="60" spans="1:2" x14ac:dyDescent="0.25">
      <c r="A60" s="3">
        <v>45715</v>
      </c>
      <c r="B60" s="5"/>
    </row>
    <row r="61" spans="1:2" x14ac:dyDescent="0.25">
      <c r="A61" s="3">
        <v>45716</v>
      </c>
      <c r="B61" s="5"/>
    </row>
    <row r="62" spans="1:2" x14ac:dyDescent="0.25">
      <c r="A62" s="3">
        <v>45717</v>
      </c>
      <c r="B62" s="5"/>
    </row>
    <row r="63" spans="1:2" x14ac:dyDescent="0.25">
      <c r="A63" s="3">
        <v>45718</v>
      </c>
      <c r="B63" s="5"/>
    </row>
    <row r="64" spans="1:2" x14ac:dyDescent="0.25">
      <c r="A64" s="3">
        <v>45719</v>
      </c>
      <c r="B64" s="5"/>
    </row>
    <row r="65" spans="1:2" x14ac:dyDescent="0.25">
      <c r="A65" s="3">
        <v>45720</v>
      </c>
      <c r="B65" s="5"/>
    </row>
    <row r="66" spans="1:2" x14ac:dyDescent="0.25">
      <c r="A66" s="3">
        <v>45721</v>
      </c>
      <c r="B66" s="5" t="s">
        <v>35</v>
      </c>
    </row>
    <row r="67" spans="1:2" x14ac:dyDescent="0.25">
      <c r="A67" s="3">
        <v>45722</v>
      </c>
      <c r="B67" s="5"/>
    </row>
    <row r="68" spans="1:2" x14ac:dyDescent="0.25">
      <c r="A68" s="3">
        <v>45723</v>
      </c>
      <c r="B68" s="5" t="s">
        <v>43</v>
      </c>
    </row>
    <row r="69" spans="1:2" x14ac:dyDescent="0.25">
      <c r="A69" s="3">
        <v>45724</v>
      </c>
      <c r="B69" s="5" t="s">
        <v>46</v>
      </c>
    </row>
    <row r="70" spans="1:2" x14ac:dyDescent="0.25">
      <c r="A70" s="3">
        <v>45725</v>
      </c>
      <c r="B70" s="5"/>
    </row>
    <row r="71" spans="1:2" x14ac:dyDescent="0.25">
      <c r="A71" s="3">
        <v>45726</v>
      </c>
      <c r="B71" s="5"/>
    </row>
    <row r="72" spans="1:2" x14ac:dyDescent="0.25">
      <c r="A72" s="3">
        <v>45727</v>
      </c>
      <c r="B72" s="5"/>
    </row>
    <row r="73" spans="1:2" x14ac:dyDescent="0.25">
      <c r="A73" s="3">
        <v>45728</v>
      </c>
      <c r="B73" s="5"/>
    </row>
    <row r="74" spans="1:2" x14ac:dyDescent="0.25">
      <c r="A74" s="3">
        <v>45729</v>
      </c>
      <c r="B74" s="5"/>
    </row>
    <row r="75" spans="1:2" x14ac:dyDescent="0.25">
      <c r="A75" s="3">
        <v>45730</v>
      </c>
      <c r="B75" s="5"/>
    </row>
    <row r="76" spans="1:2" x14ac:dyDescent="0.25">
      <c r="A76" s="3">
        <v>45731</v>
      </c>
      <c r="B76" s="5"/>
    </row>
    <row r="77" spans="1:2" x14ac:dyDescent="0.25">
      <c r="A77" s="3">
        <v>45732</v>
      </c>
      <c r="B77" s="5"/>
    </row>
    <row r="78" spans="1:2" x14ac:dyDescent="0.25">
      <c r="A78" s="3">
        <v>45733</v>
      </c>
      <c r="B78" s="5"/>
    </row>
    <row r="79" spans="1:2" x14ac:dyDescent="0.25">
      <c r="A79" s="3">
        <v>45734</v>
      </c>
      <c r="B79" s="5"/>
    </row>
    <row r="80" spans="1:2" x14ac:dyDescent="0.25">
      <c r="A80" s="3">
        <v>45735</v>
      </c>
      <c r="B80" s="5"/>
    </row>
    <row r="81" spans="1:2" x14ac:dyDescent="0.25">
      <c r="A81" s="3">
        <v>45736</v>
      </c>
      <c r="B81" s="5"/>
    </row>
    <row r="82" spans="1:2" x14ac:dyDescent="0.25">
      <c r="A82" s="3">
        <v>45737</v>
      </c>
      <c r="B82" s="5"/>
    </row>
    <row r="83" spans="1:2" x14ac:dyDescent="0.25">
      <c r="A83" s="3">
        <v>45738</v>
      </c>
      <c r="B83" s="5"/>
    </row>
    <row r="84" spans="1:2" x14ac:dyDescent="0.25">
      <c r="A84" s="3">
        <v>45739</v>
      </c>
      <c r="B84" s="5"/>
    </row>
    <row r="85" spans="1:2" x14ac:dyDescent="0.25">
      <c r="A85" s="3">
        <v>45740</v>
      </c>
      <c r="B85" s="5"/>
    </row>
    <row r="86" spans="1:2" x14ac:dyDescent="0.25">
      <c r="A86" s="3">
        <v>45741</v>
      </c>
      <c r="B86" s="5"/>
    </row>
    <row r="87" spans="1:2" x14ac:dyDescent="0.25">
      <c r="A87" s="3">
        <v>45742</v>
      </c>
      <c r="B87" s="5"/>
    </row>
    <row r="88" spans="1:2" x14ac:dyDescent="0.25">
      <c r="A88" s="3">
        <v>45743</v>
      </c>
      <c r="B88" s="5"/>
    </row>
    <row r="89" spans="1:2" x14ac:dyDescent="0.25">
      <c r="A89" s="3">
        <v>45744</v>
      </c>
      <c r="B89" s="5"/>
    </row>
    <row r="90" spans="1:2" x14ac:dyDescent="0.25">
      <c r="A90" s="3">
        <v>45745</v>
      </c>
      <c r="B90" s="5"/>
    </row>
    <row r="91" spans="1:2" x14ac:dyDescent="0.25">
      <c r="A91" s="3">
        <v>45746</v>
      </c>
      <c r="B91" s="5"/>
    </row>
    <row r="92" spans="1:2" x14ac:dyDescent="0.25">
      <c r="A92" s="3">
        <v>45747</v>
      </c>
      <c r="B92" s="5"/>
    </row>
    <row r="93" spans="1:2" x14ac:dyDescent="0.25">
      <c r="A93" s="3">
        <v>45748</v>
      </c>
      <c r="B93" s="5" t="s">
        <v>25</v>
      </c>
    </row>
    <row r="94" spans="1:2" x14ac:dyDescent="0.25">
      <c r="A94" s="3">
        <v>45749</v>
      </c>
      <c r="B94" s="5"/>
    </row>
    <row r="95" spans="1:2" x14ac:dyDescent="0.25">
      <c r="A95" s="3">
        <v>45750</v>
      </c>
      <c r="B95" s="5" t="s">
        <v>32</v>
      </c>
    </row>
    <row r="96" spans="1:2" x14ac:dyDescent="0.25">
      <c r="A96" s="3">
        <v>45751</v>
      </c>
      <c r="B96" s="5" t="s">
        <v>35</v>
      </c>
    </row>
    <row r="97" spans="1:2" x14ac:dyDescent="0.25">
      <c r="A97" s="3">
        <v>45752</v>
      </c>
      <c r="B97" s="5"/>
    </row>
    <row r="98" spans="1:2" x14ac:dyDescent="0.25">
      <c r="A98" s="3">
        <v>45753</v>
      </c>
      <c r="B98" s="5" t="s">
        <v>43</v>
      </c>
    </row>
    <row r="99" spans="1:2" x14ac:dyDescent="0.25">
      <c r="A99" s="3">
        <v>45754</v>
      </c>
      <c r="B99" s="5" t="s">
        <v>46</v>
      </c>
    </row>
    <row r="100" spans="1:2" x14ac:dyDescent="0.25">
      <c r="A100" s="3">
        <v>45755</v>
      </c>
      <c r="B100" s="5"/>
    </row>
    <row r="101" spans="1:2" x14ac:dyDescent="0.25">
      <c r="A101" s="3">
        <v>45756</v>
      </c>
      <c r="B101" s="5"/>
    </row>
    <row r="102" spans="1:2" x14ac:dyDescent="0.25">
      <c r="A102" s="3">
        <v>45757</v>
      </c>
      <c r="B102" s="5"/>
    </row>
    <row r="103" spans="1:2" x14ac:dyDescent="0.25">
      <c r="A103" s="3">
        <v>45758</v>
      </c>
      <c r="B103" s="5"/>
    </row>
    <row r="104" spans="1:2" x14ac:dyDescent="0.25">
      <c r="A104" s="3">
        <v>45759</v>
      </c>
      <c r="B104" s="5" t="s">
        <v>61</v>
      </c>
    </row>
    <row r="105" spans="1:2" x14ac:dyDescent="0.25">
      <c r="A105" s="3">
        <v>45760</v>
      </c>
      <c r="B105" s="5" t="s">
        <v>64</v>
      </c>
    </row>
    <row r="106" spans="1:2" x14ac:dyDescent="0.25">
      <c r="A106" s="3">
        <v>45761</v>
      </c>
      <c r="B106" s="5"/>
    </row>
    <row r="107" spans="1:2" x14ac:dyDescent="0.25">
      <c r="A107" s="3">
        <v>45762</v>
      </c>
      <c r="B107" s="5"/>
    </row>
    <row r="108" spans="1:2" x14ac:dyDescent="0.25">
      <c r="A108" s="3">
        <v>45763</v>
      </c>
      <c r="B108" s="5"/>
    </row>
    <row r="109" spans="1:2" x14ac:dyDescent="0.25">
      <c r="A109" s="3">
        <v>45764</v>
      </c>
      <c r="B109" s="5"/>
    </row>
    <row r="110" spans="1:2" x14ac:dyDescent="0.25">
      <c r="A110" s="3">
        <v>45765</v>
      </c>
      <c r="B110" s="5"/>
    </row>
    <row r="111" spans="1:2" x14ac:dyDescent="0.25">
      <c r="A111" s="3">
        <v>45766</v>
      </c>
      <c r="B111" s="5"/>
    </row>
    <row r="112" spans="1:2" x14ac:dyDescent="0.25">
      <c r="A112" s="3">
        <v>45767</v>
      </c>
      <c r="B112" s="5"/>
    </row>
    <row r="113" spans="1:2" x14ac:dyDescent="0.25">
      <c r="A113" s="3">
        <v>45768</v>
      </c>
      <c r="B113" s="5"/>
    </row>
    <row r="114" spans="1:2" x14ac:dyDescent="0.25">
      <c r="A114" s="3">
        <v>45769</v>
      </c>
      <c r="B114" s="5"/>
    </row>
    <row r="115" spans="1:2" x14ac:dyDescent="0.25">
      <c r="A115" s="3">
        <v>45770</v>
      </c>
      <c r="B115" s="5"/>
    </row>
    <row r="116" spans="1:2" x14ac:dyDescent="0.25">
      <c r="A116" s="3">
        <v>45771</v>
      </c>
      <c r="B116" s="5"/>
    </row>
    <row r="117" spans="1:2" x14ac:dyDescent="0.25">
      <c r="A117" s="3">
        <v>45772</v>
      </c>
      <c r="B117" s="5"/>
    </row>
    <row r="118" spans="1:2" x14ac:dyDescent="0.25">
      <c r="A118" s="3">
        <v>45773</v>
      </c>
      <c r="B118" s="5"/>
    </row>
    <row r="119" spans="1:2" x14ac:dyDescent="0.25">
      <c r="A119" s="3">
        <v>45774</v>
      </c>
      <c r="B119" s="5"/>
    </row>
    <row r="120" spans="1:2" x14ac:dyDescent="0.25">
      <c r="A120" s="3">
        <v>45775</v>
      </c>
      <c r="B120" s="5"/>
    </row>
    <row r="121" spans="1:2" x14ac:dyDescent="0.25">
      <c r="A121" s="3">
        <v>45776</v>
      </c>
      <c r="B121" s="5"/>
    </row>
    <row r="122" spans="1:2" x14ac:dyDescent="0.25">
      <c r="A122" s="3">
        <v>45777</v>
      </c>
      <c r="B122" s="5"/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4:Q37"/>
  <sheetViews>
    <sheetView zoomScale="60" zoomScaleNormal="60" workbookViewId="0">
      <pane ySplit="1" topLeftCell="A2" activePane="bottomLeft" state="frozen"/>
      <selection pane="bottomLeft" activeCell="K1" sqref="K1:K1048576"/>
    </sheetView>
  </sheetViews>
  <sheetFormatPr baseColWidth="10" defaultColWidth="9.140625" defaultRowHeight="15" x14ac:dyDescent="0.25"/>
  <cols>
    <col min="1" max="1" width="12.7109375" customWidth="1"/>
    <col min="2" max="2" width="16.7109375" customWidth="1"/>
    <col min="3" max="3" width="34.7109375" customWidth="1"/>
    <col min="4" max="4" width="21.28515625" customWidth="1"/>
    <col min="5" max="5" width="12.42578125" customWidth="1"/>
    <col min="6" max="6" width="17" customWidth="1"/>
    <col min="7" max="7" width="22.140625" customWidth="1"/>
    <col min="8" max="8" width="21" customWidth="1"/>
    <col min="9" max="9" width="16.7109375" customWidth="1"/>
    <col min="10" max="10" width="12.7109375" customWidth="1"/>
    <col min="11" max="11" width="15.140625" customWidth="1"/>
    <col min="12" max="12" width="16.7109375" customWidth="1"/>
    <col min="13" max="15" width="18.7109375" customWidth="1"/>
    <col min="16" max="16" width="20.7109375" customWidth="1"/>
    <col min="17" max="17" width="18.7109375" customWidth="1"/>
  </cols>
  <sheetData>
    <row r="4" spans="1:17" x14ac:dyDescent="0.25">
      <c r="A4" t="s">
        <v>89</v>
      </c>
      <c r="B4" t="s">
        <v>12</v>
      </c>
      <c r="C4" t="s">
        <v>13</v>
      </c>
      <c r="D4" t="s">
        <v>14</v>
      </c>
      <c r="E4" t="s">
        <v>20</v>
      </c>
      <c r="F4" t="s">
        <v>15</v>
      </c>
      <c r="G4" t="s">
        <v>16</v>
      </c>
      <c r="H4" t="s">
        <v>17</v>
      </c>
      <c r="I4" t="s">
        <v>91</v>
      </c>
      <c r="J4" t="s">
        <v>92</v>
      </c>
      <c r="K4" t="s">
        <v>93</v>
      </c>
      <c r="L4" t="s">
        <v>94</v>
      </c>
      <c r="M4" t="s">
        <v>95</v>
      </c>
      <c r="N4" t="s">
        <v>96</v>
      </c>
      <c r="O4" t="s">
        <v>97</v>
      </c>
      <c r="P4" t="s">
        <v>98</v>
      </c>
      <c r="Q4" t="s">
        <v>99</v>
      </c>
    </row>
    <row r="5" spans="1:17" x14ac:dyDescent="0.25">
      <c r="A5" s="3">
        <v>45658</v>
      </c>
      <c r="B5" s="5" t="s">
        <v>25</v>
      </c>
      <c r="C5" t="str">
        <f>IFERROR(INDEX(Articles[Désignation],MATCH($B5,Articles[ID],0)),"")</f>
        <v>Roulement 6203 ZZ</v>
      </c>
      <c r="D5" t="str">
        <f>IFERROR(INDEX(Articles[Emplacement],MATCH($B5,Articles[ID],0)),"")</f>
        <v>A01</v>
      </c>
      <c r="E5">
        <f>IFERROR(INDEX(Articles[ABC],MATCH($B5,Articles[ID],0)),"")</f>
        <v>0</v>
      </c>
      <c r="F5" t="str">
        <f>IFERROR(INDEX(Articles[Unité],MATCH($B5,Articles[ID],0)),"")</f>
        <v>pcs</v>
      </c>
      <c r="G5">
        <f>IFERROR(INDEX(Articles[Coût_Unitaire],MATCH($B5,Articles[ID],0)),"")</f>
        <v>3.2</v>
      </c>
      <c r="H5">
        <f>IFERROR(INDEX(Articles[Stock_Système],MATCH($B5,Articles[ID],0)),"")</f>
        <v>150</v>
      </c>
      <c r="I5" s="7">
        <v>153</v>
      </c>
      <c r="J5">
        <f t="shared" ref="J5:J37" si="0">IF($B5="",0, $I5-$H5)</f>
        <v>3</v>
      </c>
      <c r="K5" s="9">
        <f t="shared" ref="K5:K37" si="1">IF($B5="",0, IF($H5=0,IF($I5=0,0,1),($I5-$H5)/$H5))</f>
        <v>0.02</v>
      </c>
      <c r="L5" s="9">
        <f t="shared" ref="L5:L37" si="2">IF($B5="",0, IF($E5="A",tol_A,IF($E5="B",tol_B,IF($E5="C",tol_C,0))))</f>
        <v>0</v>
      </c>
      <c r="M5" t="str">
        <f t="shared" ref="M5:M37" si="3">IF($B5="","", IF($H5=0,IF($I5=0,"OK","À vérifier"),IF(ABS($K5)&lt;=$L5,"OK","À vérifier")))</f>
        <v>À vérifier</v>
      </c>
      <c r="N5" s="4">
        <f t="shared" ref="N5:N37" si="4">IF($B5="",0, $J5*$G5)</f>
        <v>9.6000000000000014</v>
      </c>
      <c r="O5" s="4">
        <f t="shared" ref="O5:O37" si="5">ABS($N5)</f>
        <v>9.6000000000000014</v>
      </c>
      <c r="P5" s="5" t="s">
        <v>100</v>
      </c>
      <c r="Q5" t="str">
        <f t="shared" ref="Q5:Q37" si="6">IF($I5&lt;&gt;"",$B5,"")</f>
        <v>A-0001</v>
      </c>
    </row>
    <row r="6" spans="1:17" x14ac:dyDescent="0.25">
      <c r="A6" s="3">
        <v>45659</v>
      </c>
      <c r="B6" s="5" t="s">
        <v>29</v>
      </c>
      <c r="C6" t="str">
        <f>IFERROR(INDEX(Articles[Désignation],MATCH($B6,Articles[ID],0)),"")</f>
        <v>Courroie trapézoïdale 13x1000</v>
      </c>
      <c r="D6" t="str">
        <f>IFERROR(INDEX(Articles[Emplacement],MATCH($B6,Articles[ID],0)),"")</f>
        <v>A02</v>
      </c>
      <c r="E6">
        <f>IFERROR(INDEX(Articles[ABC],MATCH($B6,Articles[ID],0)),"")</f>
        <v>0</v>
      </c>
      <c r="F6" t="str">
        <f>IFERROR(INDEX(Articles[Unité],MATCH($B6,Articles[ID],0)),"")</f>
        <v>pcs</v>
      </c>
      <c r="G6">
        <f>IFERROR(INDEX(Articles[Coût_Unitaire],MATCH($B6,Articles[ID],0)),"")</f>
        <v>5.9</v>
      </c>
      <c r="H6">
        <f>IFERROR(INDEX(Articles[Stock_Système],MATCH($B6,Articles[ID],0)),"")</f>
        <v>60</v>
      </c>
      <c r="I6" s="7">
        <v>59</v>
      </c>
      <c r="J6">
        <f t="shared" si="0"/>
        <v>-1</v>
      </c>
      <c r="K6" s="9">
        <f t="shared" si="1"/>
        <v>-1.6666666666666666E-2</v>
      </c>
      <c r="L6" s="9">
        <f t="shared" si="2"/>
        <v>0</v>
      </c>
      <c r="M6" t="str">
        <f t="shared" si="3"/>
        <v>À vérifier</v>
      </c>
      <c r="N6" s="4">
        <f t="shared" si="4"/>
        <v>-5.9</v>
      </c>
      <c r="O6" s="4">
        <f t="shared" si="5"/>
        <v>5.9</v>
      </c>
      <c r="P6" s="5" t="s">
        <v>101</v>
      </c>
      <c r="Q6" t="str">
        <f t="shared" si="6"/>
        <v>A-0002</v>
      </c>
    </row>
    <row r="7" spans="1:17" x14ac:dyDescent="0.25">
      <c r="A7" s="3">
        <v>45660</v>
      </c>
      <c r="B7" s="5" t="s">
        <v>32</v>
      </c>
      <c r="C7" t="str">
        <f>IFERROR(INDEX(Articles[Désignation],MATCH($B7,Articles[ID],0)),"")</f>
        <v>Capteur inductif M12</v>
      </c>
      <c r="D7" t="str">
        <f>IFERROR(INDEX(Articles[Emplacement],MATCH($B7,Articles[ID],0)),"")</f>
        <v>B01</v>
      </c>
      <c r="E7">
        <f>IFERROR(INDEX(Articles[ABC],MATCH($B7,Articles[ID],0)),"")</f>
        <v>0</v>
      </c>
      <c r="F7" t="str">
        <f>IFERROR(INDEX(Articles[Unité],MATCH($B7,Articles[ID],0)),"")</f>
        <v>pcs</v>
      </c>
      <c r="G7">
        <f>IFERROR(INDEX(Articles[Coût_Unitaire],MATCH($B7,Articles[ID],0)),"")</f>
        <v>21.5</v>
      </c>
      <c r="H7">
        <f>IFERROR(INDEX(Articles[Stock_Système],MATCH($B7,Articles[ID],0)),"")</f>
        <v>35</v>
      </c>
      <c r="I7" s="7">
        <v>34</v>
      </c>
      <c r="J7">
        <f t="shared" si="0"/>
        <v>-1</v>
      </c>
      <c r="K7" s="9">
        <f t="shared" si="1"/>
        <v>-2.8571428571428571E-2</v>
      </c>
      <c r="L7" s="9">
        <f t="shared" si="2"/>
        <v>0</v>
      </c>
      <c r="M7" t="str">
        <f t="shared" si="3"/>
        <v>À vérifier</v>
      </c>
      <c r="N7" s="4">
        <f t="shared" si="4"/>
        <v>-21.5</v>
      </c>
      <c r="O7" s="4">
        <f t="shared" si="5"/>
        <v>21.5</v>
      </c>
      <c r="P7" s="5" t="s">
        <v>102</v>
      </c>
      <c r="Q7" t="str">
        <f t="shared" si="6"/>
        <v>A-0003</v>
      </c>
    </row>
    <row r="8" spans="1:17" x14ac:dyDescent="0.25">
      <c r="A8" s="3">
        <v>45661</v>
      </c>
      <c r="B8" s="5" t="s">
        <v>35</v>
      </c>
      <c r="C8" t="str">
        <f>IFERROR(INDEX(Articles[Désignation],MATCH($B8,Articles[ID],0)),"")</f>
        <v>Huile hydraulique H46 (20L)</v>
      </c>
      <c r="D8" t="str">
        <f>IFERROR(INDEX(Articles[Emplacement],MATCH($B8,Articles[ID],0)),"")</f>
        <v>MAG</v>
      </c>
      <c r="E8">
        <f>IFERROR(INDEX(Articles[ABC],MATCH($B8,Articles[ID],0)),"")</f>
        <v>0</v>
      </c>
      <c r="F8" t="str">
        <f>IFERROR(INDEX(Articles[Unité],MATCH($B8,Articles[ID],0)),"")</f>
        <v>bidon</v>
      </c>
      <c r="G8">
        <f>IFERROR(INDEX(Articles[Coût_Unitaire],MATCH($B8,Articles[ID],0)),"")</f>
        <v>45</v>
      </c>
      <c r="H8">
        <f>IFERROR(INDEX(Articles[Stock_Système],MATCH($B8,Articles[ID],0)),"")</f>
        <v>22</v>
      </c>
      <c r="I8" s="7">
        <v>22</v>
      </c>
      <c r="J8">
        <f t="shared" si="0"/>
        <v>0</v>
      </c>
      <c r="K8" s="9">
        <f t="shared" si="1"/>
        <v>0</v>
      </c>
      <c r="L8" s="9">
        <f t="shared" si="2"/>
        <v>0</v>
      </c>
      <c r="M8" t="str">
        <f t="shared" si="3"/>
        <v>OK</v>
      </c>
      <c r="N8" s="4">
        <f t="shared" si="4"/>
        <v>0</v>
      </c>
      <c r="O8" s="4">
        <f t="shared" si="5"/>
        <v>0</v>
      </c>
      <c r="P8" s="5" t="s">
        <v>103</v>
      </c>
      <c r="Q8" t="str">
        <f t="shared" si="6"/>
        <v>A-0004</v>
      </c>
    </row>
    <row r="9" spans="1:17" x14ac:dyDescent="0.25">
      <c r="A9" s="3">
        <v>45662</v>
      </c>
      <c r="B9" s="5" t="s">
        <v>39</v>
      </c>
      <c r="C9" t="str">
        <f>IFERROR(INDEX(Articles[Désignation],MATCH($B9,Articles[ID],0)),"")</f>
        <v>Joints toriques assortis (kit)</v>
      </c>
      <c r="D9" t="str">
        <f>IFERROR(INDEX(Articles[Emplacement],MATCH($B9,Articles[ID],0)),"")</f>
        <v>B03</v>
      </c>
      <c r="E9">
        <f>IFERROR(INDEX(Articles[ABC],MATCH($B9,Articles[ID],0)),"")</f>
        <v>0</v>
      </c>
      <c r="F9" t="str">
        <f>IFERROR(INDEX(Articles[Unité],MATCH($B9,Articles[ID],0)),"")</f>
        <v>kit</v>
      </c>
      <c r="G9">
        <f>IFERROR(INDEX(Articles[Coût_Unitaire],MATCH($B9,Articles[ID],0)),"")</f>
        <v>12</v>
      </c>
      <c r="H9">
        <f>IFERROR(INDEX(Articles[Stock_Système],MATCH($B9,Articles[ID],0)),"")</f>
        <v>18</v>
      </c>
      <c r="I9" s="7">
        <v>18</v>
      </c>
      <c r="J9">
        <f t="shared" si="0"/>
        <v>0</v>
      </c>
      <c r="K9" s="9">
        <f t="shared" si="1"/>
        <v>0</v>
      </c>
      <c r="L9" s="9">
        <f t="shared" si="2"/>
        <v>0</v>
      </c>
      <c r="M9" t="str">
        <f t="shared" si="3"/>
        <v>OK</v>
      </c>
      <c r="N9" s="4">
        <f t="shared" si="4"/>
        <v>0</v>
      </c>
      <c r="O9" s="4">
        <f t="shared" si="5"/>
        <v>0</v>
      </c>
      <c r="P9" s="5" t="s">
        <v>104</v>
      </c>
      <c r="Q9" t="str">
        <f t="shared" si="6"/>
        <v>A-0005</v>
      </c>
    </row>
    <row r="10" spans="1:17" x14ac:dyDescent="0.25">
      <c r="A10" s="3">
        <v>45663</v>
      </c>
      <c r="B10" s="5" t="s">
        <v>43</v>
      </c>
      <c r="C10" t="str">
        <f>IFERROR(INDEX(Articles[Désignation],MATCH($B10,Articles[ID],0)),"")</f>
        <v>Gants nitrile XL</v>
      </c>
      <c r="D10" t="str">
        <f>IFERROR(INDEX(Articles[Emplacement],MATCH($B10,Articles[ID],0)),"")</f>
        <v>MAG</v>
      </c>
      <c r="E10">
        <f>IFERROR(INDEX(Articles[ABC],MATCH($B10,Articles[ID],0)),"")</f>
        <v>0</v>
      </c>
      <c r="F10" t="str">
        <f>IFERROR(INDEX(Articles[Unité],MATCH($B10,Articles[ID],0)),"")</f>
        <v>paquet</v>
      </c>
      <c r="G10">
        <f>IFERROR(INDEX(Articles[Coût_Unitaire],MATCH($B10,Articles[ID],0)),"")</f>
        <v>8.5</v>
      </c>
      <c r="H10">
        <f>IFERROR(INDEX(Articles[Stock_Système],MATCH($B10,Articles[ID],0)),"")</f>
        <v>100</v>
      </c>
      <c r="I10" s="7">
        <v>102</v>
      </c>
      <c r="J10">
        <f t="shared" si="0"/>
        <v>2</v>
      </c>
      <c r="K10" s="9">
        <f t="shared" si="1"/>
        <v>0.02</v>
      </c>
      <c r="L10" s="9">
        <f t="shared" si="2"/>
        <v>0</v>
      </c>
      <c r="M10" t="str">
        <f t="shared" si="3"/>
        <v>À vérifier</v>
      </c>
      <c r="N10" s="4">
        <f t="shared" si="4"/>
        <v>17</v>
      </c>
      <c r="O10" s="4">
        <f t="shared" si="5"/>
        <v>17</v>
      </c>
      <c r="P10" s="5" t="s">
        <v>105</v>
      </c>
      <c r="Q10" t="str">
        <f t="shared" si="6"/>
        <v>A-0006</v>
      </c>
    </row>
    <row r="11" spans="1:17" x14ac:dyDescent="0.25">
      <c r="A11" s="3">
        <v>45664</v>
      </c>
      <c r="B11" s="5" t="s">
        <v>46</v>
      </c>
      <c r="C11" t="str">
        <f>IFERROR(INDEX(Articles[Désignation],MATCH($B11,Articles[ID],0)),"")</f>
        <v>Masque FFP2</v>
      </c>
      <c r="D11" t="str">
        <f>IFERROR(INDEX(Articles[Emplacement],MATCH($B11,Articles[ID],0)),"")</f>
        <v>MAG</v>
      </c>
      <c r="E11">
        <f>IFERROR(INDEX(Articles[ABC],MATCH($B11,Articles[ID],0)),"")</f>
        <v>0</v>
      </c>
      <c r="F11" t="str">
        <f>IFERROR(INDEX(Articles[Unité],MATCH($B11,Articles[ID],0)),"")</f>
        <v>boîte</v>
      </c>
      <c r="G11">
        <f>IFERROR(INDEX(Articles[Coût_Unitaire],MATCH($B11,Articles[ID],0)),"")</f>
        <v>14</v>
      </c>
      <c r="H11">
        <f>IFERROR(INDEX(Articles[Stock_Système],MATCH($B11,Articles[ID],0)),"")</f>
        <v>40</v>
      </c>
      <c r="I11" s="7">
        <v>41</v>
      </c>
      <c r="J11">
        <f t="shared" si="0"/>
        <v>1</v>
      </c>
      <c r="K11" s="9">
        <f t="shared" si="1"/>
        <v>2.5000000000000001E-2</v>
      </c>
      <c r="L11" s="9">
        <f t="shared" si="2"/>
        <v>0</v>
      </c>
      <c r="M11" t="str">
        <f t="shared" si="3"/>
        <v>À vérifier</v>
      </c>
      <c r="N11" s="4">
        <f t="shared" si="4"/>
        <v>14</v>
      </c>
      <c r="O11" s="4">
        <f t="shared" si="5"/>
        <v>14</v>
      </c>
      <c r="P11" s="5" t="s">
        <v>106</v>
      </c>
      <c r="Q11" t="str">
        <f t="shared" si="6"/>
        <v>A-0007</v>
      </c>
    </row>
    <row r="12" spans="1:17" x14ac:dyDescent="0.25">
      <c r="A12" s="3">
        <v>45665</v>
      </c>
      <c r="B12" s="5" t="s">
        <v>49</v>
      </c>
      <c r="C12" t="str">
        <f>IFERROR(INDEX(Articles[Désignation],MATCH($B12,Articles[ID],0)),"")</f>
        <v>Relais temporisé 24V</v>
      </c>
      <c r="D12" t="str">
        <f>IFERROR(INDEX(Articles[Emplacement],MATCH($B12,Articles[ID],0)),"")</f>
        <v>E01</v>
      </c>
      <c r="E12">
        <f>IFERROR(INDEX(Articles[ABC],MATCH($B12,Articles[ID],0)),"")</f>
        <v>0</v>
      </c>
      <c r="F12" t="str">
        <f>IFERROR(INDEX(Articles[Unité],MATCH($B12,Articles[ID],0)),"")</f>
        <v>pcs</v>
      </c>
      <c r="G12">
        <f>IFERROR(INDEX(Articles[Coût_Unitaire],MATCH($B12,Articles[ID],0)),"")</f>
        <v>28</v>
      </c>
      <c r="H12">
        <f>IFERROR(INDEX(Articles[Stock_Système],MATCH($B12,Articles[ID],0)),"")</f>
        <v>12</v>
      </c>
      <c r="I12" s="7">
        <v>12</v>
      </c>
      <c r="J12">
        <f t="shared" si="0"/>
        <v>0</v>
      </c>
      <c r="K12" s="9">
        <f t="shared" si="1"/>
        <v>0</v>
      </c>
      <c r="L12" s="9">
        <f t="shared" si="2"/>
        <v>0</v>
      </c>
      <c r="M12" t="str">
        <f t="shared" si="3"/>
        <v>OK</v>
      </c>
      <c r="N12" s="4">
        <f t="shared" si="4"/>
        <v>0</v>
      </c>
      <c r="O12" s="4">
        <f t="shared" si="5"/>
        <v>0</v>
      </c>
      <c r="P12" s="5" t="s">
        <v>107</v>
      </c>
      <c r="Q12" t="str">
        <f t="shared" si="6"/>
        <v>A-0008</v>
      </c>
    </row>
    <row r="13" spans="1:17" x14ac:dyDescent="0.25">
      <c r="A13" s="3">
        <v>45666</v>
      </c>
      <c r="B13" s="5" t="s">
        <v>52</v>
      </c>
      <c r="C13" t="str">
        <f>IFERROR(INDEX(Articles[Désignation],MATCH($B13,Articles[ID],0)),"")</f>
        <v>Contacteur 3P 25A</v>
      </c>
      <c r="D13" t="str">
        <f>IFERROR(INDEX(Articles[Emplacement],MATCH($B13,Articles[ID],0)),"")</f>
        <v>E02</v>
      </c>
      <c r="E13">
        <f>IFERROR(INDEX(Articles[ABC],MATCH($B13,Articles[ID],0)),"")</f>
        <v>0</v>
      </c>
      <c r="F13" t="str">
        <f>IFERROR(INDEX(Articles[Unité],MATCH($B13,Articles[ID],0)),"")</f>
        <v>pcs</v>
      </c>
      <c r="G13">
        <f>IFERROR(INDEX(Articles[Coût_Unitaire],MATCH($B13,Articles[ID],0)),"")</f>
        <v>39</v>
      </c>
      <c r="H13">
        <f>IFERROR(INDEX(Articles[Stock_Système],MATCH($B13,Articles[ID],0)),"")</f>
        <v>14</v>
      </c>
      <c r="I13" s="7">
        <v>14</v>
      </c>
      <c r="J13">
        <f t="shared" si="0"/>
        <v>0</v>
      </c>
      <c r="K13" s="9">
        <f t="shared" si="1"/>
        <v>0</v>
      </c>
      <c r="L13" s="9">
        <f t="shared" si="2"/>
        <v>0</v>
      </c>
      <c r="M13" t="str">
        <f t="shared" si="3"/>
        <v>OK</v>
      </c>
      <c r="N13" s="4">
        <f t="shared" si="4"/>
        <v>0</v>
      </c>
      <c r="O13" s="4">
        <f t="shared" si="5"/>
        <v>0</v>
      </c>
      <c r="P13" s="5" t="s">
        <v>108</v>
      </c>
      <c r="Q13" t="str">
        <f t="shared" si="6"/>
        <v>A-0009</v>
      </c>
    </row>
    <row r="14" spans="1:17" x14ac:dyDescent="0.25">
      <c r="A14" s="3">
        <v>45667</v>
      </c>
      <c r="B14" s="5" t="s">
        <v>55</v>
      </c>
      <c r="C14" t="str">
        <f>IFERROR(INDEX(Articles[Désignation],MATCH($B14,Articles[ID],0)),"")</f>
        <v>Embout vissé 1/2''</v>
      </c>
      <c r="D14" t="str">
        <f>IFERROR(INDEX(Articles[Emplacement],MATCH($B14,Articles[ID],0)),"")</f>
        <v>H01</v>
      </c>
      <c r="E14">
        <f>IFERROR(INDEX(Articles[ABC],MATCH($B14,Articles[ID],0)),"")</f>
        <v>0</v>
      </c>
      <c r="F14" t="str">
        <f>IFERROR(INDEX(Articles[Unité],MATCH($B14,Articles[ID],0)),"")</f>
        <v>pcs</v>
      </c>
      <c r="G14">
        <f>IFERROR(INDEX(Articles[Coût_Unitaire],MATCH($B14,Articles[ID],0)),"")</f>
        <v>1.2</v>
      </c>
      <c r="H14">
        <f>IFERROR(INDEX(Articles[Stock_Système],MATCH($B14,Articles[ID],0)),"")</f>
        <v>240</v>
      </c>
      <c r="I14" s="7">
        <v>235</v>
      </c>
      <c r="J14">
        <f t="shared" si="0"/>
        <v>-5</v>
      </c>
      <c r="K14" s="9">
        <f t="shared" si="1"/>
        <v>-2.0833333333333332E-2</v>
      </c>
      <c r="L14" s="9">
        <f t="shared" si="2"/>
        <v>0</v>
      </c>
      <c r="M14" t="str">
        <f t="shared" si="3"/>
        <v>À vérifier</v>
      </c>
      <c r="N14" s="4">
        <f t="shared" si="4"/>
        <v>-6</v>
      </c>
      <c r="O14" s="4">
        <f t="shared" si="5"/>
        <v>6</v>
      </c>
      <c r="P14" s="5" t="s">
        <v>109</v>
      </c>
      <c r="Q14" t="str">
        <f t="shared" si="6"/>
        <v>A-0010</v>
      </c>
    </row>
    <row r="15" spans="1:17" x14ac:dyDescent="0.25">
      <c r="A15" s="3">
        <v>45668</v>
      </c>
      <c r="B15" s="5" t="s">
        <v>58</v>
      </c>
      <c r="C15" t="str">
        <f>IFERROR(INDEX(Articles[Désignation],MATCH($B15,Articles[ID],0)),"")</f>
        <v>Tuyau air comprimé 10m</v>
      </c>
      <c r="D15" t="str">
        <f>IFERROR(INDEX(Articles[Emplacement],MATCH($B15,Articles[ID],0)),"")</f>
        <v>H02</v>
      </c>
      <c r="E15">
        <f>IFERROR(INDEX(Articles[ABC],MATCH($B15,Articles[ID],0)),"")</f>
        <v>0</v>
      </c>
      <c r="F15" t="str">
        <f>IFERROR(INDEX(Articles[Unité],MATCH($B15,Articles[ID],0)),"")</f>
        <v>pcs</v>
      </c>
      <c r="G15">
        <f>IFERROR(INDEX(Articles[Coût_Unitaire],MATCH($B15,Articles[ID],0)),"")</f>
        <v>19.5</v>
      </c>
      <c r="H15">
        <f>IFERROR(INDEX(Articles[Stock_Système],MATCH($B15,Articles[ID],0)),"")</f>
        <v>10</v>
      </c>
      <c r="I15" s="7">
        <v>10</v>
      </c>
      <c r="J15">
        <f t="shared" si="0"/>
        <v>0</v>
      </c>
      <c r="K15" s="9">
        <f t="shared" si="1"/>
        <v>0</v>
      </c>
      <c r="L15" s="9">
        <f t="shared" si="2"/>
        <v>0</v>
      </c>
      <c r="M15" t="str">
        <f t="shared" si="3"/>
        <v>OK</v>
      </c>
      <c r="N15" s="4">
        <f t="shared" si="4"/>
        <v>0</v>
      </c>
      <c r="O15" s="4">
        <f t="shared" si="5"/>
        <v>0</v>
      </c>
      <c r="P15" s="5" t="s">
        <v>110</v>
      </c>
      <c r="Q15" t="str">
        <f t="shared" si="6"/>
        <v>A-0011</v>
      </c>
    </row>
    <row r="16" spans="1:17" x14ac:dyDescent="0.25">
      <c r="A16" s="3">
        <v>45669</v>
      </c>
      <c r="B16" s="5" t="s">
        <v>61</v>
      </c>
      <c r="C16" t="str">
        <f>IFERROR(INDEX(Articles[Désignation],MATCH($B16,Articles[ID],0)),"")</f>
        <v>Roulette pivotante Ø50</v>
      </c>
      <c r="D16" t="str">
        <f>IFERROR(INDEX(Articles[Emplacement],MATCH($B16,Articles[ID],0)),"")</f>
        <v>M01</v>
      </c>
      <c r="E16">
        <f>IFERROR(INDEX(Articles[ABC],MATCH($B16,Articles[ID],0)),"")</f>
        <v>0</v>
      </c>
      <c r="F16" t="str">
        <f>IFERROR(INDEX(Articles[Unité],MATCH($B16,Articles[ID],0)),"")</f>
        <v>pcs</v>
      </c>
      <c r="G16">
        <f>IFERROR(INDEX(Articles[Coût_Unitaire],MATCH($B16,Articles[ID],0)),"")</f>
        <v>7.6</v>
      </c>
      <c r="H16">
        <f>IFERROR(INDEX(Articles[Stock_Système],MATCH($B16,Articles[ID],0)),"")</f>
        <v>70</v>
      </c>
      <c r="I16" s="7">
        <v>71</v>
      </c>
      <c r="J16">
        <f t="shared" si="0"/>
        <v>1</v>
      </c>
      <c r="K16" s="9">
        <f t="shared" si="1"/>
        <v>1.4285714285714285E-2</v>
      </c>
      <c r="L16" s="9">
        <f t="shared" si="2"/>
        <v>0</v>
      </c>
      <c r="M16" t="str">
        <f t="shared" si="3"/>
        <v>À vérifier</v>
      </c>
      <c r="N16" s="4">
        <f t="shared" si="4"/>
        <v>7.6</v>
      </c>
      <c r="O16" s="4">
        <f t="shared" si="5"/>
        <v>7.6</v>
      </c>
      <c r="P16" s="5" t="s">
        <v>111</v>
      </c>
      <c r="Q16" t="str">
        <f t="shared" si="6"/>
        <v>A-0012</v>
      </c>
    </row>
    <row r="17" spans="1:17" x14ac:dyDescent="0.25">
      <c r="A17" s="3">
        <v>45670</v>
      </c>
      <c r="B17" s="5" t="s">
        <v>64</v>
      </c>
      <c r="C17" t="str">
        <f>IFERROR(INDEX(Articles[Désignation],MATCH($B17,Articles[ID],0)),"")</f>
        <v>Ampoule LED E27 10W</v>
      </c>
      <c r="D17" t="str">
        <f>IFERROR(INDEX(Articles[Emplacement],MATCH($B17,Articles[ID],0)),"")</f>
        <v>E03</v>
      </c>
      <c r="E17">
        <f>IFERROR(INDEX(Articles[ABC],MATCH($B17,Articles[ID],0)),"")</f>
        <v>0</v>
      </c>
      <c r="F17" t="str">
        <f>IFERROR(INDEX(Articles[Unité],MATCH($B17,Articles[ID],0)),"")</f>
        <v>pcs</v>
      </c>
      <c r="G17">
        <f>IFERROR(INDEX(Articles[Coût_Unitaire],MATCH($B17,Articles[ID],0)),"")</f>
        <v>2.6</v>
      </c>
      <c r="H17">
        <f>IFERROR(INDEX(Articles[Stock_Système],MATCH($B17,Articles[ID],0)),"")</f>
        <v>120</v>
      </c>
      <c r="I17" s="7">
        <v>118</v>
      </c>
      <c r="J17">
        <f t="shared" si="0"/>
        <v>-2</v>
      </c>
      <c r="K17" s="9">
        <f t="shared" si="1"/>
        <v>-1.6666666666666666E-2</v>
      </c>
      <c r="L17" s="9">
        <f t="shared" si="2"/>
        <v>0</v>
      </c>
      <c r="M17" t="str">
        <f t="shared" si="3"/>
        <v>À vérifier</v>
      </c>
      <c r="N17" s="4">
        <f t="shared" si="4"/>
        <v>-5.2</v>
      </c>
      <c r="O17" s="4">
        <f t="shared" si="5"/>
        <v>5.2</v>
      </c>
      <c r="P17" s="5" t="s">
        <v>111</v>
      </c>
      <c r="Q17" t="str">
        <f t="shared" si="6"/>
        <v>A-0013</v>
      </c>
    </row>
    <row r="18" spans="1:17" x14ac:dyDescent="0.25">
      <c r="A18" s="3">
        <v>45671</v>
      </c>
      <c r="B18" s="5" t="s">
        <v>67</v>
      </c>
      <c r="C18" t="str">
        <f>IFERROR(INDEX(Articles[Désignation],MATCH($B18,Articles[ID],0)),"")</f>
        <v>Pointeuse badge RFID</v>
      </c>
      <c r="D18" t="str">
        <f>IFERROR(INDEX(Articles[Emplacement],MATCH($B18,Articles[ID],0)),"")</f>
        <v>IT1</v>
      </c>
      <c r="E18">
        <f>IFERROR(INDEX(Articles[ABC],MATCH($B18,Articles[ID],0)),"")</f>
        <v>0</v>
      </c>
      <c r="F18" t="str">
        <f>IFERROR(INDEX(Articles[Unité],MATCH($B18,Articles[ID],0)),"")</f>
        <v>pcs</v>
      </c>
      <c r="G18">
        <f>IFERROR(INDEX(Articles[Coût_Unitaire],MATCH($B18,Articles[ID],0)),"")</f>
        <v>95</v>
      </c>
      <c r="H18">
        <f>IFERROR(INDEX(Articles[Stock_Système],MATCH($B18,Articles[ID],0)),"")</f>
        <v>4</v>
      </c>
      <c r="I18" s="7">
        <v>4</v>
      </c>
      <c r="J18">
        <f t="shared" si="0"/>
        <v>0</v>
      </c>
      <c r="K18" s="9">
        <f t="shared" si="1"/>
        <v>0</v>
      </c>
      <c r="L18" s="9">
        <f t="shared" si="2"/>
        <v>0</v>
      </c>
      <c r="M18" t="str">
        <f t="shared" si="3"/>
        <v>OK</v>
      </c>
      <c r="N18" s="4">
        <f t="shared" si="4"/>
        <v>0</v>
      </c>
      <c r="O18" s="4">
        <f t="shared" si="5"/>
        <v>0</v>
      </c>
      <c r="P18" s="5" t="s">
        <v>100</v>
      </c>
      <c r="Q18" t="str">
        <f t="shared" si="6"/>
        <v>A-0014</v>
      </c>
    </row>
    <row r="19" spans="1:17" x14ac:dyDescent="0.25">
      <c r="A19" s="3">
        <v>45672</v>
      </c>
      <c r="B19" s="5" t="s">
        <v>70</v>
      </c>
      <c r="C19" t="str">
        <f>IFERROR(INDEX(Articles[Désignation],MATCH($B19,Articles[ID],0)),"")</f>
        <v>Goupille bêta 3mm</v>
      </c>
      <c r="D19" t="str">
        <f>IFERROR(INDEX(Articles[Emplacement],MATCH($B19,Articles[ID],0)),"")</f>
        <v>M02</v>
      </c>
      <c r="E19">
        <f>IFERROR(INDEX(Articles[ABC],MATCH($B19,Articles[ID],0)),"")</f>
        <v>0</v>
      </c>
      <c r="F19" t="str">
        <f>IFERROR(INDEX(Articles[Unité],MATCH($B19,Articles[ID],0)),"")</f>
        <v>pcs</v>
      </c>
      <c r="G19">
        <f>IFERROR(INDEX(Articles[Coût_Unitaire],MATCH($B19,Articles[ID],0)),"")</f>
        <v>0.12</v>
      </c>
      <c r="H19">
        <f>IFERROR(INDEX(Articles[Stock_Système],MATCH($B19,Articles[ID],0)),"")</f>
        <v>500</v>
      </c>
      <c r="I19" s="7">
        <v>510</v>
      </c>
      <c r="J19">
        <f t="shared" si="0"/>
        <v>10</v>
      </c>
      <c r="K19" s="9">
        <f t="shared" si="1"/>
        <v>0.02</v>
      </c>
      <c r="L19" s="9">
        <f t="shared" si="2"/>
        <v>0</v>
      </c>
      <c r="M19" t="str">
        <f t="shared" si="3"/>
        <v>À vérifier</v>
      </c>
      <c r="N19" s="4">
        <f t="shared" si="4"/>
        <v>1.2</v>
      </c>
      <c r="O19" s="4">
        <f t="shared" si="5"/>
        <v>1.2</v>
      </c>
      <c r="P19" s="5" t="s">
        <v>101</v>
      </c>
      <c r="Q19" t="str">
        <f t="shared" si="6"/>
        <v>A-0015</v>
      </c>
    </row>
    <row r="20" spans="1:17" x14ac:dyDescent="0.25">
      <c r="A20" s="3">
        <v>45673</v>
      </c>
      <c r="B20" s="5" t="s">
        <v>73</v>
      </c>
      <c r="C20" t="str">
        <f>IFERROR(INDEX(Articles[Désignation],MATCH($B20,Articles[ID],0)),"")</f>
        <v>Clé plate 13mm</v>
      </c>
      <c r="D20" t="str">
        <f>IFERROR(INDEX(Articles[Emplacement],MATCH($B20,Articles[ID],0)),"")</f>
        <v>O01</v>
      </c>
      <c r="E20">
        <f>IFERROR(INDEX(Articles[ABC],MATCH($B20,Articles[ID],0)),"")</f>
        <v>0</v>
      </c>
      <c r="F20" t="str">
        <f>IFERROR(INDEX(Articles[Unité],MATCH($B20,Articles[ID],0)),"")</f>
        <v>pcs</v>
      </c>
      <c r="G20">
        <f>IFERROR(INDEX(Articles[Coût_Unitaire],MATCH($B20,Articles[ID],0)),"")</f>
        <v>3.8</v>
      </c>
      <c r="H20">
        <f>IFERROR(INDEX(Articles[Stock_Système],MATCH($B20,Articles[ID],0)),"")</f>
        <v>25</v>
      </c>
      <c r="I20" s="7">
        <v>25</v>
      </c>
      <c r="J20">
        <f t="shared" si="0"/>
        <v>0</v>
      </c>
      <c r="K20" s="9">
        <f t="shared" si="1"/>
        <v>0</v>
      </c>
      <c r="L20" s="9">
        <f t="shared" si="2"/>
        <v>0</v>
      </c>
      <c r="M20" t="str">
        <f t="shared" si="3"/>
        <v>OK</v>
      </c>
      <c r="N20" s="4">
        <f t="shared" si="4"/>
        <v>0</v>
      </c>
      <c r="O20" s="4">
        <f t="shared" si="5"/>
        <v>0</v>
      </c>
      <c r="P20" s="5" t="s">
        <v>101</v>
      </c>
      <c r="Q20" t="str">
        <f t="shared" si="6"/>
        <v>A-0016</v>
      </c>
    </row>
    <row r="21" spans="1:17" x14ac:dyDescent="0.25">
      <c r="A21" s="3">
        <v>45674</v>
      </c>
      <c r="B21" s="5" t="s">
        <v>76</v>
      </c>
      <c r="C21" t="str">
        <f>IFERROR(INDEX(Articles[Désignation],MATCH($B21,Articles[ID],0)),"")</f>
        <v>Graisse multi-usage (400g)</v>
      </c>
      <c r="D21" t="str">
        <f>IFERROR(INDEX(Articles[Emplacement],MATCH($B21,Articles[ID],0)),"")</f>
        <v>MAG</v>
      </c>
      <c r="E21">
        <f>IFERROR(INDEX(Articles[ABC],MATCH($B21,Articles[ID],0)),"")</f>
        <v>0</v>
      </c>
      <c r="F21" t="str">
        <f>IFERROR(INDEX(Articles[Unité],MATCH($B21,Articles[ID],0)),"")</f>
        <v>cart.</v>
      </c>
      <c r="G21">
        <f>IFERROR(INDEX(Articles[Coût_Unitaire],MATCH($B21,Articles[ID],0)),"")</f>
        <v>6.4</v>
      </c>
      <c r="H21">
        <f>IFERROR(INDEX(Articles[Stock_Système],MATCH($B21,Articles[ID],0)),"")</f>
        <v>60</v>
      </c>
      <c r="I21" s="7">
        <v>59</v>
      </c>
      <c r="J21">
        <f t="shared" si="0"/>
        <v>-1</v>
      </c>
      <c r="K21" s="9">
        <f t="shared" si="1"/>
        <v>-1.6666666666666666E-2</v>
      </c>
      <c r="L21" s="9">
        <f t="shared" si="2"/>
        <v>0</v>
      </c>
      <c r="M21" t="str">
        <f t="shared" si="3"/>
        <v>À vérifier</v>
      </c>
      <c r="N21" s="4">
        <f t="shared" si="4"/>
        <v>-6.4</v>
      </c>
      <c r="O21" s="4">
        <f t="shared" si="5"/>
        <v>6.4</v>
      </c>
      <c r="P21" s="5" t="s">
        <v>109</v>
      </c>
      <c r="Q21" t="str">
        <f t="shared" si="6"/>
        <v>A-0017</v>
      </c>
    </row>
    <row r="22" spans="1:17" x14ac:dyDescent="0.25">
      <c r="A22" s="3">
        <v>45675</v>
      </c>
      <c r="B22" s="5" t="s">
        <v>79</v>
      </c>
      <c r="C22" t="str">
        <f>IFERROR(INDEX(Articles[Désignation],MATCH($B22,Articles[ID],0)),"")</f>
        <v>Poulie fonte 2 gorges</v>
      </c>
      <c r="D22" t="str">
        <f>IFERROR(INDEX(Articles[Emplacement],MATCH($B22,Articles[ID],0)),"")</f>
        <v>M03</v>
      </c>
      <c r="E22">
        <f>IFERROR(INDEX(Articles[ABC],MATCH($B22,Articles[ID],0)),"")</f>
        <v>0</v>
      </c>
      <c r="F22" t="str">
        <f>IFERROR(INDEX(Articles[Unité],MATCH($B22,Articles[ID],0)),"")</f>
        <v>pcs</v>
      </c>
      <c r="G22">
        <f>IFERROR(INDEX(Articles[Coût_Unitaire],MATCH($B22,Articles[ID],0)),"")</f>
        <v>32</v>
      </c>
      <c r="H22">
        <f>IFERROR(INDEX(Articles[Stock_Système],MATCH($B22,Articles[ID],0)),"")</f>
        <v>6</v>
      </c>
      <c r="I22" s="7">
        <v>6</v>
      </c>
      <c r="J22">
        <f t="shared" si="0"/>
        <v>0</v>
      </c>
      <c r="K22" s="9">
        <f t="shared" si="1"/>
        <v>0</v>
      </c>
      <c r="L22" s="9">
        <f t="shared" si="2"/>
        <v>0</v>
      </c>
      <c r="M22" t="str">
        <f t="shared" si="3"/>
        <v>OK</v>
      </c>
      <c r="N22" s="4">
        <f t="shared" si="4"/>
        <v>0</v>
      </c>
      <c r="O22" s="4">
        <f t="shared" si="5"/>
        <v>0</v>
      </c>
      <c r="P22" s="5" t="s">
        <v>110</v>
      </c>
      <c r="Q22" t="str">
        <f t="shared" si="6"/>
        <v>A-0018</v>
      </c>
    </row>
    <row r="23" spans="1:17" x14ac:dyDescent="0.25">
      <c r="A23" s="3">
        <v>45676</v>
      </c>
      <c r="B23" s="5" t="s">
        <v>82</v>
      </c>
      <c r="C23" t="str">
        <f>IFERROR(INDEX(Articles[Désignation],MATCH($B23,Articles[ID],0)),"")</f>
        <v>Bande abrasive P80</v>
      </c>
      <c r="D23" t="str">
        <f>IFERROR(INDEX(Articles[Emplacement],MATCH($B23,Articles[ID],0)),"")</f>
        <v>O02</v>
      </c>
      <c r="E23">
        <f>IFERROR(INDEX(Articles[ABC],MATCH($B23,Articles[ID],0)),"")</f>
        <v>0</v>
      </c>
      <c r="F23" t="str">
        <f>IFERROR(INDEX(Articles[Unité],MATCH($B23,Articles[ID],0)),"")</f>
        <v>pcs</v>
      </c>
      <c r="G23">
        <f>IFERROR(INDEX(Articles[Coût_Unitaire],MATCH($B23,Articles[ID],0)),"")</f>
        <v>1.9</v>
      </c>
      <c r="H23">
        <f>IFERROR(INDEX(Articles[Stock_Système],MATCH($B23,Articles[ID],0)),"")</f>
        <v>120</v>
      </c>
      <c r="I23" s="7">
        <v>122</v>
      </c>
      <c r="J23">
        <f t="shared" si="0"/>
        <v>2</v>
      </c>
      <c r="K23" s="9">
        <f t="shared" si="1"/>
        <v>1.6666666666666666E-2</v>
      </c>
      <c r="L23" s="9">
        <f t="shared" si="2"/>
        <v>0</v>
      </c>
      <c r="M23" t="str">
        <f t="shared" si="3"/>
        <v>À vérifier</v>
      </c>
      <c r="N23" s="4">
        <f t="shared" si="4"/>
        <v>3.8</v>
      </c>
      <c r="O23" s="4">
        <f t="shared" si="5"/>
        <v>3.8</v>
      </c>
      <c r="P23" s="5" t="s">
        <v>100</v>
      </c>
      <c r="Q23" t="str">
        <f t="shared" si="6"/>
        <v>A-0019</v>
      </c>
    </row>
    <row r="24" spans="1:17" x14ac:dyDescent="0.25">
      <c r="A24" s="3">
        <v>45677</v>
      </c>
      <c r="B24" s="5" t="s">
        <v>85</v>
      </c>
      <c r="C24" t="str">
        <f>IFERROR(INDEX(Articles[Désignation],MATCH($B24,Articles[ID],0)),"")</f>
        <v>Gaine ICTA Ø20</v>
      </c>
      <c r="D24" t="str">
        <f>IFERROR(INDEX(Articles[Emplacement],MATCH($B24,Articles[ID],0)),"")</f>
        <v>E04</v>
      </c>
      <c r="E24">
        <f>IFERROR(INDEX(Articles[ABC],MATCH($B24,Articles[ID],0)),"")</f>
        <v>0</v>
      </c>
      <c r="F24" t="str">
        <f>IFERROR(INDEX(Articles[Unité],MATCH($B24,Articles[ID],0)),"")</f>
        <v>m</v>
      </c>
      <c r="G24">
        <f>IFERROR(INDEX(Articles[Coût_Unitaire],MATCH($B24,Articles[ID],0)),"")</f>
        <v>0.35</v>
      </c>
      <c r="H24">
        <f>IFERROR(INDEX(Articles[Stock_Système],MATCH($B24,Articles[ID],0)),"")</f>
        <v>500</v>
      </c>
      <c r="I24" s="7">
        <v>510</v>
      </c>
      <c r="J24">
        <f t="shared" si="0"/>
        <v>10</v>
      </c>
      <c r="K24" s="9">
        <f t="shared" si="1"/>
        <v>0.02</v>
      </c>
      <c r="L24" s="9">
        <f t="shared" si="2"/>
        <v>0</v>
      </c>
      <c r="M24" t="str">
        <f t="shared" si="3"/>
        <v>À vérifier</v>
      </c>
      <c r="N24" s="4">
        <f t="shared" si="4"/>
        <v>3.5</v>
      </c>
      <c r="O24" s="4">
        <f t="shared" si="5"/>
        <v>3.5</v>
      </c>
      <c r="P24" s="5" t="s">
        <v>112</v>
      </c>
      <c r="Q24" t="str">
        <f t="shared" si="6"/>
        <v>A-0020</v>
      </c>
    </row>
    <row r="25" spans="1:17" x14ac:dyDescent="0.25">
      <c r="A25" s="3">
        <v>45691</v>
      </c>
      <c r="B25" s="5" t="s">
        <v>35</v>
      </c>
      <c r="C25" t="str">
        <f>IFERROR(INDEX(Articles[Désignation],MATCH($B25,Articles[ID],0)),"")</f>
        <v>Huile hydraulique H46 (20L)</v>
      </c>
      <c r="D25" t="str">
        <f>IFERROR(INDEX(Articles[Emplacement],MATCH($B25,Articles[ID],0)),"")</f>
        <v>MAG</v>
      </c>
      <c r="E25">
        <f>IFERROR(INDEX(Articles[ABC],MATCH($B25,Articles[ID],0)),"")</f>
        <v>0</v>
      </c>
      <c r="F25" t="str">
        <f>IFERROR(INDEX(Articles[Unité],MATCH($B25,Articles[ID],0)),"")</f>
        <v>bidon</v>
      </c>
      <c r="G25">
        <f>IFERROR(INDEX(Articles[Coût_Unitaire],MATCH($B25,Articles[ID],0)),"")</f>
        <v>45</v>
      </c>
      <c r="H25">
        <f>IFERROR(INDEX(Articles[Stock_Système],MATCH($B25,Articles[ID],0)),"")</f>
        <v>22</v>
      </c>
      <c r="I25" s="7">
        <v>22</v>
      </c>
      <c r="J25">
        <f t="shared" si="0"/>
        <v>0</v>
      </c>
      <c r="K25" s="9">
        <f t="shared" si="1"/>
        <v>0</v>
      </c>
      <c r="L25" s="9">
        <f t="shared" si="2"/>
        <v>0</v>
      </c>
      <c r="M25" t="str">
        <f t="shared" si="3"/>
        <v>OK</v>
      </c>
      <c r="N25" s="4">
        <f t="shared" si="4"/>
        <v>0</v>
      </c>
      <c r="O25" s="4">
        <f t="shared" si="5"/>
        <v>0</v>
      </c>
      <c r="P25" s="5" t="s">
        <v>113</v>
      </c>
      <c r="Q25" t="str">
        <f t="shared" si="6"/>
        <v>A-0004</v>
      </c>
    </row>
    <row r="26" spans="1:17" x14ac:dyDescent="0.25">
      <c r="A26" s="3">
        <v>45693</v>
      </c>
      <c r="B26" s="5" t="s">
        <v>43</v>
      </c>
      <c r="C26" t="str">
        <f>IFERROR(INDEX(Articles[Désignation],MATCH($B26,Articles[ID],0)),"")</f>
        <v>Gants nitrile XL</v>
      </c>
      <c r="D26" t="str">
        <f>IFERROR(INDEX(Articles[Emplacement],MATCH($B26,Articles[ID],0)),"")</f>
        <v>MAG</v>
      </c>
      <c r="E26">
        <f>IFERROR(INDEX(Articles[ABC],MATCH($B26,Articles[ID],0)),"")</f>
        <v>0</v>
      </c>
      <c r="F26" t="str">
        <f>IFERROR(INDEX(Articles[Unité],MATCH($B26,Articles[ID],0)),"")</f>
        <v>paquet</v>
      </c>
      <c r="G26">
        <f>IFERROR(INDEX(Articles[Coût_Unitaire],MATCH($B26,Articles[ID],0)),"")</f>
        <v>8.5</v>
      </c>
      <c r="H26">
        <f>IFERROR(INDEX(Articles[Stock_Système],MATCH($B26,Articles[ID],0)),"")</f>
        <v>100</v>
      </c>
      <c r="I26" s="7">
        <v>102</v>
      </c>
      <c r="J26">
        <f t="shared" si="0"/>
        <v>2</v>
      </c>
      <c r="K26" s="9">
        <f t="shared" si="1"/>
        <v>0.02</v>
      </c>
      <c r="L26" s="9">
        <f t="shared" si="2"/>
        <v>0</v>
      </c>
      <c r="M26" t="str">
        <f t="shared" si="3"/>
        <v>À vérifier</v>
      </c>
      <c r="N26" s="4">
        <f t="shared" si="4"/>
        <v>17</v>
      </c>
      <c r="O26" s="4">
        <f t="shared" si="5"/>
        <v>17</v>
      </c>
      <c r="P26" s="5" t="s">
        <v>114</v>
      </c>
      <c r="Q26" t="str">
        <f t="shared" si="6"/>
        <v>A-0006</v>
      </c>
    </row>
    <row r="27" spans="1:17" x14ac:dyDescent="0.25">
      <c r="A27" s="3">
        <v>45694</v>
      </c>
      <c r="B27" s="5" t="s">
        <v>46</v>
      </c>
      <c r="C27" t="str">
        <f>IFERROR(INDEX(Articles[Désignation],MATCH($B27,Articles[ID],0)),"")</f>
        <v>Masque FFP2</v>
      </c>
      <c r="D27" t="str">
        <f>IFERROR(INDEX(Articles[Emplacement],MATCH($B27,Articles[ID],0)),"")</f>
        <v>MAG</v>
      </c>
      <c r="E27">
        <f>IFERROR(INDEX(Articles[ABC],MATCH($B27,Articles[ID],0)),"")</f>
        <v>0</v>
      </c>
      <c r="F27" t="str">
        <f>IFERROR(INDEX(Articles[Unité],MATCH($B27,Articles[ID],0)),"")</f>
        <v>boîte</v>
      </c>
      <c r="G27">
        <f>IFERROR(INDEX(Articles[Coût_Unitaire],MATCH($B27,Articles[ID],0)),"")</f>
        <v>14</v>
      </c>
      <c r="H27">
        <f>IFERROR(INDEX(Articles[Stock_Système],MATCH($B27,Articles[ID],0)),"")</f>
        <v>40</v>
      </c>
      <c r="I27" s="7">
        <v>41</v>
      </c>
      <c r="J27">
        <f t="shared" si="0"/>
        <v>1</v>
      </c>
      <c r="K27" s="9">
        <f t="shared" si="1"/>
        <v>2.5000000000000001E-2</v>
      </c>
      <c r="L27" s="9">
        <f t="shared" si="2"/>
        <v>0</v>
      </c>
      <c r="M27" t="str">
        <f t="shared" si="3"/>
        <v>À vérifier</v>
      </c>
      <c r="N27" s="4">
        <f t="shared" si="4"/>
        <v>14</v>
      </c>
      <c r="O27" s="4">
        <f t="shared" si="5"/>
        <v>14</v>
      </c>
      <c r="P27" s="5" t="s">
        <v>111</v>
      </c>
      <c r="Q27" t="str">
        <f t="shared" si="6"/>
        <v>A-0007</v>
      </c>
    </row>
    <row r="28" spans="1:17" x14ac:dyDescent="0.25">
      <c r="A28" s="3">
        <v>45721</v>
      </c>
      <c r="B28" s="5" t="s">
        <v>35</v>
      </c>
      <c r="C28" t="str">
        <f>IFERROR(INDEX(Articles[Désignation],MATCH($B28,Articles[ID],0)),"")</f>
        <v>Huile hydraulique H46 (20L)</v>
      </c>
      <c r="D28" t="str">
        <f>IFERROR(INDEX(Articles[Emplacement],MATCH($B28,Articles[ID],0)),"")</f>
        <v>MAG</v>
      </c>
      <c r="E28">
        <f>IFERROR(INDEX(Articles[ABC],MATCH($B28,Articles[ID],0)),"")</f>
        <v>0</v>
      </c>
      <c r="F28" t="str">
        <f>IFERROR(INDEX(Articles[Unité],MATCH($B28,Articles[ID],0)),"")</f>
        <v>bidon</v>
      </c>
      <c r="G28">
        <f>IFERROR(INDEX(Articles[Coût_Unitaire],MATCH($B28,Articles[ID],0)),"")</f>
        <v>45</v>
      </c>
      <c r="H28">
        <f>IFERROR(INDEX(Articles[Stock_Système],MATCH($B28,Articles[ID],0)),"")</f>
        <v>22</v>
      </c>
      <c r="I28" s="7">
        <v>22</v>
      </c>
      <c r="J28">
        <f t="shared" si="0"/>
        <v>0</v>
      </c>
      <c r="K28" s="9">
        <f t="shared" si="1"/>
        <v>0</v>
      </c>
      <c r="L28" s="9">
        <f t="shared" si="2"/>
        <v>0</v>
      </c>
      <c r="M28" t="str">
        <f t="shared" si="3"/>
        <v>OK</v>
      </c>
      <c r="N28" s="4">
        <f t="shared" si="4"/>
        <v>0</v>
      </c>
      <c r="O28" s="4">
        <f t="shared" si="5"/>
        <v>0</v>
      </c>
      <c r="P28" s="5" t="s">
        <v>111</v>
      </c>
      <c r="Q28" t="str">
        <f t="shared" si="6"/>
        <v>A-0004</v>
      </c>
    </row>
    <row r="29" spans="1:17" x14ac:dyDescent="0.25">
      <c r="A29" s="3">
        <v>45723</v>
      </c>
      <c r="B29" s="5" t="s">
        <v>43</v>
      </c>
      <c r="C29" t="str">
        <f>IFERROR(INDEX(Articles[Désignation],MATCH($B29,Articles[ID],0)),"")</f>
        <v>Gants nitrile XL</v>
      </c>
      <c r="D29" t="str">
        <f>IFERROR(INDEX(Articles[Emplacement],MATCH($B29,Articles[ID],0)),"")</f>
        <v>MAG</v>
      </c>
      <c r="E29">
        <f>IFERROR(INDEX(Articles[ABC],MATCH($B29,Articles[ID],0)),"")</f>
        <v>0</v>
      </c>
      <c r="F29" t="str">
        <f>IFERROR(INDEX(Articles[Unité],MATCH($B29,Articles[ID],0)),"")</f>
        <v>paquet</v>
      </c>
      <c r="G29">
        <f>IFERROR(INDEX(Articles[Coût_Unitaire],MATCH($B29,Articles[ID],0)),"")</f>
        <v>8.5</v>
      </c>
      <c r="H29">
        <f>IFERROR(INDEX(Articles[Stock_Système],MATCH($B29,Articles[ID],0)),"")</f>
        <v>100</v>
      </c>
      <c r="I29" s="7">
        <v>102</v>
      </c>
      <c r="J29">
        <f t="shared" si="0"/>
        <v>2</v>
      </c>
      <c r="K29" s="9">
        <f t="shared" si="1"/>
        <v>0.02</v>
      </c>
      <c r="L29" s="9">
        <f t="shared" si="2"/>
        <v>0</v>
      </c>
      <c r="M29" t="str">
        <f t="shared" si="3"/>
        <v>À vérifier</v>
      </c>
      <c r="N29" s="4">
        <f t="shared" si="4"/>
        <v>17</v>
      </c>
      <c r="O29" s="4">
        <f t="shared" si="5"/>
        <v>17</v>
      </c>
      <c r="P29" s="5" t="s">
        <v>101</v>
      </c>
      <c r="Q29" t="str">
        <f t="shared" si="6"/>
        <v>A-0006</v>
      </c>
    </row>
    <row r="30" spans="1:17" x14ac:dyDescent="0.25">
      <c r="A30" s="3">
        <v>45724</v>
      </c>
      <c r="B30" s="5" t="s">
        <v>46</v>
      </c>
      <c r="C30" t="str">
        <f>IFERROR(INDEX(Articles[Désignation],MATCH($B30,Articles[ID],0)),"")</f>
        <v>Masque FFP2</v>
      </c>
      <c r="D30" t="str">
        <f>IFERROR(INDEX(Articles[Emplacement],MATCH($B30,Articles[ID],0)),"")</f>
        <v>MAG</v>
      </c>
      <c r="E30">
        <f>IFERROR(INDEX(Articles[ABC],MATCH($B30,Articles[ID],0)),"")</f>
        <v>0</v>
      </c>
      <c r="F30" t="str">
        <f>IFERROR(INDEX(Articles[Unité],MATCH($B30,Articles[ID],0)),"")</f>
        <v>boîte</v>
      </c>
      <c r="G30">
        <f>IFERROR(INDEX(Articles[Coût_Unitaire],MATCH($B30,Articles[ID],0)),"")</f>
        <v>14</v>
      </c>
      <c r="H30">
        <f>IFERROR(INDEX(Articles[Stock_Système],MATCH($B30,Articles[ID],0)),"")</f>
        <v>40</v>
      </c>
      <c r="I30" s="7">
        <v>39</v>
      </c>
      <c r="J30">
        <f t="shared" si="0"/>
        <v>-1</v>
      </c>
      <c r="K30" s="9">
        <f t="shared" si="1"/>
        <v>-2.5000000000000001E-2</v>
      </c>
      <c r="L30" s="9">
        <f t="shared" si="2"/>
        <v>0</v>
      </c>
      <c r="M30" t="str">
        <f t="shared" si="3"/>
        <v>À vérifier</v>
      </c>
      <c r="N30" s="4">
        <f t="shared" si="4"/>
        <v>-14</v>
      </c>
      <c r="O30" s="4">
        <f t="shared" si="5"/>
        <v>14</v>
      </c>
      <c r="P30" s="5" t="s">
        <v>101</v>
      </c>
      <c r="Q30" t="str">
        <f t="shared" si="6"/>
        <v>A-0007</v>
      </c>
    </row>
    <row r="31" spans="1:17" x14ac:dyDescent="0.25">
      <c r="A31" s="3">
        <v>45748</v>
      </c>
      <c r="B31" s="5" t="s">
        <v>25</v>
      </c>
      <c r="C31" t="str">
        <f>IFERROR(INDEX(Articles[Désignation],MATCH($B31,Articles[ID],0)),"")</f>
        <v>Roulement 6203 ZZ</v>
      </c>
      <c r="D31" t="str">
        <f>IFERROR(INDEX(Articles[Emplacement],MATCH($B31,Articles[ID],0)),"")</f>
        <v>A01</v>
      </c>
      <c r="E31">
        <f>IFERROR(INDEX(Articles[ABC],MATCH($B31,Articles[ID],0)),"")</f>
        <v>0</v>
      </c>
      <c r="F31" t="str">
        <f>IFERROR(INDEX(Articles[Unité],MATCH($B31,Articles[ID],0)),"")</f>
        <v>pcs</v>
      </c>
      <c r="G31">
        <f>IFERROR(INDEX(Articles[Coût_Unitaire],MATCH($B31,Articles[ID],0)),"")</f>
        <v>3.2</v>
      </c>
      <c r="H31">
        <f>IFERROR(INDEX(Articles[Stock_Système],MATCH($B31,Articles[ID],0)),"")</f>
        <v>150</v>
      </c>
      <c r="I31" s="7">
        <v>147</v>
      </c>
      <c r="J31">
        <f t="shared" si="0"/>
        <v>-3</v>
      </c>
      <c r="K31" s="9">
        <f t="shared" si="1"/>
        <v>-0.02</v>
      </c>
      <c r="L31" s="9">
        <f t="shared" si="2"/>
        <v>0</v>
      </c>
      <c r="M31" t="str">
        <f t="shared" si="3"/>
        <v>À vérifier</v>
      </c>
      <c r="N31" s="4">
        <f t="shared" si="4"/>
        <v>-9.6000000000000014</v>
      </c>
      <c r="O31" s="4">
        <f t="shared" si="5"/>
        <v>9.6000000000000014</v>
      </c>
      <c r="P31" s="5" t="s">
        <v>109</v>
      </c>
      <c r="Q31" t="str">
        <f t="shared" si="6"/>
        <v>A-0001</v>
      </c>
    </row>
    <row r="32" spans="1:17" x14ac:dyDescent="0.25">
      <c r="A32" s="3">
        <v>45750</v>
      </c>
      <c r="B32" s="5" t="s">
        <v>32</v>
      </c>
      <c r="C32" t="str">
        <f>IFERROR(INDEX(Articles[Désignation],MATCH($B32,Articles[ID],0)),"")</f>
        <v>Capteur inductif M12</v>
      </c>
      <c r="D32" t="str">
        <f>IFERROR(INDEX(Articles[Emplacement],MATCH($B32,Articles[ID],0)),"")</f>
        <v>B01</v>
      </c>
      <c r="E32">
        <f>IFERROR(INDEX(Articles[ABC],MATCH($B32,Articles[ID],0)),"")</f>
        <v>0</v>
      </c>
      <c r="F32" t="str">
        <f>IFERROR(INDEX(Articles[Unité],MATCH($B32,Articles[ID],0)),"")</f>
        <v>pcs</v>
      </c>
      <c r="G32">
        <f>IFERROR(INDEX(Articles[Coût_Unitaire],MATCH($B32,Articles[ID],0)),"")</f>
        <v>21.5</v>
      </c>
      <c r="H32">
        <f>IFERROR(INDEX(Articles[Stock_Système],MATCH($B32,Articles[ID],0)),"")</f>
        <v>35</v>
      </c>
      <c r="I32" s="7">
        <v>34</v>
      </c>
      <c r="J32">
        <f t="shared" si="0"/>
        <v>-1</v>
      </c>
      <c r="K32" s="9">
        <f t="shared" si="1"/>
        <v>-2.8571428571428571E-2</v>
      </c>
      <c r="L32" s="9">
        <f t="shared" si="2"/>
        <v>0</v>
      </c>
      <c r="M32" t="str">
        <f t="shared" si="3"/>
        <v>À vérifier</v>
      </c>
      <c r="N32" s="4">
        <f t="shared" si="4"/>
        <v>-21.5</v>
      </c>
      <c r="O32" s="4">
        <f t="shared" si="5"/>
        <v>21.5</v>
      </c>
      <c r="P32" s="5" t="s">
        <v>112</v>
      </c>
      <c r="Q32" t="str">
        <f t="shared" si="6"/>
        <v>A-0003</v>
      </c>
    </row>
    <row r="33" spans="1:17" x14ac:dyDescent="0.25">
      <c r="A33" s="3">
        <v>45751</v>
      </c>
      <c r="B33" s="5" t="s">
        <v>35</v>
      </c>
      <c r="C33" t="str">
        <f>IFERROR(INDEX(Articles[Désignation],MATCH($B33,Articles[ID],0)),"")</f>
        <v>Huile hydraulique H46 (20L)</v>
      </c>
      <c r="D33" t="str">
        <f>IFERROR(INDEX(Articles[Emplacement],MATCH($B33,Articles[ID],0)),"")</f>
        <v>MAG</v>
      </c>
      <c r="E33">
        <f>IFERROR(INDEX(Articles[ABC],MATCH($B33,Articles[ID],0)),"")</f>
        <v>0</v>
      </c>
      <c r="F33" t="str">
        <f>IFERROR(INDEX(Articles[Unité],MATCH($B33,Articles[ID],0)),"")</f>
        <v>bidon</v>
      </c>
      <c r="G33">
        <f>IFERROR(INDEX(Articles[Coût_Unitaire],MATCH($B33,Articles[ID],0)),"")</f>
        <v>45</v>
      </c>
      <c r="H33">
        <f>IFERROR(INDEX(Articles[Stock_Système],MATCH($B33,Articles[ID],0)),"")</f>
        <v>22</v>
      </c>
      <c r="I33" s="7">
        <v>22</v>
      </c>
      <c r="J33">
        <f t="shared" si="0"/>
        <v>0</v>
      </c>
      <c r="K33" s="9">
        <f t="shared" si="1"/>
        <v>0</v>
      </c>
      <c r="L33" s="9">
        <f t="shared" si="2"/>
        <v>0</v>
      </c>
      <c r="M33" t="str">
        <f t="shared" si="3"/>
        <v>OK</v>
      </c>
      <c r="N33" s="4">
        <f t="shared" si="4"/>
        <v>0</v>
      </c>
      <c r="O33" s="4">
        <f t="shared" si="5"/>
        <v>0</v>
      </c>
      <c r="P33" s="5" t="s">
        <v>112</v>
      </c>
      <c r="Q33" t="str">
        <f t="shared" si="6"/>
        <v>A-0004</v>
      </c>
    </row>
    <row r="34" spans="1:17" x14ac:dyDescent="0.25">
      <c r="A34" s="3">
        <v>45753</v>
      </c>
      <c r="B34" s="5" t="s">
        <v>43</v>
      </c>
      <c r="C34" t="str">
        <f>IFERROR(INDEX(Articles[Désignation],MATCH($B34,Articles[ID],0)),"")</f>
        <v>Gants nitrile XL</v>
      </c>
      <c r="D34" t="str">
        <f>IFERROR(INDEX(Articles[Emplacement],MATCH($B34,Articles[ID],0)),"")</f>
        <v>MAG</v>
      </c>
      <c r="E34">
        <f>IFERROR(INDEX(Articles[ABC],MATCH($B34,Articles[ID],0)),"")</f>
        <v>0</v>
      </c>
      <c r="F34" t="str">
        <f>IFERROR(INDEX(Articles[Unité],MATCH($B34,Articles[ID],0)),"")</f>
        <v>paquet</v>
      </c>
      <c r="G34">
        <f>IFERROR(INDEX(Articles[Coût_Unitaire],MATCH($B34,Articles[ID],0)),"")</f>
        <v>8.5</v>
      </c>
      <c r="H34">
        <f>IFERROR(INDEX(Articles[Stock_Système],MATCH($B34,Articles[ID],0)),"")</f>
        <v>100</v>
      </c>
      <c r="I34" s="7">
        <v>98</v>
      </c>
      <c r="J34">
        <f t="shared" si="0"/>
        <v>-2</v>
      </c>
      <c r="K34" s="9">
        <f t="shared" si="1"/>
        <v>-0.02</v>
      </c>
      <c r="L34" s="9">
        <f t="shared" si="2"/>
        <v>0</v>
      </c>
      <c r="M34" t="str">
        <f t="shared" si="3"/>
        <v>À vérifier</v>
      </c>
      <c r="N34" s="4">
        <f t="shared" si="4"/>
        <v>-17</v>
      </c>
      <c r="O34" s="4">
        <f t="shared" si="5"/>
        <v>17</v>
      </c>
      <c r="P34" s="5" t="s">
        <v>114</v>
      </c>
      <c r="Q34" t="str">
        <f t="shared" si="6"/>
        <v>A-0006</v>
      </c>
    </row>
    <row r="35" spans="1:17" x14ac:dyDescent="0.25">
      <c r="A35" s="3">
        <v>45754</v>
      </c>
      <c r="B35" s="5" t="s">
        <v>46</v>
      </c>
      <c r="C35" t="str">
        <f>IFERROR(INDEX(Articles[Désignation],MATCH($B35,Articles[ID],0)),"")</f>
        <v>Masque FFP2</v>
      </c>
      <c r="D35" t="str">
        <f>IFERROR(INDEX(Articles[Emplacement],MATCH($B35,Articles[ID],0)),"")</f>
        <v>MAG</v>
      </c>
      <c r="E35">
        <f>IFERROR(INDEX(Articles[ABC],MATCH($B35,Articles[ID],0)),"")</f>
        <v>0</v>
      </c>
      <c r="F35" t="str">
        <f>IFERROR(INDEX(Articles[Unité],MATCH($B35,Articles[ID],0)),"")</f>
        <v>boîte</v>
      </c>
      <c r="G35">
        <f>IFERROR(INDEX(Articles[Coût_Unitaire],MATCH($B35,Articles[ID],0)),"")</f>
        <v>14</v>
      </c>
      <c r="H35">
        <f>IFERROR(INDEX(Articles[Stock_Système],MATCH($B35,Articles[ID],0)),"")</f>
        <v>40</v>
      </c>
      <c r="I35" s="7">
        <v>39</v>
      </c>
      <c r="J35">
        <f t="shared" si="0"/>
        <v>-1</v>
      </c>
      <c r="K35" s="9">
        <f t="shared" si="1"/>
        <v>-2.5000000000000001E-2</v>
      </c>
      <c r="L35" s="9">
        <f t="shared" si="2"/>
        <v>0</v>
      </c>
      <c r="M35" t="str">
        <f t="shared" si="3"/>
        <v>À vérifier</v>
      </c>
      <c r="N35" s="4">
        <f t="shared" si="4"/>
        <v>-14</v>
      </c>
      <c r="O35" s="4">
        <f t="shared" si="5"/>
        <v>14</v>
      </c>
      <c r="P35" s="5" t="s">
        <v>103</v>
      </c>
      <c r="Q35" t="str">
        <f t="shared" si="6"/>
        <v>A-0007</v>
      </c>
    </row>
    <row r="36" spans="1:17" x14ac:dyDescent="0.25">
      <c r="A36" s="3">
        <v>45759</v>
      </c>
      <c r="B36" s="5" t="s">
        <v>61</v>
      </c>
      <c r="C36" t="str">
        <f>IFERROR(INDEX(Articles[Désignation],MATCH($B36,Articles[ID],0)),"")</f>
        <v>Roulette pivotante Ø50</v>
      </c>
      <c r="D36" t="str">
        <f>IFERROR(INDEX(Articles[Emplacement],MATCH($B36,Articles[ID],0)),"")</f>
        <v>M01</v>
      </c>
      <c r="E36">
        <f>IFERROR(INDEX(Articles[ABC],MATCH($B36,Articles[ID],0)),"")</f>
        <v>0</v>
      </c>
      <c r="F36" t="str">
        <f>IFERROR(INDEX(Articles[Unité],MATCH($B36,Articles[ID],0)),"")</f>
        <v>pcs</v>
      </c>
      <c r="G36">
        <f>IFERROR(INDEX(Articles[Coût_Unitaire],MATCH($B36,Articles[ID],0)),"")</f>
        <v>7.6</v>
      </c>
      <c r="H36">
        <f>IFERROR(INDEX(Articles[Stock_Système],MATCH($B36,Articles[ID],0)),"")</f>
        <v>70</v>
      </c>
      <c r="I36" s="7">
        <v>71</v>
      </c>
      <c r="J36">
        <f t="shared" si="0"/>
        <v>1</v>
      </c>
      <c r="K36" s="9">
        <f t="shared" si="1"/>
        <v>1.4285714285714285E-2</v>
      </c>
      <c r="L36" s="9">
        <f t="shared" si="2"/>
        <v>0</v>
      </c>
      <c r="M36" t="str">
        <f t="shared" si="3"/>
        <v>À vérifier</v>
      </c>
      <c r="N36" s="4">
        <f t="shared" si="4"/>
        <v>7.6</v>
      </c>
      <c r="O36" s="4">
        <f t="shared" si="5"/>
        <v>7.6</v>
      </c>
      <c r="P36" s="5" t="s">
        <v>107</v>
      </c>
      <c r="Q36" t="str">
        <f t="shared" si="6"/>
        <v>A-0012</v>
      </c>
    </row>
    <row r="37" spans="1:17" x14ac:dyDescent="0.25">
      <c r="A37" s="3">
        <v>45760</v>
      </c>
      <c r="B37" s="5" t="s">
        <v>64</v>
      </c>
      <c r="C37" t="str">
        <f>IFERROR(INDEX(Articles[Désignation],MATCH($B37,Articles[ID],0)),"")</f>
        <v>Ampoule LED E27 10W</v>
      </c>
      <c r="D37" t="str">
        <f>IFERROR(INDEX(Articles[Emplacement],MATCH($B37,Articles[ID],0)),"")</f>
        <v>E03</v>
      </c>
      <c r="E37">
        <f>IFERROR(INDEX(Articles[ABC],MATCH($B37,Articles[ID],0)),"")</f>
        <v>0</v>
      </c>
      <c r="F37" t="str">
        <f>IFERROR(INDEX(Articles[Unité],MATCH($B37,Articles[ID],0)),"")</f>
        <v>pcs</v>
      </c>
      <c r="G37">
        <f>IFERROR(INDEX(Articles[Coût_Unitaire],MATCH($B37,Articles[ID],0)),"")</f>
        <v>2.6</v>
      </c>
      <c r="H37">
        <f>IFERROR(INDEX(Articles[Stock_Système],MATCH($B37,Articles[ID],0)),"")</f>
        <v>120</v>
      </c>
      <c r="I37" s="7">
        <v>122</v>
      </c>
      <c r="J37">
        <f t="shared" si="0"/>
        <v>2</v>
      </c>
      <c r="K37" s="9">
        <f t="shared" si="1"/>
        <v>1.6666666666666666E-2</v>
      </c>
      <c r="L37" s="9">
        <f t="shared" si="2"/>
        <v>0</v>
      </c>
      <c r="M37" t="str">
        <f t="shared" si="3"/>
        <v>À vérifier</v>
      </c>
      <c r="N37" s="4">
        <f t="shared" si="4"/>
        <v>5.2</v>
      </c>
      <c r="O37" s="4">
        <f t="shared" si="5"/>
        <v>5.2</v>
      </c>
      <c r="P37" s="5" t="s">
        <v>115</v>
      </c>
      <c r="Q37" t="str">
        <f t="shared" si="6"/>
        <v>A-0013</v>
      </c>
    </row>
  </sheetData>
  <pageMargins left="0.7" right="0.7" top="0.75" bottom="0.75" header="0.3" footer="0.3"/>
  <tableParts count="1">
    <tablePart r:id="rId1"/>
  </tableParts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B11"/>
  <sheetViews>
    <sheetView workbookViewId="0">
      <selection activeCell="G6" sqref="G6"/>
    </sheetView>
  </sheetViews>
  <sheetFormatPr baseColWidth="10" defaultColWidth="9.140625" defaultRowHeight="15" x14ac:dyDescent="0.25"/>
  <cols>
    <col min="1" max="1" width="46.7109375" customWidth="1"/>
    <col min="2" max="2" width="30.7109375" customWidth="1"/>
  </cols>
  <sheetData>
    <row r="1" spans="1:2" ht="15.75" x14ac:dyDescent="0.25">
      <c r="A1" s="10" t="s">
        <v>116</v>
      </c>
    </row>
    <row r="3" spans="1:2" x14ac:dyDescent="0.25">
      <c r="A3" t="s">
        <v>117</v>
      </c>
      <c r="B3" s="11">
        <f>SUMPRODUCT(N(Articles[Stock_Système]),N(Articles[Coût_Unitaire]))</f>
        <v>480</v>
      </c>
    </row>
    <row r="5" spans="1:2" x14ac:dyDescent="0.25">
      <c r="A5" t="s">
        <v>118</v>
      </c>
      <c r="B5" s="7">
        <f>ROWS(Comptages[ID_Counté])</f>
        <v>33</v>
      </c>
    </row>
    <row r="6" spans="1:2" x14ac:dyDescent="0.25">
      <c r="A6" t="s">
        <v>119</v>
      </c>
      <c r="B6" s="7">
        <f>SUMPRODUCT(--(Comptages[Conforme ?]="OK"))</f>
        <v>11</v>
      </c>
    </row>
    <row r="7" spans="1:2" x14ac:dyDescent="0.25">
      <c r="A7" t="s">
        <v>120</v>
      </c>
      <c r="B7" s="9">
        <f>IFERROR(B6/B5,0)</f>
        <v>0.33333333333333331</v>
      </c>
    </row>
    <row r="9" spans="1:2" x14ac:dyDescent="0.25">
      <c r="A9" t="s">
        <v>121</v>
      </c>
      <c r="B9" s="4">
        <f>SUMPRODUCT(ABS(N(Comptages[Écart]))*N(Comptages[Coût_Unitaire]))</f>
        <v>9.6000000000000014</v>
      </c>
    </row>
    <row r="10" spans="1:2" x14ac:dyDescent="0.25">
      <c r="A10" t="s">
        <v>122</v>
      </c>
      <c r="B10" s="4">
        <f>SUMPRODUCT((N(Comptages[Valeur_Écart])&lt;0)*N(Comptages[Valeur_Écart]))</f>
        <v>0</v>
      </c>
    </row>
    <row r="11" spans="1:2" x14ac:dyDescent="0.25">
      <c r="A11" t="s">
        <v>123</v>
      </c>
      <c r="B11" s="9">
        <f>IFERROR(-B10/B3,0)</f>
        <v>0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B7"/>
  <sheetViews>
    <sheetView workbookViewId="0">
      <selection activeCell="I7" sqref="I7"/>
    </sheetView>
  </sheetViews>
  <sheetFormatPr baseColWidth="10" defaultColWidth="9.140625" defaultRowHeight="15" x14ac:dyDescent="0.25"/>
  <cols>
    <col min="1" max="1" width="40.7109375" customWidth="1"/>
  </cols>
  <sheetData>
    <row r="1" spans="1:2" ht="21" x14ac:dyDescent="0.35">
      <c r="A1" s="1" t="s">
        <v>126</v>
      </c>
    </row>
    <row r="3" spans="1:2" ht="15.75" x14ac:dyDescent="0.25">
      <c r="A3" s="2" t="s">
        <v>120</v>
      </c>
      <c r="B3" s="9">
        <f>KPI!B7</f>
        <v>0.33333333333333331</v>
      </c>
    </row>
    <row r="5" spans="1:2" ht="15.75" x14ac:dyDescent="0.25">
      <c r="A5" s="2" t="s">
        <v>124</v>
      </c>
      <c r="B5" s="4">
        <f>KPI!B9</f>
        <v>9.6000000000000014</v>
      </c>
    </row>
    <row r="7" spans="1:2" ht="15.75" x14ac:dyDescent="0.25">
      <c r="A7" s="2" t="s">
        <v>125</v>
      </c>
      <c r="B7" s="9">
        <f>KPI!B11</f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Feuilles de calcul</vt:lpstr>
      </vt:variant>
      <vt:variant>
        <vt:i4>6</vt:i4>
      </vt:variant>
      <vt:variant>
        <vt:lpstr>Plages nommées</vt:lpstr>
      </vt:variant>
      <vt:variant>
        <vt:i4>10</vt:i4>
      </vt:variant>
    </vt:vector>
  </HeadingPairs>
  <TitlesOfParts>
    <vt:vector size="16" baseType="lpstr">
      <vt:lpstr>Parametres</vt:lpstr>
      <vt:lpstr>Articles</vt:lpstr>
      <vt:lpstr>Planification</vt:lpstr>
      <vt:lpstr>Comptages</vt:lpstr>
      <vt:lpstr>KPI</vt:lpstr>
      <vt:lpstr>Dashboard</vt:lpstr>
      <vt:lpstr>date_debut</vt:lpstr>
      <vt:lpstr>freq_A</vt:lpstr>
      <vt:lpstr>freq_B</vt:lpstr>
      <vt:lpstr>freq_C</vt:lpstr>
      <vt:lpstr>nb_jours_plan</vt:lpstr>
      <vt:lpstr>seuil_A_val</vt:lpstr>
      <vt:lpstr>seuil_B_val</vt:lpstr>
      <vt:lpstr>tol_A</vt:lpstr>
      <vt:lpstr>tol_B</vt:lpstr>
      <vt:lpstr>tol_C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</dc:creator>
  <cp:lastModifiedBy>pc</cp:lastModifiedBy>
  <dcterms:created xsi:type="dcterms:W3CDTF">2025-10-25T17:03:40Z</dcterms:created>
  <dcterms:modified xsi:type="dcterms:W3CDTF">2025-10-25T17:09:51Z</dcterms:modified>
</cp:coreProperties>
</file>