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Calendrier" sheetId="2" r:id="rId2"/>
  </sheets>
  <calcPr calcId="124519" fullCalcOnLoad="1"/>
</workbook>
</file>

<file path=xl/sharedStrings.xml><?xml version="1.0" encoding="utf-8"?>
<sst xmlns="http://schemas.openxmlformats.org/spreadsheetml/2006/main" count="102" uniqueCount="25">
  <si>
    <t>Paramètres du calendrier (compatible Excel 2010+)</t>
  </si>
  <si>
    <t>Année :</t>
  </si>
  <si>
    <t>OM — Jour 1 (1=Lun … 7=Dim) :</t>
  </si>
  <si>
    <t>OM — Jour 2 (optionnel) :</t>
  </si>
  <si>
    <t>TRI — Jour (1..7) :</t>
  </si>
  <si>
    <t>VERRE — Départ (date de référence, ex. un mardi) :</t>
  </si>
  <si>
    <t>VERRE — Jour (1..7) :</t>
  </si>
  <si>
    <t>VERRE — Toutes les 2 semaines à partir du départ</t>
  </si>
  <si>
    <t>VERTS — Nième (1..5) :</t>
  </si>
  <si>
    <t>VERTS — Jour (1..7) :</t>
  </si>
  <si>
    <t>ENCOMBRANTS — Jour du mois (1..31) :</t>
  </si>
  <si>
    <t>Calendrier de ramassage — annuel (compat)</t>
  </si>
  <si>
    <t>Légende</t>
  </si>
  <si>
    <t>OM</t>
  </si>
  <si>
    <t>TRI</t>
  </si>
  <si>
    <t>VERRE</t>
  </si>
  <si>
    <t>VERTS</t>
  </si>
  <si>
    <t>ENCOMBRANTS</t>
  </si>
  <si>
    <t>Lun</t>
  </si>
  <si>
    <t>Mar</t>
  </si>
  <si>
    <t>Mer</t>
  </si>
  <si>
    <t>Jeu</t>
  </si>
  <si>
    <t>Ven</t>
  </si>
  <si>
    <t>Sam</t>
  </si>
  <si>
    <t>Dim</t>
  </si>
</sst>
</file>

<file path=xl/styles.xml><?xml version="1.0" encoding="utf-8"?>
<styleSheet xmlns="http://schemas.openxmlformats.org/spreadsheetml/2006/main">
  <numFmts count="2">
    <numFmt numFmtId="164" formatCode="dd/mm/yyyy"/>
    <numFmt numFmtId="165" formatCode="[$-fr-FR]mmmm yyyy"/>
  </numFmts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AF2FF"/>
        <bgColor indexed="64"/>
      </patternFill>
    </fill>
    <fill>
      <patternFill patternType="solid">
        <fgColor rgb="FFF3F4F6"/>
        <bgColor indexed="64"/>
      </patternFill>
    </fill>
    <fill>
      <patternFill patternType="solid">
        <fgColor rgb="FFE5E7E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4" fontId="0" fillId="0" borderId="0" xfId="0" applyNumberFormat="1"/>
    <xf numFmtId="0" fontId="2" fillId="0" borderId="0" xfId="0" applyFont="1"/>
    <xf numFmtId="165" fontId="2" fillId="0" borderId="0" xfId="0" applyNumberFormat="1" applyFont="1" applyAlignment="1">
      <alignment horizontal="center"/>
    </xf>
    <xf numFmtId="0" fontId="0" fillId="4" borderId="0" xfId="0" applyFill="1"/>
    <xf numFmtId="0" fontId="3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5">
    <dxf>
      <fill>
        <patternFill>
          <bgColor rgb="FFD9D9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BFDBF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7F9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A7F3D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7"/>
  <sheetViews>
    <sheetView tabSelected="1" workbookViewId="0"/>
  </sheetViews>
  <sheetFormatPr defaultRowHeight="15"/>
  <cols>
    <col min="1" max="3" width="32.7109375" customWidth="1"/>
  </cols>
  <sheetData>
    <row r="1" spans="1:3">
      <c r="A1" s="1" t="s">
        <v>0</v>
      </c>
      <c r="B1" s="1"/>
      <c r="C1" s="1"/>
    </row>
    <row r="3" spans="1:3">
      <c r="A3" s="2" t="s">
        <v>1</v>
      </c>
      <c r="B3">
        <v>2025</v>
      </c>
    </row>
    <row r="5" spans="1:3">
      <c r="A5" s="2" t="s">
        <v>2</v>
      </c>
      <c r="B5">
        <v>1</v>
      </c>
    </row>
    <row r="6" spans="1:3">
      <c r="A6" s="2" t="s">
        <v>3</v>
      </c>
      <c r="B6">
        <v>4</v>
      </c>
    </row>
    <row r="8" spans="1:3">
      <c r="A8" s="2" t="s">
        <v>4</v>
      </c>
      <c r="B8">
        <v>3</v>
      </c>
    </row>
    <row r="10" spans="1:3">
      <c r="A10" s="2" t="s">
        <v>5</v>
      </c>
      <c r="B10" s="3">
        <v>45958</v>
      </c>
    </row>
    <row r="11" spans="1:3">
      <c r="A11" s="2" t="s">
        <v>6</v>
      </c>
      <c r="B11">
        <v>2</v>
      </c>
    </row>
    <row r="12" spans="1:3">
      <c r="A12" s="2" t="s">
        <v>7</v>
      </c>
    </row>
    <row r="14" spans="1:3">
      <c r="A14" s="2" t="s">
        <v>8</v>
      </c>
      <c r="B14">
        <v>1</v>
      </c>
    </row>
    <row r="15" spans="1:3">
      <c r="A15" s="2" t="s">
        <v>9</v>
      </c>
      <c r="B15">
        <v>6</v>
      </c>
    </row>
    <row r="17" spans="1:2">
      <c r="A17" s="2" t="s">
        <v>10</v>
      </c>
      <c r="B17">
        <v>15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39"/>
  <sheetViews>
    <sheetView workbookViewId="0"/>
  </sheetViews>
  <sheetFormatPr defaultRowHeight="15"/>
  <cols>
    <col min="8" max="8" width="2.7109375" customWidth="1"/>
    <col min="16" max="16" width="2.7109375" customWidth="1"/>
    <col min="24" max="24" width="2.7109375" customWidth="1"/>
  </cols>
  <sheetData>
    <row r="1" spans="1:23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3">
      <c r="P2" s="4" t="s">
        <v>12</v>
      </c>
    </row>
    <row r="3" spans="1:23">
      <c r="P3" t="s">
        <v>13</v>
      </c>
    </row>
    <row r="4" spans="1:23">
      <c r="A4" s="5">
        <f>DATE(Paramètres!$B$3,1,1)</f>
        <v>0</v>
      </c>
      <c r="B4" s="6"/>
      <c r="C4" s="6"/>
      <c r="D4" s="6"/>
      <c r="E4" s="6"/>
      <c r="F4" s="6"/>
      <c r="G4" s="6"/>
      <c r="I4" s="5">
        <f>DATE(Paramètres!$B$3,2,1)</f>
        <v>0</v>
      </c>
      <c r="J4" s="6"/>
      <c r="K4" s="6"/>
      <c r="L4" s="6"/>
      <c r="M4" s="6"/>
      <c r="N4" s="6"/>
      <c r="O4" s="6"/>
      <c r="P4" t="s">
        <v>14</v>
      </c>
      <c r="Q4" s="5">
        <f>DATE(Paramètres!$B$3,3,1)</f>
        <v>0</v>
      </c>
      <c r="R4" s="6"/>
      <c r="S4" s="6"/>
      <c r="T4" s="6"/>
      <c r="U4" s="6"/>
      <c r="V4" s="6"/>
      <c r="W4" s="6"/>
    </row>
    <row r="5" spans="1:23">
      <c r="A5" s="2" t="s">
        <v>18</v>
      </c>
      <c r="B5" s="2" t="s">
        <v>19</v>
      </c>
      <c r="C5" s="2" t="s">
        <v>20</v>
      </c>
      <c r="D5" s="2" t="s">
        <v>21</v>
      </c>
      <c r="E5" s="2" t="s">
        <v>22</v>
      </c>
      <c r="F5" s="2" t="s">
        <v>23</v>
      </c>
      <c r="G5" s="2" t="s">
        <v>24</v>
      </c>
      <c r="I5" s="2" t="s">
        <v>18</v>
      </c>
      <c r="J5" s="2" t="s">
        <v>19</v>
      </c>
      <c r="K5" s="2" t="s">
        <v>20</v>
      </c>
      <c r="L5" s="2" t="s">
        <v>21</v>
      </c>
      <c r="M5" s="2" t="s">
        <v>22</v>
      </c>
      <c r="N5" s="2" t="s">
        <v>23</v>
      </c>
      <c r="O5" s="2" t="s">
        <v>24</v>
      </c>
      <c r="P5" t="s">
        <v>15</v>
      </c>
      <c r="Q5" s="2" t="s">
        <v>18</v>
      </c>
      <c r="R5" s="2" t="s">
        <v>19</v>
      </c>
      <c r="S5" s="2" t="s">
        <v>20</v>
      </c>
      <c r="T5" s="2" t="s">
        <v>21</v>
      </c>
      <c r="U5" s="2" t="s">
        <v>22</v>
      </c>
      <c r="V5" s="2" t="s">
        <v>23</v>
      </c>
      <c r="W5" s="2" t="s">
        <v>24</v>
      </c>
    </row>
    <row r="6" spans="1:23">
      <c r="A6">
        <f>DATE(Paramètres!$B$3,1,1)-MOD(WEEKDAY(DATE(Paramètres!$B$3,1,1),2)-1,7)</f>
        <v>0</v>
      </c>
      <c r="I6">
        <f>DATE(Paramètres!$B$3,2,1)-MOD(WEEKDAY(DATE(Paramètres!$B$3,2,1),2)-1,7)</f>
        <v>0</v>
      </c>
      <c r="P6" t="s">
        <v>16</v>
      </c>
      <c r="Q6">
        <f>DATE(Paramètres!$B$3,3,1)-MOD(WEEKDAY(DATE(Paramètres!$B$3,3,1),2)-1,7)</f>
        <v>0</v>
      </c>
    </row>
    <row r="7" spans="1:23">
      <c r="A7" s="7">
        <f>IF(MONTH(A6+0)&lt;&gt;1,"",TEXT(A6+0,"d") &amp; CHAR(10) &amp; SUBSTITUTE(TRIM(IF(OR(WEEKDAY(A6+0,2)=Paramètres!$B$5, WEEKDAY(A6+0,2)=Paramètres!$B$6),"OM, ","")&amp;IF(WEEKDAY(A6+0,2)=Paramètres!$B$8,"TRI, ","")&amp;IF(AND(WEEKDAY(A6+0,2)=Paramètres!$B$11, MOD(INT((A6+0-Paramètres!$B$10)/7),2)=0, A6+0&gt;=Paramètres!$B$10),"VERRE, ","")&amp;IF(AND(WEEKDAY(A6+0,2)=Paramètres!$B$15, INT((DAY(A6+0)-1)/7)+1 = Paramètres!$B$14),"VERTS, ","")&amp;IF(DAY(A6+0)=Paramètres!$B$17,"ENCOMBRANTS, ","")),", "," / "))</f>
        <v>0</v>
      </c>
      <c r="B7" s="7">
        <f>IF(MONTH(A6+1)&lt;&gt;1,"",TEXT(A6+1,"d") &amp; CHAR(10) &amp; SUBSTITUTE(TRIM(IF(OR(WEEKDAY(A6+1,2)=Paramètres!$B$5, WEEKDAY(A6+1,2)=Paramètres!$B$6),"OM, ","")&amp;IF(WEEKDAY(A6+1,2)=Paramètres!$B$8,"TRI, ","")&amp;IF(AND(WEEKDAY(A6+1,2)=Paramètres!$B$11, MOD(INT((A6+1-Paramètres!$B$10)/7),2)=0, A6+1&gt;=Paramètres!$B$10),"VERRE, ","")&amp;IF(AND(WEEKDAY(A6+1,2)=Paramètres!$B$15, INT((DAY(A6+1)-1)/7)+1 = Paramètres!$B$14),"VERTS, ","")&amp;IF(DAY(A6+1)=Paramètres!$B$17,"ENCOMBRANTS, ","")),", "," / "))</f>
        <v>0</v>
      </c>
      <c r="C7" s="7">
        <f>IF(MONTH(A6+2)&lt;&gt;1,"",TEXT(A6+2,"d") &amp; CHAR(10) &amp; SUBSTITUTE(TRIM(IF(OR(WEEKDAY(A6+2,2)=Paramètres!$B$5, WEEKDAY(A6+2,2)=Paramètres!$B$6),"OM, ","")&amp;IF(WEEKDAY(A6+2,2)=Paramètres!$B$8,"TRI, ","")&amp;IF(AND(WEEKDAY(A6+2,2)=Paramètres!$B$11, MOD(INT((A6+2-Paramètres!$B$10)/7),2)=0, A6+2&gt;=Paramètres!$B$10),"VERRE, ","")&amp;IF(AND(WEEKDAY(A6+2,2)=Paramètres!$B$15, INT((DAY(A6+2)-1)/7)+1 = Paramètres!$B$14),"VERTS, ","")&amp;IF(DAY(A6+2)=Paramètres!$B$17,"ENCOMBRANTS, ","")),", "," / "))</f>
        <v>0</v>
      </c>
      <c r="D7" s="7">
        <f>IF(MONTH(A6+3)&lt;&gt;1,"",TEXT(A6+3,"d") &amp; CHAR(10) &amp; SUBSTITUTE(TRIM(IF(OR(WEEKDAY(A6+3,2)=Paramètres!$B$5, WEEKDAY(A6+3,2)=Paramètres!$B$6),"OM, ","")&amp;IF(WEEKDAY(A6+3,2)=Paramètres!$B$8,"TRI, ","")&amp;IF(AND(WEEKDAY(A6+3,2)=Paramètres!$B$11, MOD(INT((A6+3-Paramètres!$B$10)/7),2)=0, A6+3&gt;=Paramètres!$B$10),"VERRE, ","")&amp;IF(AND(WEEKDAY(A6+3,2)=Paramètres!$B$15, INT((DAY(A6+3)-1)/7)+1 = Paramètres!$B$14),"VERTS, ","")&amp;IF(DAY(A6+3)=Paramètres!$B$17,"ENCOMBRANTS, ","")),", "," / "))</f>
        <v>0</v>
      </c>
      <c r="E7" s="7">
        <f>IF(MONTH(A6+4)&lt;&gt;1,"",TEXT(A6+4,"d") &amp; CHAR(10) &amp; SUBSTITUTE(TRIM(IF(OR(WEEKDAY(A6+4,2)=Paramètres!$B$5, WEEKDAY(A6+4,2)=Paramètres!$B$6),"OM, ","")&amp;IF(WEEKDAY(A6+4,2)=Paramètres!$B$8,"TRI, ","")&amp;IF(AND(WEEKDAY(A6+4,2)=Paramètres!$B$11, MOD(INT((A6+4-Paramètres!$B$10)/7),2)=0, A6+4&gt;=Paramètres!$B$10),"VERRE, ","")&amp;IF(AND(WEEKDAY(A6+4,2)=Paramètres!$B$15, INT((DAY(A6+4)-1)/7)+1 = Paramètres!$B$14),"VERTS, ","")&amp;IF(DAY(A6+4)=Paramètres!$B$17,"ENCOMBRANTS, ","")),", "," / "))</f>
        <v>0</v>
      </c>
      <c r="F7" s="7">
        <f>IF(MONTH(A6+5)&lt;&gt;1,"",TEXT(A6+5,"d") &amp; CHAR(10) &amp; SUBSTITUTE(TRIM(IF(OR(WEEKDAY(A6+5,2)=Paramètres!$B$5, WEEKDAY(A6+5,2)=Paramètres!$B$6),"OM, ","")&amp;IF(WEEKDAY(A6+5,2)=Paramètres!$B$8,"TRI, ","")&amp;IF(AND(WEEKDAY(A6+5,2)=Paramètres!$B$11, MOD(INT((A6+5-Paramètres!$B$10)/7),2)=0, A6+5&gt;=Paramètres!$B$10),"VERRE, ","")&amp;IF(AND(WEEKDAY(A6+5,2)=Paramètres!$B$15, INT((DAY(A6+5)-1)/7)+1 = Paramètres!$B$14),"VERTS, ","")&amp;IF(DAY(A6+5)=Paramètres!$B$17,"ENCOMBRANTS, ","")),", "," / "))</f>
        <v>0</v>
      </c>
      <c r="G7" s="7">
        <f>IF(MONTH(A6+6)&lt;&gt;1,"",TEXT(A6+6,"d") &amp; CHAR(10) &amp; SUBSTITUTE(TRIM(IF(OR(WEEKDAY(A6+6,2)=Paramètres!$B$5, WEEKDAY(A6+6,2)=Paramètres!$B$6),"OM, ","")&amp;IF(WEEKDAY(A6+6,2)=Paramètres!$B$8,"TRI, ","")&amp;IF(AND(WEEKDAY(A6+6,2)=Paramètres!$B$11, MOD(INT((A6+6-Paramètres!$B$10)/7),2)=0, A6+6&gt;=Paramètres!$B$10),"VERRE, ","")&amp;IF(AND(WEEKDAY(A6+6,2)=Paramètres!$B$15, INT((DAY(A6+6)-1)/7)+1 = Paramètres!$B$14),"VERTS, ","")&amp;IF(DAY(A6+6)=Paramètres!$B$17,"ENCOMBRANTS, ","")),", "," / "))</f>
        <v>0</v>
      </c>
      <c r="I7" s="7">
        <f>IF(MONTH(I6+0)&lt;&gt;2,"",TEXT(I6+0,"d") &amp; CHAR(10) &amp; SUBSTITUTE(TRIM(IF(OR(WEEKDAY(I6+0,2)=Paramètres!$B$5, WEEKDAY(I6+0,2)=Paramètres!$B$6),"OM, ","")&amp;IF(WEEKDAY(I6+0,2)=Paramètres!$B$8,"TRI, ","")&amp;IF(AND(WEEKDAY(I6+0,2)=Paramètres!$B$11, MOD(INT((I6+0-Paramètres!$B$10)/7),2)=0, I6+0&gt;=Paramètres!$B$10),"VERRE, ","")&amp;IF(AND(WEEKDAY(I6+0,2)=Paramètres!$B$15, INT((DAY(I6+0)-1)/7)+1 = Paramètres!$B$14),"VERTS, ","")&amp;IF(DAY(I6+0)=Paramètres!$B$17,"ENCOMBRANTS, ","")),", "," / "))</f>
        <v>0</v>
      </c>
      <c r="J7" s="7">
        <f>IF(MONTH(I6+1)&lt;&gt;2,"",TEXT(I6+1,"d") &amp; CHAR(10) &amp; SUBSTITUTE(TRIM(IF(OR(WEEKDAY(I6+1,2)=Paramètres!$B$5, WEEKDAY(I6+1,2)=Paramètres!$B$6),"OM, ","")&amp;IF(WEEKDAY(I6+1,2)=Paramètres!$B$8,"TRI, ","")&amp;IF(AND(WEEKDAY(I6+1,2)=Paramètres!$B$11, MOD(INT((I6+1-Paramètres!$B$10)/7),2)=0, I6+1&gt;=Paramètres!$B$10),"VERRE, ","")&amp;IF(AND(WEEKDAY(I6+1,2)=Paramètres!$B$15, INT((DAY(I6+1)-1)/7)+1 = Paramètres!$B$14),"VERTS, ","")&amp;IF(DAY(I6+1)=Paramètres!$B$17,"ENCOMBRANTS, ","")),", "," / "))</f>
        <v>0</v>
      </c>
      <c r="K7" s="7">
        <f>IF(MONTH(I6+2)&lt;&gt;2,"",TEXT(I6+2,"d") &amp; CHAR(10) &amp; SUBSTITUTE(TRIM(IF(OR(WEEKDAY(I6+2,2)=Paramètres!$B$5, WEEKDAY(I6+2,2)=Paramètres!$B$6),"OM, ","")&amp;IF(WEEKDAY(I6+2,2)=Paramètres!$B$8,"TRI, ","")&amp;IF(AND(WEEKDAY(I6+2,2)=Paramètres!$B$11, MOD(INT((I6+2-Paramètres!$B$10)/7),2)=0, I6+2&gt;=Paramètres!$B$10),"VERRE, ","")&amp;IF(AND(WEEKDAY(I6+2,2)=Paramètres!$B$15, INT((DAY(I6+2)-1)/7)+1 = Paramètres!$B$14),"VERTS, ","")&amp;IF(DAY(I6+2)=Paramètres!$B$17,"ENCOMBRANTS, ","")),", "," / "))</f>
        <v>0</v>
      </c>
      <c r="L7" s="7">
        <f>IF(MONTH(I6+3)&lt;&gt;2,"",TEXT(I6+3,"d") &amp; CHAR(10) &amp; SUBSTITUTE(TRIM(IF(OR(WEEKDAY(I6+3,2)=Paramètres!$B$5, WEEKDAY(I6+3,2)=Paramètres!$B$6),"OM, ","")&amp;IF(WEEKDAY(I6+3,2)=Paramètres!$B$8,"TRI, ","")&amp;IF(AND(WEEKDAY(I6+3,2)=Paramètres!$B$11, MOD(INT((I6+3-Paramètres!$B$10)/7),2)=0, I6+3&gt;=Paramètres!$B$10),"VERRE, ","")&amp;IF(AND(WEEKDAY(I6+3,2)=Paramètres!$B$15, INT((DAY(I6+3)-1)/7)+1 = Paramètres!$B$14),"VERTS, ","")&amp;IF(DAY(I6+3)=Paramètres!$B$17,"ENCOMBRANTS, ","")),", "," / "))</f>
        <v>0</v>
      </c>
      <c r="M7" s="7">
        <f>IF(MONTH(I6+4)&lt;&gt;2,"",TEXT(I6+4,"d") &amp; CHAR(10) &amp; SUBSTITUTE(TRIM(IF(OR(WEEKDAY(I6+4,2)=Paramètres!$B$5, WEEKDAY(I6+4,2)=Paramètres!$B$6),"OM, ","")&amp;IF(WEEKDAY(I6+4,2)=Paramètres!$B$8,"TRI, ","")&amp;IF(AND(WEEKDAY(I6+4,2)=Paramètres!$B$11, MOD(INT((I6+4-Paramètres!$B$10)/7),2)=0, I6+4&gt;=Paramètres!$B$10),"VERRE, ","")&amp;IF(AND(WEEKDAY(I6+4,2)=Paramètres!$B$15, INT((DAY(I6+4)-1)/7)+1 = Paramètres!$B$14),"VERTS, ","")&amp;IF(DAY(I6+4)=Paramètres!$B$17,"ENCOMBRANTS, ","")),", "," / "))</f>
        <v>0</v>
      </c>
      <c r="N7" s="7">
        <f>IF(MONTH(I6+5)&lt;&gt;2,"",TEXT(I6+5,"d") &amp; CHAR(10) &amp; SUBSTITUTE(TRIM(IF(OR(WEEKDAY(I6+5,2)=Paramètres!$B$5, WEEKDAY(I6+5,2)=Paramètres!$B$6),"OM, ","")&amp;IF(WEEKDAY(I6+5,2)=Paramètres!$B$8,"TRI, ","")&amp;IF(AND(WEEKDAY(I6+5,2)=Paramètres!$B$11, MOD(INT((I6+5-Paramètres!$B$10)/7),2)=0, I6+5&gt;=Paramètres!$B$10),"VERRE, ","")&amp;IF(AND(WEEKDAY(I6+5,2)=Paramètres!$B$15, INT((DAY(I6+5)-1)/7)+1 = Paramètres!$B$14),"VERTS, ","")&amp;IF(DAY(I6+5)=Paramètres!$B$17,"ENCOMBRANTS, ","")),", "," / "))</f>
        <v>0</v>
      </c>
      <c r="O7" s="7">
        <f>IF(MONTH(I6+6)&lt;&gt;2,"",TEXT(I6+6,"d") &amp; CHAR(10) &amp; SUBSTITUTE(TRIM(IF(OR(WEEKDAY(I6+6,2)=Paramètres!$B$5, WEEKDAY(I6+6,2)=Paramètres!$B$6),"OM, ","")&amp;IF(WEEKDAY(I6+6,2)=Paramètres!$B$8,"TRI, ","")&amp;IF(AND(WEEKDAY(I6+6,2)=Paramètres!$B$11, MOD(INT((I6+6-Paramètres!$B$10)/7),2)=0, I6+6&gt;=Paramètres!$B$10),"VERRE, ","")&amp;IF(AND(WEEKDAY(I6+6,2)=Paramètres!$B$15, INT((DAY(I6+6)-1)/7)+1 = Paramètres!$B$14),"VERTS, ","")&amp;IF(DAY(I6+6)=Paramètres!$B$17,"ENCOMBRANTS, ","")),", "," / "))</f>
        <v>0</v>
      </c>
      <c r="P7" t="s">
        <v>17</v>
      </c>
      <c r="Q7" s="7">
        <f>IF(MONTH(Q6+0)&lt;&gt;3,"",TEXT(Q6+0,"d") &amp; CHAR(10) &amp; SUBSTITUTE(TRIM(IF(OR(WEEKDAY(Q6+0,2)=Paramètres!$B$5, WEEKDAY(Q6+0,2)=Paramètres!$B$6),"OM, ","")&amp;IF(WEEKDAY(Q6+0,2)=Paramètres!$B$8,"TRI, ","")&amp;IF(AND(WEEKDAY(Q6+0,2)=Paramètres!$B$11, MOD(INT((Q6+0-Paramètres!$B$10)/7),2)=0, Q6+0&gt;=Paramètres!$B$10),"VERRE, ","")&amp;IF(AND(WEEKDAY(Q6+0,2)=Paramètres!$B$15, INT((DAY(Q6+0)-1)/7)+1 = Paramètres!$B$14),"VERTS, ","")&amp;IF(DAY(Q6+0)=Paramètres!$B$17,"ENCOMBRANTS, ","")),", "," / "))</f>
        <v>0</v>
      </c>
      <c r="R7" s="7">
        <f>IF(MONTH(Q6+1)&lt;&gt;3,"",TEXT(Q6+1,"d") &amp; CHAR(10) &amp; SUBSTITUTE(TRIM(IF(OR(WEEKDAY(Q6+1,2)=Paramètres!$B$5, WEEKDAY(Q6+1,2)=Paramètres!$B$6),"OM, ","")&amp;IF(WEEKDAY(Q6+1,2)=Paramètres!$B$8,"TRI, ","")&amp;IF(AND(WEEKDAY(Q6+1,2)=Paramètres!$B$11, MOD(INT((Q6+1-Paramètres!$B$10)/7),2)=0, Q6+1&gt;=Paramètres!$B$10),"VERRE, ","")&amp;IF(AND(WEEKDAY(Q6+1,2)=Paramètres!$B$15, INT((DAY(Q6+1)-1)/7)+1 = Paramètres!$B$14),"VERTS, ","")&amp;IF(DAY(Q6+1)=Paramètres!$B$17,"ENCOMBRANTS, ","")),", "," / "))</f>
        <v>0</v>
      </c>
      <c r="S7" s="7">
        <f>IF(MONTH(Q6+2)&lt;&gt;3,"",TEXT(Q6+2,"d") &amp; CHAR(10) &amp; SUBSTITUTE(TRIM(IF(OR(WEEKDAY(Q6+2,2)=Paramètres!$B$5, WEEKDAY(Q6+2,2)=Paramètres!$B$6),"OM, ","")&amp;IF(WEEKDAY(Q6+2,2)=Paramètres!$B$8,"TRI, ","")&amp;IF(AND(WEEKDAY(Q6+2,2)=Paramètres!$B$11, MOD(INT((Q6+2-Paramètres!$B$10)/7),2)=0, Q6+2&gt;=Paramètres!$B$10),"VERRE, ","")&amp;IF(AND(WEEKDAY(Q6+2,2)=Paramètres!$B$15, INT((DAY(Q6+2)-1)/7)+1 = Paramètres!$B$14),"VERTS, ","")&amp;IF(DAY(Q6+2)=Paramètres!$B$17,"ENCOMBRANTS, ","")),", "," / "))</f>
        <v>0</v>
      </c>
      <c r="T7" s="7">
        <f>IF(MONTH(Q6+3)&lt;&gt;3,"",TEXT(Q6+3,"d") &amp; CHAR(10) &amp; SUBSTITUTE(TRIM(IF(OR(WEEKDAY(Q6+3,2)=Paramètres!$B$5, WEEKDAY(Q6+3,2)=Paramètres!$B$6),"OM, ","")&amp;IF(WEEKDAY(Q6+3,2)=Paramètres!$B$8,"TRI, ","")&amp;IF(AND(WEEKDAY(Q6+3,2)=Paramètres!$B$11, MOD(INT((Q6+3-Paramètres!$B$10)/7),2)=0, Q6+3&gt;=Paramètres!$B$10),"VERRE, ","")&amp;IF(AND(WEEKDAY(Q6+3,2)=Paramètres!$B$15, INT((DAY(Q6+3)-1)/7)+1 = Paramètres!$B$14),"VERTS, ","")&amp;IF(DAY(Q6+3)=Paramètres!$B$17,"ENCOMBRANTS, ","")),", "," / "))</f>
        <v>0</v>
      </c>
      <c r="U7" s="7">
        <f>IF(MONTH(Q6+4)&lt;&gt;3,"",TEXT(Q6+4,"d") &amp; CHAR(10) &amp; SUBSTITUTE(TRIM(IF(OR(WEEKDAY(Q6+4,2)=Paramètres!$B$5, WEEKDAY(Q6+4,2)=Paramètres!$B$6),"OM, ","")&amp;IF(WEEKDAY(Q6+4,2)=Paramètres!$B$8,"TRI, ","")&amp;IF(AND(WEEKDAY(Q6+4,2)=Paramètres!$B$11, MOD(INT((Q6+4-Paramètres!$B$10)/7),2)=0, Q6+4&gt;=Paramètres!$B$10),"VERRE, ","")&amp;IF(AND(WEEKDAY(Q6+4,2)=Paramètres!$B$15, INT((DAY(Q6+4)-1)/7)+1 = Paramètres!$B$14),"VERTS, ","")&amp;IF(DAY(Q6+4)=Paramètres!$B$17,"ENCOMBRANTS, ","")),", "," / "))</f>
        <v>0</v>
      </c>
      <c r="V7" s="7">
        <f>IF(MONTH(Q6+5)&lt;&gt;3,"",TEXT(Q6+5,"d") &amp; CHAR(10) &amp; SUBSTITUTE(TRIM(IF(OR(WEEKDAY(Q6+5,2)=Paramètres!$B$5, WEEKDAY(Q6+5,2)=Paramètres!$B$6),"OM, ","")&amp;IF(WEEKDAY(Q6+5,2)=Paramètres!$B$8,"TRI, ","")&amp;IF(AND(WEEKDAY(Q6+5,2)=Paramètres!$B$11, MOD(INT((Q6+5-Paramètres!$B$10)/7),2)=0, Q6+5&gt;=Paramètres!$B$10),"VERRE, ","")&amp;IF(AND(WEEKDAY(Q6+5,2)=Paramètres!$B$15, INT((DAY(Q6+5)-1)/7)+1 = Paramètres!$B$14),"VERTS, ","")&amp;IF(DAY(Q6+5)=Paramètres!$B$17,"ENCOMBRANTS, ","")),", "," / "))</f>
        <v>0</v>
      </c>
      <c r="W7" s="7">
        <f>IF(MONTH(Q6+6)&lt;&gt;3,"",TEXT(Q6+6,"d") &amp; CHAR(10) &amp; SUBSTITUTE(TRIM(IF(OR(WEEKDAY(Q6+6,2)=Paramètres!$B$5, WEEKDAY(Q6+6,2)=Paramètres!$B$6),"OM, ","")&amp;IF(WEEKDAY(Q6+6,2)=Paramètres!$B$8,"TRI, ","")&amp;IF(AND(WEEKDAY(Q6+6,2)=Paramètres!$B$11, MOD(INT((Q6+6-Paramètres!$B$10)/7),2)=0, Q6+6&gt;=Paramètres!$B$10),"VERRE, ","")&amp;IF(AND(WEEKDAY(Q6+6,2)=Paramètres!$B$15, INT((DAY(Q6+6)-1)/7)+1 = Paramètres!$B$14),"VERTS, ","")&amp;IF(DAY(Q6+6)=Paramètres!$B$17,"ENCOMBRANTS, ","")),", "," / "))</f>
        <v>0</v>
      </c>
    </row>
    <row r="8" spans="1:23">
      <c r="A8" s="7">
        <f>IF(MONTH(A6+7)&lt;&gt;1,"",TEXT(A6+7,"d") &amp; CHAR(10) &amp; SUBSTITUTE(TRIM(IF(OR(WEEKDAY(A6+7,2)=Paramètres!$B$5, WEEKDAY(A6+7,2)=Paramètres!$B$6),"OM, ","")&amp;IF(WEEKDAY(A6+7,2)=Paramètres!$B$8,"TRI, ","")&amp;IF(AND(WEEKDAY(A6+7,2)=Paramètres!$B$11, MOD(INT((A6+7-Paramètres!$B$10)/7),2)=0, A6+7&gt;=Paramètres!$B$10),"VERRE, ","")&amp;IF(AND(WEEKDAY(A6+7,2)=Paramètres!$B$15, INT((DAY(A6+7)-1)/7)+1 = Paramètres!$B$14),"VERTS, ","")&amp;IF(DAY(A6+7)=Paramètres!$B$17,"ENCOMBRANTS, ","")),", "," / "))</f>
        <v>0</v>
      </c>
      <c r="B8" s="7">
        <f>IF(MONTH(A6+8)&lt;&gt;1,"",TEXT(A6+8,"d") &amp; CHAR(10) &amp; SUBSTITUTE(TRIM(IF(OR(WEEKDAY(A6+8,2)=Paramètres!$B$5, WEEKDAY(A6+8,2)=Paramètres!$B$6),"OM, ","")&amp;IF(WEEKDAY(A6+8,2)=Paramètres!$B$8,"TRI, ","")&amp;IF(AND(WEEKDAY(A6+8,2)=Paramètres!$B$11, MOD(INT((A6+8-Paramètres!$B$10)/7),2)=0, A6+8&gt;=Paramètres!$B$10),"VERRE, ","")&amp;IF(AND(WEEKDAY(A6+8,2)=Paramètres!$B$15, INT((DAY(A6+8)-1)/7)+1 = Paramètres!$B$14),"VERTS, ","")&amp;IF(DAY(A6+8)=Paramètres!$B$17,"ENCOMBRANTS, ","")),", "," / "))</f>
        <v>0</v>
      </c>
      <c r="C8" s="7">
        <f>IF(MONTH(A6+9)&lt;&gt;1,"",TEXT(A6+9,"d") &amp; CHAR(10) &amp; SUBSTITUTE(TRIM(IF(OR(WEEKDAY(A6+9,2)=Paramètres!$B$5, WEEKDAY(A6+9,2)=Paramètres!$B$6),"OM, ","")&amp;IF(WEEKDAY(A6+9,2)=Paramètres!$B$8,"TRI, ","")&amp;IF(AND(WEEKDAY(A6+9,2)=Paramètres!$B$11, MOD(INT((A6+9-Paramètres!$B$10)/7),2)=0, A6+9&gt;=Paramètres!$B$10),"VERRE, ","")&amp;IF(AND(WEEKDAY(A6+9,2)=Paramètres!$B$15, INT((DAY(A6+9)-1)/7)+1 = Paramètres!$B$14),"VERTS, ","")&amp;IF(DAY(A6+9)=Paramètres!$B$17,"ENCOMBRANTS, ","")),", "," / "))</f>
        <v>0</v>
      </c>
      <c r="D8" s="7">
        <f>IF(MONTH(A6+10)&lt;&gt;1,"",TEXT(A6+10,"d") &amp; CHAR(10) &amp; SUBSTITUTE(TRIM(IF(OR(WEEKDAY(A6+10,2)=Paramètres!$B$5, WEEKDAY(A6+10,2)=Paramètres!$B$6),"OM, ","")&amp;IF(WEEKDAY(A6+10,2)=Paramètres!$B$8,"TRI, ","")&amp;IF(AND(WEEKDAY(A6+10,2)=Paramètres!$B$11, MOD(INT((A6+10-Paramètres!$B$10)/7),2)=0, A6+10&gt;=Paramètres!$B$10),"VERRE, ","")&amp;IF(AND(WEEKDAY(A6+10,2)=Paramètres!$B$15, INT((DAY(A6+10)-1)/7)+1 = Paramètres!$B$14),"VERTS, ","")&amp;IF(DAY(A6+10)=Paramètres!$B$17,"ENCOMBRANTS, ","")),", "," / "))</f>
        <v>0</v>
      </c>
      <c r="E8" s="7">
        <f>IF(MONTH(A6+11)&lt;&gt;1,"",TEXT(A6+11,"d") &amp; CHAR(10) &amp; SUBSTITUTE(TRIM(IF(OR(WEEKDAY(A6+11,2)=Paramètres!$B$5, WEEKDAY(A6+11,2)=Paramètres!$B$6),"OM, ","")&amp;IF(WEEKDAY(A6+11,2)=Paramètres!$B$8,"TRI, ","")&amp;IF(AND(WEEKDAY(A6+11,2)=Paramètres!$B$11, MOD(INT((A6+11-Paramètres!$B$10)/7),2)=0, A6+11&gt;=Paramètres!$B$10),"VERRE, ","")&amp;IF(AND(WEEKDAY(A6+11,2)=Paramètres!$B$15, INT((DAY(A6+11)-1)/7)+1 = Paramètres!$B$14),"VERTS, ","")&amp;IF(DAY(A6+11)=Paramètres!$B$17,"ENCOMBRANTS, ","")),", "," / "))</f>
        <v>0</v>
      </c>
      <c r="F8" s="7">
        <f>IF(MONTH(A6+12)&lt;&gt;1,"",TEXT(A6+12,"d") &amp; CHAR(10) &amp; SUBSTITUTE(TRIM(IF(OR(WEEKDAY(A6+12,2)=Paramètres!$B$5, WEEKDAY(A6+12,2)=Paramètres!$B$6),"OM, ","")&amp;IF(WEEKDAY(A6+12,2)=Paramètres!$B$8,"TRI, ","")&amp;IF(AND(WEEKDAY(A6+12,2)=Paramètres!$B$11, MOD(INT((A6+12-Paramètres!$B$10)/7),2)=0, A6+12&gt;=Paramètres!$B$10),"VERRE, ","")&amp;IF(AND(WEEKDAY(A6+12,2)=Paramètres!$B$15, INT((DAY(A6+12)-1)/7)+1 = Paramètres!$B$14),"VERTS, ","")&amp;IF(DAY(A6+12)=Paramètres!$B$17,"ENCOMBRANTS, ","")),", "," / "))</f>
        <v>0</v>
      </c>
      <c r="G8" s="7">
        <f>IF(MONTH(A6+13)&lt;&gt;1,"",TEXT(A6+13,"d") &amp; CHAR(10) &amp; SUBSTITUTE(TRIM(IF(OR(WEEKDAY(A6+13,2)=Paramètres!$B$5, WEEKDAY(A6+13,2)=Paramètres!$B$6),"OM, ","")&amp;IF(WEEKDAY(A6+13,2)=Paramètres!$B$8,"TRI, ","")&amp;IF(AND(WEEKDAY(A6+13,2)=Paramètres!$B$11, MOD(INT((A6+13-Paramètres!$B$10)/7),2)=0, A6+13&gt;=Paramètres!$B$10),"VERRE, ","")&amp;IF(AND(WEEKDAY(A6+13,2)=Paramètres!$B$15, INT((DAY(A6+13)-1)/7)+1 = Paramètres!$B$14),"VERTS, ","")&amp;IF(DAY(A6+13)=Paramètres!$B$17,"ENCOMBRANTS, ","")),", "," / "))</f>
        <v>0</v>
      </c>
      <c r="I8" s="7">
        <f>IF(MONTH(I6+7)&lt;&gt;2,"",TEXT(I6+7,"d") &amp; CHAR(10) &amp; SUBSTITUTE(TRIM(IF(OR(WEEKDAY(I6+7,2)=Paramètres!$B$5, WEEKDAY(I6+7,2)=Paramètres!$B$6),"OM, ","")&amp;IF(WEEKDAY(I6+7,2)=Paramètres!$B$8,"TRI, ","")&amp;IF(AND(WEEKDAY(I6+7,2)=Paramètres!$B$11, MOD(INT((I6+7-Paramètres!$B$10)/7),2)=0, I6+7&gt;=Paramètres!$B$10),"VERRE, ","")&amp;IF(AND(WEEKDAY(I6+7,2)=Paramètres!$B$15, INT((DAY(I6+7)-1)/7)+1 = Paramètres!$B$14),"VERTS, ","")&amp;IF(DAY(I6+7)=Paramètres!$B$17,"ENCOMBRANTS, ","")),", "," / "))</f>
        <v>0</v>
      </c>
      <c r="J8" s="7">
        <f>IF(MONTH(I6+8)&lt;&gt;2,"",TEXT(I6+8,"d") &amp; CHAR(10) &amp; SUBSTITUTE(TRIM(IF(OR(WEEKDAY(I6+8,2)=Paramètres!$B$5, WEEKDAY(I6+8,2)=Paramètres!$B$6),"OM, ","")&amp;IF(WEEKDAY(I6+8,2)=Paramètres!$B$8,"TRI, ","")&amp;IF(AND(WEEKDAY(I6+8,2)=Paramètres!$B$11, MOD(INT((I6+8-Paramètres!$B$10)/7),2)=0, I6+8&gt;=Paramètres!$B$10),"VERRE, ","")&amp;IF(AND(WEEKDAY(I6+8,2)=Paramètres!$B$15, INT((DAY(I6+8)-1)/7)+1 = Paramètres!$B$14),"VERTS, ","")&amp;IF(DAY(I6+8)=Paramètres!$B$17,"ENCOMBRANTS, ","")),", "," / "))</f>
        <v>0</v>
      </c>
      <c r="K8" s="7">
        <f>IF(MONTH(I6+9)&lt;&gt;2,"",TEXT(I6+9,"d") &amp; CHAR(10) &amp; SUBSTITUTE(TRIM(IF(OR(WEEKDAY(I6+9,2)=Paramètres!$B$5, WEEKDAY(I6+9,2)=Paramètres!$B$6),"OM, ","")&amp;IF(WEEKDAY(I6+9,2)=Paramètres!$B$8,"TRI, ","")&amp;IF(AND(WEEKDAY(I6+9,2)=Paramètres!$B$11, MOD(INT((I6+9-Paramètres!$B$10)/7),2)=0, I6+9&gt;=Paramètres!$B$10),"VERRE, ","")&amp;IF(AND(WEEKDAY(I6+9,2)=Paramètres!$B$15, INT((DAY(I6+9)-1)/7)+1 = Paramètres!$B$14),"VERTS, ","")&amp;IF(DAY(I6+9)=Paramètres!$B$17,"ENCOMBRANTS, ","")),", "," / "))</f>
        <v>0</v>
      </c>
      <c r="L8" s="7">
        <f>IF(MONTH(I6+10)&lt;&gt;2,"",TEXT(I6+10,"d") &amp; CHAR(10) &amp; SUBSTITUTE(TRIM(IF(OR(WEEKDAY(I6+10,2)=Paramètres!$B$5, WEEKDAY(I6+10,2)=Paramètres!$B$6),"OM, ","")&amp;IF(WEEKDAY(I6+10,2)=Paramètres!$B$8,"TRI, ","")&amp;IF(AND(WEEKDAY(I6+10,2)=Paramètres!$B$11, MOD(INT((I6+10-Paramètres!$B$10)/7),2)=0, I6+10&gt;=Paramètres!$B$10),"VERRE, ","")&amp;IF(AND(WEEKDAY(I6+10,2)=Paramètres!$B$15, INT((DAY(I6+10)-1)/7)+1 = Paramètres!$B$14),"VERTS, ","")&amp;IF(DAY(I6+10)=Paramètres!$B$17,"ENCOMBRANTS, ","")),", "," / "))</f>
        <v>0</v>
      </c>
      <c r="M8" s="7">
        <f>IF(MONTH(I6+11)&lt;&gt;2,"",TEXT(I6+11,"d") &amp; CHAR(10) &amp; SUBSTITUTE(TRIM(IF(OR(WEEKDAY(I6+11,2)=Paramètres!$B$5, WEEKDAY(I6+11,2)=Paramètres!$B$6),"OM, ","")&amp;IF(WEEKDAY(I6+11,2)=Paramètres!$B$8,"TRI, ","")&amp;IF(AND(WEEKDAY(I6+11,2)=Paramètres!$B$11, MOD(INT((I6+11-Paramètres!$B$10)/7),2)=0, I6+11&gt;=Paramètres!$B$10),"VERRE, ","")&amp;IF(AND(WEEKDAY(I6+11,2)=Paramètres!$B$15, INT((DAY(I6+11)-1)/7)+1 = Paramètres!$B$14),"VERTS, ","")&amp;IF(DAY(I6+11)=Paramètres!$B$17,"ENCOMBRANTS, ","")),", "," / "))</f>
        <v>0</v>
      </c>
      <c r="N8" s="7">
        <f>IF(MONTH(I6+12)&lt;&gt;2,"",TEXT(I6+12,"d") &amp; CHAR(10) &amp; SUBSTITUTE(TRIM(IF(OR(WEEKDAY(I6+12,2)=Paramètres!$B$5, WEEKDAY(I6+12,2)=Paramètres!$B$6),"OM, ","")&amp;IF(WEEKDAY(I6+12,2)=Paramètres!$B$8,"TRI, ","")&amp;IF(AND(WEEKDAY(I6+12,2)=Paramètres!$B$11, MOD(INT((I6+12-Paramètres!$B$10)/7),2)=0, I6+12&gt;=Paramètres!$B$10),"VERRE, ","")&amp;IF(AND(WEEKDAY(I6+12,2)=Paramètres!$B$15, INT((DAY(I6+12)-1)/7)+1 = Paramètres!$B$14),"VERTS, ","")&amp;IF(DAY(I6+12)=Paramètres!$B$17,"ENCOMBRANTS, ","")),", "," / "))</f>
        <v>0</v>
      </c>
      <c r="O8" s="7">
        <f>IF(MONTH(I6+13)&lt;&gt;2,"",TEXT(I6+13,"d") &amp; CHAR(10) &amp; SUBSTITUTE(TRIM(IF(OR(WEEKDAY(I6+13,2)=Paramètres!$B$5, WEEKDAY(I6+13,2)=Paramètres!$B$6),"OM, ","")&amp;IF(WEEKDAY(I6+13,2)=Paramètres!$B$8,"TRI, ","")&amp;IF(AND(WEEKDAY(I6+13,2)=Paramètres!$B$11, MOD(INT((I6+13-Paramètres!$B$10)/7),2)=0, I6+13&gt;=Paramètres!$B$10),"VERRE, ","")&amp;IF(AND(WEEKDAY(I6+13,2)=Paramètres!$B$15, INT((DAY(I6+13)-1)/7)+1 = Paramètres!$B$14),"VERTS, ","")&amp;IF(DAY(I6+13)=Paramètres!$B$17,"ENCOMBRANTS, ","")),", "," / "))</f>
        <v>0</v>
      </c>
      <c r="Q8" s="7">
        <f>IF(MONTH(Q6+7)&lt;&gt;3,"",TEXT(Q6+7,"d") &amp; CHAR(10) &amp; SUBSTITUTE(TRIM(IF(OR(WEEKDAY(Q6+7,2)=Paramètres!$B$5, WEEKDAY(Q6+7,2)=Paramètres!$B$6),"OM, ","")&amp;IF(WEEKDAY(Q6+7,2)=Paramètres!$B$8,"TRI, ","")&amp;IF(AND(WEEKDAY(Q6+7,2)=Paramètres!$B$11, MOD(INT((Q6+7-Paramètres!$B$10)/7),2)=0, Q6+7&gt;=Paramètres!$B$10),"VERRE, ","")&amp;IF(AND(WEEKDAY(Q6+7,2)=Paramètres!$B$15, INT((DAY(Q6+7)-1)/7)+1 = Paramètres!$B$14),"VERTS, ","")&amp;IF(DAY(Q6+7)=Paramètres!$B$17,"ENCOMBRANTS, ","")),", "," / "))</f>
        <v>0</v>
      </c>
      <c r="R8" s="7">
        <f>IF(MONTH(Q6+8)&lt;&gt;3,"",TEXT(Q6+8,"d") &amp; CHAR(10) &amp; SUBSTITUTE(TRIM(IF(OR(WEEKDAY(Q6+8,2)=Paramètres!$B$5, WEEKDAY(Q6+8,2)=Paramètres!$B$6),"OM, ","")&amp;IF(WEEKDAY(Q6+8,2)=Paramètres!$B$8,"TRI, ","")&amp;IF(AND(WEEKDAY(Q6+8,2)=Paramètres!$B$11, MOD(INT((Q6+8-Paramètres!$B$10)/7),2)=0, Q6+8&gt;=Paramètres!$B$10),"VERRE, ","")&amp;IF(AND(WEEKDAY(Q6+8,2)=Paramètres!$B$15, INT((DAY(Q6+8)-1)/7)+1 = Paramètres!$B$14),"VERTS, ","")&amp;IF(DAY(Q6+8)=Paramètres!$B$17,"ENCOMBRANTS, ","")),", "," / "))</f>
        <v>0</v>
      </c>
      <c r="S8" s="7">
        <f>IF(MONTH(Q6+9)&lt;&gt;3,"",TEXT(Q6+9,"d") &amp; CHAR(10) &amp; SUBSTITUTE(TRIM(IF(OR(WEEKDAY(Q6+9,2)=Paramètres!$B$5, WEEKDAY(Q6+9,2)=Paramètres!$B$6),"OM, ","")&amp;IF(WEEKDAY(Q6+9,2)=Paramètres!$B$8,"TRI, ","")&amp;IF(AND(WEEKDAY(Q6+9,2)=Paramètres!$B$11, MOD(INT((Q6+9-Paramètres!$B$10)/7),2)=0, Q6+9&gt;=Paramètres!$B$10),"VERRE, ","")&amp;IF(AND(WEEKDAY(Q6+9,2)=Paramètres!$B$15, INT((DAY(Q6+9)-1)/7)+1 = Paramètres!$B$14),"VERTS, ","")&amp;IF(DAY(Q6+9)=Paramètres!$B$17,"ENCOMBRANTS, ","")),", "," / "))</f>
        <v>0</v>
      </c>
      <c r="T8" s="7">
        <f>IF(MONTH(Q6+10)&lt;&gt;3,"",TEXT(Q6+10,"d") &amp; CHAR(10) &amp; SUBSTITUTE(TRIM(IF(OR(WEEKDAY(Q6+10,2)=Paramètres!$B$5, WEEKDAY(Q6+10,2)=Paramètres!$B$6),"OM, ","")&amp;IF(WEEKDAY(Q6+10,2)=Paramètres!$B$8,"TRI, ","")&amp;IF(AND(WEEKDAY(Q6+10,2)=Paramètres!$B$11, MOD(INT((Q6+10-Paramètres!$B$10)/7),2)=0, Q6+10&gt;=Paramètres!$B$10),"VERRE, ","")&amp;IF(AND(WEEKDAY(Q6+10,2)=Paramètres!$B$15, INT((DAY(Q6+10)-1)/7)+1 = Paramètres!$B$14),"VERTS, ","")&amp;IF(DAY(Q6+10)=Paramètres!$B$17,"ENCOMBRANTS, ","")),", "," / "))</f>
        <v>0</v>
      </c>
      <c r="U8" s="7">
        <f>IF(MONTH(Q6+11)&lt;&gt;3,"",TEXT(Q6+11,"d") &amp; CHAR(10) &amp; SUBSTITUTE(TRIM(IF(OR(WEEKDAY(Q6+11,2)=Paramètres!$B$5, WEEKDAY(Q6+11,2)=Paramètres!$B$6),"OM, ","")&amp;IF(WEEKDAY(Q6+11,2)=Paramètres!$B$8,"TRI, ","")&amp;IF(AND(WEEKDAY(Q6+11,2)=Paramètres!$B$11, MOD(INT((Q6+11-Paramètres!$B$10)/7),2)=0, Q6+11&gt;=Paramètres!$B$10),"VERRE, ","")&amp;IF(AND(WEEKDAY(Q6+11,2)=Paramètres!$B$15, INT((DAY(Q6+11)-1)/7)+1 = Paramètres!$B$14),"VERTS, ","")&amp;IF(DAY(Q6+11)=Paramètres!$B$17,"ENCOMBRANTS, ","")),", "," / "))</f>
        <v>0</v>
      </c>
      <c r="V8" s="7">
        <f>IF(MONTH(Q6+12)&lt;&gt;3,"",TEXT(Q6+12,"d") &amp; CHAR(10) &amp; SUBSTITUTE(TRIM(IF(OR(WEEKDAY(Q6+12,2)=Paramètres!$B$5, WEEKDAY(Q6+12,2)=Paramètres!$B$6),"OM, ","")&amp;IF(WEEKDAY(Q6+12,2)=Paramètres!$B$8,"TRI, ","")&amp;IF(AND(WEEKDAY(Q6+12,2)=Paramètres!$B$11, MOD(INT((Q6+12-Paramètres!$B$10)/7),2)=0, Q6+12&gt;=Paramètres!$B$10),"VERRE, ","")&amp;IF(AND(WEEKDAY(Q6+12,2)=Paramètres!$B$15, INT((DAY(Q6+12)-1)/7)+1 = Paramètres!$B$14),"VERTS, ","")&amp;IF(DAY(Q6+12)=Paramètres!$B$17,"ENCOMBRANTS, ","")),", "," / "))</f>
        <v>0</v>
      </c>
      <c r="W8" s="7">
        <f>IF(MONTH(Q6+13)&lt;&gt;3,"",TEXT(Q6+13,"d") &amp; CHAR(10) &amp; SUBSTITUTE(TRIM(IF(OR(WEEKDAY(Q6+13,2)=Paramètres!$B$5, WEEKDAY(Q6+13,2)=Paramètres!$B$6),"OM, ","")&amp;IF(WEEKDAY(Q6+13,2)=Paramètres!$B$8,"TRI, ","")&amp;IF(AND(WEEKDAY(Q6+13,2)=Paramètres!$B$11, MOD(INT((Q6+13-Paramètres!$B$10)/7),2)=0, Q6+13&gt;=Paramètres!$B$10),"VERRE, ","")&amp;IF(AND(WEEKDAY(Q6+13,2)=Paramètres!$B$15, INT((DAY(Q6+13)-1)/7)+1 = Paramètres!$B$14),"VERTS, ","")&amp;IF(DAY(Q6+13)=Paramètres!$B$17,"ENCOMBRANTS, ","")),", "," / "))</f>
        <v>0</v>
      </c>
    </row>
    <row r="9" spans="1:23">
      <c r="A9" s="7">
        <f>IF(MONTH(A6+14)&lt;&gt;1,"",TEXT(A6+14,"d") &amp; CHAR(10) &amp; SUBSTITUTE(TRIM(IF(OR(WEEKDAY(A6+14,2)=Paramètres!$B$5, WEEKDAY(A6+14,2)=Paramètres!$B$6),"OM, ","")&amp;IF(WEEKDAY(A6+14,2)=Paramètres!$B$8,"TRI, ","")&amp;IF(AND(WEEKDAY(A6+14,2)=Paramètres!$B$11, MOD(INT((A6+14-Paramètres!$B$10)/7),2)=0, A6+14&gt;=Paramètres!$B$10),"VERRE, ","")&amp;IF(AND(WEEKDAY(A6+14,2)=Paramètres!$B$15, INT((DAY(A6+14)-1)/7)+1 = Paramètres!$B$14),"VERTS, ","")&amp;IF(DAY(A6+14)=Paramètres!$B$17,"ENCOMBRANTS, ","")),", "," / "))</f>
        <v>0</v>
      </c>
      <c r="B9" s="7">
        <f>IF(MONTH(A6+15)&lt;&gt;1,"",TEXT(A6+15,"d") &amp; CHAR(10) &amp; SUBSTITUTE(TRIM(IF(OR(WEEKDAY(A6+15,2)=Paramètres!$B$5, WEEKDAY(A6+15,2)=Paramètres!$B$6),"OM, ","")&amp;IF(WEEKDAY(A6+15,2)=Paramètres!$B$8,"TRI, ","")&amp;IF(AND(WEEKDAY(A6+15,2)=Paramètres!$B$11, MOD(INT((A6+15-Paramètres!$B$10)/7),2)=0, A6+15&gt;=Paramètres!$B$10),"VERRE, ","")&amp;IF(AND(WEEKDAY(A6+15,2)=Paramètres!$B$15, INT((DAY(A6+15)-1)/7)+1 = Paramètres!$B$14),"VERTS, ","")&amp;IF(DAY(A6+15)=Paramètres!$B$17,"ENCOMBRANTS, ","")),", "," / "))</f>
        <v>0</v>
      </c>
      <c r="C9" s="7">
        <f>IF(MONTH(A6+16)&lt;&gt;1,"",TEXT(A6+16,"d") &amp; CHAR(10) &amp; SUBSTITUTE(TRIM(IF(OR(WEEKDAY(A6+16,2)=Paramètres!$B$5, WEEKDAY(A6+16,2)=Paramètres!$B$6),"OM, ","")&amp;IF(WEEKDAY(A6+16,2)=Paramètres!$B$8,"TRI, ","")&amp;IF(AND(WEEKDAY(A6+16,2)=Paramètres!$B$11, MOD(INT((A6+16-Paramètres!$B$10)/7),2)=0, A6+16&gt;=Paramètres!$B$10),"VERRE, ","")&amp;IF(AND(WEEKDAY(A6+16,2)=Paramètres!$B$15, INT((DAY(A6+16)-1)/7)+1 = Paramètres!$B$14),"VERTS, ","")&amp;IF(DAY(A6+16)=Paramètres!$B$17,"ENCOMBRANTS, ","")),", "," / "))</f>
        <v>0</v>
      </c>
      <c r="D9" s="7">
        <f>IF(MONTH(A6+17)&lt;&gt;1,"",TEXT(A6+17,"d") &amp; CHAR(10) &amp; SUBSTITUTE(TRIM(IF(OR(WEEKDAY(A6+17,2)=Paramètres!$B$5, WEEKDAY(A6+17,2)=Paramètres!$B$6),"OM, ","")&amp;IF(WEEKDAY(A6+17,2)=Paramètres!$B$8,"TRI, ","")&amp;IF(AND(WEEKDAY(A6+17,2)=Paramètres!$B$11, MOD(INT((A6+17-Paramètres!$B$10)/7),2)=0, A6+17&gt;=Paramètres!$B$10),"VERRE, ","")&amp;IF(AND(WEEKDAY(A6+17,2)=Paramètres!$B$15, INT((DAY(A6+17)-1)/7)+1 = Paramètres!$B$14),"VERTS, ","")&amp;IF(DAY(A6+17)=Paramètres!$B$17,"ENCOMBRANTS, ","")),", "," / "))</f>
        <v>0</v>
      </c>
      <c r="E9" s="7">
        <f>IF(MONTH(A6+18)&lt;&gt;1,"",TEXT(A6+18,"d") &amp; CHAR(10) &amp; SUBSTITUTE(TRIM(IF(OR(WEEKDAY(A6+18,2)=Paramètres!$B$5, WEEKDAY(A6+18,2)=Paramètres!$B$6),"OM, ","")&amp;IF(WEEKDAY(A6+18,2)=Paramètres!$B$8,"TRI, ","")&amp;IF(AND(WEEKDAY(A6+18,2)=Paramètres!$B$11, MOD(INT((A6+18-Paramètres!$B$10)/7),2)=0, A6+18&gt;=Paramètres!$B$10),"VERRE, ","")&amp;IF(AND(WEEKDAY(A6+18,2)=Paramètres!$B$15, INT((DAY(A6+18)-1)/7)+1 = Paramètres!$B$14),"VERTS, ","")&amp;IF(DAY(A6+18)=Paramètres!$B$17,"ENCOMBRANTS, ","")),", "," / "))</f>
        <v>0</v>
      </c>
      <c r="F9" s="7">
        <f>IF(MONTH(A6+19)&lt;&gt;1,"",TEXT(A6+19,"d") &amp; CHAR(10) &amp; SUBSTITUTE(TRIM(IF(OR(WEEKDAY(A6+19,2)=Paramètres!$B$5, WEEKDAY(A6+19,2)=Paramètres!$B$6),"OM, ","")&amp;IF(WEEKDAY(A6+19,2)=Paramètres!$B$8,"TRI, ","")&amp;IF(AND(WEEKDAY(A6+19,2)=Paramètres!$B$11, MOD(INT((A6+19-Paramètres!$B$10)/7),2)=0, A6+19&gt;=Paramètres!$B$10),"VERRE, ","")&amp;IF(AND(WEEKDAY(A6+19,2)=Paramètres!$B$15, INT((DAY(A6+19)-1)/7)+1 = Paramètres!$B$14),"VERTS, ","")&amp;IF(DAY(A6+19)=Paramètres!$B$17,"ENCOMBRANTS, ","")),", "," / "))</f>
        <v>0</v>
      </c>
      <c r="G9" s="7">
        <f>IF(MONTH(A6+20)&lt;&gt;1,"",TEXT(A6+20,"d") &amp; CHAR(10) &amp; SUBSTITUTE(TRIM(IF(OR(WEEKDAY(A6+20,2)=Paramètres!$B$5, WEEKDAY(A6+20,2)=Paramètres!$B$6),"OM, ","")&amp;IF(WEEKDAY(A6+20,2)=Paramètres!$B$8,"TRI, ","")&amp;IF(AND(WEEKDAY(A6+20,2)=Paramètres!$B$11, MOD(INT((A6+20-Paramètres!$B$10)/7),2)=0, A6+20&gt;=Paramètres!$B$10),"VERRE, ","")&amp;IF(AND(WEEKDAY(A6+20,2)=Paramètres!$B$15, INT((DAY(A6+20)-1)/7)+1 = Paramètres!$B$14),"VERTS, ","")&amp;IF(DAY(A6+20)=Paramètres!$B$17,"ENCOMBRANTS, ","")),", "," / "))</f>
        <v>0</v>
      </c>
      <c r="I9" s="7">
        <f>IF(MONTH(I6+14)&lt;&gt;2,"",TEXT(I6+14,"d") &amp; CHAR(10) &amp; SUBSTITUTE(TRIM(IF(OR(WEEKDAY(I6+14,2)=Paramètres!$B$5, WEEKDAY(I6+14,2)=Paramètres!$B$6),"OM, ","")&amp;IF(WEEKDAY(I6+14,2)=Paramètres!$B$8,"TRI, ","")&amp;IF(AND(WEEKDAY(I6+14,2)=Paramètres!$B$11, MOD(INT((I6+14-Paramètres!$B$10)/7),2)=0, I6+14&gt;=Paramètres!$B$10),"VERRE, ","")&amp;IF(AND(WEEKDAY(I6+14,2)=Paramètres!$B$15, INT((DAY(I6+14)-1)/7)+1 = Paramètres!$B$14),"VERTS, ","")&amp;IF(DAY(I6+14)=Paramètres!$B$17,"ENCOMBRANTS, ","")),", "," / "))</f>
        <v>0</v>
      </c>
      <c r="J9" s="7">
        <f>IF(MONTH(I6+15)&lt;&gt;2,"",TEXT(I6+15,"d") &amp; CHAR(10) &amp; SUBSTITUTE(TRIM(IF(OR(WEEKDAY(I6+15,2)=Paramètres!$B$5, WEEKDAY(I6+15,2)=Paramètres!$B$6),"OM, ","")&amp;IF(WEEKDAY(I6+15,2)=Paramètres!$B$8,"TRI, ","")&amp;IF(AND(WEEKDAY(I6+15,2)=Paramètres!$B$11, MOD(INT((I6+15-Paramètres!$B$10)/7),2)=0, I6+15&gt;=Paramètres!$B$10),"VERRE, ","")&amp;IF(AND(WEEKDAY(I6+15,2)=Paramètres!$B$15, INT((DAY(I6+15)-1)/7)+1 = Paramètres!$B$14),"VERTS, ","")&amp;IF(DAY(I6+15)=Paramètres!$B$17,"ENCOMBRANTS, ","")),", "," / "))</f>
        <v>0</v>
      </c>
      <c r="K9" s="7">
        <f>IF(MONTH(I6+16)&lt;&gt;2,"",TEXT(I6+16,"d") &amp; CHAR(10) &amp; SUBSTITUTE(TRIM(IF(OR(WEEKDAY(I6+16,2)=Paramètres!$B$5, WEEKDAY(I6+16,2)=Paramètres!$B$6),"OM, ","")&amp;IF(WEEKDAY(I6+16,2)=Paramètres!$B$8,"TRI, ","")&amp;IF(AND(WEEKDAY(I6+16,2)=Paramètres!$B$11, MOD(INT((I6+16-Paramètres!$B$10)/7),2)=0, I6+16&gt;=Paramètres!$B$10),"VERRE, ","")&amp;IF(AND(WEEKDAY(I6+16,2)=Paramètres!$B$15, INT((DAY(I6+16)-1)/7)+1 = Paramètres!$B$14),"VERTS, ","")&amp;IF(DAY(I6+16)=Paramètres!$B$17,"ENCOMBRANTS, ","")),", "," / "))</f>
        <v>0</v>
      </c>
      <c r="L9" s="7">
        <f>IF(MONTH(I6+17)&lt;&gt;2,"",TEXT(I6+17,"d") &amp; CHAR(10) &amp; SUBSTITUTE(TRIM(IF(OR(WEEKDAY(I6+17,2)=Paramètres!$B$5, WEEKDAY(I6+17,2)=Paramètres!$B$6),"OM, ","")&amp;IF(WEEKDAY(I6+17,2)=Paramètres!$B$8,"TRI, ","")&amp;IF(AND(WEEKDAY(I6+17,2)=Paramètres!$B$11, MOD(INT((I6+17-Paramètres!$B$10)/7),2)=0, I6+17&gt;=Paramètres!$B$10),"VERRE, ","")&amp;IF(AND(WEEKDAY(I6+17,2)=Paramètres!$B$15, INT((DAY(I6+17)-1)/7)+1 = Paramètres!$B$14),"VERTS, ","")&amp;IF(DAY(I6+17)=Paramètres!$B$17,"ENCOMBRANTS, ","")),", "," / "))</f>
        <v>0</v>
      </c>
      <c r="M9" s="7">
        <f>IF(MONTH(I6+18)&lt;&gt;2,"",TEXT(I6+18,"d") &amp; CHAR(10) &amp; SUBSTITUTE(TRIM(IF(OR(WEEKDAY(I6+18,2)=Paramètres!$B$5, WEEKDAY(I6+18,2)=Paramètres!$B$6),"OM, ","")&amp;IF(WEEKDAY(I6+18,2)=Paramètres!$B$8,"TRI, ","")&amp;IF(AND(WEEKDAY(I6+18,2)=Paramètres!$B$11, MOD(INT((I6+18-Paramètres!$B$10)/7),2)=0, I6+18&gt;=Paramètres!$B$10),"VERRE, ","")&amp;IF(AND(WEEKDAY(I6+18,2)=Paramètres!$B$15, INT((DAY(I6+18)-1)/7)+1 = Paramètres!$B$14),"VERTS, ","")&amp;IF(DAY(I6+18)=Paramètres!$B$17,"ENCOMBRANTS, ","")),", "," / "))</f>
        <v>0</v>
      </c>
      <c r="N9" s="7">
        <f>IF(MONTH(I6+19)&lt;&gt;2,"",TEXT(I6+19,"d") &amp; CHAR(10) &amp; SUBSTITUTE(TRIM(IF(OR(WEEKDAY(I6+19,2)=Paramètres!$B$5, WEEKDAY(I6+19,2)=Paramètres!$B$6),"OM, ","")&amp;IF(WEEKDAY(I6+19,2)=Paramètres!$B$8,"TRI, ","")&amp;IF(AND(WEEKDAY(I6+19,2)=Paramètres!$B$11, MOD(INT((I6+19-Paramètres!$B$10)/7),2)=0, I6+19&gt;=Paramètres!$B$10),"VERRE, ","")&amp;IF(AND(WEEKDAY(I6+19,2)=Paramètres!$B$15, INT((DAY(I6+19)-1)/7)+1 = Paramètres!$B$14),"VERTS, ","")&amp;IF(DAY(I6+19)=Paramètres!$B$17,"ENCOMBRANTS, ","")),", "," / "))</f>
        <v>0</v>
      </c>
      <c r="O9" s="7">
        <f>IF(MONTH(I6+20)&lt;&gt;2,"",TEXT(I6+20,"d") &amp; CHAR(10) &amp; SUBSTITUTE(TRIM(IF(OR(WEEKDAY(I6+20,2)=Paramètres!$B$5, WEEKDAY(I6+20,2)=Paramètres!$B$6),"OM, ","")&amp;IF(WEEKDAY(I6+20,2)=Paramètres!$B$8,"TRI, ","")&amp;IF(AND(WEEKDAY(I6+20,2)=Paramètres!$B$11, MOD(INT((I6+20-Paramètres!$B$10)/7),2)=0, I6+20&gt;=Paramètres!$B$10),"VERRE, ","")&amp;IF(AND(WEEKDAY(I6+20,2)=Paramètres!$B$15, INT((DAY(I6+20)-1)/7)+1 = Paramètres!$B$14),"VERTS, ","")&amp;IF(DAY(I6+20)=Paramètres!$B$17,"ENCOMBRANTS, ","")),", "," / "))</f>
        <v>0</v>
      </c>
      <c r="Q9" s="7">
        <f>IF(MONTH(Q6+14)&lt;&gt;3,"",TEXT(Q6+14,"d") &amp; CHAR(10) &amp; SUBSTITUTE(TRIM(IF(OR(WEEKDAY(Q6+14,2)=Paramètres!$B$5, WEEKDAY(Q6+14,2)=Paramètres!$B$6),"OM, ","")&amp;IF(WEEKDAY(Q6+14,2)=Paramètres!$B$8,"TRI, ","")&amp;IF(AND(WEEKDAY(Q6+14,2)=Paramètres!$B$11, MOD(INT((Q6+14-Paramètres!$B$10)/7),2)=0, Q6+14&gt;=Paramètres!$B$10),"VERRE, ","")&amp;IF(AND(WEEKDAY(Q6+14,2)=Paramètres!$B$15, INT((DAY(Q6+14)-1)/7)+1 = Paramètres!$B$14),"VERTS, ","")&amp;IF(DAY(Q6+14)=Paramètres!$B$17,"ENCOMBRANTS, ","")),", "," / "))</f>
        <v>0</v>
      </c>
      <c r="R9" s="7">
        <f>IF(MONTH(Q6+15)&lt;&gt;3,"",TEXT(Q6+15,"d") &amp; CHAR(10) &amp; SUBSTITUTE(TRIM(IF(OR(WEEKDAY(Q6+15,2)=Paramètres!$B$5, WEEKDAY(Q6+15,2)=Paramètres!$B$6),"OM, ","")&amp;IF(WEEKDAY(Q6+15,2)=Paramètres!$B$8,"TRI, ","")&amp;IF(AND(WEEKDAY(Q6+15,2)=Paramètres!$B$11, MOD(INT((Q6+15-Paramètres!$B$10)/7),2)=0, Q6+15&gt;=Paramètres!$B$10),"VERRE, ","")&amp;IF(AND(WEEKDAY(Q6+15,2)=Paramètres!$B$15, INT((DAY(Q6+15)-1)/7)+1 = Paramètres!$B$14),"VERTS, ","")&amp;IF(DAY(Q6+15)=Paramètres!$B$17,"ENCOMBRANTS, ","")),", "," / "))</f>
        <v>0</v>
      </c>
      <c r="S9" s="7">
        <f>IF(MONTH(Q6+16)&lt;&gt;3,"",TEXT(Q6+16,"d") &amp; CHAR(10) &amp; SUBSTITUTE(TRIM(IF(OR(WEEKDAY(Q6+16,2)=Paramètres!$B$5, WEEKDAY(Q6+16,2)=Paramètres!$B$6),"OM, ","")&amp;IF(WEEKDAY(Q6+16,2)=Paramètres!$B$8,"TRI, ","")&amp;IF(AND(WEEKDAY(Q6+16,2)=Paramètres!$B$11, MOD(INT((Q6+16-Paramètres!$B$10)/7),2)=0, Q6+16&gt;=Paramètres!$B$10),"VERRE, ","")&amp;IF(AND(WEEKDAY(Q6+16,2)=Paramètres!$B$15, INT((DAY(Q6+16)-1)/7)+1 = Paramètres!$B$14),"VERTS, ","")&amp;IF(DAY(Q6+16)=Paramètres!$B$17,"ENCOMBRANTS, ","")),", "," / "))</f>
        <v>0</v>
      </c>
      <c r="T9" s="7">
        <f>IF(MONTH(Q6+17)&lt;&gt;3,"",TEXT(Q6+17,"d") &amp; CHAR(10) &amp; SUBSTITUTE(TRIM(IF(OR(WEEKDAY(Q6+17,2)=Paramètres!$B$5, WEEKDAY(Q6+17,2)=Paramètres!$B$6),"OM, ","")&amp;IF(WEEKDAY(Q6+17,2)=Paramètres!$B$8,"TRI, ","")&amp;IF(AND(WEEKDAY(Q6+17,2)=Paramètres!$B$11, MOD(INT((Q6+17-Paramètres!$B$10)/7),2)=0, Q6+17&gt;=Paramètres!$B$10),"VERRE, ","")&amp;IF(AND(WEEKDAY(Q6+17,2)=Paramètres!$B$15, INT((DAY(Q6+17)-1)/7)+1 = Paramètres!$B$14),"VERTS, ","")&amp;IF(DAY(Q6+17)=Paramètres!$B$17,"ENCOMBRANTS, ","")),", "," / "))</f>
        <v>0</v>
      </c>
      <c r="U9" s="7">
        <f>IF(MONTH(Q6+18)&lt;&gt;3,"",TEXT(Q6+18,"d") &amp; CHAR(10) &amp; SUBSTITUTE(TRIM(IF(OR(WEEKDAY(Q6+18,2)=Paramètres!$B$5, WEEKDAY(Q6+18,2)=Paramètres!$B$6),"OM, ","")&amp;IF(WEEKDAY(Q6+18,2)=Paramètres!$B$8,"TRI, ","")&amp;IF(AND(WEEKDAY(Q6+18,2)=Paramètres!$B$11, MOD(INT((Q6+18-Paramètres!$B$10)/7),2)=0, Q6+18&gt;=Paramètres!$B$10),"VERRE, ","")&amp;IF(AND(WEEKDAY(Q6+18,2)=Paramètres!$B$15, INT((DAY(Q6+18)-1)/7)+1 = Paramètres!$B$14),"VERTS, ","")&amp;IF(DAY(Q6+18)=Paramètres!$B$17,"ENCOMBRANTS, ","")),", "," / "))</f>
        <v>0</v>
      </c>
      <c r="V9" s="7">
        <f>IF(MONTH(Q6+19)&lt;&gt;3,"",TEXT(Q6+19,"d") &amp; CHAR(10) &amp; SUBSTITUTE(TRIM(IF(OR(WEEKDAY(Q6+19,2)=Paramètres!$B$5, WEEKDAY(Q6+19,2)=Paramètres!$B$6),"OM, ","")&amp;IF(WEEKDAY(Q6+19,2)=Paramètres!$B$8,"TRI, ","")&amp;IF(AND(WEEKDAY(Q6+19,2)=Paramètres!$B$11, MOD(INT((Q6+19-Paramètres!$B$10)/7),2)=0, Q6+19&gt;=Paramètres!$B$10),"VERRE, ","")&amp;IF(AND(WEEKDAY(Q6+19,2)=Paramètres!$B$15, INT((DAY(Q6+19)-1)/7)+1 = Paramètres!$B$14),"VERTS, ","")&amp;IF(DAY(Q6+19)=Paramètres!$B$17,"ENCOMBRANTS, ","")),", "," / "))</f>
        <v>0</v>
      </c>
      <c r="W9" s="7">
        <f>IF(MONTH(Q6+20)&lt;&gt;3,"",TEXT(Q6+20,"d") &amp; CHAR(10) &amp; SUBSTITUTE(TRIM(IF(OR(WEEKDAY(Q6+20,2)=Paramètres!$B$5, WEEKDAY(Q6+20,2)=Paramètres!$B$6),"OM, ","")&amp;IF(WEEKDAY(Q6+20,2)=Paramètres!$B$8,"TRI, ","")&amp;IF(AND(WEEKDAY(Q6+20,2)=Paramètres!$B$11, MOD(INT((Q6+20-Paramètres!$B$10)/7),2)=0, Q6+20&gt;=Paramètres!$B$10),"VERRE, ","")&amp;IF(AND(WEEKDAY(Q6+20,2)=Paramètres!$B$15, INT((DAY(Q6+20)-1)/7)+1 = Paramètres!$B$14),"VERTS, ","")&amp;IF(DAY(Q6+20)=Paramètres!$B$17,"ENCOMBRANTS, ","")),", "," / "))</f>
        <v>0</v>
      </c>
    </row>
    <row r="10" spans="1:23">
      <c r="A10" s="7">
        <f>IF(MONTH(A6+21)&lt;&gt;1,"",TEXT(A6+21,"d") &amp; CHAR(10) &amp; SUBSTITUTE(TRIM(IF(OR(WEEKDAY(A6+21,2)=Paramètres!$B$5, WEEKDAY(A6+21,2)=Paramètres!$B$6),"OM, ","")&amp;IF(WEEKDAY(A6+21,2)=Paramètres!$B$8,"TRI, ","")&amp;IF(AND(WEEKDAY(A6+21,2)=Paramètres!$B$11, MOD(INT((A6+21-Paramètres!$B$10)/7),2)=0, A6+21&gt;=Paramètres!$B$10),"VERRE, ","")&amp;IF(AND(WEEKDAY(A6+21,2)=Paramètres!$B$15, INT((DAY(A6+21)-1)/7)+1 = Paramètres!$B$14),"VERTS, ","")&amp;IF(DAY(A6+21)=Paramètres!$B$17,"ENCOMBRANTS, ","")),", "," / "))</f>
        <v>0</v>
      </c>
      <c r="B10" s="7">
        <f>IF(MONTH(A6+22)&lt;&gt;1,"",TEXT(A6+22,"d") &amp; CHAR(10) &amp; SUBSTITUTE(TRIM(IF(OR(WEEKDAY(A6+22,2)=Paramètres!$B$5, WEEKDAY(A6+22,2)=Paramètres!$B$6),"OM, ","")&amp;IF(WEEKDAY(A6+22,2)=Paramètres!$B$8,"TRI, ","")&amp;IF(AND(WEEKDAY(A6+22,2)=Paramètres!$B$11, MOD(INT((A6+22-Paramètres!$B$10)/7),2)=0, A6+22&gt;=Paramètres!$B$10),"VERRE, ","")&amp;IF(AND(WEEKDAY(A6+22,2)=Paramètres!$B$15, INT((DAY(A6+22)-1)/7)+1 = Paramètres!$B$14),"VERTS, ","")&amp;IF(DAY(A6+22)=Paramètres!$B$17,"ENCOMBRANTS, ","")),", "," / "))</f>
        <v>0</v>
      </c>
      <c r="C10" s="7">
        <f>IF(MONTH(A6+23)&lt;&gt;1,"",TEXT(A6+23,"d") &amp; CHAR(10) &amp; SUBSTITUTE(TRIM(IF(OR(WEEKDAY(A6+23,2)=Paramètres!$B$5, WEEKDAY(A6+23,2)=Paramètres!$B$6),"OM, ","")&amp;IF(WEEKDAY(A6+23,2)=Paramètres!$B$8,"TRI, ","")&amp;IF(AND(WEEKDAY(A6+23,2)=Paramètres!$B$11, MOD(INT((A6+23-Paramètres!$B$10)/7),2)=0, A6+23&gt;=Paramètres!$B$10),"VERRE, ","")&amp;IF(AND(WEEKDAY(A6+23,2)=Paramètres!$B$15, INT((DAY(A6+23)-1)/7)+1 = Paramètres!$B$14),"VERTS, ","")&amp;IF(DAY(A6+23)=Paramètres!$B$17,"ENCOMBRANTS, ","")),", "," / "))</f>
        <v>0</v>
      </c>
      <c r="D10" s="7">
        <f>IF(MONTH(A6+24)&lt;&gt;1,"",TEXT(A6+24,"d") &amp; CHAR(10) &amp; SUBSTITUTE(TRIM(IF(OR(WEEKDAY(A6+24,2)=Paramètres!$B$5, WEEKDAY(A6+24,2)=Paramètres!$B$6),"OM, ","")&amp;IF(WEEKDAY(A6+24,2)=Paramètres!$B$8,"TRI, ","")&amp;IF(AND(WEEKDAY(A6+24,2)=Paramètres!$B$11, MOD(INT((A6+24-Paramètres!$B$10)/7),2)=0, A6+24&gt;=Paramètres!$B$10),"VERRE, ","")&amp;IF(AND(WEEKDAY(A6+24,2)=Paramètres!$B$15, INT((DAY(A6+24)-1)/7)+1 = Paramètres!$B$14),"VERTS, ","")&amp;IF(DAY(A6+24)=Paramètres!$B$17,"ENCOMBRANTS, ","")),", "," / "))</f>
        <v>0</v>
      </c>
      <c r="E10" s="7">
        <f>IF(MONTH(A6+25)&lt;&gt;1,"",TEXT(A6+25,"d") &amp; CHAR(10) &amp; SUBSTITUTE(TRIM(IF(OR(WEEKDAY(A6+25,2)=Paramètres!$B$5, WEEKDAY(A6+25,2)=Paramètres!$B$6),"OM, ","")&amp;IF(WEEKDAY(A6+25,2)=Paramètres!$B$8,"TRI, ","")&amp;IF(AND(WEEKDAY(A6+25,2)=Paramètres!$B$11, MOD(INT((A6+25-Paramètres!$B$10)/7),2)=0, A6+25&gt;=Paramètres!$B$10),"VERRE, ","")&amp;IF(AND(WEEKDAY(A6+25,2)=Paramètres!$B$15, INT((DAY(A6+25)-1)/7)+1 = Paramètres!$B$14),"VERTS, ","")&amp;IF(DAY(A6+25)=Paramètres!$B$17,"ENCOMBRANTS, ","")),", "," / "))</f>
        <v>0</v>
      </c>
      <c r="F10" s="7">
        <f>IF(MONTH(A6+26)&lt;&gt;1,"",TEXT(A6+26,"d") &amp; CHAR(10) &amp; SUBSTITUTE(TRIM(IF(OR(WEEKDAY(A6+26,2)=Paramètres!$B$5, WEEKDAY(A6+26,2)=Paramètres!$B$6),"OM, ","")&amp;IF(WEEKDAY(A6+26,2)=Paramètres!$B$8,"TRI, ","")&amp;IF(AND(WEEKDAY(A6+26,2)=Paramètres!$B$11, MOD(INT((A6+26-Paramètres!$B$10)/7),2)=0, A6+26&gt;=Paramètres!$B$10),"VERRE, ","")&amp;IF(AND(WEEKDAY(A6+26,2)=Paramètres!$B$15, INT((DAY(A6+26)-1)/7)+1 = Paramètres!$B$14),"VERTS, ","")&amp;IF(DAY(A6+26)=Paramètres!$B$17,"ENCOMBRANTS, ","")),", "," / "))</f>
        <v>0</v>
      </c>
      <c r="G10" s="7">
        <f>IF(MONTH(A6+27)&lt;&gt;1,"",TEXT(A6+27,"d") &amp; CHAR(10) &amp; SUBSTITUTE(TRIM(IF(OR(WEEKDAY(A6+27,2)=Paramètres!$B$5, WEEKDAY(A6+27,2)=Paramètres!$B$6),"OM, ","")&amp;IF(WEEKDAY(A6+27,2)=Paramètres!$B$8,"TRI, ","")&amp;IF(AND(WEEKDAY(A6+27,2)=Paramètres!$B$11, MOD(INT((A6+27-Paramètres!$B$10)/7),2)=0, A6+27&gt;=Paramètres!$B$10),"VERRE, ","")&amp;IF(AND(WEEKDAY(A6+27,2)=Paramètres!$B$15, INT((DAY(A6+27)-1)/7)+1 = Paramètres!$B$14),"VERTS, ","")&amp;IF(DAY(A6+27)=Paramètres!$B$17,"ENCOMBRANTS, ","")),", "," / "))</f>
        <v>0</v>
      </c>
      <c r="I10" s="7">
        <f>IF(MONTH(I6+21)&lt;&gt;2,"",TEXT(I6+21,"d") &amp; CHAR(10) &amp; SUBSTITUTE(TRIM(IF(OR(WEEKDAY(I6+21,2)=Paramètres!$B$5, WEEKDAY(I6+21,2)=Paramètres!$B$6),"OM, ","")&amp;IF(WEEKDAY(I6+21,2)=Paramètres!$B$8,"TRI, ","")&amp;IF(AND(WEEKDAY(I6+21,2)=Paramètres!$B$11, MOD(INT((I6+21-Paramètres!$B$10)/7),2)=0, I6+21&gt;=Paramètres!$B$10),"VERRE, ","")&amp;IF(AND(WEEKDAY(I6+21,2)=Paramètres!$B$15, INT((DAY(I6+21)-1)/7)+1 = Paramètres!$B$14),"VERTS, ","")&amp;IF(DAY(I6+21)=Paramètres!$B$17,"ENCOMBRANTS, ","")),", "," / "))</f>
        <v>0</v>
      </c>
      <c r="J10" s="7">
        <f>IF(MONTH(I6+22)&lt;&gt;2,"",TEXT(I6+22,"d") &amp; CHAR(10) &amp; SUBSTITUTE(TRIM(IF(OR(WEEKDAY(I6+22,2)=Paramètres!$B$5, WEEKDAY(I6+22,2)=Paramètres!$B$6),"OM, ","")&amp;IF(WEEKDAY(I6+22,2)=Paramètres!$B$8,"TRI, ","")&amp;IF(AND(WEEKDAY(I6+22,2)=Paramètres!$B$11, MOD(INT((I6+22-Paramètres!$B$10)/7),2)=0, I6+22&gt;=Paramètres!$B$10),"VERRE, ","")&amp;IF(AND(WEEKDAY(I6+22,2)=Paramètres!$B$15, INT((DAY(I6+22)-1)/7)+1 = Paramètres!$B$14),"VERTS, ","")&amp;IF(DAY(I6+22)=Paramètres!$B$17,"ENCOMBRANTS, ","")),", "," / "))</f>
        <v>0</v>
      </c>
      <c r="K10" s="7">
        <f>IF(MONTH(I6+23)&lt;&gt;2,"",TEXT(I6+23,"d") &amp; CHAR(10) &amp; SUBSTITUTE(TRIM(IF(OR(WEEKDAY(I6+23,2)=Paramètres!$B$5, WEEKDAY(I6+23,2)=Paramètres!$B$6),"OM, ","")&amp;IF(WEEKDAY(I6+23,2)=Paramètres!$B$8,"TRI, ","")&amp;IF(AND(WEEKDAY(I6+23,2)=Paramètres!$B$11, MOD(INT((I6+23-Paramètres!$B$10)/7),2)=0, I6+23&gt;=Paramètres!$B$10),"VERRE, ","")&amp;IF(AND(WEEKDAY(I6+23,2)=Paramètres!$B$15, INT((DAY(I6+23)-1)/7)+1 = Paramètres!$B$14),"VERTS, ","")&amp;IF(DAY(I6+23)=Paramètres!$B$17,"ENCOMBRANTS, ","")),", "," / "))</f>
        <v>0</v>
      </c>
      <c r="L10" s="7">
        <f>IF(MONTH(I6+24)&lt;&gt;2,"",TEXT(I6+24,"d") &amp; CHAR(10) &amp; SUBSTITUTE(TRIM(IF(OR(WEEKDAY(I6+24,2)=Paramètres!$B$5, WEEKDAY(I6+24,2)=Paramètres!$B$6),"OM, ","")&amp;IF(WEEKDAY(I6+24,2)=Paramètres!$B$8,"TRI, ","")&amp;IF(AND(WEEKDAY(I6+24,2)=Paramètres!$B$11, MOD(INT((I6+24-Paramètres!$B$10)/7),2)=0, I6+24&gt;=Paramètres!$B$10),"VERRE, ","")&amp;IF(AND(WEEKDAY(I6+24,2)=Paramètres!$B$15, INT((DAY(I6+24)-1)/7)+1 = Paramètres!$B$14),"VERTS, ","")&amp;IF(DAY(I6+24)=Paramètres!$B$17,"ENCOMBRANTS, ","")),", "," / "))</f>
        <v>0</v>
      </c>
      <c r="M10" s="7">
        <f>IF(MONTH(I6+25)&lt;&gt;2,"",TEXT(I6+25,"d") &amp; CHAR(10) &amp; SUBSTITUTE(TRIM(IF(OR(WEEKDAY(I6+25,2)=Paramètres!$B$5, WEEKDAY(I6+25,2)=Paramètres!$B$6),"OM, ","")&amp;IF(WEEKDAY(I6+25,2)=Paramètres!$B$8,"TRI, ","")&amp;IF(AND(WEEKDAY(I6+25,2)=Paramètres!$B$11, MOD(INT((I6+25-Paramètres!$B$10)/7),2)=0, I6+25&gt;=Paramètres!$B$10),"VERRE, ","")&amp;IF(AND(WEEKDAY(I6+25,2)=Paramètres!$B$15, INT((DAY(I6+25)-1)/7)+1 = Paramètres!$B$14),"VERTS, ","")&amp;IF(DAY(I6+25)=Paramètres!$B$17,"ENCOMBRANTS, ","")),", "," / "))</f>
        <v>0</v>
      </c>
      <c r="N10" s="7">
        <f>IF(MONTH(I6+26)&lt;&gt;2,"",TEXT(I6+26,"d") &amp; CHAR(10) &amp; SUBSTITUTE(TRIM(IF(OR(WEEKDAY(I6+26,2)=Paramètres!$B$5, WEEKDAY(I6+26,2)=Paramètres!$B$6),"OM, ","")&amp;IF(WEEKDAY(I6+26,2)=Paramètres!$B$8,"TRI, ","")&amp;IF(AND(WEEKDAY(I6+26,2)=Paramètres!$B$11, MOD(INT((I6+26-Paramètres!$B$10)/7),2)=0, I6+26&gt;=Paramètres!$B$10),"VERRE, ","")&amp;IF(AND(WEEKDAY(I6+26,2)=Paramètres!$B$15, INT((DAY(I6+26)-1)/7)+1 = Paramètres!$B$14),"VERTS, ","")&amp;IF(DAY(I6+26)=Paramètres!$B$17,"ENCOMBRANTS, ","")),", "," / "))</f>
        <v>0</v>
      </c>
      <c r="O10" s="7">
        <f>IF(MONTH(I6+27)&lt;&gt;2,"",TEXT(I6+27,"d") &amp; CHAR(10) &amp; SUBSTITUTE(TRIM(IF(OR(WEEKDAY(I6+27,2)=Paramètres!$B$5, WEEKDAY(I6+27,2)=Paramètres!$B$6),"OM, ","")&amp;IF(WEEKDAY(I6+27,2)=Paramètres!$B$8,"TRI, ","")&amp;IF(AND(WEEKDAY(I6+27,2)=Paramètres!$B$11, MOD(INT((I6+27-Paramètres!$B$10)/7),2)=0, I6+27&gt;=Paramètres!$B$10),"VERRE, ","")&amp;IF(AND(WEEKDAY(I6+27,2)=Paramètres!$B$15, INT((DAY(I6+27)-1)/7)+1 = Paramètres!$B$14),"VERTS, ","")&amp;IF(DAY(I6+27)=Paramètres!$B$17,"ENCOMBRANTS, ","")),", "," / "))</f>
        <v>0</v>
      </c>
      <c r="Q10" s="7">
        <f>IF(MONTH(Q6+21)&lt;&gt;3,"",TEXT(Q6+21,"d") &amp; CHAR(10) &amp; SUBSTITUTE(TRIM(IF(OR(WEEKDAY(Q6+21,2)=Paramètres!$B$5, WEEKDAY(Q6+21,2)=Paramètres!$B$6),"OM, ","")&amp;IF(WEEKDAY(Q6+21,2)=Paramètres!$B$8,"TRI, ","")&amp;IF(AND(WEEKDAY(Q6+21,2)=Paramètres!$B$11, MOD(INT((Q6+21-Paramètres!$B$10)/7),2)=0, Q6+21&gt;=Paramètres!$B$10),"VERRE, ","")&amp;IF(AND(WEEKDAY(Q6+21,2)=Paramètres!$B$15, INT((DAY(Q6+21)-1)/7)+1 = Paramètres!$B$14),"VERTS, ","")&amp;IF(DAY(Q6+21)=Paramètres!$B$17,"ENCOMBRANTS, ","")),", "," / "))</f>
        <v>0</v>
      </c>
      <c r="R10" s="7">
        <f>IF(MONTH(Q6+22)&lt;&gt;3,"",TEXT(Q6+22,"d") &amp; CHAR(10) &amp; SUBSTITUTE(TRIM(IF(OR(WEEKDAY(Q6+22,2)=Paramètres!$B$5, WEEKDAY(Q6+22,2)=Paramètres!$B$6),"OM, ","")&amp;IF(WEEKDAY(Q6+22,2)=Paramètres!$B$8,"TRI, ","")&amp;IF(AND(WEEKDAY(Q6+22,2)=Paramètres!$B$11, MOD(INT((Q6+22-Paramètres!$B$10)/7),2)=0, Q6+22&gt;=Paramètres!$B$10),"VERRE, ","")&amp;IF(AND(WEEKDAY(Q6+22,2)=Paramètres!$B$15, INT((DAY(Q6+22)-1)/7)+1 = Paramètres!$B$14),"VERTS, ","")&amp;IF(DAY(Q6+22)=Paramètres!$B$17,"ENCOMBRANTS, ","")),", "," / "))</f>
        <v>0</v>
      </c>
      <c r="S10" s="7">
        <f>IF(MONTH(Q6+23)&lt;&gt;3,"",TEXT(Q6+23,"d") &amp; CHAR(10) &amp; SUBSTITUTE(TRIM(IF(OR(WEEKDAY(Q6+23,2)=Paramètres!$B$5, WEEKDAY(Q6+23,2)=Paramètres!$B$6),"OM, ","")&amp;IF(WEEKDAY(Q6+23,2)=Paramètres!$B$8,"TRI, ","")&amp;IF(AND(WEEKDAY(Q6+23,2)=Paramètres!$B$11, MOD(INT((Q6+23-Paramètres!$B$10)/7),2)=0, Q6+23&gt;=Paramètres!$B$10),"VERRE, ","")&amp;IF(AND(WEEKDAY(Q6+23,2)=Paramètres!$B$15, INT((DAY(Q6+23)-1)/7)+1 = Paramètres!$B$14),"VERTS, ","")&amp;IF(DAY(Q6+23)=Paramètres!$B$17,"ENCOMBRANTS, ","")),", "," / "))</f>
        <v>0</v>
      </c>
      <c r="T10" s="7">
        <f>IF(MONTH(Q6+24)&lt;&gt;3,"",TEXT(Q6+24,"d") &amp; CHAR(10) &amp; SUBSTITUTE(TRIM(IF(OR(WEEKDAY(Q6+24,2)=Paramètres!$B$5, WEEKDAY(Q6+24,2)=Paramètres!$B$6),"OM, ","")&amp;IF(WEEKDAY(Q6+24,2)=Paramètres!$B$8,"TRI, ","")&amp;IF(AND(WEEKDAY(Q6+24,2)=Paramètres!$B$11, MOD(INT((Q6+24-Paramètres!$B$10)/7),2)=0, Q6+24&gt;=Paramètres!$B$10),"VERRE, ","")&amp;IF(AND(WEEKDAY(Q6+24,2)=Paramètres!$B$15, INT((DAY(Q6+24)-1)/7)+1 = Paramètres!$B$14),"VERTS, ","")&amp;IF(DAY(Q6+24)=Paramètres!$B$17,"ENCOMBRANTS, ","")),", "," / "))</f>
        <v>0</v>
      </c>
      <c r="U10" s="7">
        <f>IF(MONTH(Q6+25)&lt;&gt;3,"",TEXT(Q6+25,"d") &amp; CHAR(10) &amp; SUBSTITUTE(TRIM(IF(OR(WEEKDAY(Q6+25,2)=Paramètres!$B$5, WEEKDAY(Q6+25,2)=Paramètres!$B$6),"OM, ","")&amp;IF(WEEKDAY(Q6+25,2)=Paramètres!$B$8,"TRI, ","")&amp;IF(AND(WEEKDAY(Q6+25,2)=Paramètres!$B$11, MOD(INT((Q6+25-Paramètres!$B$10)/7),2)=0, Q6+25&gt;=Paramètres!$B$10),"VERRE, ","")&amp;IF(AND(WEEKDAY(Q6+25,2)=Paramètres!$B$15, INT((DAY(Q6+25)-1)/7)+1 = Paramètres!$B$14),"VERTS, ","")&amp;IF(DAY(Q6+25)=Paramètres!$B$17,"ENCOMBRANTS, ","")),", "," / "))</f>
        <v>0</v>
      </c>
      <c r="V10" s="7">
        <f>IF(MONTH(Q6+26)&lt;&gt;3,"",TEXT(Q6+26,"d") &amp; CHAR(10) &amp; SUBSTITUTE(TRIM(IF(OR(WEEKDAY(Q6+26,2)=Paramètres!$B$5, WEEKDAY(Q6+26,2)=Paramètres!$B$6),"OM, ","")&amp;IF(WEEKDAY(Q6+26,2)=Paramètres!$B$8,"TRI, ","")&amp;IF(AND(WEEKDAY(Q6+26,2)=Paramètres!$B$11, MOD(INT((Q6+26-Paramètres!$B$10)/7),2)=0, Q6+26&gt;=Paramètres!$B$10),"VERRE, ","")&amp;IF(AND(WEEKDAY(Q6+26,2)=Paramètres!$B$15, INT((DAY(Q6+26)-1)/7)+1 = Paramètres!$B$14),"VERTS, ","")&amp;IF(DAY(Q6+26)=Paramètres!$B$17,"ENCOMBRANTS, ","")),", "," / "))</f>
        <v>0</v>
      </c>
      <c r="W10" s="7">
        <f>IF(MONTH(Q6+27)&lt;&gt;3,"",TEXT(Q6+27,"d") &amp; CHAR(10) &amp; SUBSTITUTE(TRIM(IF(OR(WEEKDAY(Q6+27,2)=Paramètres!$B$5, WEEKDAY(Q6+27,2)=Paramètres!$B$6),"OM, ","")&amp;IF(WEEKDAY(Q6+27,2)=Paramètres!$B$8,"TRI, ","")&amp;IF(AND(WEEKDAY(Q6+27,2)=Paramètres!$B$11, MOD(INT((Q6+27-Paramètres!$B$10)/7),2)=0, Q6+27&gt;=Paramètres!$B$10),"VERRE, ","")&amp;IF(AND(WEEKDAY(Q6+27,2)=Paramètres!$B$15, INT((DAY(Q6+27)-1)/7)+1 = Paramètres!$B$14),"VERTS, ","")&amp;IF(DAY(Q6+27)=Paramètres!$B$17,"ENCOMBRANTS, ","")),", "," / "))</f>
        <v>0</v>
      </c>
    </row>
    <row r="11" spans="1:23">
      <c r="A11" s="7">
        <f>IF(MONTH(A6+28)&lt;&gt;1,"",TEXT(A6+28,"d") &amp; CHAR(10) &amp; SUBSTITUTE(TRIM(IF(OR(WEEKDAY(A6+28,2)=Paramètres!$B$5, WEEKDAY(A6+28,2)=Paramètres!$B$6),"OM, ","")&amp;IF(WEEKDAY(A6+28,2)=Paramètres!$B$8,"TRI, ","")&amp;IF(AND(WEEKDAY(A6+28,2)=Paramètres!$B$11, MOD(INT((A6+28-Paramètres!$B$10)/7),2)=0, A6+28&gt;=Paramètres!$B$10),"VERRE, ","")&amp;IF(AND(WEEKDAY(A6+28,2)=Paramètres!$B$15, INT((DAY(A6+28)-1)/7)+1 = Paramètres!$B$14),"VERTS, ","")&amp;IF(DAY(A6+28)=Paramètres!$B$17,"ENCOMBRANTS, ","")),", "," / "))</f>
        <v>0</v>
      </c>
      <c r="B11" s="7">
        <f>IF(MONTH(A6+29)&lt;&gt;1,"",TEXT(A6+29,"d") &amp; CHAR(10) &amp; SUBSTITUTE(TRIM(IF(OR(WEEKDAY(A6+29,2)=Paramètres!$B$5, WEEKDAY(A6+29,2)=Paramètres!$B$6),"OM, ","")&amp;IF(WEEKDAY(A6+29,2)=Paramètres!$B$8,"TRI, ","")&amp;IF(AND(WEEKDAY(A6+29,2)=Paramètres!$B$11, MOD(INT((A6+29-Paramètres!$B$10)/7),2)=0, A6+29&gt;=Paramètres!$B$10),"VERRE, ","")&amp;IF(AND(WEEKDAY(A6+29,2)=Paramètres!$B$15, INT((DAY(A6+29)-1)/7)+1 = Paramètres!$B$14),"VERTS, ","")&amp;IF(DAY(A6+29)=Paramètres!$B$17,"ENCOMBRANTS, ","")),", "," / "))</f>
        <v>0</v>
      </c>
      <c r="C11" s="7">
        <f>IF(MONTH(A6+30)&lt;&gt;1,"",TEXT(A6+30,"d") &amp; CHAR(10) &amp; SUBSTITUTE(TRIM(IF(OR(WEEKDAY(A6+30,2)=Paramètres!$B$5, WEEKDAY(A6+30,2)=Paramètres!$B$6),"OM, ","")&amp;IF(WEEKDAY(A6+30,2)=Paramètres!$B$8,"TRI, ","")&amp;IF(AND(WEEKDAY(A6+30,2)=Paramètres!$B$11, MOD(INT((A6+30-Paramètres!$B$10)/7),2)=0, A6+30&gt;=Paramètres!$B$10),"VERRE, ","")&amp;IF(AND(WEEKDAY(A6+30,2)=Paramètres!$B$15, INT((DAY(A6+30)-1)/7)+1 = Paramètres!$B$14),"VERTS, ","")&amp;IF(DAY(A6+30)=Paramètres!$B$17,"ENCOMBRANTS, ","")),", "," / "))</f>
        <v>0</v>
      </c>
      <c r="D11" s="7">
        <f>IF(MONTH(A6+31)&lt;&gt;1,"",TEXT(A6+31,"d") &amp; CHAR(10) &amp; SUBSTITUTE(TRIM(IF(OR(WEEKDAY(A6+31,2)=Paramètres!$B$5, WEEKDAY(A6+31,2)=Paramètres!$B$6),"OM, ","")&amp;IF(WEEKDAY(A6+31,2)=Paramètres!$B$8,"TRI, ","")&amp;IF(AND(WEEKDAY(A6+31,2)=Paramètres!$B$11, MOD(INT((A6+31-Paramètres!$B$10)/7),2)=0, A6+31&gt;=Paramètres!$B$10),"VERRE, ","")&amp;IF(AND(WEEKDAY(A6+31,2)=Paramètres!$B$15, INT((DAY(A6+31)-1)/7)+1 = Paramètres!$B$14),"VERTS, ","")&amp;IF(DAY(A6+31)=Paramètres!$B$17,"ENCOMBRANTS, ","")),", "," / "))</f>
        <v>0</v>
      </c>
      <c r="E11" s="7">
        <f>IF(MONTH(A6+32)&lt;&gt;1,"",TEXT(A6+32,"d") &amp; CHAR(10) &amp; SUBSTITUTE(TRIM(IF(OR(WEEKDAY(A6+32,2)=Paramètres!$B$5, WEEKDAY(A6+32,2)=Paramètres!$B$6),"OM, ","")&amp;IF(WEEKDAY(A6+32,2)=Paramètres!$B$8,"TRI, ","")&amp;IF(AND(WEEKDAY(A6+32,2)=Paramètres!$B$11, MOD(INT((A6+32-Paramètres!$B$10)/7),2)=0, A6+32&gt;=Paramètres!$B$10),"VERRE, ","")&amp;IF(AND(WEEKDAY(A6+32,2)=Paramètres!$B$15, INT((DAY(A6+32)-1)/7)+1 = Paramètres!$B$14),"VERTS, ","")&amp;IF(DAY(A6+32)=Paramètres!$B$17,"ENCOMBRANTS, ","")),", "," / "))</f>
        <v>0</v>
      </c>
      <c r="F11" s="7">
        <f>IF(MONTH(A6+33)&lt;&gt;1,"",TEXT(A6+33,"d") &amp; CHAR(10) &amp; SUBSTITUTE(TRIM(IF(OR(WEEKDAY(A6+33,2)=Paramètres!$B$5, WEEKDAY(A6+33,2)=Paramètres!$B$6),"OM, ","")&amp;IF(WEEKDAY(A6+33,2)=Paramètres!$B$8,"TRI, ","")&amp;IF(AND(WEEKDAY(A6+33,2)=Paramètres!$B$11, MOD(INT((A6+33-Paramètres!$B$10)/7),2)=0, A6+33&gt;=Paramètres!$B$10),"VERRE, ","")&amp;IF(AND(WEEKDAY(A6+33,2)=Paramètres!$B$15, INT((DAY(A6+33)-1)/7)+1 = Paramètres!$B$14),"VERTS, ","")&amp;IF(DAY(A6+33)=Paramètres!$B$17,"ENCOMBRANTS, ","")),", "," / "))</f>
        <v>0</v>
      </c>
      <c r="G11" s="7">
        <f>IF(MONTH(A6+34)&lt;&gt;1,"",TEXT(A6+34,"d") &amp; CHAR(10) &amp; SUBSTITUTE(TRIM(IF(OR(WEEKDAY(A6+34,2)=Paramètres!$B$5, WEEKDAY(A6+34,2)=Paramètres!$B$6),"OM, ","")&amp;IF(WEEKDAY(A6+34,2)=Paramètres!$B$8,"TRI, ","")&amp;IF(AND(WEEKDAY(A6+34,2)=Paramètres!$B$11, MOD(INT((A6+34-Paramètres!$B$10)/7),2)=0, A6+34&gt;=Paramètres!$B$10),"VERRE, ","")&amp;IF(AND(WEEKDAY(A6+34,2)=Paramètres!$B$15, INT((DAY(A6+34)-1)/7)+1 = Paramètres!$B$14),"VERTS, ","")&amp;IF(DAY(A6+34)=Paramètres!$B$17,"ENCOMBRANTS, ","")),", "," / "))</f>
        <v>0</v>
      </c>
      <c r="I11" s="7">
        <f>IF(MONTH(I6+28)&lt;&gt;2,"",TEXT(I6+28,"d") &amp; CHAR(10) &amp; SUBSTITUTE(TRIM(IF(OR(WEEKDAY(I6+28,2)=Paramètres!$B$5, WEEKDAY(I6+28,2)=Paramètres!$B$6),"OM, ","")&amp;IF(WEEKDAY(I6+28,2)=Paramètres!$B$8,"TRI, ","")&amp;IF(AND(WEEKDAY(I6+28,2)=Paramètres!$B$11, MOD(INT((I6+28-Paramètres!$B$10)/7),2)=0, I6+28&gt;=Paramètres!$B$10),"VERRE, ","")&amp;IF(AND(WEEKDAY(I6+28,2)=Paramètres!$B$15, INT((DAY(I6+28)-1)/7)+1 = Paramètres!$B$14),"VERTS, ","")&amp;IF(DAY(I6+28)=Paramètres!$B$17,"ENCOMBRANTS, ","")),", "," / "))</f>
        <v>0</v>
      </c>
      <c r="J11" s="7">
        <f>IF(MONTH(I6+29)&lt;&gt;2,"",TEXT(I6+29,"d") &amp; CHAR(10) &amp; SUBSTITUTE(TRIM(IF(OR(WEEKDAY(I6+29,2)=Paramètres!$B$5, WEEKDAY(I6+29,2)=Paramètres!$B$6),"OM, ","")&amp;IF(WEEKDAY(I6+29,2)=Paramètres!$B$8,"TRI, ","")&amp;IF(AND(WEEKDAY(I6+29,2)=Paramètres!$B$11, MOD(INT((I6+29-Paramètres!$B$10)/7),2)=0, I6+29&gt;=Paramètres!$B$10),"VERRE, ","")&amp;IF(AND(WEEKDAY(I6+29,2)=Paramètres!$B$15, INT((DAY(I6+29)-1)/7)+1 = Paramètres!$B$14),"VERTS, ","")&amp;IF(DAY(I6+29)=Paramètres!$B$17,"ENCOMBRANTS, ","")),", "," / "))</f>
        <v>0</v>
      </c>
      <c r="K11" s="7">
        <f>IF(MONTH(I6+30)&lt;&gt;2,"",TEXT(I6+30,"d") &amp; CHAR(10) &amp; SUBSTITUTE(TRIM(IF(OR(WEEKDAY(I6+30,2)=Paramètres!$B$5, WEEKDAY(I6+30,2)=Paramètres!$B$6),"OM, ","")&amp;IF(WEEKDAY(I6+30,2)=Paramètres!$B$8,"TRI, ","")&amp;IF(AND(WEEKDAY(I6+30,2)=Paramètres!$B$11, MOD(INT((I6+30-Paramètres!$B$10)/7),2)=0, I6+30&gt;=Paramètres!$B$10),"VERRE, ","")&amp;IF(AND(WEEKDAY(I6+30,2)=Paramètres!$B$15, INT((DAY(I6+30)-1)/7)+1 = Paramètres!$B$14),"VERTS, ","")&amp;IF(DAY(I6+30)=Paramètres!$B$17,"ENCOMBRANTS, ","")),", "," / "))</f>
        <v>0</v>
      </c>
      <c r="L11" s="7">
        <f>IF(MONTH(I6+31)&lt;&gt;2,"",TEXT(I6+31,"d") &amp; CHAR(10) &amp; SUBSTITUTE(TRIM(IF(OR(WEEKDAY(I6+31,2)=Paramètres!$B$5, WEEKDAY(I6+31,2)=Paramètres!$B$6),"OM, ","")&amp;IF(WEEKDAY(I6+31,2)=Paramètres!$B$8,"TRI, ","")&amp;IF(AND(WEEKDAY(I6+31,2)=Paramètres!$B$11, MOD(INT((I6+31-Paramètres!$B$10)/7),2)=0, I6+31&gt;=Paramètres!$B$10),"VERRE, ","")&amp;IF(AND(WEEKDAY(I6+31,2)=Paramètres!$B$15, INT((DAY(I6+31)-1)/7)+1 = Paramètres!$B$14),"VERTS, ","")&amp;IF(DAY(I6+31)=Paramètres!$B$17,"ENCOMBRANTS, ","")),", "," / "))</f>
        <v>0</v>
      </c>
      <c r="M11" s="7">
        <f>IF(MONTH(I6+32)&lt;&gt;2,"",TEXT(I6+32,"d") &amp; CHAR(10) &amp; SUBSTITUTE(TRIM(IF(OR(WEEKDAY(I6+32,2)=Paramètres!$B$5, WEEKDAY(I6+32,2)=Paramètres!$B$6),"OM, ","")&amp;IF(WEEKDAY(I6+32,2)=Paramètres!$B$8,"TRI, ","")&amp;IF(AND(WEEKDAY(I6+32,2)=Paramètres!$B$11, MOD(INT((I6+32-Paramètres!$B$10)/7),2)=0, I6+32&gt;=Paramètres!$B$10),"VERRE, ","")&amp;IF(AND(WEEKDAY(I6+32,2)=Paramètres!$B$15, INT((DAY(I6+32)-1)/7)+1 = Paramètres!$B$14),"VERTS, ","")&amp;IF(DAY(I6+32)=Paramètres!$B$17,"ENCOMBRANTS, ","")),", "," / "))</f>
        <v>0</v>
      </c>
      <c r="N11" s="7">
        <f>IF(MONTH(I6+33)&lt;&gt;2,"",TEXT(I6+33,"d") &amp; CHAR(10) &amp; SUBSTITUTE(TRIM(IF(OR(WEEKDAY(I6+33,2)=Paramètres!$B$5, WEEKDAY(I6+33,2)=Paramètres!$B$6),"OM, ","")&amp;IF(WEEKDAY(I6+33,2)=Paramètres!$B$8,"TRI, ","")&amp;IF(AND(WEEKDAY(I6+33,2)=Paramètres!$B$11, MOD(INT((I6+33-Paramètres!$B$10)/7),2)=0, I6+33&gt;=Paramètres!$B$10),"VERRE, ","")&amp;IF(AND(WEEKDAY(I6+33,2)=Paramètres!$B$15, INT((DAY(I6+33)-1)/7)+1 = Paramètres!$B$14),"VERTS, ","")&amp;IF(DAY(I6+33)=Paramètres!$B$17,"ENCOMBRANTS, ","")),", "," / "))</f>
        <v>0</v>
      </c>
      <c r="O11" s="7">
        <f>IF(MONTH(I6+34)&lt;&gt;2,"",TEXT(I6+34,"d") &amp; CHAR(10) &amp; SUBSTITUTE(TRIM(IF(OR(WEEKDAY(I6+34,2)=Paramètres!$B$5, WEEKDAY(I6+34,2)=Paramètres!$B$6),"OM, ","")&amp;IF(WEEKDAY(I6+34,2)=Paramètres!$B$8,"TRI, ","")&amp;IF(AND(WEEKDAY(I6+34,2)=Paramètres!$B$11, MOD(INT((I6+34-Paramètres!$B$10)/7),2)=0, I6+34&gt;=Paramètres!$B$10),"VERRE, ","")&amp;IF(AND(WEEKDAY(I6+34,2)=Paramètres!$B$15, INT((DAY(I6+34)-1)/7)+1 = Paramètres!$B$14),"VERTS, ","")&amp;IF(DAY(I6+34)=Paramètres!$B$17,"ENCOMBRANTS, ","")),", "," / "))</f>
        <v>0</v>
      </c>
      <c r="Q11" s="7">
        <f>IF(MONTH(Q6+28)&lt;&gt;3,"",TEXT(Q6+28,"d") &amp; CHAR(10) &amp; SUBSTITUTE(TRIM(IF(OR(WEEKDAY(Q6+28,2)=Paramètres!$B$5, WEEKDAY(Q6+28,2)=Paramètres!$B$6),"OM, ","")&amp;IF(WEEKDAY(Q6+28,2)=Paramètres!$B$8,"TRI, ","")&amp;IF(AND(WEEKDAY(Q6+28,2)=Paramètres!$B$11, MOD(INT((Q6+28-Paramètres!$B$10)/7),2)=0, Q6+28&gt;=Paramètres!$B$10),"VERRE, ","")&amp;IF(AND(WEEKDAY(Q6+28,2)=Paramètres!$B$15, INT((DAY(Q6+28)-1)/7)+1 = Paramètres!$B$14),"VERTS, ","")&amp;IF(DAY(Q6+28)=Paramètres!$B$17,"ENCOMBRANTS, ","")),", "," / "))</f>
        <v>0</v>
      </c>
      <c r="R11" s="7">
        <f>IF(MONTH(Q6+29)&lt;&gt;3,"",TEXT(Q6+29,"d") &amp; CHAR(10) &amp; SUBSTITUTE(TRIM(IF(OR(WEEKDAY(Q6+29,2)=Paramètres!$B$5, WEEKDAY(Q6+29,2)=Paramètres!$B$6),"OM, ","")&amp;IF(WEEKDAY(Q6+29,2)=Paramètres!$B$8,"TRI, ","")&amp;IF(AND(WEEKDAY(Q6+29,2)=Paramètres!$B$11, MOD(INT((Q6+29-Paramètres!$B$10)/7),2)=0, Q6+29&gt;=Paramètres!$B$10),"VERRE, ","")&amp;IF(AND(WEEKDAY(Q6+29,2)=Paramètres!$B$15, INT((DAY(Q6+29)-1)/7)+1 = Paramètres!$B$14),"VERTS, ","")&amp;IF(DAY(Q6+29)=Paramètres!$B$17,"ENCOMBRANTS, ","")),", "," / "))</f>
        <v>0</v>
      </c>
      <c r="S11" s="7">
        <f>IF(MONTH(Q6+30)&lt;&gt;3,"",TEXT(Q6+30,"d") &amp; CHAR(10) &amp; SUBSTITUTE(TRIM(IF(OR(WEEKDAY(Q6+30,2)=Paramètres!$B$5, WEEKDAY(Q6+30,2)=Paramètres!$B$6),"OM, ","")&amp;IF(WEEKDAY(Q6+30,2)=Paramètres!$B$8,"TRI, ","")&amp;IF(AND(WEEKDAY(Q6+30,2)=Paramètres!$B$11, MOD(INT((Q6+30-Paramètres!$B$10)/7),2)=0, Q6+30&gt;=Paramètres!$B$10),"VERRE, ","")&amp;IF(AND(WEEKDAY(Q6+30,2)=Paramètres!$B$15, INT((DAY(Q6+30)-1)/7)+1 = Paramètres!$B$14),"VERTS, ","")&amp;IF(DAY(Q6+30)=Paramètres!$B$17,"ENCOMBRANTS, ","")),", "," / "))</f>
        <v>0</v>
      </c>
      <c r="T11" s="7">
        <f>IF(MONTH(Q6+31)&lt;&gt;3,"",TEXT(Q6+31,"d") &amp; CHAR(10) &amp; SUBSTITUTE(TRIM(IF(OR(WEEKDAY(Q6+31,2)=Paramètres!$B$5, WEEKDAY(Q6+31,2)=Paramètres!$B$6),"OM, ","")&amp;IF(WEEKDAY(Q6+31,2)=Paramètres!$B$8,"TRI, ","")&amp;IF(AND(WEEKDAY(Q6+31,2)=Paramètres!$B$11, MOD(INT((Q6+31-Paramètres!$B$10)/7),2)=0, Q6+31&gt;=Paramètres!$B$10),"VERRE, ","")&amp;IF(AND(WEEKDAY(Q6+31,2)=Paramètres!$B$15, INT((DAY(Q6+31)-1)/7)+1 = Paramètres!$B$14),"VERTS, ","")&amp;IF(DAY(Q6+31)=Paramètres!$B$17,"ENCOMBRANTS, ","")),", "," / "))</f>
        <v>0</v>
      </c>
      <c r="U11" s="7">
        <f>IF(MONTH(Q6+32)&lt;&gt;3,"",TEXT(Q6+32,"d") &amp; CHAR(10) &amp; SUBSTITUTE(TRIM(IF(OR(WEEKDAY(Q6+32,2)=Paramètres!$B$5, WEEKDAY(Q6+32,2)=Paramètres!$B$6),"OM, ","")&amp;IF(WEEKDAY(Q6+32,2)=Paramètres!$B$8,"TRI, ","")&amp;IF(AND(WEEKDAY(Q6+32,2)=Paramètres!$B$11, MOD(INT((Q6+32-Paramètres!$B$10)/7),2)=0, Q6+32&gt;=Paramètres!$B$10),"VERRE, ","")&amp;IF(AND(WEEKDAY(Q6+32,2)=Paramètres!$B$15, INT((DAY(Q6+32)-1)/7)+1 = Paramètres!$B$14),"VERTS, ","")&amp;IF(DAY(Q6+32)=Paramètres!$B$17,"ENCOMBRANTS, ","")),", "," / "))</f>
        <v>0</v>
      </c>
      <c r="V11" s="7">
        <f>IF(MONTH(Q6+33)&lt;&gt;3,"",TEXT(Q6+33,"d") &amp; CHAR(10) &amp; SUBSTITUTE(TRIM(IF(OR(WEEKDAY(Q6+33,2)=Paramètres!$B$5, WEEKDAY(Q6+33,2)=Paramètres!$B$6),"OM, ","")&amp;IF(WEEKDAY(Q6+33,2)=Paramètres!$B$8,"TRI, ","")&amp;IF(AND(WEEKDAY(Q6+33,2)=Paramètres!$B$11, MOD(INT((Q6+33-Paramètres!$B$10)/7),2)=0, Q6+33&gt;=Paramètres!$B$10),"VERRE, ","")&amp;IF(AND(WEEKDAY(Q6+33,2)=Paramètres!$B$15, INT((DAY(Q6+33)-1)/7)+1 = Paramètres!$B$14),"VERTS, ","")&amp;IF(DAY(Q6+33)=Paramètres!$B$17,"ENCOMBRANTS, ","")),", "," / "))</f>
        <v>0</v>
      </c>
      <c r="W11" s="7">
        <f>IF(MONTH(Q6+34)&lt;&gt;3,"",TEXT(Q6+34,"d") &amp; CHAR(10) &amp; SUBSTITUTE(TRIM(IF(OR(WEEKDAY(Q6+34,2)=Paramètres!$B$5, WEEKDAY(Q6+34,2)=Paramètres!$B$6),"OM, ","")&amp;IF(WEEKDAY(Q6+34,2)=Paramètres!$B$8,"TRI, ","")&amp;IF(AND(WEEKDAY(Q6+34,2)=Paramètres!$B$11, MOD(INT((Q6+34-Paramètres!$B$10)/7),2)=0, Q6+34&gt;=Paramètres!$B$10),"VERRE, ","")&amp;IF(AND(WEEKDAY(Q6+34,2)=Paramètres!$B$15, INT((DAY(Q6+34)-1)/7)+1 = Paramètres!$B$14),"VERTS, ","")&amp;IF(DAY(Q6+34)=Paramètres!$B$17,"ENCOMBRANTS, ","")),", "," / "))</f>
        <v>0</v>
      </c>
    </row>
    <row r="12" spans="1:23">
      <c r="A12" s="7">
        <f>IF(MONTH(A6+35)&lt;&gt;1,"",TEXT(A6+35,"d") &amp; CHAR(10) &amp; SUBSTITUTE(TRIM(IF(OR(WEEKDAY(A6+35,2)=Paramètres!$B$5, WEEKDAY(A6+35,2)=Paramètres!$B$6),"OM, ","")&amp;IF(WEEKDAY(A6+35,2)=Paramètres!$B$8,"TRI, ","")&amp;IF(AND(WEEKDAY(A6+35,2)=Paramètres!$B$11, MOD(INT((A6+35-Paramètres!$B$10)/7),2)=0, A6+35&gt;=Paramètres!$B$10),"VERRE, ","")&amp;IF(AND(WEEKDAY(A6+35,2)=Paramètres!$B$15, INT((DAY(A6+35)-1)/7)+1 = Paramètres!$B$14),"VERTS, ","")&amp;IF(DAY(A6+35)=Paramètres!$B$17,"ENCOMBRANTS, ","")),", "," / "))</f>
        <v>0</v>
      </c>
      <c r="B12" s="7">
        <f>IF(MONTH(A6+36)&lt;&gt;1,"",TEXT(A6+36,"d") &amp; CHAR(10) &amp; SUBSTITUTE(TRIM(IF(OR(WEEKDAY(A6+36,2)=Paramètres!$B$5, WEEKDAY(A6+36,2)=Paramètres!$B$6),"OM, ","")&amp;IF(WEEKDAY(A6+36,2)=Paramètres!$B$8,"TRI, ","")&amp;IF(AND(WEEKDAY(A6+36,2)=Paramètres!$B$11, MOD(INT((A6+36-Paramètres!$B$10)/7),2)=0, A6+36&gt;=Paramètres!$B$10),"VERRE, ","")&amp;IF(AND(WEEKDAY(A6+36,2)=Paramètres!$B$15, INT((DAY(A6+36)-1)/7)+1 = Paramètres!$B$14),"VERTS, ","")&amp;IF(DAY(A6+36)=Paramètres!$B$17,"ENCOMBRANTS, ","")),", "," / "))</f>
        <v>0</v>
      </c>
      <c r="C12" s="7">
        <f>IF(MONTH(A6+37)&lt;&gt;1,"",TEXT(A6+37,"d") &amp; CHAR(10) &amp; SUBSTITUTE(TRIM(IF(OR(WEEKDAY(A6+37,2)=Paramètres!$B$5, WEEKDAY(A6+37,2)=Paramètres!$B$6),"OM, ","")&amp;IF(WEEKDAY(A6+37,2)=Paramètres!$B$8,"TRI, ","")&amp;IF(AND(WEEKDAY(A6+37,2)=Paramètres!$B$11, MOD(INT((A6+37-Paramètres!$B$10)/7),2)=0, A6+37&gt;=Paramètres!$B$10),"VERRE, ","")&amp;IF(AND(WEEKDAY(A6+37,2)=Paramètres!$B$15, INT((DAY(A6+37)-1)/7)+1 = Paramètres!$B$14),"VERTS, ","")&amp;IF(DAY(A6+37)=Paramètres!$B$17,"ENCOMBRANTS, ","")),", "," / "))</f>
        <v>0</v>
      </c>
      <c r="D12" s="7">
        <f>IF(MONTH(A6+38)&lt;&gt;1,"",TEXT(A6+38,"d") &amp; CHAR(10) &amp; SUBSTITUTE(TRIM(IF(OR(WEEKDAY(A6+38,2)=Paramètres!$B$5, WEEKDAY(A6+38,2)=Paramètres!$B$6),"OM, ","")&amp;IF(WEEKDAY(A6+38,2)=Paramètres!$B$8,"TRI, ","")&amp;IF(AND(WEEKDAY(A6+38,2)=Paramètres!$B$11, MOD(INT((A6+38-Paramètres!$B$10)/7),2)=0, A6+38&gt;=Paramètres!$B$10),"VERRE, ","")&amp;IF(AND(WEEKDAY(A6+38,2)=Paramètres!$B$15, INT((DAY(A6+38)-1)/7)+1 = Paramètres!$B$14),"VERTS, ","")&amp;IF(DAY(A6+38)=Paramètres!$B$17,"ENCOMBRANTS, ","")),", "," / "))</f>
        <v>0</v>
      </c>
      <c r="E12" s="7">
        <f>IF(MONTH(A6+39)&lt;&gt;1,"",TEXT(A6+39,"d") &amp; CHAR(10) &amp; SUBSTITUTE(TRIM(IF(OR(WEEKDAY(A6+39,2)=Paramètres!$B$5, WEEKDAY(A6+39,2)=Paramètres!$B$6),"OM, ","")&amp;IF(WEEKDAY(A6+39,2)=Paramètres!$B$8,"TRI, ","")&amp;IF(AND(WEEKDAY(A6+39,2)=Paramètres!$B$11, MOD(INT((A6+39-Paramètres!$B$10)/7),2)=0, A6+39&gt;=Paramètres!$B$10),"VERRE, ","")&amp;IF(AND(WEEKDAY(A6+39,2)=Paramètres!$B$15, INT((DAY(A6+39)-1)/7)+1 = Paramètres!$B$14),"VERTS, ","")&amp;IF(DAY(A6+39)=Paramètres!$B$17,"ENCOMBRANTS, ","")),", "," / "))</f>
        <v>0</v>
      </c>
      <c r="F12" s="7">
        <f>IF(MONTH(A6+40)&lt;&gt;1,"",TEXT(A6+40,"d") &amp; CHAR(10) &amp; SUBSTITUTE(TRIM(IF(OR(WEEKDAY(A6+40,2)=Paramètres!$B$5, WEEKDAY(A6+40,2)=Paramètres!$B$6),"OM, ","")&amp;IF(WEEKDAY(A6+40,2)=Paramètres!$B$8,"TRI, ","")&amp;IF(AND(WEEKDAY(A6+40,2)=Paramètres!$B$11, MOD(INT((A6+40-Paramètres!$B$10)/7),2)=0, A6+40&gt;=Paramètres!$B$10),"VERRE, ","")&amp;IF(AND(WEEKDAY(A6+40,2)=Paramètres!$B$15, INT((DAY(A6+40)-1)/7)+1 = Paramètres!$B$14),"VERTS, ","")&amp;IF(DAY(A6+40)=Paramètres!$B$17,"ENCOMBRANTS, ","")),", "," / "))</f>
        <v>0</v>
      </c>
      <c r="G12" s="7">
        <f>IF(MONTH(A6+41)&lt;&gt;1,"",TEXT(A6+41,"d") &amp; CHAR(10) &amp; SUBSTITUTE(TRIM(IF(OR(WEEKDAY(A6+41,2)=Paramètres!$B$5, WEEKDAY(A6+41,2)=Paramètres!$B$6),"OM, ","")&amp;IF(WEEKDAY(A6+41,2)=Paramètres!$B$8,"TRI, ","")&amp;IF(AND(WEEKDAY(A6+41,2)=Paramètres!$B$11, MOD(INT((A6+41-Paramètres!$B$10)/7),2)=0, A6+41&gt;=Paramètres!$B$10),"VERRE, ","")&amp;IF(AND(WEEKDAY(A6+41,2)=Paramètres!$B$15, INT((DAY(A6+41)-1)/7)+1 = Paramètres!$B$14),"VERTS, ","")&amp;IF(DAY(A6+41)=Paramètres!$B$17,"ENCOMBRANTS, ","")),", "," / "))</f>
        <v>0</v>
      </c>
      <c r="I12" s="7">
        <f>IF(MONTH(I6+35)&lt;&gt;2,"",TEXT(I6+35,"d") &amp; CHAR(10) &amp; SUBSTITUTE(TRIM(IF(OR(WEEKDAY(I6+35,2)=Paramètres!$B$5, WEEKDAY(I6+35,2)=Paramètres!$B$6),"OM, ","")&amp;IF(WEEKDAY(I6+35,2)=Paramètres!$B$8,"TRI, ","")&amp;IF(AND(WEEKDAY(I6+35,2)=Paramètres!$B$11, MOD(INT((I6+35-Paramètres!$B$10)/7),2)=0, I6+35&gt;=Paramètres!$B$10),"VERRE, ","")&amp;IF(AND(WEEKDAY(I6+35,2)=Paramètres!$B$15, INT((DAY(I6+35)-1)/7)+1 = Paramètres!$B$14),"VERTS, ","")&amp;IF(DAY(I6+35)=Paramètres!$B$17,"ENCOMBRANTS, ","")),", "," / "))</f>
        <v>0</v>
      </c>
      <c r="J12" s="7">
        <f>IF(MONTH(I6+36)&lt;&gt;2,"",TEXT(I6+36,"d") &amp; CHAR(10) &amp; SUBSTITUTE(TRIM(IF(OR(WEEKDAY(I6+36,2)=Paramètres!$B$5, WEEKDAY(I6+36,2)=Paramètres!$B$6),"OM, ","")&amp;IF(WEEKDAY(I6+36,2)=Paramètres!$B$8,"TRI, ","")&amp;IF(AND(WEEKDAY(I6+36,2)=Paramètres!$B$11, MOD(INT((I6+36-Paramètres!$B$10)/7),2)=0, I6+36&gt;=Paramètres!$B$10),"VERRE, ","")&amp;IF(AND(WEEKDAY(I6+36,2)=Paramètres!$B$15, INT((DAY(I6+36)-1)/7)+1 = Paramètres!$B$14),"VERTS, ","")&amp;IF(DAY(I6+36)=Paramètres!$B$17,"ENCOMBRANTS, ","")),", "," / "))</f>
        <v>0</v>
      </c>
      <c r="K12" s="7">
        <f>IF(MONTH(I6+37)&lt;&gt;2,"",TEXT(I6+37,"d") &amp; CHAR(10) &amp; SUBSTITUTE(TRIM(IF(OR(WEEKDAY(I6+37,2)=Paramètres!$B$5, WEEKDAY(I6+37,2)=Paramètres!$B$6),"OM, ","")&amp;IF(WEEKDAY(I6+37,2)=Paramètres!$B$8,"TRI, ","")&amp;IF(AND(WEEKDAY(I6+37,2)=Paramètres!$B$11, MOD(INT((I6+37-Paramètres!$B$10)/7),2)=0, I6+37&gt;=Paramètres!$B$10),"VERRE, ","")&amp;IF(AND(WEEKDAY(I6+37,2)=Paramètres!$B$15, INT((DAY(I6+37)-1)/7)+1 = Paramètres!$B$14),"VERTS, ","")&amp;IF(DAY(I6+37)=Paramètres!$B$17,"ENCOMBRANTS, ","")),", "," / "))</f>
        <v>0</v>
      </c>
      <c r="L12" s="7">
        <f>IF(MONTH(I6+38)&lt;&gt;2,"",TEXT(I6+38,"d") &amp; CHAR(10) &amp; SUBSTITUTE(TRIM(IF(OR(WEEKDAY(I6+38,2)=Paramètres!$B$5, WEEKDAY(I6+38,2)=Paramètres!$B$6),"OM, ","")&amp;IF(WEEKDAY(I6+38,2)=Paramètres!$B$8,"TRI, ","")&amp;IF(AND(WEEKDAY(I6+38,2)=Paramètres!$B$11, MOD(INT((I6+38-Paramètres!$B$10)/7),2)=0, I6+38&gt;=Paramètres!$B$10),"VERRE, ","")&amp;IF(AND(WEEKDAY(I6+38,2)=Paramètres!$B$15, INT((DAY(I6+38)-1)/7)+1 = Paramètres!$B$14),"VERTS, ","")&amp;IF(DAY(I6+38)=Paramètres!$B$17,"ENCOMBRANTS, ","")),", "," / "))</f>
        <v>0</v>
      </c>
      <c r="M12" s="7">
        <f>IF(MONTH(I6+39)&lt;&gt;2,"",TEXT(I6+39,"d") &amp; CHAR(10) &amp; SUBSTITUTE(TRIM(IF(OR(WEEKDAY(I6+39,2)=Paramètres!$B$5, WEEKDAY(I6+39,2)=Paramètres!$B$6),"OM, ","")&amp;IF(WEEKDAY(I6+39,2)=Paramètres!$B$8,"TRI, ","")&amp;IF(AND(WEEKDAY(I6+39,2)=Paramètres!$B$11, MOD(INT((I6+39-Paramètres!$B$10)/7),2)=0, I6+39&gt;=Paramètres!$B$10),"VERRE, ","")&amp;IF(AND(WEEKDAY(I6+39,2)=Paramètres!$B$15, INT((DAY(I6+39)-1)/7)+1 = Paramètres!$B$14),"VERTS, ","")&amp;IF(DAY(I6+39)=Paramètres!$B$17,"ENCOMBRANTS, ","")),", "," / "))</f>
        <v>0</v>
      </c>
      <c r="N12" s="7">
        <f>IF(MONTH(I6+40)&lt;&gt;2,"",TEXT(I6+40,"d") &amp; CHAR(10) &amp; SUBSTITUTE(TRIM(IF(OR(WEEKDAY(I6+40,2)=Paramètres!$B$5, WEEKDAY(I6+40,2)=Paramètres!$B$6),"OM, ","")&amp;IF(WEEKDAY(I6+40,2)=Paramètres!$B$8,"TRI, ","")&amp;IF(AND(WEEKDAY(I6+40,2)=Paramètres!$B$11, MOD(INT((I6+40-Paramètres!$B$10)/7),2)=0, I6+40&gt;=Paramètres!$B$10),"VERRE, ","")&amp;IF(AND(WEEKDAY(I6+40,2)=Paramètres!$B$15, INT((DAY(I6+40)-1)/7)+1 = Paramètres!$B$14),"VERTS, ","")&amp;IF(DAY(I6+40)=Paramètres!$B$17,"ENCOMBRANTS, ","")),", "," / "))</f>
        <v>0</v>
      </c>
      <c r="O12" s="7">
        <f>IF(MONTH(I6+41)&lt;&gt;2,"",TEXT(I6+41,"d") &amp; CHAR(10) &amp; SUBSTITUTE(TRIM(IF(OR(WEEKDAY(I6+41,2)=Paramètres!$B$5, WEEKDAY(I6+41,2)=Paramètres!$B$6),"OM, ","")&amp;IF(WEEKDAY(I6+41,2)=Paramètres!$B$8,"TRI, ","")&amp;IF(AND(WEEKDAY(I6+41,2)=Paramètres!$B$11, MOD(INT((I6+41-Paramètres!$B$10)/7),2)=0, I6+41&gt;=Paramètres!$B$10),"VERRE, ","")&amp;IF(AND(WEEKDAY(I6+41,2)=Paramètres!$B$15, INT((DAY(I6+41)-1)/7)+1 = Paramètres!$B$14),"VERTS, ","")&amp;IF(DAY(I6+41)=Paramètres!$B$17,"ENCOMBRANTS, ","")),", "," / "))</f>
        <v>0</v>
      </c>
      <c r="Q12" s="7">
        <f>IF(MONTH(Q6+35)&lt;&gt;3,"",TEXT(Q6+35,"d") &amp; CHAR(10) &amp; SUBSTITUTE(TRIM(IF(OR(WEEKDAY(Q6+35,2)=Paramètres!$B$5, WEEKDAY(Q6+35,2)=Paramètres!$B$6),"OM, ","")&amp;IF(WEEKDAY(Q6+35,2)=Paramètres!$B$8,"TRI, ","")&amp;IF(AND(WEEKDAY(Q6+35,2)=Paramètres!$B$11, MOD(INT((Q6+35-Paramètres!$B$10)/7),2)=0, Q6+35&gt;=Paramètres!$B$10),"VERRE, ","")&amp;IF(AND(WEEKDAY(Q6+35,2)=Paramètres!$B$15, INT((DAY(Q6+35)-1)/7)+1 = Paramètres!$B$14),"VERTS, ","")&amp;IF(DAY(Q6+35)=Paramètres!$B$17,"ENCOMBRANTS, ","")),", "," / "))</f>
        <v>0</v>
      </c>
      <c r="R12" s="7">
        <f>IF(MONTH(Q6+36)&lt;&gt;3,"",TEXT(Q6+36,"d") &amp; CHAR(10) &amp; SUBSTITUTE(TRIM(IF(OR(WEEKDAY(Q6+36,2)=Paramètres!$B$5, WEEKDAY(Q6+36,2)=Paramètres!$B$6),"OM, ","")&amp;IF(WEEKDAY(Q6+36,2)=Paramètres!$B$8,"TRI, ","")&amp;IF(AND(WEEKDAY(Q6+36,2)=Paramètres!$B$11, MOD(INT((Q6+36-Paramètres!$B$10)/7),2)=0, Q6+36&gt;=Paramètres!$B$10),"VERRE, ","")&amp;IF(AND(WEEKDAY(Q6+36,2)=Paramètres!$B$15, INT((DAY(Q6+36)-1)/7)+1 = Paramètres!$B$14),"VERTS, ","")&amp;IF(DAY(Q6+36)=Paramètres!$B$17,"ENCOMBRANTS, ","")),", "," / "))</f>
        <v>0</v>
      </c>
      <c r="S12" s="7">
        <f>IF(MONTH(Q6+37)&lt;&gt;3,"",TEXT(Q6+37,"d") &amp; CHAR(10) &amp; SUBSTITUTE(TRIM(IF(OR(WEEKDAY(Q6+37,2)=Paramètres!$B$5, WEEKDAY(Q6+37,2)=Paramètres!$B$6),"OM, ","")&amp;IF(WEEKDAY(Q6+37,2)=Paramètres!$B$8,"TRI, ","")&amp;IF(AND(WEEKDAY(Q6+37,2)=Paramètres!$B$11, MOD(INT((Q6+37-Paramètres!$B$10)/7),2)=0, Q6+37&gt;=Paramètres!$B$10),"VERRE, ","")&amp;IF(AND(WEEKDAY(Q6+37,2)=Paramètres!$B$15, INT((DAY(Q6+37)-1)/7)+1 = Paramètres!$B$14),"VERTS, ","")&amp;IF(DAY(Q6+37)=Paramètres!$B$17,"ENCOMBRANTS, ","")),", "," / "))</f>
        <v>0</v>
      </c>
      <c r="T12" s="7">
        <f>IF(MONTH(Q6+38)&lt;&gt;3,"",TEXT(Q6+38,"d") &amp; CHAR(10) &amp; SUBSTITUTE(TRIM(IF(OR(WEEKDAY(Q6+38,2)=Paramètres!$B$5, WEEKDAY(Q6+38,2)=Paramètres!$B$6),"OM, ","")&amp;IF(WEEKDAY(Q6+38,2)=Paramètres!$B$8,"TRI, ","")&amp;IF(AND(WEEKDAY(Q6+38,2)=Paramètres!$B$11, MOD(INT((Q6+38-Paramètres!$B$10)/7),2)=0, Q6+38&gt;=Paramètres!$B$10),"VERRE, ","")&amp;IF(AND(WEEKDAY(Q6+38,2)=Paramètres!$B$15, INT((DAY(Q6+38)-1)/7)+1 = Paramètres!$B$14),"VERTS, ","")&amp;IF(DAY(Q6+38)=Paramètres!$B$17,"ENCOMBRANTS, ","")),", "," / "))</f>
        <v>0</v>
      </c>
      <c r="U12" s="7">
        <f>IF(MONTH(Q6+39)&lt;&gt;3,"",TEXT(Q6+39,"d") &amp; CHAR(10) &amp; SUBSTITUTE(TRIM(IF(OR(WEEKDAY(Q6+39,2)=Paramètres!$B$5, WEEKDAY(Q6+39,2)=Paramètres!$B$6),"OM, ","")&amp;IF(WEEKDAY(Q6+39,2)=Paramètres!$B$8,"TRI, ","")&amp;IF(AND(WEEKDAY(Q6+39,2)=Paramètres!$B$11, MOD(INT((Q6+39-Paramètres!$B$10)/7),2)=0, Q6+39&gt;=Paramètres!$B$10),"VERRE, ","")&amp;IF(AND(WEEKDAY(Q6+39,2)=Paramètres!$B$15, INT((DAY(Q6+39)-1)/7)+1 = Paramètres!$B$14),"VERTS, ","")&amp;IF(DAY(Q6+39)=Paramètres!$B$17,"ENCOMBRANTS, ","")),", "," / "))</f>
        <v>0</v>
      </c>
      <c r="V12" s="7">
        <f>IF(MONTH(Q6+40)&lt;&gt;3,"",TEXT(Q6+40,"d") &amp; CHAR(10) &amp; SUBSTITUTE(TRIM(IF(OR(WEEKDAY(Q6+40,2)=Paramètres!$B$5, WEEKDAY(Q6+40,2)=Paramètres!$B$6),"OM, ","")&amp;IF(WEEKDAY(Q6+40,2)=Paramètres!$B$8,"TRI, ","")&amp;IF(AND(WEEKDAY(Q6+40,2)=Paramètres!$B$11, MOD(INT((Q6+40-Paramètres!$B$10)/7),2)=0, Q6+40&gt;=Paramètres!$B$10),"VERRE, ","")&amp;IF(AND(WEEKDAY(Q6+40,2)=Paramètres!$B$15, INT((DAY(Q6+40)-1)/7)+1 = Paramètres!$B$14),"VERTS, ","")&amp;IF(DAY(Q6+40)=Paramètres!$B$17,"ENCOMBRANTS, ","")),", "," / "))</f>
        <v>0</v>
      </c>
      <c r="W12" s="7">
        <f>IF(MONTH(Q6+41)&lt;&gt;3,"",TEXT(Q6+41,"d") &amp; CHAR(10) &amp; SUBSTITUTE(TRIM(IF(OR(WEEKDAY(Q6+41,2)=Paramètres!$B$5, WEEKDAY(Q6+41,2)=Paramètres!$B$6),"OM, ","")&amp;IF(WEEKDAY(Q6+41,2)=Paramètres!$B$8,"TRI, ","")&amp;IF(AND(WEEKDAY(Q6+41,2)=Paramètres!$B$11, MOD(INT((Q6+41-Paramètres!$B$10)/7),2)=0, Q6+41&gt;=Paramètres!$B$10),"VERRE, ","")&amp;IF(AND(WEEKDAY(Q6+41,2)=Paramètres!$B$15, INT((DAY(Q6+41)-1)/7)+1 = Paramètres!$B$14),"VERTS, ","")&amp;IF(DAY(Q6+41)=Paramètres!$B$17,"ENCOMBRANTS, ","")),", "," / "))</f>
        <v>0</v>
      </c>
    </row>
    <row r="13" spans="1:23">
      <c r="A13" s="5">
        <f>DATE(Paramètres!$B$3,4,1)</f>
        <v>0</v>
      </c>
      <c r="B13" s="6"/>
      <c r="C13" s="6"/>
      <c r="D13" s="6"/>
      <c r="E13" s="6"/>
      <c r="F13" s="6"/>
      <c r="G13" s="6"/>
      <c r="I13" s="5">
        <f>DATE(Paramètres!$B$3,5,1)</f>
        <v>0</v>
      </c>
      <c r="J13" s="6"/>
      <c r="K13" s="6"/>
      <c r="L13" s="6"/>
      <c r="M13" s="6"/>
      <c r="N13" s="6"/>
      <c r="O13" s="6"/>
      <c r="Q13" s="5">
        <f>DATE(Paramètres!$B$3,6,1)</f>
        <v>0</v>
      </c>
      <c r="R13" s="6"/>
      <c r="S13" s="6"/>
      <c r="T13" s="6"/>
      <c r="U13" s="6"/>
      <c r="V13" s="6"/>
      <c r="W13" s="6"/>
    </row>
    <row r="14" spans="1:23">
      <c r="A14" s="2" t="s">
        <v>18</v>
      </c>
      <c r="B14" s="2" t="s">
        <v>19</v>
      </c>
      <c r="C14" s="2" t="s">
        <v>20</v>
      </c>
      <c r="D14" s="2" t="s">
        <v>21</v>
      </c>
      <c r="E14" s="2" t="s">
        <v>22</v>
      </c>
      <c r="F14" s="2" t="s">
        <v>23</v>
      </c>
      <c r="G14" s="2" t="s">
        <v>24</v>
      </c>
      <c r="I14" s="2" t="s">
        <v>18</v>
      </c>
      <c r="J14" s="2" t="s">
        <v>19</v>
      </c>
      <c r="K14" s="2" t="s">
        <v>20</v>
      </c>
      <c r="L14" s="2" t="s">
        <v>21</v>
      </c>
      <c r="M14" s="2" t="s">
        <v>22</v>
      </c>
      <c r="N14" s="2" t="s">
        <v>23</v>
      </c>
      <c r="O14" s="2" t="s">
        <v>24</v>
      </c>
      <c r="Q14" s="2" t="s">
        <v>18</v>
      </c>
      <c r="R14" s="2" t="s">
        <v>19</v>
      </c>
      <c r="S14" s="2" t="s">
        <v>20</v>
      </c>
      <c r="T14" s="2" t="s">
        <v>21</v>
      </c>
      <c r="U14" s="2" t="s">
        <v>22</v>
      </c>
      <c r="V14" s="2" t="s">
        <v>23</v>
      </c>
      <c r="W14" s="2" t="s">
        <v>24</v>
      </c>
    </row>
    <row r="15" spans="1:23">
      <c r="A15">
        <f>DATE(Paramètres!$B$3,4,1)-MOD(WEEKDAY(DATE(Paramètres!$B$3,4,1),2)-1,7)</f>
        <v>0</v>
      </c>
      <c r="I15">
        <f>DATE(Paramètres!$B$3,5,1)-MOD(WEEKDAY(DATE(Paramètres!$B$3,5,1),2)-1,7)</f>
        <v>0</v>
      </c>
      <c r="Q15">
        <f>DATE(Paramètres!$B$3,6,1)-MOD(WEEKDAY(DATE(Paramètres!$B$3,6,1),2)-1,7)</f>
        <v>0</v>
      </c>
    </row>
    <row r="16" spans="1:23">
      <c r="A16" s="7">
        <f>IF(MONTH(A15+0)&lt;&gt;4,"",TEXT(A15+0,"d") &amp; CHAR(10) &amp; SUBSTITUTE(TRIM(IF(OR(WEEKDAY(A15+0,2)=Paramètres!$B$5, WEEKDAY(A15+0,2)=Paramètres!$B$6),"OM, ","")&amp;IF(WEEKDAY(A15+0,2)=Paramètres!$B$8,"TRI, ","")&amp;IF(AND(WEEKDAY(A15+0,2)=Paramètres!$B$11, MOD(INT((A15+0-Paramètres!$B$10)/7),2)=0, A15+0&gt;=Paramètres!$B$10),"VERRE, ","")&amp;IF(AND(WEEKDAY(A15+0,2)=Paramètres!$B$15, INT((DAY(A15+0)-1)/7)+1 = Paramètres!$B$14),"VERTS, ","")&amp;IF(DAY(A15+0)=Paramètres!$B$17,"ENCOMBRANTS, ","")),", "," / "))</f>
        <v>0</v>
      </c>
      <c r="B16" s="7">
        <f>IF(MONTH(A15+1)&lt;&gt;4,"",TEXT(A15+1,"d") &amp; CHAR(10) &amp; SUBSTITUTE(TRIM(IF(OR(WEEKDAY(A15+1,2)=Paramètres!$B$5, WEEKDAY(A15+1,2)=Paramètres!$B$6),"OM, ","")&amp;IF(WEEKDAY(A15+1,2)=Paramètres!$B$8,"TRI, ","")&amp;IF(AND(WEEKDAY(A15+1,2)=Paramètres!$B$11, MOD(INT((A15+1-Paramètres!$B$10)/7),2)=0, A15+1&gt;=Paramètres!$B$10),"VERRE, ","")&amp;IF(AND(WEEKDAY(A15+1,2)=Paramètres!$B$15, INT((DAY(A15+1)-1)/7)+1 = Paramètres!$B$14),"VERTS, ","")&amp;IF(DAY(A15+1)=Paramètres!$B$17,"ENCOMBRANTS, ","")),", "," / "))</f>
        <v>0</v>
      </c>
      <c r="C16" s="7">
        <f>IF(MONTH(A15+2)&lt;&gt;4,"",TEXT(A15+2,"d") &amp; CHAR(10) &amp; SUBSTITUTE(TRIM(IF(OR(WEEKDAY(A15+2,2)=Paramètres!$B$5, WEEKDAY(A15+2,2)=Paramètres!$B$6),"OM, ","")&amp;IF(WEEKDAY(A15+2,2)=Paramètres!$B$8,"TRI, ","")&amp;IF(AND(WEEKDAY(A15+2,2)=Paramètres!$B$11, MOD(INT((A15+2-Paramètres!$B$10)/7),2)=0, A15+2&gt;=Paramètres!$B$10),"VERRE, ","")&amp;IF(AND(WEEKDAY(A15+2,2)=Paramètres!$B$15, INT((DAY(A15+2)-1)/7)+1 = Paramètres!$B$14),"VERTS, ","")&amp;IF(DAY(A15+2)=Paramètres!$B$17,"ENCOMBRANTS, ","")),", "," / "))</f>
        <v>0</v>
      </c>
      <c r="D16" s="7">
        <f>IF(MONTH(A15+3)&lt;&gt;4,"",TEXT(A15+3,"d") &amp; CHAR(10) &amp; SUBSTITUTE(TRIM(IF(OR(WEEKDAY(A15+3,2)=Paramètres!$B$5, WEEKDAY(A15+3,2)=Paramètres!$B$6),"OM, ","")&amp;IF(WEEKDAY(A15+3,2)=Paramètres!$B$8,"TRI, ","")&amp;IF(AND(WEEKDAY(A15+3,2)=Paramètres!$B$11, MOD(INT((A15+3-Paramètres!$B$10)/7),2)=0, A15+3&gt;=Paramètres!$B$10),"VERRE, ","")&amp;IF(AND(WEEKDAY(A15+3,2)=Paramètres!$B$15, INT((DAY(A15+3)-1)/7)+1 = Paramètres!$B$14),"VERTS, ","")&amp;IF(DAY(A15+3)=Paramètres!$B$17,"ENCOMBRANTS, ","")),", "," / "))</f>
        <v>0</v>
      </c>
      <c r="E16" s="7">
        <f>IF(MONTH(A15+4)&lt;&gt;4,"",TEXT(A15+4,"d") &amp; CHAR(10) &amp; SUBSTITUTE(TRIM(IF(OR(WEEKDAY(A15+4,2)=Paramètres!$B$5, WEEKDAY(A15+4,2)=Paramètres!$B$6),"OM, ","")&amp;IF(WEEKDAY(A15+4,2)=Paramètres!$B$8,"TRI, ","")&amp;IF(AND(WEEKDAY(A15+4,2)=Paramètres!$B$11, MOD(INT((A15+4-Paramètres!$B$10)/7),2)=0, A15+4&gt;=Paramètres!$B$10),"VERRE, ","")&amp;IF(AND(WEEKDAY(A15+4,2)=Paramètres!$B$15, INT((DAY(A15+4)-1)/7)+1 = Paramètres!$B$14),"VERTS, ","")&amp;IF(DAY(A15+4)=Paramètres!$B$17,"ENCOMBRANTS, ","")),", "," / "))</f>
        <v>0</v>
      </c>
      <c r="F16" s="7">
        <f>IF(MONTH(A15+5)&lt;&gt;4,"",TEXT(A15+5,"d") &amp; CHAR(10) &amp; SUBSTITUTE(TRIM(IF(OR(WEEKDAY(A15+5,2)=Paramètres!$B$5, WEEKDAY(A15+5,2)=Paramètres!$B$6),"OM, ","")&amp;IF(WEEKDAY(A15+5,2)=Paramètres!$B$8,"TRI, ","")&amp;IF(AND(WEEKDAY(A15+5,2)=Paramètres!$B$11, MOD(INT((A15+5-Paramètres!$B$10)/7),2)=0, A15+5&gt;=Paramètres!$B$10),"VERRE, ","")&amp;IF(AND(WEEKDAY(A15+5,2)=Paramètres!$B$15, INT((DAY(A15+5)-1)/7)+1 = Paramètres!$B$14),"VERTS, ","")&amp;IF(DAY(A15+5)=Paramètres!$B$17,"ENCOMBRANTS, ","")),", "," / "))</f>
        <v>0</v>
      </c>
      <c r="G16" s="7">
        <f>IF(MONTH(A15+6)&lt;&gt;4,"",TEXT(A15+6,"d") &amp; CHAR(10) &amp; SUBSTITUTE(TRIM(IF(OR(WEEKDAY(A15+6,2)=Paramètres!$B$5, WEEKDAY(A15+6,2)=Paramètres!$B$6),"OM, ","")&amp;IF(WEEKDAY(A15+6,2)=Paramètres!$B$8,"TRI, ","")&amp;IF(AND(WEEKDAY(A15+6,2)=Paramètres!$B$11, MOD(INT((A15+6-Paramètres!$B$10)/7),2)=0, A15+6&gt;=Paramètres!$B$10),"VERRE, ","")&amp;IF(AND(WEEKDAY(A15+6,2)=Paramètres!$B$15, INT((DAY(A15+6)-1)/7)+1 = Paramètres!$B$14),"VERTS, ","")&amp;IF(DAY(A15+6)=Paramètres!$B$17,"ENCOMBRANTS, ","")),", "," / "))</f>
        <v>0</v>
      </c>
      <c r="I16" s="7">
        <f>IF(MONTH(I15+0)&lt;&gt;5,"",TEXT(I15+0,"d") &amp; CHAR(10) &amp; SUBSTITUTE(TRIM(IF(OR(WEEKDAY(I15+0,2)=Paramètres!$B$5, WEEKDAY(I15+0,2)=Paramètres!$B$6),"OM, ","")&amp;IF(WEEKDAY(I15+0,2)=Paramètres!$B$8,"TRI, ","")&amp;IF(AND(WEEKDAY(I15+0,2)=Paramètres!$B$11, MOD(INT((I15+0-Paramètres!$B$10)/7),2)=0, I15+0&gt;=Paramètres!$B$10),"VERRE, ","")&amp;IF(AND(WEEKDAY(I15+0,2)=Paramètres!$B$15, INT((DAY(I15+0)-1)/7)+1 = Paramètres!$B$14),"VERTS, ","")&amp;IF(DAY(I15+0)=Paramètres!$B$17,"ENCOMBRANTS, ","")),", "," / "))</f>
        <v>0</v>
      </c>
      <c r="J16" s="7">
        <f>IF(MONTH(I15+1)&lt;&gt;5,"",TEXT(I15+1,"d") &amp; CHAR(10) &amp; SUBSTITUTE(TRIM(IF(OR(WEEKDAY(I15+1,2)=Paramètres!$B$5, WEEKDAY(I15+1,2)=Paramètres!$B$6),"OM, ","")&amp;IF(WEEKDAY(I15+1,2)=Paramètres!$B$8,"TRI, ","")&amp;IF(AND(WEEKDAY(I15+1,2)=Paramètres!$B$11, MOD(INT((I15+1-Paramètres!$B$10)/7),2)=0, I15+1&gt;=Paramètres!$B$10),"VERRE, ","")&amp;IF(AND(WEEKDAY(I15+1,2)=Paramètres!$B$15, INT((DAY(I15+1)-1)/7)+1 = Paramètres!$B$14),"VERTS, ","")&amp;IF(DAY(I15+1)=Paramètres!$B$17,"ENCOMBRANTS, ","")),", "," / "))</f>
        <v>0</v>
      </c>
      <c r="K16" s="7">
        <f>IF(MONTH(I15+2)&lt;&gt;5,"",TEXT(I15+2,"d") &amp; CHAR(10) &amp; SUBSTITUTE(TRIM(IF(OR(WEEKDAY(I15+2,2)=Paramètres!$B$5, WEEKDAY(I15+2,2)=Paramètres!$B$6),"OM, ","")&amp;IF(WEEKDAY(I15+2,2)=Paramètres!$B$8,"TRI, ","")&amp;IF(AND(WEEKDAY(I15+2,2)=Paramètres!$B$11, MOD(INT((I15+2-Paramètres!$B$10)/7),2)=0, I15+2&gt;=Paramètres!$B$10),"VERRE, ","")&amp;IF(AND(WEEKDAY(I15+2,2)=Paramètres!$B$15, INT((DAY(I15+2)-1)/7)+1 = Paramètres!$B$14),"VERTS, ","")&amp;IF(DAY(I15+2)=Paramètres!$B$17,"ENCOMBRANTS, ","")),", "," / "))</f>
        <v>0</v>
      </c>
      <c r="L16" s="7">
        <f>IF(MONTH(I15+3)&lt;&gt;5,"",TEXT(I15+3,"d") &amp; CHAR(10) &amp; SUBSTITUTE(TRIM(IF(OR(WEEKDAY(I15+3,2)=Paramètres!$B$5, WEEKDAY(I15+3,2)=Paramètres!$B$6),"OM, ","")&amp;IF(WEEKDAY(I15+3,2)=Paramètres!$B$8,"TRI, ","")&amp;IF(AND(WEEKDAY(I15+3,2)=Paramètres!$B$11, MOD(INT((I15+3-Paramètres!$B$10)/7),2)=0, I15+3&gt;=Paramètres!$B$10),"VERRE, ","")&amp;IF(AND(WEEKDAY(I15+3,2)=Paramètres!$B$15, INT((DAY(I15+3)-1)/7)+1 = Paramètres!$B$14),"VERTS, ","")&amp;IF(DAY(I15+3)=Paramètres!$B$17,"ENCOMBRANTS, ","")),", "," / "))</f>
        <v>0</v>
      </c>
      <c r="M16" s="7">
        <f>IF(MONTH(I15+4)&lt;&gt;5,"",TEXT(I15+4,"d") &amp; CHAR(10) &amp; SUBSTITUTE(TRIM(IF(OR(WEEKDAY(I15+4,2)=Paramètres!$B$5, WEEKDAY(I15+4,2)=Paramètres!$B$6),"OM, ","")&amp;IF(WEEKDAY(I15+4,2)=Paramètres!$B$8,"TRI, ","")&amp;IF(AND(WEEKDAY(I15+4,2)=Paramètres!$B$11, MOD(INT((I15+4-Paramètres!$B$10)/7),2)=0, I15+4&gt;=Paramètres!$B$10),"VERRE, ","")&amp;IF(AND(WEEKDAY(I15+4,2)=Paramètres!$B$15, INT((DAY(I15+4)-1)/7)+1 = Paramètres!$B$14),"VERTS, ","")&amp;IF(DAY(I15+4)=Paramètres!$B$17,"ENCOMBRANTS, ","")),", "," / "))</f>
        <v>0</v>
      </c>
      <c r="N16" s="7">
        <f>IF(MONTH(I15+5)&lt;&gt;5,"",TEXT(I15+5,"d") &amp; CHAR(10) &amp; SUBSTITUTE(TRIM(IF(OR(WEEKDAY(I15+5,2)=Paramètres!$B$5, WEEKDAY(I15+5,2)=Paramètres!$B$6),"OM, ","")&amp;IF(WEEKDAY(I15+5,2)=Paramètres!$B$8,"TRI, ","")&amp;IF(AND(WEEKDAY(I15+5,2)=Paramètres!$B$11, MOD(INT((I15+5-Paramètres!$B$10)/7),2)=0, I15+5&gt;=Paramètres!$B$10),"VERRE, ","")&amp;IF(AND(WEEKDAY(I15+5,2)=Paramètres!$B$15, INT((DAY(I15+5)-1)/7)+1 = Paramètres!$B$14),"VERTS, ","")&amp;IF(DAY(I15+5)=Paramètres!$B$17,"ENCOMBRANTS, ","")),", "," / "))</f>
        <v>0</v>
      </c>
      <c r="O16" s="7">
        <f>IF(MONTH(I15+6)&lt;&gt;5,"",TEXT(I15+6,"d") &amp; CHAR(10) &amp; SUBSTITUTE(TRIM(IF(OR(WEEKDAY(I15+6,2)=Paramètres!$B$5, WEEKDAY(I15+6,2)=Paramètres!$B$6),"OM, ","")&amp;IF(WEEKDAY(I15+6,2)=Paramètres!$B$8,"TRI, ","")&amp;IF(AND(WEEKDAY(I15+6,2)=Paramètres!$B$11, MOD(INT((I15+6-Paramètres!$B$10)/7),2)=0, I15+6&gt;=Paramètres!$B$10),"VERRE, ","")&amp;IF(AND(WEEKDAY(I15+6,2)=Paramètres!$B$15, INT((DAY(I15+6)-1)/7)+1 = Paramètres!$B$14),"VERTS, ","")&amp;IF(DAY(I15+6)=Paramètres!$B$17,"ENCOMBRANTS, ","")),", "," / "))</f>
        <v>0</v>
      </c>
      <c r="Q16" s="7">
        <f>IF(MONTH(Q15+0)&lt;&gt;6,"",TEXT(Q15+0,"d") &amp; CHAR(10) &amp; SUBSTITUTE(TRIM(IF(OR(WEEKDAY(Q15+0,2)=Paramètres!$B$5, WEEKDAY(Q15+0,2)=Paramètres!$B$6),"OM, ","")&amp;IF(WEEKDAY(Q15+0,2)=Paramètres!$B$8,"TRI, ","")&amp;IF(AND(WEEKDAY(Q15+0,2)=Paramètres!$B$11, MOD(INT((Q15+0-Paramètres!$B$10)/7),2)=0, Q15+0&gt;=Paramètres!$B$10),"VERRE, ","")&amp;IF(AND(WEEKDAY(Q15+0,2)=Paramètres!$B$15, INT((DAY(Q15+0)-1)/7)+1 = Paramètres!$B$14),"VERTS, ","")&amp;IF(DAY(Q15+0)=Paramètres!$B$17,"ENCOMBRANTS, ","")),", "," / "))</f>
        <v>0</v>
      </c>
      <c r="R16" s="7">
        <f>IF(MONTH(Q15+1)&lt;&gt;6,"",TEXT(Q15+1,"d") &amp; CHAR(10) &amp; SUBSTITUTE(TRIM(IF(OR(WEEKDAY(Q15+1,2)=Paramètres!$B$5, WEEKDAY(Q15+1,2)=Paramètres!$B$6),"OM, ","")&amp;IF(WEEKDAY(Q15+1,2)=Paramètres!$B$8,"TRI, ","")&amp;IF(AND(WEEKDAY(Q15+1,2)=Paramètres!$B$11, MOD(INT((Q15+1-Paramètres!$B$10)/7),2)=0, Q15+1&gt;=Paramètres!$B$10),"VERRE, ","")&amp;IF(AND(WEEKDAY(Q15+1,2)=Paramètres!$B$15, INT((DAY(Q15+1)-1)/7)+1 = Paramètres!$B$14),"VERTS, ","")&amp;IF(DAY(Q15+1)=Paramètres!$B$17,"ENCOMBRANTS, ","")),", "," / "))</f>
        <v>0</v>
      </c>
      <c r="S16" s="7">
        <f>IF(MONTH(Q15+2)&lt;&gt;6,"",TEXT(Q15+2,"d") &amp; CHAR(10) &amp; SUBSTITUTE(TRIM(IF(OR(WEEKDAY(Q15+2,2)=Paramètres!$B$5, WEEKDAY(Q15+2,2)=Paramètres!$B$6),"OM, ","")&amp;IF(WEEKDAY(Q15+2,2)=Paramètres!$B$8,"TRI, ","")&amp;IF(AND(WEEKDAY(Q15+2,2)=Paramètres!$B$11, MOD(INT((Q15+2-Paramètres!$B$10)/7),2)=0, Q15+2&gt;=Paramètres!$B$10),"VERRE, ","")&amp;IF(AND(WEEKDAY(Q15+2,2)=Paramètres!$B$15, INT((DAY(Q15+2)-1)/7)+1 = Paramètres!$B$14),"VERTS, ","")&amp;IF(DAY(Q15+2)=Paramètres!$B$17,"ENCOMBRANTS, ","")),", "," / "))</f>
        <v>0</v>
      </c>
      <c r="T16" s="7">
        <f>IF(MONTH(Q15+3)&lt;&gt;6,"",TEXT(Q15+3,"d") &amp; CHAR(10) &amp; SUBSTITUTE(TRIM(IF(OR(WEEKDAY(Q15+3,2)=Paramètres!$B$5, WEEKDAY(Q15+3,2)=Paramètres!$B$6),"OM, ","")&amp;IF(WEEKDAY(Q15+3,2)=Paramètres!$B$8,"TRI, ","")&amp;IF(AND(WEEKDAY(Q15+3,2)=Paramètres!$B$11, MOD(INT((Q15+3-Paramètres!$B$10)/7),2)=0, Q15+3&gt;=Paramètres!$B$10),"VERRE, ","")&amp;IF(AND(WEEKDAY(Q15+3,2)=Paramètres!$B$15, INT((DAY(Q15+3)-1)/7)+1 = Paramètres!$B$14),"VERTS, ","")&amp;IF(DAY(Q15+3)=Paramètres!$B$17,"ENCOMBRANTS, ","")),", "," / "))</f>
        <v>0</v>
      </c>
      <c r="U16" s="7">
        <f>IF(MONTH(Q15+4)&lt;&gt;6,"",TEXT(Q15+4,"d") &amp; CHAR(10) &amp; SUBSTITUTE(TRIM(IF(OR(WEEKDAY(Q15+4,2)=Paramètres!$B$5, WEEKDAY(Q15+4,2)=Paramètres!$B$6),"OM, ","")&amp;IF(WEEKDAY(Q15+4,2)=Paramètres!$B$8,"TRI, ","")&amp;IF(AND(WEEKDAY(Q15+4,2)=Paramètres!$B$11, MOD(INT((Q15+4-Paramètres!$B$10)/7),2)=0, Q15+4&gt;=Paramètres!$B$10),"VERRE, ","")&amp;IF(AND(WEEKDAY(Q15+4,2)=Paramètres!$B$15, INT((DAY(Q15+4)-1)/7)+1 = Paramètres!$B$14),"VERTS, ","")&amp;IF(DAY(Q15+4)=Paramètres!$B$17,"ENCOMBRANTS, ","")),", "," / "))</f>
        <v>0</v>
      </c>
      <c r="V16" s="7">
        <f>IF(MONTH(Q15+5)&lt;&gt;6,"",TEXT(Q15+5,"d") &amp; CHAR(10) &amp; SUBSTITUTE(TRIM(IF(OR(WEEKDAY(Q15+5,2)=Paramètres!$B$5, WEEKDAY(Q15+5,2)=Paramètres!$B$6),"OM, ","")&amp;IF(WEEKDAY(Q15+5,2)=Paramètres!$B$8,"TRI, ","")&amp;IF(AND(WEEKDAY(Q15+5,2)=Paramètres!$B$11, MOD(INT((Q15+5-Paramètres!$B$10)/7),2)=0, Q15+5&gt;=Paramètres!$B$10),"VERRE, ","")&amp;IF(AND(WEEKDAY(Q15+5,2)=Paramètres!$B$15, INT((DAY(Q15+5)-1)/7)+1 = Paramètres!$B$14),"VERTS, ","")&amp;IF(DAY(Q15+5)=Paramètres!$B$17,"ENCOMBRANTS, ","")),", "," / "))</f>
        <v>0</v>
      </c>
      <c r="W16" s="7">
        <f>IF(MONTH(Q15+6)&lt;&gt;6,"",TEXT(Q15+6,"d") &amp; CHAR(10) &amp; SUBSTITUTE(TRIM(IF(OR(WEEKDAY(Q15+6,2)=Paramètres!$B$5, WEEKDAY(Q15+6,2)=Paramètres!$B$6),"OM, ","")&amp;IF(WEEKDAY(Q15+6,2)=Paramètres!$B$8,"TRI, ","")&amp;IF(AND(WEEKDAY(Q15+6,2)=Paramètres!$B$11, MOD(INT((Q15+6-Paramètres!$B$10)/7),2)=0, Q15+6&gt;=Paramètres!$B$10),"VERRE, ","")&amp;IF(AND(WEEKDAY(Q15+6,2)=Paramètres!$B$15, INT((DAY(Q15+6)-1)/7)+1 = Paramètres!$B$14),"VERTS, ","")&amp;IF(DAY(Q15+6)=Paramètres!$B$17,"ENCOMBRANTS, ","")),", "," / "))</f>
        <v>0</v>
      </c>
    </row>
    <row r="17" spans="1:23">
      <c r="A17" s="7">
        <f>IF(MONTH(A15+7)&lt;&gt;4,"",TEXT(A15+7,"d") &amp; CHAR(10) &amp; SUBSTITUTE(TRIM(IF(OR(WEEKDAY(A15+7,2)=Paramètres!$B$5, WEEKDAY(A15+7,2)=Paramètres!$B$6),"OM, ","")&amp;IF(WEEKDAY(A15+7,2)=Paramètres!$B$8,"TRI, ","")&amp;IF(AND(WEEKDAY(A15+7,2)=Paramètres!$B$11, MOD(INT((A15+7-Paramètres!$B$10)/7),2)=0, A15+7&gt;=Paramètres!$B$10),"VERRE, ","")&amp;IF(AND(WEEKDAY(A15+7,2)=Paramètres!$B$15, INT((DAY(A15+7)-1)/7)+1 = Paramètres!$B$14),"VERTS, ","")&amp;IF(DAY(A15+7)=Paramètres!$B$17,"ENCOMBRANTS, ","")),", "," / "))</f>
        <v>0</v>
      </c>
      <c r="B17" s="7">
        <f>IF(MONTH(A15+8)&lt;&gt;4,"",TEXT(A15+8,"d") &amp; CHAR(10) &amp; SUBSTITUTE(TRIM(IF(OR(WEEKDAY(A15+8,2)=Paramètres!$B$5, WEEKDAY(A15+8,2)=Paramètres!$B$6),"OM, ","")&amp;IF(WEEKDAY(A15+8,2)=Paramètres!$B$8,"TRI, ","")&amp;IF(AND(WEEKDAY(A15+8,2)=Paramètres!$B$11, MOD(INT((A15+8-Paramètres!$B$10)/7),2)=0, A15+8&gt;=Paramètres!$B$10),"VERRE, ","")&amp;IF(AND(WEEKDAY(A15+8,2)=Paramètres!$B$15, INT((DAY(A15+8)-1)/7)+1 = Paramètres!$B$14),"VERTS, ","")&amp;IF(DAY(A15+8)=Paramètres!$B$17,"ENCOMBRANTS, ","")),", "," / "))</f>
        <v>0</v>
      </c>
      <c r="C17" s="7">
        <f>IF(MONTH(A15+9)&lt;&gt;4,"",TEXT(A15+9,"d") &amp; CHAR(10) &amp; SUBSTITUTE(TRIM(IF(OR(WEEKDAY(A15+9,2)=Paramètres!$B$5, WEEKDAY(A15+9,2)=Paramètres!$B$6),"OM, ","")&amp;IF(WEEKDAY(A15+9,2)=Paramètres!$B$8,"TRI, ","")&amp;IF(AND(WEEKDAY(A15+9,2)=Paramètres!$B$11, MOD(INT((A15+9-Paramètres!$B$10)/7),2)=0, A15+9&gt;=Paramètres!$B$10),"VERRE, ","")&amp;IF(AND(WEEKDAY(A15+9,2)=Paramètres!$B$15, INT((DAY(A15+9)-1)/7)+1 = Paramètres!$B$14),"VERTS, ","")&amp;IF(DAY(A15+9)=Paramètres!$B$17,"ENCOMBRANTS, ","")),", "," / "))</f>
        <v>0</v>
      </c>
      <c r="D17" s="7">
        <f>IF(MONTH(A15+10)&lt;&gt;4,"",TEXT(A15+10,"d") &amp; CHAR(10) &amp; SUBSTITUTE(TRIM(IF(OR(WEEKDAY(A15+10,2)=Paramètres!$B$5, WEEKDAY(A15+10,2)=Paramètres!$B$6),"OM, ","")&amp;IF(WEEKDAY(A15+10,2)=Paramètres!$B$8,"TRI, ","")&amp;IF(AND(WEEKDAY(A15+10,2)=Paramètres!$B$11, MOD(INT((A15+10-Paramètres!$B$10)/7),2)=0, A15+10&gt;=Paramètres!$B$10),"VERRE, ","")&amp;IF(AND(WEEKDAY(A15+10,2)=Paramètres!$B$15, INT((DAY(A15+10)-1)/7)+1 = Paramètres!$B$14),"VERTS, ","")&amp;IF(DAY(A15+10)=Paramètres!$B$17,"ENCOMBRANTS, ","")),", "," / "))</f>
        <v>0</v>
      </c>
      <c r="E17" s="7">
        <f>IF(MONTH(A15+11)&lt;&gt;4,"",TEXT(A15+11,"d") &amp; CHAR(10) &amp; SUBSTITUTE(TRIM(IF(OR(WEEKDAY(A15+11,2)=Paramètres!$B$5, WEEKDAY(A15+11,2)=Paramètres!$B$6),"OM, ","")&amp;IF(WEEKDAY(A15+11,2)=Paramètres!$B$8,"TRI, ","")&amp;IF(AND(WEEKDAY(A15+11,2)=Paramètres!$B$11, MOD(INT((A15+11-Paramètres!$B$10)/7),2)=0, A15+11&gt;=Paramètres!$B$10),"VERRE, ","")&amp;IF(AND(WEEKDAY(A15+11,2)=Paramètres!$B$15, INT((DAY(A15+11)-1)/7)+1 = Paramètres!$B$14),"VERTS, ","")&amp;IF(DAY(A15+11)=Paramètres!$B$17,"ENCOMBRANTS, ","")),", "," / "))</f>
        <v>0</v>
      </c>
      <c r="F17" s="7">
        <f>IF(MONTH(A15+12)&lt;&gt;4,"",TEXT(A15+12,"d") &amp; CHAR(10) &amp; SUBSTITUTE(TRIM(IF(OR(WEEKDAY(A15+12,2)=Paramètres!$B$5, WEEKDAY(A15+12,2)=Paramètres!$B$6),"OM, ","")&amp;IF(WEEKDAY(A15+12,2)=Paramètres!$B$8,"TRI, ","")&amp;IF(AND(WEEKDAY(A15+12,2)=Paramètres!$B$11, MOD(INT((A15+12-Paramètres!$B$10)/7),2)=0, A15+12&gt;=Paramètres!$B$10),"VERRE, ","")&amp;IF(AND(WEEKDAY(A15+12,2)=Paramètres!$B$15, INT((DAY(A15+12)-1)/7)+1 = Paramètres!$B$14),"VERTS, ","")&amp;IF(DAY(A15+12)=Paramètres!$B$17,"ENCOMBRANTS, ","")),", "," / "))</f>
        <v>0</v>
      </c>
      <c r="G17" s="7">
        <f>IF(MONTH(A15+13)&lt;&gt;4,"",TEXT(A15+13,"d") &amp; CHAR(10) &amp; SUBSTITUTE(TRIM(IF(OR(WEEKDAY(A15+13,2)=Paramètres!$B$5, WEEKDAY(A15+13,2)=Paramètres!$B$6),"OM, ","")&amp;IF(WEEKDAY(A15+13,2)=Paramètres!$B$8,"TRI, ","")&amp;IF(AND(WEEKDAY(A15+13,2)=Paramètres!$B$11, MOD(INT((A15+13-Paramètres!$B$10)/7),2)=0, A15+13&gt;=Paramètres!$B$10),"VERRE, ","")&amp;IF(AND(WEEKDAY(A15+13,2)=Paramètres!$B$15, INT((DAY(A15+13)-1)/7)+1 = Paramètres!$B$14),"VERTS, ","")&amp;IF(DAY(A15+13)=Paramètres!$B$17,"ENCOMBRANTS, ","")),", "," / "))</f>
        <v>0</v>
      </c>
      <c r="I17" s="7">
        <f>IF(MONTH(I15+7)&lt;&gt;5,"",TEXT(I15+7,"d") &amp; CHAR(10) &amp; SUBSTITUTE(TRIM(IF(OR(WEEKDAY(I15+7,2)=Paramètres!$B$5, WEEKDAY(I15+7,2)=Paramètres!$B$6),"OM, ","")&amp;IF(WEEKDAY(I15+7,2)=Paramètres!$B$8,"TRI, ","")&amp;IF(AND(WEEKDAY(I15+7,2)=Paramètres!$B$11, MOD(INT((I15+7-Paramètres!$B$10)/7),2)=0, I15+7&gt;=Paramètres!$B$10),"VERRE, ","")&amp;IF(AND(WEEKDAY(I15+7,2)=Paramètres!$B$15, INT((DAY(I15+7)-1)/7)+1 = Paramètres!$B$14),"VERTS, ","")&amp;IF(DAY(I15+7)=Paramètres!$B$17,"ENCOMBRANTS, ","")),", "," / "))</f>
        <v>0</v>
      </c>
      <c r="J17" s="7">
        <f>IF(MONTH(I15+8)&lt;&gt;5,"",TEXT(I15+8,"d") &amp; CHAR(10) &amp; SUBSTITUTE(TRIM(IF(OR(WEEKDAY(I15+8,2)=Paramètres!$B$5, WEEKDAY(I15+8,2)=Paramètres!$B$6),"OM, ","")&amp;IF(WEEKDAY(I15+8,2)=Paramètres!$B$8,"TRI, ","")&amp;IF(AND(WEEKDAY(I15+8,2)=Paramètres!$B$11, MOD(INT((I15+8-Paramètres!$B$10)/7),2)=0, I15+8&gt;=Paramètres!$B$10),"VERRE, ","")&amp;IF(AND(WEEKDAY(I15+8,2)=Paramètres!$B$15, INT((DAY(I15+8)-1)/7)+1 = Paramètres!$B$14),"VERTS, ","")&amp;IF(DAY(I15+8)=Paramètres!$B$17,"ENCOMBRANTS, ","")),", "," / "))</f>
        <v>0</v>
      </c>
      <c r="K17" s="7">
        <f>IF(MONTH(I15+9)&lt;&gt;5,"",TEXT(I15+9,"d") &amp; CHAR(10) &amp; SUBSTITUTE(TRIM(IF(OR(WEEKDAY(I15+9,2)=Paramètres!$B$5, WEEKDAY(I15+9,2)=Paramètres!$B$6),"OM, ","")&amp;IF(WEEKDAY(I15+9,2)=Paramètres!$B$8,"TRI, ","")&amp;IF(AND(WEEKDAY(I15+9,2)=Paramètres!$B$11, MOD(INT((I15+9-Paramètres!$B$10)/7),2)=0, I15+9&gt;=Paramètres!$B$10),"VERRE, ","")&amp;IF(AND(WEEKDAY(I15+9,2)=Paramètres!$B$15, INT((DAY(I15+9)-1)/7)+1 = Paramètres!$B$14),"VERTS, ","")&amp;IF(DAY(I15+9)=Paramètres!$B$17,"ENCOMBRANTS, ","")),", "," / "))</f>
        <v>0</v>
      </c>
      <c r="L17" s="7">
        <f>IF(MONTH(I15+10)&lt;&gt;5,"",TEXT(I15+10,"d") &amp; CHAR(10) &amp; SUBSTITUTE(TRIM(IF(OR(WEEKDAY(I15+10,2)=Paramètres!$B$5, WEEKDAY(I15+10,2)=Paramètres!$B$6),"OM, ","")&amp;IF(WEEKDAY(I15+10,2)=Paramètres!$B$8,"TRI, ","")&amp;IF(AND(WEEKDAY(I15+10,2)=Paramètres!$B$11, MOD(INT((I15+10-Paramètres!$B$10)/7),2)=0, I15+10&gt;=Paramètres!$B$10),"VERRE, ","")&amp;IF(AND(WEEKDAY(I15+10,2)=Paramètres!$B$15, INT((DAY(I15+10)-1)/7)+1 = Paramètres!$B$14),"VERTS, ","")&amp;IF(DAY(I15+10)=Paramètres!$B$17,"ENCOMBRANTS, ","")),", "," / "))</f>
        <v>0</v>
      </c>
      <c r="M17" s="7">
        <f>IF(MONTH(I15+11)&lt;&gt;5,"",TEXT(I15+11,"d") &amp; CHAR(10) &amp; SUBSTITUTE(TRIM(IF(OR(WEEKDAY(I15+11,2)=Paramètres!$B$5, WEEKDAY(I15+11,2)=Paramètres!$B$6),"OM, ","")&amp;IF(WEEKDAY(I15+11,2)=Paramètres!$B$8,"TRI, ","")&amp;IF(AND(WEEKDAY(I15+11,2)=Paramètres!$B$11, MOD(INT((I15+11-Paramètres!$B$10)/7),2)=0, I15+11&gt;=Paramètres!$B$10),"VERRE, ","")&amp;IF(AND(WEEKDAY(I15+11,2)=Paramètres!$B$15, INT((DAY(I15+11)-1)/7)+1 = Paramètres!$B$14),"VERTS, ","")&amp;IF(DAY(I15+11)=Paramètres!$B$17,"ENCOMBRANTS, ","")),", "," / "))</f>
        <v>0</v>
      </c>
      <c r="N17" s="7">
        <f>IF(MONTH(I15+12)&lt;&gt;5,"",TEXT(I15+12,"d") &amp; CHAR(10) &amp; SUBSTITUTE(TRIM(IF(OR(WEEKDAY(I15+12,2)=Paramètres!$B$5, WEEKDAY(I15+12,2)=Paramètres!$B$6),"OM, ","")&amp;IF(WEEKDAY(I15+12,2)=Paramètres!$B$8,"TRI, ","")&amp;IF(AND(WEEKDAY(I15+12,2)=Paramètres!$B$11, MOD(INT((I15+12-Paramètres!$B$10)/7),2)=0, I15+12&gt;=Paramètres!$B$10),"VERRE, ","")&amp;IF(AND(WEEKDAY(I15+12,2)=Paramètres!$B$15, INT((DAY(I15+12)-1)/7)+1 = Paramètres!$B$14),"VERTS, ","")&amp;IF(DAY(I15+12)=Paramètres!$B$17,"ENCOMBRANTS, ","")),", "," / "))</f>
        <v>0</v>
      </c>
      <c r="O17" s="7">
        <f>IF(MONTH(I15+13)&lt;&gt;5,"",TEXT(I15+13,"d") &amp; CHAR(10) &amp; SUBSTITUTE(TRIM(IF(OR(WEEKDAY(I15+13,2)=Paramètres!$B$5, WEEKDAY(I15+13,2)=Paramètres!$B$6),"OM, ","")&amp;IF(WEEKDAY(I15+13,2)=Paramètres!$B$8,"TRI, ","")&amp;IF(AND(WEEKDAY(I15+13,2)=Paramètres!$B$11, MOD(INT((I15+13-Paramètres!$B$10)/7),2)=0, I15+13&gt;=Paramètres!$B$10),"VERRE, ","")&amp;IF(AND(WEEKDAY(I15+13,2)=Paramètres!$B$15, INT((DAY(I15+13)-1)/7)+1 = Paramètres!$B$14),"VERTS, ","")&amp;IF(DAY(I15+13)=Paramètres!$B$17,"ENCOMBRANTS, ","")),", "," / "))</f>
        <v>0</v>
      </c>
      <c r="Q17" s="7">
        <f>IF(MONTH(Q15+7)&lt;&gt;6,"",TEXT(Q15+7,"d") &amp; CHAR(10) &amp; SUBSTITUTE(TRIM(IF(OR(WEEKDAY(Q15+7,2)=Paramètres!$B$5, WEEKDAY(Q15+7,2)=Paramètres!$B$6),"OM, ","")&amp;IF(WEEKDAY(Q15+7,2)=Paramètres!$B$8,"TRI, ","")&amp;IF(AND(WEEKDAY(Q15+7,2)=Paramètres!$B$11, MOD(INT((Q15+7-Paramètres!$B$10)/7),2)=0, Q15+7&gt;=Paramètres!$B$10),"VERRE, ","")&amp;IF(AND(WEEKDAY(Q15+7,2)=Paramètres!$B$15, INT((DAY(Q15+7)-1)/7)+1 = Paramètres!$B$14),"VERTS, ","")&amp;IF(DAY(Q15+7)=Paramètres!$B$17,"ENCOMBRANTS, ","")),", "," / "))</f>
        <v>0</v>
      </c>
      <c r="R17" s="7">
        <f>IF(MONTH(Q15+8)&lt;&gt;6,"",TEXT(Q15+8,"d") &amp; CHAR(10) &amp; SUBSTITUTE(TRIM(IF(OR(WEEKDAY(Q15+8,2)=Paramètres!$B$5, WEEKDAY(Q15+8,2)=Paramètres!$B$6),"OM, ","")&amp;IF(WEEKDAY(Q15+8,2)=Paramètres!$B$8,"TRI, ","")&amp;IF(AND(WEEKDAY(Q15+8,2)=Paramètres!$B$11, MOD(INT((Q15+8-Paramètres!$B$10)/7),2)=0, Q15+8&gt;=Paramètres!$B$10),"VERRE, ","")&amp;IF(AND(WEEKDAY(Q15+8,2)=Paramètres!$B$15, INT((DAY(Q15+8)-1)/7)+1 = Paramètres!$B$14),"VERTS, ","")&amp;IF(DAY(Q15+8)=Paramètres!$B$17,"ENCOMBRANTS, ","")),", "," / "))</f>
        <v>0</v>
      </c>
      <c r="S17" s="7">
        <f>IF(MONTH(Q15+9)&lt;&gt;6,"",TEXT(Q15+9,"d") &amp; CHAR(10) &amp; SUBSTITUTE(TRIM(IF(OR(WEEKDAY(Q15+9,2)=Paramètres!$B$5, WEEKDAY(Q15+9,2)=Paramètres!$B$6),"OM, ","")&amp;IF(WEEKDAY(Q15+9,2)=Paramètres!$B$8,"TRI, ","")&amp;IF(AND(WEEKDAY(Q15+9,2)=Paramètres!$B$11, MOD(INT((Q15+9-Paramètres!$B$10)/7),2)=0, Q15+9&gt;=Paramètres!$B$10),"VERRE, ","")&amp;IF(AND(WEEKDAY(Q15+9,2)=Paramètres!$B$15, INT((DAY(Q15+9)-1)/7)+1 = Paramètres!$B$14),"VERTS, ","")&amp;IF(DAY(Q15+9)=Paramètres!$B$17,"ENCOMBRANTS, ","")),", "," / "))</f>
        <v>0</v>
      </c>
      <c r="T17" s="7">
        <f>IF(MONTH(Q15+10)&lt;&gt;6,"",TEXT(Q15+10,"d") &amp; CHAR(10) &amp; SUBSTITUTE(TRIM(IF(OR(WEEKDAY(Q15+10,2)=Paramètres!$B$5, WEEKDAY(Q15+10,2)=Paramètres!$B$6),"OM, ","")&amp;IF(WEEKDAY(Q15+10,2)=Paramètres!$B$8,"TRI, ","")&amp;IF(AND(WEEKDAY(Q15+10,2)=Paramètres!$B$11, MOD(INT((Q15+10-Paramètres!$B$10)/7),2)=0, Q15+10&gt;=Paramètres!$B$10),"VERRE, ","")&amp;IF(AND(WEEKDAY(Q15+10,2)=Paramètres!$B$15, INT((DAY(Q15+10)-1)/7)+1 = Paramètres!$B$14),"VERTS, ","")&amp;IF(DAY(Q15+10)=Paramètres!$B$17,"ENCOMBRANTS, ","")),", "," / "))</f>
        <v>0</v>
      </c>
      <c r="U17" s="7">
        <f>IF(MONTH(Q15+11)&lt;&gt;6,"",TEXT(Q15+11,"d") &amp; CHAR(10) &amp; SUBSTITUTE(TRIM(IF(OR(WEEKDAY(Q15+11,2)=Paramètres!$B$5, WEEKDAY(Q15+11,2)=Paramètres!$B$6),"OM, ","")&amp;IF(WEEKDAY(Q15+11,2)=Paramètres!$B$8,"TRI, ","")&amp;IF(AND(WEEKDAY(Q15+11,2)=Paramètres!$B$11, MOD(INT((Q15+11-Paramètres!$B$10)/7),2)=0, Q15+11&gt;=Paramètres!$B$10),"VERRE, ","")&amp;IF(AND(WEEKDAY(Q15+11,2)=Paramètres!$B$15, INT((DAY(Q15+11)-1)/7)+1 = Paramètres!$B$14),"VERTS, ","")&amp;IF(DAY(Q15+11)=Paramètres!$B$17,"ENCOMBRANTS, ","")),", "," / "))</f>
        <v>0</v>
      </c>
      <c r="V17" s="7">
        <f>IF(MONTH(Q15+12)&lt;&gt;6,"",TEXT(Q15+12,"d") &amp; CHAR(10) &amp; SUBSTITUTE(TRIM(IF(OR(WEEKDAY(Q15+12,2)=Paramètres!$B$5, WEEKDAY(Q15+12,2)=Paramètres!$B$6),"OM, ","")&amp;IF(WEEKDAY(Q15+12,2)=Paramètres!$B$8,"TRI, ","")&amp;IF(AND(WEEKDAY(Q15+12,2)=Paramètres!$B$11, MOD(INT((Q15+12-Paramètres!$B$10)/7),2)=0, Q15+12&gt;=Paramètres!$B$10),"VERRE, ","")&amp;IF(AND(WEEKDAY(Q15+12,2)=Paramètres!$B$15, INT((DAY(Q15+12)-1)/7)+1 = Paramètres!$B$14),"VERTS, ","")&amp;IF(DAY(Q15+12)=Paramètres!$B$17,"ENCOMBRANTS, ","")),", "," / "))</f>
        <v>0</v>
      </c>
      <c r="W17" s="7">
        <f>IF(MONTH(Q15+13)&lt;&gt;6,"",TEXT(Q15+13,"d") &amp; CHAR(10) &amp; SUBSTITUTE(TRIM(IF(OR(WEEKDAY(Q15+13,2)=Paramètres!$B$5, WEEKDAY(Q15+13,2)=Paramètres!$B$6),"OM, ","")&amp;IF(WEEKDAY(Q15+13,2)=Paramètres!$B$8,"TRI, ","")&amp;IF(AND(WEEKDAY(Q15+13,2)=Paramètres!$B$11, MOD(INT((Q15+13-Paramètres!$B$10)/7),2)=0, Q15+13&gt;=Paramètres!$B$10),"VERRE, ","")&amp;IF(AND(WEEKDAY(Q15+13,2)=Paramètres!$B$15, INT((DAY(Q15+13)-1)/7)+1 = Paramètres!$B$14),"VERTS, ","")&amp;IF(DAY(Q15+13)=Paramètres!$B$17,"ENCOMBRANTS, ","")),", "," / "))</f>
        <v>0</v>
      </c>
    </row>
    <row r="18" spans="1:23">
      <c r="A18" s="7">
        <f>IF(MONTH(A15+14)&lt;&gt;4,"",TEXT(A15+14,"d") &amp; CHAR(10) &amp; SUBSTITUTE(TRIM(IF(OR(WEEKDAY(A15+14,2)=Paramètres!$B$5, WEEKDAY(A15+14,2)=Paramètres!$B$6),"OM, ","")&amp;IF(WEEKDAY(A15+14,2)=Paramètres!$B$8,"TRI, ","")&amp;IF(AND(WEEKDAY(A15+14,2)=Paramètres!$B$11, MOD(INT((A15+14-Paramètres!$B$10)/7),2)=0, A15+14&gt;=Paramètres!$B$10),"VERRE, ","")&amp;IF(AND(WEEKDAY(A15+14,2)=Paramètres!$B$15, INT((DAY(A15+14)-1)/7)+1 = Paramètres!$B$14),"VERTS, ","")&amp;IF(DAY(A15+14)=Paramètres!$B$17,"ENCOMBRANTS, ","")),", "," / "))</f>
        <v>0</v>
      </c>
      <c r="B18" s="7">
        <f>IF(MONTH(A15+15)&lt;&gt;4,"",TEXT(A15+15,"d") &amp; CHAR(10) &amp; SUBSTITUTE(TRIM(IF(OR(WEEKDAY(A15+15,2)=Paramètres!$B$5, WEEKDAY(A15+15,2)=Paramètres!$B$6),"OM, ","")&amp;IF(WEEKDAY(A15+15,2)=Paramètres!$B$8,"TRI, ","")&amp;IF(AND(WEEKDAY(A15+15,2)=Paramètres!$B$11, MOD(INT((A15+15-Paramètres!$B$10)/7),2)=0, A15+15&gt;=Paramètres!$B$10),"VERRE, ","")&amp;IF(AND(WEEKDAY(A15+15,2)=Paramètres!$B$15, INT((DAY(A15+15)-1)/7)+1 = Paramètres!$B$14),"VERTS, ","")&amp;IF(DAY(A15+15)=Paramètres!$B$17,"ENCOMBRANTS, ","")),", "," / "))</f>
        <v>0</v>
      </c>
      <c r="C18" s="7">
        <f>IF(MONTH(A15+16)&lt;&gt;4,"",TEXT(A15+16,"d") &amp; CHAR(10) &amp; SUBSTITUTE(TRIM(IF(OR(WEEKDAY(A15+16,2)=Paramètres!$B$5, WEEKDAY(A15+16,2)=Paramètres!$B$6),"OM, ","")&amp;IF(WEEKDAY(A15+16,2)=Paramètres!$B$8,"TRI, ","")&amp;IF(AND(WEEKDAY(A15+16,2)=Paramètres!$B$11, MOD(INT((A15+16-Paramètres!$B$10)/7),2)=0, A15+16&gt;=Paramètres!$B$10),"VERRE, ","")&amp;IF(AND(WEEKDAY(A15+16,2)=Paramètres!$B$15, INT((DAY(A15+16)-1)/7)+1 = Paramètres!$B$14),"VERTS, ","")&amp;IF(DAY(A15+16)=Paramètres!$B$17,"ENCOMBRANTS, ","")),", "," / "))</f>
        <v>0</v>
      </c>
      <c r="D18" s="7">
        <f>IF(MONTH(A15+17)&lt;&gt;4,"",TEXT(A15+17,"d") &amp; CHAR(10) &amp; SUBSTITUTE(TRIM(IF(OR(WEEKDAY(A15+17,2)=Paramètres!$B$5, WEEKDAY(A15+17,2)=Paramètres!$B$6),"OM, ","")&amp;IF(WEEKDAY(A15+17,2)=Paramètres!$B$8,"TRI, ","")&amp;IF(AND(WEEKDAY(A15+17,2)=Paramètres!$B$11, MOD(INT((A15+17-Paramètres!$B$10)/7),2)=0, A15+17&gt;=Paramètres!$B$10),"VERRE, ","")&amp;IF(AND(WEEKDAY(A15+17,2)=Paramètres!$B$15, INT((DAY(A15+17)-1)/7)+1 = Paramètres!$B$14),"VERTS, ","")&amp;IF(DAY(A15+17)=Paramètres!$B$17,"ENCOMBRANTS, ","")),", "," / "))</f>
        <v>0</v>
      </c>
      <c r="E18" s="7">
        <f>IF(MONTH(A15+18)&lt;&gt;4,"",TEXT(A15+18,"d") &amp; CHAR(10) &amp; SUBSTITUTE(TRIM(IF(OR(WEEKDAY(A15+18,2)=Paramètres!$B$5, WEEKDAY(A15+18,2)=Paramètres!$B$6),"OM, ","")&amp;IF(WEEKDAY(A15+18,2)=Paramètres!$B$8,"TRI, ","")&amp;IF(AND(WEEKDAY(A15+18,2)=Paramètres!$B$11, MOD(INT((A15+18-Paramètres!$B$10)/7),2)=0, A15+18&gt;=Paramètres!$B$10),"VERRE, ","")&amp;IF(AND(WEEKDAY(A15+18,2)=Paramètres!$B$15, INT((DAY(A15+18)-1)/7)+1 = Paramètres!$B$14),"VERTS, ","")&amp;IF(DAY(A15+18)=Paramètres!$B$17,"ENCOMBRANTS, ","")),", "," / "))</f>
        <v>0</v>
      </c>
      <c r="F18" s="7">
        <f>IF(MONTH(A15+19)&lt;&gt;4,"",TEXT(A15+19,"d") &amp; CHAR(10) &amp; SUBSTITUTE(TRIM(IF(OR(WEEKDAY(A15+19,2)=Paramètres!$B$5, WEEKDAY(A15+19,2)=Paramètres!$B$6),"OM, ","")&amp;IF(WEEKDAY(A15+19,2)=Paramètres!$B$8,"TRI, ","")&amp;IF(AND(WEEKDAY(A15+19,2)=Paramètres!$B$11, MOD(INT((A15+19-Paramètres!$B$10)/7),2)=0, A15+19&gt;=Paramètres!$B$10),"VERRE, ","")&amp;IF(AND(WEEKDAY(A15+19,2)=Paramètres!$B$15, INT((DAY(A15+19)-1)/7)+1 = Paramètres!$B$14),"VERTS, ","")&amp;IF(DAY(A15+19)=Paramètres!$B$17,"ENCOMBRANTS, ","")),", "," / "))</f>
        <v>0</v>
      </c>
      <c r="G18" s="7">
        <f>IF(MONTH(A15+20)&lt;&gt;4,"",TEXT(A15+20,"d") &amp; CHAR(10) &amp; SUBSTITUTE(TRIM(IF(OR(WEEKDAY(A15+20,2)=Paramètres!$B$5, WEEKDAY(A15+20,2)=Paramètres!$B$6),"OM, ","")&amp;IF(WEEKDAY(A15+20,2)=Paramètres!$B$8,"TRI, ","")&amp;IF(AND(WEEKDAY(A15+20,2)=Paramètres!$B$11, MOD(INT((A15+20-Paramètres!$B$10)/7),2)=0, A15+20&gt;=Paramètres!$B$10),"VERRE, ","")&amp;IF(AND(WEEKDAY(A15+20,2)=Paramètres!$B$15, INT((DAY(A15+20)-1)/7)+1 = Paramètres!$B$14),"VERTS, ","")&amp;IF(DAY(A15+20)=Paramètres!$B$17,"ENCOMBRANTS, ","")),", "," / "))</f>
        <v>0</v>
      </c>
      <c r="I18" s="7">
        <f>IF(MONTH(I15+14)&lt;&gt;5,"",TEXT(I15+14,"d") &amp; CHAR(10) &amp; SUBSTITUTE(TRIM(IF(OR(WEEKDAY(I15+14,2)=Paramètres!$B$5, WEEKDAY(I15+14,2)=Paramètres!$B$6),"OM, ","")&amp;IF(WEEKDAY(I15+14,2)=Paramètres!$B$8,"TRI, ","")&amp;IF(AND(WEEKDAY(I15+14,2)=Paramètres!$B$11, MOD(INT((I15+14-Paramètres!$B$10)/7),2)=0, I15+14&gt;=Paramètres!$B$10),"VERRE, ","")&amp;IF(AND(WEEKDAY(I15+14,2)=Paramètres!$B$15, INT((DAY(I15+14)-1)/7)+1 = Paramètres!$B$14),"VERTS, ","")&amp;IF(DAY(I15+14)=Paramètres!$B$17,"ENCOMBRANTS, ","")),", "," / "))</f>
        <v>0</v>
      </c>
      <c r="J18" s="7">
        <f>IF(MONTH(I15+15)&lt;&gt;5,"",TEXT(I15+15,"d") &amp; CHAR(10) &amp; SUBSTITUTE(TRIM(IF(OR(WEEKDAY(I15+15,2)=Paramètres!$B$5, WEEKDAY(I15+15,2)=Paramètres!$B$6),"OM, ","")&amp;IF(WEEKDAY(I15+15,2)=Paramètres!$B$8,"TRI, ","")&amp;IF(AND(WEEKDAY(I15+15,2)=Paramètres!$B$11, MOD(INT((I15+15-Paramètres!$B$10)/7),2)=0, I15+15&gt;=Paramètres!$B$10),"VERRE, ","")&amp;IF(AND(WEEKDAY(I15+15,2)=Paramètres!$B$15, INT((DAY(I15+15)-1)/7)+1 = Paramètres!$B$14),"VERTS, ","")&amp;IF(DAY(I15+15)=Paramètres!$B$17,"ENCOMBRANTS, ","")),", "," / "))</f>
        <v>0</v>
      </c>
      <c r="K18" s="7">
        <f>IF(MONTH(I15+16)&lt;&gt;5,"",TEXT(I15+16,"d") &amp; CHAR(10) &amp; SUBSTITUTE(TRIM(IF(OR(WEEKDAY(I15+16,2)=Paramètres!$B$5, WEEKDAY(I15+16,2)=Paramètres!$B$6),"OM, ","")&amp;IF(WEEKDAY(I15+16,2)=Paramètres!$B$8,"TRI, ","")&amp;IF(AND(WEEKDAY(I15+16,2)=Paramètres!$B$11, MOD(INT((I15+16-Paramètres!$B$10)/7),2)=0, I15+16&gt;=Paramètres!$B$10),"VERRE, ","")&amp;IF(AND(WEEKDAY(I15+16,2)=Paramètres!$B$15, INT((DAY(I15+16)-1)/7)+1 = Paramètres!$B$14),"VERTS, ","")&amp;IF(DAY(I15+16)=Paramètres!$B$17,"ENCOMBRANTS, ","")),", "," / "))</f>
        <v>0</v>
      </c>
      <c r="L18" s="7">
        <f>IF(MONTH(I15+17)&lt;&gt;5,"",TEXT(I15+17,"d") &amp; CHAR(10) &amp; SUBSTITUTE(TRIM(IF(OR(WEEKDAY(I15+17,2)=Paramètres!$B$5, WEEKDAY(I15+17,2)=Paramètres!$B$6),"OM, ","")&amp;IF(WEEKDAY(I15+17,2)=Paramètres!$B$8,"TRI, ","")&amp;IF(AND(WEEKDAY(I15+17,2)=Paramètres!$B$11, MOD(INT((I15+17-Paramètres!$B$10)/7),2)=0, I15+17&gt;=Paramètres!$B$10),"VERRE, ","")&amp;IF(AND(WEEKDAY(I15+17,2)=Paramètres!$B$15, INT((DAY(I15+17)-1)/7)+1 = Paramètres!$B$14),"VERTS, ","")&amp;IF(DAY(I15+17)=Paramètres!$B$17,"ENCOMBRANTS, ","")),", "," / "))</f>
        <v>0</v>
      </c>
      <c r="M18" s="7">
        <f>IF(MONTH(I15+18)&lt;&gt;5,"",TEXT(I15+18,"d") &amp; CHAR(10) &amp; SUBSTITUTE(TRIM(IF(OR(WEEKDAY(I15+18,2)=Paramètres!$B$5, WEEKDAY(I15+18,2)=Paramètres!$B$6),"OM, ","")&amp;IF(WEEKDAY(I15+18,2)=Paramètres!$B$8,"TRI, ","")&amp;IF(AND(WEEKDAY(I15+18,2)=Paramètres!$B$11, MOD(INT((I15+18-Paramètres!$B$10)/7),2)=0, I15+18&gt;=Paramètres!$B$10),"VERRE, ","")&amp;IF(AND(WEEKDAY(I15+18,2)=Paramètres!$B$15, INT((DAY(I15+18)-1)/7)+1 = Paramètres!$B$14),"VERTS, ","")&amp;IF(DAY(I15+18)=Paramètres!$B$17,"ENCOMBRANTS, ","")),", "," / "))</f>
        <v>0</v>
      </c>
      <c r="N18" s="7">
        <f>IF(MONTH(I15+19)&lt;&gt;5,"",TEXT(I15+19,"d") &amp; CHAR(10) &amp; SUBSTITUTE(TRIM(IF(OR(WEEKDAY(I15+19,2)=Paramètres!$B$5, WEEKDAY(I15+19,2)=Paramètres!$B$6),"OM, ","")&amp;IF(WEEKDAY(I15+19,2)=Paramètres!$B$8,"TRI, ","")&amp;IF(AND(WEEKDAY(I15+19,2)=Paramètres!$B$11, MOD(INT((I15+19-Paramètres!$B$10)/7),2)=0, I15+19&gt;=Paramètres!$B$10),"VERRE, ","")&amp;IF(AND(WEEKDAY(I15+19,2)=Paramètres!$B$15, INT((DAY(I15+19)-1)/7)+1 = Paramètres!$B$14),"VERTS, ","")&amp;IF(DAY(I15+19)=Paramètres!$B$17,"ENCOMBRANTS, ","")),", "," / "))</f>
        <v>0</v>
      </c>
      <c r="O18" s="7">
        <f>IF(MONTH(I15+20)&lt;&gt;5,"",TEXT(I15+20,"d") &amp; CHAR(10) &amp; SUBSTITUTE(TRIM(IF(OR(WEEKDAY(I15+20,2)=Paramètres!$B$5, WEEKDAY(I15+20,2)=Paramètres!$B$6),"OM, ","")&amp;IF(WEEKDAY(I15+20,2)=Paramètres!$B$8,"TRI, ","")&amp;IF(AND(WEEKDAY(I15+20,2)=Paramètres!$B$11, MOD(INT((I15+20-Paramètres!$B$10)/7),2)=0, I15+20&gt;=Paramètres!$B$10),"VERRE, ","")&amp;IF(AND(WEEKDAY(I15+20,2)=Paramètres!$B$15, INT((DAY(I15+20)-1)/7)+1 = Paramètres!$B$14),"VERTS, ","")&amp;IF(DAY(I15+20)=Paramètres!$B$17,"ENCOMBRANTS, ","")),", "," / "))</f>
        <v>0</v>
      </c>
      <c r="Q18" s="7">
        <f>IF(MONTH(Q15+14)&lt;&gt;6,"",TEXT(Q15+14,"d") &amp; CHAR(10) &amp; SUBSTITUTE(TRIM(IF(OR(WEEKDAY(Q15+14,2)=Paramètres!$B$5, WEEKDAY(Q15+14,2)=Paramètres!$B$6),"OM, ","")&amp;IF(WEEKDAY(Q15+14,2)=Paramètres!$B$8,"TRI, ","")&amp;IF(AND(WEEKDAY(Q15+14,2)=Paramètres!$B$11, MOD(INT((Q15+14-Paramètres!$B$10)/7),2)=0, Q15+14&gt;=Paramètres!$B$10),"VERRE, ","")&amp;IF(AND(WEEKDAY(Q15+14,2)=Paramètres!$B$15, INT((DAY(Q15+14)-1)/7)+1 = Paramètres!$B$14),"VERTS, ","")&amp;IF(DAY(Q15+14)=Paramètres!$B$17,"ENCOMBRANTS, ","")),", "," / "))</f>
        <v>0</v>
      </c>
      <c r="R18" s="7">
        <f>IF(MONTH(Q15+15)&lt;&gt;6,"",TEXT(Q15+15,"d") &amp; CHAR(10) &amp; SUBSTITUTE(TRIM(IF(OR(WEEKDAY(Q15+15,2)=Paramètres!$B$5, WEEKDAY(Q15+15,2)=Paramètres!$B$6),"OM, ","")&amp;IF(WEEKDAY(Q15+15,2)=Paramètres!$B$8,"TRI, ","")&amp;IF(AND(WEEKDAY(Q15+15,2)=Paramètres!$B$11, MOD(INT((Q15+15-Paramètres!$B$10)/7),2)=0, Q15+15&gt;=Paramètres!$B$10),"VERRE, ","")&amp;IF(AND(WEEKDAY(Q15+15,2)=Paramètres!$B$15, INT((DAY(Q15+15)-1)/7)+1 = Paramètres!$B$14),"VERTS, ","")&amp;IF(DAY(Q15+15)=Paramètres!$B$17,"ENCOMBRANTS, ","")),", "," / "))</f>
        <v>0</v>
      </c>
      <c r="S18" s="7">
        <f>IF(MONTH(Q15+16)&lt;&gt;6,"",TEXT(Q15+16,"d") &amp; CHAR(10) &amp; SUBSTITUTE(TRIM(IF(OR(WEEKDAY(Q15+16,2)=Paramètres!$B$5, WEEKDAY(Q15+16,2)=Paramètres!$B$6),"OM, ","")&amp;IF(WEEKDAY(Q15+16,2)=Paramètres!$B$8,"TRI, ","")&amp;IF(AND(WEEKDAY(Q15+16,2)=Paramètres!$B$11, MOD(INT((Q15+16-Paramètres!$B$10)/7),2)=0, Q15+16&gt;=Paramètres!$B$10),"VERRE, ","")&amp;IF(AND(WEEKDAY(Q15+16,2)=Paramètres!$B$15, INT((DAY(Q15+16)-1)/7)+1 = Paramètres!$B$14),"VERTS, ","")&amp;IF(DAY(Q15+16)=Paramètres!$B$17,"ENCOMBRANTS, ","")),", "," / "))</f>
        <v>0</v>
      </c>
      <c r="T18" s="7">
        <f>IF(MONTH(Q15+17)&lt;&gt;6,"",TEXT(Q15+17,"d") &amp; CHAR(10) &amp; SUBSTITUTE(TRIM(IF(OR(WEEKDAY(Q15+17,2)=Paramètres!$B$5, WEEKDAY(Q15+17,2)=Paramètres!$B$6),"OM, ","")&amp;IF(WEEKDAY(Q15+17,2)=Paramètres!$B$8,"TRI, ","")&amp;IF(AND(WEEKDAY(Q15+17,2)=Paramètres!$B$11, MOD(INT((Q15+17-Paramètres!$B$10)/7),2)=0, Q15+17&gt;=Paramètres!$B$10),"VERRE, ","")&amp;IF(AND(WEEKDAY(Q15+17,2)=Paramètres!$B$15, INT((DAY(Q15+17)-1)/7)+1 = Paramètres!$B$14),"VERTS, ","")&amp;IF(DAY(Q15+17)=Paramètres!$B$17,"ENCOMBRANTS, ","")),", "," / "))</f>
        <v>0</v>
      </c>
      <c r="U18" s="7">
        <f>IF(MONTH(Q15+18)&lt;&gt;6,"",TEXT(Q15+18,"d") &amp; CHAR(10) &amp; SUBSTITUTE(TRIM(IF(OR(WEEKDAY(Q15+18,2)=Paramètres!$B$5, WEEKDAY(Q15+18,2)=Paramètres!$B$6),"OM, ","")&amp;IF(WEEKDAY(Q15+18,2)=Paramètres!$B$8,"TRI, ","")&amp;IF(AND(WEEKDAY(Q15+18,2)=Paramètres!$B$11, MOD(INT((Q15+18-Paramètres!$B$10)/7),2)=0, Q15+18&gt;=Paramètres!$B$10),"VERRE, ","")&amp;IF(AND(WEEKDAY(Q15+18,2)=Paramètres!$B$15, INT((DAY(Q15+18)-1)/7)+1 = Paramètres!$B$14),"VERTS, ","")&amp;IF(DAY(Q15+18)=Paramètres!$B$17,"ENCOMBRANTS, ","")),", "," / "))</f>
        <v>0</v>
      </c>
      <c r="V18" s="7">
        <f>IF(MONTH(Q15+19)&lt;&gt;6,"",TEXT(Q15+19,"d") &amp; CHAR(10) &amp; SUBSTITUTE(TRIM(IF(OR(WEEKDAY(Q15+19,2)=Paramètres!$B$5, WEEKDAY(Q15+19,2)=Paramètres!$B$6),"OM, ","")&amp;IF(WEEKDAY(Q15+19,2)=Paramètres!$B$8,"TRI, ","")&amp;IF(AND(WEEKDAY(Q15+19,2)=Paramètres!$B$11, MOD(INT((Q15+19-Paramètres!$B$10)/7),2)=0, Q15+19&gt;=Paramètres!$B$10),"VERRE, ","")&amp;IF(AND(WEEKDAY(Q15+19,2)=Paramètres!$B$15, INT((DAY(Q15+19)-1)/7)+1 = Paramètres!$B$14),"VERTS, ","")&amp;IF(DAY(Q15+19)=Paramètres!$B$17,"ENCOMBRANTS, ","")),", "," / "))</f>
        <v>0</v>
      </c>
      <c r="W18" s="7">
        <f>IF(MONTH(Q15+20)&lt;&gt;6,"",TEXT(Q15+20,"d") &amp; CHAR(10) &amp; SUBSTITUTE(TRIM(IF(OR(WEEKDAY(Q15+20,2)=Paramètres!$B$5, WEEKDAY(Q15+20,2)=Paramètres!$B$6),"OM, ","")&amp;IF(WEEKDAY(Q15+20,2)=Paramètres!$B$8,"TRI, ","")&amp;IF(AND(WEEKDAY(Q15+20,2)=Paramètres!$B$11, MOD(INT((Q15+20-Paramètres!$B$10)/7),2)=0, Q15+20&gt;=Paramètres!$B$10),"VERRE, ","")&amp;IF(AND(WEEKDAY(Q15+20,2)=Paramètres!$B$15, INT((DAY(Q15+20)-1)/7)+1 = Paramètres!$B$14),"VERTS, ","")&amp;IF(DAY(Q15+20)=Paramètres!$B$17,"ENCOMBRANTS, ","")),", "," / "))</f>
        <v>0</v>
      </c>
    </row>
    <row r="19" spans="1:23">
      <c r="A19" s="7">
        <f>IF(MONTH(A15+21)&lt;&gt;4,"",TEXT(A15+21,"d") &amp; CHAR(10) &amp; SUBSTITUTE(TRIM(IF(OR(WEEKDAY(A15+21,2)=Paramètres!$B$5, WEEKDAY(A15+21,2)=Paramètres!$B$6),"OM, ","")&amp;IF(WEEKDAY(A15+21,2)=Paramètres!$B$8,"TRI, ","")&amp;IF(AND(WEEKDAY(A15+21,2)=Paramètres!$B$11, MOD(INT((A15+21-Paramètres!$B$10)/7),2)=0, A15+21&gt;=Paramètres!$B$10),"VERRE, ","")&amp;IF(AND(WEEKDAY(A15+21,2)=Paramètres!$B$15, INT((DAY(A15+21)-1)/7)+1 = Paramètres!$B$14),"VERTS, ","")&amp;IF(DAY(A15+21)=Paramètres!$B$17,"ENCOMBRANTS, ","")),", "," / "))</f>
        <v>0</v>
      </c>
      <c r="B19" s="7">
        <f>IF(MONTH(A15+22)&lt;&gt;4,"",TEXT(A15+22,"d") &amp; CHAR(10) &amp; SUBSTITUTE(TRIM(IF(OR(WEEKDAY(A15+22,2)=Paramètres!$B$5, WEEKDAY(A15+22,2)=Paramètres!$B$6),"OM, ","")&amp;IF(WEEKDAY(A15+22,2)=Paramètres!$B$8,"TRI, ","")&amp;IF(AND(WEEKDAY(A15+22,2)=Paramètres!$B$11, MOD(INT((A15+22-Paramètres!$B$10)/7),2)=0, A15+22&gt;=Paramètres!$B$10),"VERRE, ","")&amp;IF(AND(WEEKDAY(A15+22,2)=Paramètres!$B$15, INT((DAY(A15+22)-1)/7)+1 = Paramètres!$B$14),"VERTS, ","")&amp;IF(DAY(A15+22)=Paramètres!$B$17,"ENCOMBRANTS, ","")),", "," / "))</f>
        <v>0</v>
      </c>
      <c r="C19" s="7">
        <f>IF(MONTH(A15+23)&lt;&gt;4,"",TEXT(A15+23,"d") &amp; CHAR(10) &amp; SUBSTITUTE(TRIM(IF(OR(WEEKDAY(A15+23,2)=Paramètres!$B$5, WEEKDAY(A15+23,2)=Paramètres!$B$6),"OM, ","")&amp;IF(WEEKDAY(A15+23,2)=Paramètres!$B$8,"TRI, ","")&amp;IF(AND(WEEKDAY(A15+23,2)=Paramètres!$B$11, MOD(INT((A15+23-Paramètres!$B$10)/7),2)=0, A15+23&gt;=Paramètres!$B$10),"VERRE, ","")&amp;IF(AND(WEEKDAY(A15+23,2)=Paramètres!$B$15, INT((DAY(A15+23)-1)/7)+1 = Paramètres!$B$14),"VERTS, ","")&amp;IF(DAY(A15+23)=Paramètres!$B$17,"ENCOMBRANTS, ","")),", "," / "))</f>
        <v>0</v>
      </c>
      <c r="D19" s="7">
        <f>IF(MONTH(A15+24)&lt;&gt;4,"",TEXT(A15+24,"d") &amp; CHAR(10) &amp; SUBSTITUTE(TRIM(IF(OR(WEEKDAY(A15+24,2)=Paramètres!$B$5, WEEKDAY(A15+24,2)=Paramètres!$B$6),"OM, ","")&amp;IF(WEEKDAY(A15+24,2)=Paramètres!$B$8,"TRI, ","")&amp;IF(AND(WEEKDAY(A15+24,2)=Paramètres!$B$11, MOD(INT((A15+24-Paramètres!$B$10)/7),2)=0, A15+24&gt;=Paramètres!$B$10),"VERRE, ","")&amp;IF(AND(WEEKDAY(A15+24,2)=Paramètres!$B$15, INT((DAY(A15+24)-1)/7)+1 = Paramètres!$B$14),"VERTS, ","")&amp;IF(DAY(A15+24)=Paramètres!$B$17,"ENCOMBRANTS, ","")),", "," / "))</f>
        <v>0</v>
      </c>
      <c r="E19" s="7">
        <f>IF(MONTH(A15+25)&lt;&gt;4,"",TEXT(A15+25,"d") &amp; CHAR(10) &amp; SUBSTITUTE(TRIM(IF(OR(WEEKDAY(A15+25,2)=Paramètres!$B$5, WEEKDAY(A15+25,2)=Paramètres!$B$6),"OM, ","")&amp;IF(WEEKDAY(A15+25,2)=Paramètres!$B$8,"TRI, ","")&amp;IF(AND(WEEKDAY(A15+25,2)=Paramètres!$B$11, MOD(INT((A15+25-Paramètres!$B$10)/7),2)=0, A15+25&gt;=Paramètres!$B$10),"VERRE, ","")&amp;IF(AND(WEEKDAY(A15+25,2)=Paramètres!$B$15, INT((DAY(A15+25)-1)/7)+1 = Paramètres!$B$14),"VERTS, ","")&amp;IF(DAY(A15+25)=Paramètres!$B$17,"ENCOMBRANTS, ","")),", "," / "))</f>
        <v>0</v>
      </c>
      <c r="F19" s="7">
        <f>IF(MONTH(A15+26)&lt;&gt;4,"",TEXT(A15+26,"d") &amp; CHAR(10) &amp; SUBSTITUTE(TRIM(IF(OR(WEEKDAY(A15+26,2)=Paramètres!$B$5, WEEKDAY(A15+26,2)=Paramètres!$B$6),"OM, ","")&amp;IF(WEEKDAY(A15+26,2)=Paramètres!$B$8,"TRI, ","")&amp;IF(AND(WEEKDAY(A15+26,2)=Paramètres!$B$11, MOD(INT((A15+26-Paramètres!$B$10)/7),2)=0, A15+26&gt;=Paramètres!$B$10),"VERRE, ","")&amp;IF(AND(WEEKDAY(A15+26,2)=Paramètres!$B$15, INT((DAY(A15+26)-1)/7)+1 = Paramètres!$B$14),"VERTS, ","")&amp;IF(DAY(A15+26)=Paramètres!$B$17,"ENCOMBRANTS, ","")),", "," / "))</f>
        <v>0</v>
      </c>
      <c r="G19" s="7">
        <f>IF(MONTH(A15+27)&lt;&gt;4,"",TEXT(A15+27,"d") &amp; CHAR(10) &amp; SUBSTITUTE(TRIM(IF(OR(WEEKDAY(A15+27,2)=Paramètres!$B$5, WEEKDAY(A15+27,2)=Paramètres!$B$6),"OM, ","")&amp;IF(WEEKDAY(A15+27,2)=Paramètres!$B$8,"TRI, ","")&amp;IF(AND(WEEKDAY(A15+27,2)=Paramètres!$B$11, MOD(INT((A15+27-Paramètres!$B$10)/7),2)=0, A15+27&gt;=Paramètres!$B$10),"VERRE, ","")&amp;IF(AND(WEEKDAY(A15+27,2)=Paramètres!$B$15, INT((DAY(A15+27)-1)/7)+1 = Paramètres!$B$14),"VERTS, ","")&amp;IF(DAY(A15+27)=Paramètres!$B$17,"ENCOMBRANTS, ","")),", "," / "))</f>
        <v>0</v>
      </c>
      <c r="I19" s="7">
        <f>IF(MONTH(I15+21)&lt;&gt;5,"",TEXT(I15+21,"d") &amp; CHAR(10) &amp; SUBSTITUTE(TRIM(IF(OR(WEEKDAY(I15+21,2)=Paramètres!$B$5, WEEKDAY(I15+21,2)=Paramètres!$B$6),"OM, ","")&amp;IF(WEEKDAY(I15+21,2)=Paramètres!$B$8,"TRI, ","")&amp;IF(AND(WEEKDAY(I15+21,2)=Paramètres!$B$11, MOD(INT((I15+21-Paramètres!$B$10)/7),2)=0, I15+21&gt;=Paramètres!$B$10),"VERRE, ","")&amp;IF(AND(WEEKDAY(I15+21,2)=Paramètres!$B$15, INT((DAY(I15+21)-1)/7)+1 = Paramètres!$B$14),"VERTS, ","")&amp;IF(DAY(I15+21)=Paramètres!$B$17,"ENCOMBRANTS, ","")),", "," / "))</f>
        <v>0</v>
      </c>
      <c r="J19" s="7">
        <f>IF(MONTH(I15+22)&lt;&gt;5,"",TEXT(I15+22,"d") &amp; CHAR(10) &amp; SUBSTITUTE(TRIM(IF(OR(WEEKDAY(I15+22,2)=Paramètres!$B$5, WEEKDAY(I15+22,2)=Paramètres!$B$6),"OM, ","")&amp;IF(WEEKDAY(I15+22,2)=Paramètres!$B$8,"TRI, ","")&amp;IF(AND(WEEKDAY(I15+22,2)=Paramètres!$B$11, MOD(INT((I15+22-Paramètres!$B$10)/7),2)=0, I15+22&gt;=Paramètres!$B$10),"VERRE, ","")&amp;IF(AND(WEEKDAY(I15+22,2)=Paramètres!$B$15, INT((DAY(I15+22)-1)/7)+1 = Paramètres!$B$14),"VERTS, ","")&amp;IF(DAY(I15+22)=Paramètres!$B$17,"ENCOMBRANTS, ","")),", "," / "))</f>
        <v>0</v>
      </c>
      <c r="K19" s="7">
        <f>IF(MONTH(I15+23)&lt;&gt;5,"",TEXT(I15+23,"d") &amp; CHAR(10) &amp; SUBSTITUTE(TRIM(IF(OR(WEEKDAY(I15+23,2)=Paramètres!$B$5, WEEKDAY(I15+23,2)=Paramètres!$B$6),"OM, ","")&amp;IF(WEEKDAY(I15+23,2)=Paramètres!$B$8,"TRI, ","")&amp;IF(AND(WEEKDAY(I15+23,2)=Paramètres!$B$11, MOD(INT((I15+23-Paramètres!$B$10)/7),2)=0, I15+23&gt;=Paramètres!$B$10),"VERRE, ","")&amp;IF(AND(WEEKDAY(I15+23,2)=Paramètres!$B$15, INT((DAY(I15+23)-1)/7)+1 = Paramètres!$B$14),"VERTS, ","")&amp;IF(DAY(I15+23)=Paramètres!$B$17,"ENCOMBRANTS, ","")),", "," / "))</f>
        <v>0</v>
      </c>
      <c r="L19" s="7">
        <f>IF(MONTH(I15+24)&lt;&gt;5,"",TEXT(I15+24,"d") &amp; CHAR(10) &amp; SUBSTITUTE(TRIM(IF(OR(WEEKDAY(I15+24,2)=Paramètres!$B$5, WEEKDAY(I15+24,2)=Paramètres!$B$6),"OM, ","")&amp;IF(WEEKDAY(I15+24,2)=Paramètres!$B$8,"TRI, ","")&amp;IF(AND(WEEKDAY(I15+24,2)=Paramètres!$B$11, MOD(INT((I15+24-Paramètres!$B$10)/7),2)=0, I15+24&gt;=Paramètres!$B$10),"VERRE, ","")&amp;IF(AND(WEEKDAY(I15+24,2)=Paramètres!$B$15, INT((DAY(I15+24)-1)/7)+1 = Paramètres!$B$14),"VERTS, ","")&amp;IF(DAY(I15+24)=Paramètres!$B$17,"ENCOMBRANTS, ","")),", "," / "))</f>
        <v>0</v>
      </c>
      <c r="M19" s="7">
        <f>IF(MONTH(I15+25)&lt;&gt;5,"",TEXT(I15+25,"d") &amp; CHAR(10) &amp; SUBSTITUTE(TRIM(IF(OR(WEEKDAY(I15+25,2)=Paramètres!$B$5, WEEKDAY(I15+25,2)=Paramètres!$B$6),"OM, ","")&amp;IF(WEEKDAY(I15+25,2)=Paramètres!$B$8,"TRI, ","")&amp;IF(AND(WEEKDAY(I15+25,2)=Paramètres!$B$11, MOD(INT((I15+25-Paramètres!$B$10)/7),2)=0, I15+25&gt;=Paramètres!$B$10),"VERRE, ","")&amp;IF(AND(WEEKDAY(I15+25,2)=Paramètres!$B$15, INT((DAY(I15+25)-1)/7)+1 = Paramètres!$B$14),"VERTS, ","")&amp;IF(DAY(I15+25)=Paramètres!$B$17,"ENCOMBRANTS, ","")),", "," / "))</f>
        <v>0</v>
      </c>
      <c r="N19" s="7">
        <f>IF(MONTH(I15+26)&lt;&gt;5,"",TEXT(I15+26,"d") &amp; CHAR(10) &amp; SUBSTITUTE(TRIM(IF(OR(WEEKDAY(I15+26,2)=Paramètres!$B$5, WEEKDAY(I15+26,2)=Paramètres!$B$6),"OM, ","")&amp;IF(WEEKDAY(I15+26,2)=Paramètres!$B$8,"TRI, ","")&amp;IF(AND(WEEKDAY(I15+26,2)=Paramètres!$B$11, MOD(INT((I15+26-Paramètres!$B$10)/7),2)=0, I15+26&gt;=Paramètres!$B$10),"VERRE, ","")&amp;IF(AND(WEEKDAY(I15+26,2)=Paramètres!$B$15, INT((DAY(I15+26)-1)/7)+1 = Paramètres!$B$14),"VERTS, ","")&amp;IF(DAY(I15+26)=Paramètres!$B$17,"ENCOMBRANTS, ","")),", "," / "))</f>
        <v>0</v>
      </c>
      <c r="O19" s="7">
        <f>IF(MONTH(I15+27)&lt;&gt;5,"",TEXT(I15+27,"d") &amp; CHAR(10) &amp; SUBSTITUTE(TRIM(IF(OR(WEEKDAY(I15+27,2)=Paramètres!$B$5, WEEKDAY(I15+27,2)=Paramètres!$B$6),"OM, ","")&amp;IF(WEEKDAY(I15+27,2)=Paramètres!$B$8,"TRI, ","")&amp;IF(AND(WEEKDAY(I15+27,2)=Paramètres!$B$11, MOD(INT((I15+27-Paramètres!$B$10)/7),2)=0, I15+27&gt;=Paramètres!$B$10),"VERRE, ","")&amp;IF(AND(WEEKDAY(I15+27,2)=Paramètres!$B$15, INT((DAY(I15+27)-1)/7)+1 = Paramètres!$B$14),"VERTS, ","")&amp;IF(DAY(I15+27)=Paramètres!$B$17,"ENCOMBRANTS, ","")),", "," / "))</f>
        <v>0</v>
      </c>
      <c r="Q19" s="7">
        <f>IF(MONTH(Q15+21)&lt;&gt;6,"",TEXT(Q15+21,"d") &amp; CHAR(10) &amp; SUBSTITUTE(TRIM(IF(OR(WEEKDAY(Q15+21,2)=Paramètres!$B$5, WEEKDAY(Q15+21,2)=Paramètres!$B$6),"OM, ","")&amp;IF(WEEKDAY(Q15+21,2)=Paramètres!$B$8,"TRI, ","")&amp;IF(AND(WEEKDAY(Q15+21,2)=Paramètres!$B$11, MOD(INT((Q15+21-Paramètres!$B$10)/7),2)=0, Q15+21&gt;=Paramètres!$B$10),"VERRE, ","")&amp;IF(AND(WEEKDAY(Q15+21,2)=Paramètres!$B$15, INT((DAY(Q15+21)-1)/7)+1 = Paramètres!$B$14),"VERTS, ","")&amp;IF(DAY(Q15+21)=Paramètres!$B$17,"ENCOMBRANTS, ","")),", "," / "))</f>
        <v>0</v>
      </c>
      <c r="R19" s="7">
        <f>IF(MONTH(Q15+22)&lt;&gt;6,"",TEXT(Q15+22,"d") &amp; CHAR(10) &amp; SUBSTITUTE(TRIM(IF(OR(WEEKDAY(Q15+22,2)=Paramètres!$B$5, WEEKDAY(Q15+22,2)=Paramètres!$B$6),"OM, ","")&amp;IF(WEEKDAY(Q15+22,2)=Paramètres!$B$8,"TRI, ","")&amp;IF(AND(WEEKDAY(Q15+22,2)=Paramètres!$B$11, MOD(INT((Q15+22-Paramètres!$B$10)/7),2)=0, Q15+22&gt;=Paramètres!$B$10),"VERRE, ","")&amp;IF(AND(WEEKDAY(Q15+22,2)=Paramètres!$B$15, INT((DAY(Q15+22)-1)/7)+1 = Paramètres!$B$14),"VERTS, ","")&amp;IF(DAY(Q15+22)=Paramètres!$B$17,"ENCOMBRANTS, ","")),", "," / "))</f>
        <v>0</v>
      </c>
      <c r="S19" s="7">
        <f>IF(MONTH(Q15+23)&lt;&gt;6,"",TEXT(Q15+23,"d") &amp; CHAR(10) &amp; SUBSTITUTE(TRIM(IF(OR(WEEKDAY(Q15+23,2)=Paramètres!$B$5, WEEKDAY(Q15+23,2)=Paramètres!$B$6),"OM, ","")&amp;IF(WEEKDAY(Q15+23,2)=Paramètres!$B$8,"TRI, ","")&amp;IF(AND(WEEKDAY(Q15+23,2)=Paramètres!$B$11, MOD(INT((Q15+23-Paramètres!$B$10)/7),2)=0, Q15+23&gt;=Paramètres!$B$10),"VERRE, ","")&amp;IF(AND(WEEKDAY(Q15+23,2)=Paramètres!$B$15, INT((DAY(Q15+23)-1)/7)+1 = Paramètres!$B$14),"VERTS, ","")&amp;IF(DAY(Q15+23)=Paramètres!$B$17,"ENCOMBRANTS, ","")),", "," / "))</f>
        <v>0</v>
      </c>
      <c r="T19" s="7">
        <f>IF(MONTH(Q15+24)&lt;&gt;6,"",TEXT(Q15+24,"d") &amp; CHAR(10) &amp; SUBSTITUTE(TRIM(IF(OR(WEEKDAY(Q15+24,2)=Paramètres!$B$5, WEEKDAY(Q15+24,2)=Paramètres!$B$6),"OM, ","")&amp;IF(WEEKDAY(Q15+24,2)=Paramètres!$B$8,"TRI, ","")&amp;IF(AND(WEEKDAY(Q15+24,2)=Paramètres!$B$11, MOD(INT((Q15+24-Paramètres!$B$10)/7),2)=0, Q15+24&gt;=Paramètres!$B$10),"VERRE, ","")&amp;IF(AND(WEEKDAY(Q15+24,2)=Paramètres!$B$15, INT((DAY(Q15+24)-1)/7)+1 = Paramètres!$B$14),"VERTS, ","")&amp;IF(DAY(Q15+24)=Paramètres!$B$17,"ENCOMBRANTS, ","")),", "," / "))</f>
        <v>0</v>
      </c>
      <c r="U19" s="7">
        <f>IF(MONTH(Q15+25)&lt;&gt;6,"",TEXT(Q15+25,"d") &amp; CHAR(10) &amp; SUBSTITUTE(TRIM(IF(OR(WEEKDAY(Q15+25,2)=Paramètres!$B$5, WEEKDAY(Q15+25,2)=Paramètres!$B$6),"OM, ","")&amp;IF(WEEKDAY(Q15+25,2)=Paramètres!$B$8,"TRI, ","")&amp;IF(AND(WEEKDAY(Q15+25,2)=Paramètres!$B$11, MOD(INT((Q15+25-Paramètres!$B$10)/7),2)=0, Q15+25&gt;=Paramètres!$B$10),"VERRE, ","")&amp;IF(AND(WEEKDAY(Q15+25,2)=Paramètres!$B$15, INT((DAY(Q15+25)-1)/7)+1 = Paramètres!$B$14),"VERTS, ","")&amp;IF(DAY(Q15+25)=Paramètres!$B$17,"ENCOMBRANTS, ","")),", "," / "))</f>
        <v>0</v>
      </c>
      <c r="V19" s="7">
        <f>IF(MONTH(Q15+26)&lt;&gt;6,"",TEXT(Q15+26,"d") &amp; CHAR(10) &amp; SUBSTITUTE(TRIM(IF(OR(WEEKDAY(Q15+26,2)=Paramètres!$B$5, WEEKDAY(Q15+26,2)=Paramètres!$B$6),"OM, ","")&amp;IF(WEEKDAY(Q15+26,2)=Paramètres!$B$8,"TRI, ","")&amp;IF(AND(WEEKDAY(Q15+26,2)=Paramètres!$B$11, MOD(INT((Q15+26-Paramètres!$B$10)/7),2)=0, Q15+26&gt;=Paramètres!$B$10),"VERRE, ","")&amp;IF(AND(WEEKDAY(Q15+26,2)=Paramètres!$B$15, INT((DAY(Q15+26)-1)/7)+1 = Paramètres!$B$14),"VERTS, ","")&amp;IF(DAY(Q15+26)=Paramètres!$B$17,"ENCOMBRANTS, ","")),", "," / "))</f>
        <v>0</v>
      </c>
      <c r="W19" s="7">
        <f>IF(MONTH(Q15+27)&lt;&gt;6,"",TEXT(Q15+27,"d") &amp; CHAR(10) &amp; SUBSTITUTE(TRIM(IF(OR(WEEKDAY(Q15+27,2)=Paramètres!$B$5, WEEKDAY(Q15+27,2)=Paramètres!$B$6),"OM, ","")&amp;IF(WEEKDAY(Q15+27,2)=Paramètres!$B$8,"TRI, ","")&amp;IF(AND(WEEKDAY(Q15+27,2)=Paramètres!$B$11, MOD(INT((Q15+27-Paramètres!$B$10)/7),2)=0, Q15+27&gt;=Paramètres!$B$10),"VERRE, ","")&amp;IF(AND(WEEKDAY(Q15+27,2)=Paramètres!$B$15, INT((DAY(Q15+27)-1)/7)+1 = Paramètres!$B$14),"VERTS, ","")&amp;IF(DAY(Q15+27)=Paramètres!$B$17,"ENCOMBRANTS, ","")),", "," / "))</f>
        <v>0</v>
      </c>
    </row>
    <row r="20" spans="1:23">
      <c r="A20" s="7">
        <f>IF(MONTH(A15+28)&lt;&gt;4,"",TEXT(A15+28,"d") &amp; CHAR(10) &amp; SUBSTITUTE(TRIM(IF(OR(WEEKDAY(A15+28,2)=Paramètres!$B$5, WEEKDAY(A15+28,2)=Paramètres!$B$6),"OM, ","")&amp;IF(WEEKDAY(A15+28,2)=Paramètres!$B$8,"TRI, ","")&amp;IF(AND(WEEKDAY(A15+28,2)=Paramètres!$B$11, MOD(INT((A15+28-Paramètres!$B$10)/7),2)=0, A15+28&gt;=Paramètres!$B$10),"VERRE, ","")&amp;IF(AND(WEEKDAY(A15+28,2)=Paramètres!$B$15, INT((DAY(A15+28)-1)/7)+1 = Paramètres!$B$14),"VERTS, ","")&amp;IF(DAY(A15+28)=Paramètres!$B$17,"ENCOMBRANTS, ","")),", "," / "))</f>
        <v>0</v>
      </c>
      <c r="B20" s="7">
        <f>IF(MONTH(A15+29)&lt;&gt;4,"",TEXT(A15+29,"d") &amp; CHAR(10) &amp; SUBSTITUTE(TRIM(IF(OR(WEEKDAY(A15+29,2)=Paramètres!$B$5, WEEKDAY(A15+29,2)=Paramètres!$B$6),"OM, ","")&amp;IF(WEEKDAY(A15+29,2)=Paramètres!$B$8,"TRI, ","")&amp;IF(AND(WEEKDAY(A15+29,2)=Paramètres!$B$11, MOD(INT((A15+29-Paramètres!$B$10)/7),2)=0, A15+29&gt;=Paramètres!$B$10),"VERRE, ","")&amp;IF(AND(WEEKDAY(A15+29,2)=Paramètres!$B$15, INT((DAY(A15+29)-1)/7)+1 = Paramètres!$B$14),"VERTS, ","")&amp;IF(DAY(A15+29)=Paramètres!$B$17,"ENCOMBRANTS, ","")),", "," / "))</f>
        <v>0</v>
      </c>
      <c r="C20" s="7">
        <f>IF(MONTH(A15+30)&lt;&gt;4,"",TEXT(A15+30,"d") &amp; CHAR(10) &amp; SUBSTITUTE(TRIM(IF(OR(WEEKDAY(A15+30,2)=Paramètres!$B$5, WEEKDAY(A15+30,2)=Paramètres!$B$6),"OM, ","")&amp;IF(WEEKDAY(A15+30,2)=Paramètres!$B$8,"TRI, ","")&amp;IF(AND(WEEKDAY(A15+30,2)=Paramètres!$B$11, MOD(INT((A15+30-Paramètres!$B$10)/7),2)=0, A15+30&gt;=Paramètres!$B$10),"VERRE, ","")&amp;IF(AND(WEEKDAY(A15+30,2)=Paramètres!$B$15, INT((DAY(A15+30)-1)/7)+1 = Paramètres!$B$14),"VERTS, ","")&amp;IF(DAY(A15+30)=Paramètres!$B$17,"ENCOMBRANTS, ","")),", "," / "))</f>
        <v>0</v>
      </c>
      <c r="D20" s="7">
        <f>IF(MONTH(A15+31)&lt;&gt;4,"",TEXT(A15+31,"d") &amp; CHAR(10) &amp; SUBSTITUTE(TRIM(IF(OR(WEEKDAY(A15+31,2)=Paramètres!$B$5, WEEKDAY(A15+31,2)=Paramètres!$B$6),"OM, ","")&amp;IF(WEEKDAY(A15+31,2)=Paramètres!$B$8,"TRI, ","")&amp;IF(AND(WEEKDAY(A15+31,2)=Paramètres!$B$11, MOD(INT((A15+31-Paramètres!$B$10)/7),2)=0, A15+31&gt;=Paramètres!$B$10),"VERRE, ","")&amp;IF(AND(WEEKDAY(A15+31,2)=Paramètres!$B$15, INT((DAY(A15+31)-1)/7)+1 = Paramètres!$B$14),"VERTS, ","")&amp;IF(DAY(A15+31)=Paramètres!$B$17,"ENCOMBRANTS, ","")),", "," / "))</f>
        <v>0</v>
      </c>
      <c r="E20" s="7">
        <f>IF(MONTH(A15+32)&lt;&gt;4,"",TEXT(A15+32,"d") &amp; CHAR(10) &amp; SUBSTITUTE(TRIM(IF(OR(WEEKDAY(A15+32,2)=Paramètres!$B$5, WEEKDAY(A15+32,2)=Paramètres!$B$6),"OM, ","")&amp;IF(WEEKDAY(A15+32,2)=Paramètres!$B$8,"TRI, ","")&amp;IF(AND(WEEKDAY(A15+32,2)=Paramètres!$B$11, MOD(INT((A15+32-Paramètres!$B$10)/7),2)=0, A15+32&gt;=Paramètres!$B$10),"VERRE, ","")&amp;IF(AND(WEEKDAY(A15+32,2)=Paramètres!$B$15, INT((DAY(A15+32)-1)/7)+1 = Paramètres!$B$14),"VERTS, ","")&amp;IF(DAY(A15+32)=Paramètres!$B$17,"ENCOMBRANTS, ","")),", "," / "))</f>
        <v>0</v>
      </c>
      <c r="F20" s="7">
        <f>IF(MONTH(A15+33)&lt;&gt;4,"",TEXT(A15+33,"d") &amp; CHAR(10) &amp; SUBSTITUTE(TRIM(IF(OR(WEEKDAY(A15+33,2)=Paramètres!$B$5, WEEKDAY(A15+33,2)=Paramètres!$B$6),"OM, ","")&amp;IF(WEEKDAY(A15+33,2)=Paramètres!$B$8,"TRI, ","")&amp;IF(AND(WEEKDAY(A15+33,2)=Paramètres!$B$11, MOD(INT((A15+33-Paramètres!$B$10)/7),2)=0, A15+33&gt;=Paramètres!$B$10),"VERRE, ","")&amp;IF(AND(WEEKDAY(A15+33,2)=Paramètres!$B$15, INT((DAY(A15+33)-1)/7)+1 = Paramètres!$B$14),"VERTS, ","")&amp;IF(DAY(A15+33)=Paramètres!$B$17,"ENCOMBRANTS, ","")),", "," / "))</f>
        <v>0</v>
      </c>
      <c r="G20" s="7">
        <f>IF(MONTH(A15+34)&lt;&gt;4,"",TEXT(A15+34,"d") &amp; CHAR(10) &amp; SUBSTITUTE(TRIM(IF(OR(WEEKDAY(A15+34,2)=Paramètres!$B$5, WEEKDAY(A15+34,2)=Paramètres!$B$6),"OM, ","")&amp;IF(WEEKDAY(A15+34,2)=Paramètres!$B$8,"TRI, ","")&amp;IF(AND(WEEKDAY(A15+34,2)=Paramètres!$B$11, MOD(INT((A15+34-Paramètres!$B$10)/7),2)=0, A15+34&gt;=Paramètres!$B$10),"VERRE, ","")&amp;IF(AND(WEEKDAY(A15+34,2)=Paramètres!$B$15, INT((DAY(A15+34)-1)/7)+1 = Paramètres!$B$14),"VERTS, ","")&amp;IF(DAY(A15+34)=Paramètres!$B$17,"ENCOMBRANTS, ","")),", "," / "))</f>
        <v>0</v>
      </c>
      <c r="I20" s="7">
        <f>IF(MONTH(I15+28)&lt;&gt;5,"",TEXT(I15+28,"d") &amp; CHAR(10) &amp; SUBSTITUTE(TRIM(IF(OR(WEEKDAY(I15+28,2)=Paramètres!$B$5, WEEKDAY(I15+28,2)=Paramètres!$B$6),"OM, ","")&amp;IF(WEEKDAY(I15+28,2)=Paramètres!$B$8,"TRI, ","")&amp;IF(AND(WEEKDAY(I15+28,2)=Paramètres!$B$11, MOD(INT((I15+28-Paramètres!$B$10)/7),2)=0, I15+28&gt;=Paramètres!$B$10),"VERRE, ","")&amp;IF(AND(WEEKDAY(I15+28,2)=Paramètres!$B$15, INT((DAY(I15+28)-1)/7)+1 = Paramètres!$B$14),"VERTS, ","")&amp;IF(DAY(I15+28)=Paramètres!$B$17,"ENCOMBRANTS, ","")),", "," / "))</f>
        <v>0</v>
      </c>
      <c r="J20" s="7">
        <f>IF(MONTH(I15+29)&lt;&gt;5,"",TEXT(I15+29,"d") &amp; CHAR(10) &amp; SUBSTITUTE(TRIM(IF(OR(WEEKDAY(I15+29,2)=Paramètres!$B$5, WEEKDAY(I15+29,2)=Paramètres!$B$6),"OM, ","")&amp;IF(WEEKDAY(I15+29,2)=Paramètres!$B$8,"TRI, ","")&amp;IF(AND(WEEKDAY(I15+29,2)=Paramètres!$B$11, MOD(INT((I15+29-Paramètres!$B$10)/7),2)=0, I15+29&gt;=Paramètres!$B$10),"VERRE, ","")&amp;IF(AND(WEEKDAY(I15+29,2)=Paramètres!$B$15, INT((DAY(I15+29)-1)/7)+1 = Paramètres!$B$14),"VERTS, ","")&amp;IF(DAY(I15+29)=Paramètres!$B$17,"ENCOMBRANTS, ","")),", "," / "))</f>
        <v>0</v>
      </c>
      <c r="K20" s="7">
        <f>IF(MONTH(I15+30)&lt;&gt;5,"",TEXT(I15+30,"d") &amp; CHAR(10) &amp; SUBSTITUTE(TRIM(IF(OR(WEEKDAY(I15+30,2)=Paramètres!$B$5, WEEKDAY(I15+30,2)=Paramètres!$B$6),"OM, ","")&amp;IF(WEEKDAY(I15+30,2)=Paramètres!$B$8,"TRI, ","")&amp;IF(AND(WEEKDAY(I15+30,2)=Paramètres!$B$11, MOD(INT((I15+30-Paramètres!$B$10)/7),2)=0, I15+30&gt;=Paramètres!$B$10),"VERRE, ","")&amp;IF(AND(WEEKDAY(I15+30,2)=Paramètres!$B$15, INT((DAY(I15+30)-1)/7)+1 = Paramètres!$B$14),"VERTS, ","")&amp;IF(DAY(I15+30)=Paramètres!$B$17,"ENCOMBRANTS, ","")),", "," / "))</f>
        <v>0</v>
      </c>
      <c r="L20" s="7">
        <f>IF(MONTH(I15+31)&lt;&gt;5,"",TEXT(I15+31,"d") &amp; CHAR(10) &amp; SUBSTITUTE(TRIM(IF(OR(WEEKDAY(I15+31,2)=Paramètres!$B$5, WEEKDAY(I15+31,2)=Paramètres!$B$6),"OM, ","")&amp;IF(WEEKDAY(I15+31,2)=Paramètres!$B$8,"TRI, ","")&amp;IF(AND(WEEKDAY(I15+31,2)=Paramètres!$B$11, MOD(INT((I15+31-Paramètres!$B$10)/7),2)=0, I15+31&gt;=Paramètres!$B$10),"VERRE, ","")&amp;IF(AND(WEEKDAY(I15+31,2)=Paramètres!$B$15, INT((DAY(I15+31)-1)/7)+1 = Paramètres!$B$14),"VERTS, ","")&amp;IF(DAY(I15+31)=Paramètres!$B$17,"ENCOMBRANTS, ","")),", "," / "))</f>
        <v>0</v>
      </c>
      <c r="M20" s="7">
        <f>IF(MONTH(I15+32)&lt;&gt;5,"",TEXT(I15+32,"d") &amp; CHAR(10) &amp; SUBSTITUTE(TRIM(IF(OR(WEEKDAY(I15+32,2)=Paramètres!$B$5, WEEKDAY(I15+32,2)=Paramètres!$B$6),"OM, ","")&amp;IF(WEEKDAY(I15+32,2)=Paramètres!$B$8,"TRI, ","")&amp;IF(AND(WEEKDAY(I15+32,2)=Paramètres!$B$11, MOD(INT((I15+32-Paramètres!$B$10)/7),2)=0, I15+32&gt;=Paramètres!$B$10),"VERRE, ","")&amp;IF(AND(WEEKDAY(I15+32,2)=Paramètres!$B$15, INT((DAY(I15+32)-1)/7)+1 = Paramètres!$B$14),"VERTS, ","")&amp;IF(DAY(I15+32)=Paramètres!$B$17,"ENCOMBRANTS, ","")),", "," / "))</f>
        <v>0</v>
      </c>
      <c r="N20" s="7">
        <f>IF(MONTH(I15+33)&lt;&gt;5,"",TEXT(I15+33,"d") &amp; CHAR(10) &amp; SUBSTITUTE(TRIM(IF(OR(WEEKDAY(I15+33,2)=Paramètres!$B$5, WEEKDAY(I15+33,2)=Paramètres!$B$6),"OM, ","")&amp;IF(WEEKDAY(I15+33,2)=Paramètres!$B$8,"TRI, ","")&amp;IF(AND(WEEKDAY(I15+33,2)=Paramètres!$B$11, MOD(INT((I15+33-Paramètres!$B$10)/7),2)=0, I15+33&gt;=Paramètres!$B$10),"VERRE, ","")&amp;IF(AND(WEEKDAY(I15+33,2)=Paramètres!$B$15, INT((DAY(I15+33)-1)/7)+1 = Paramètres!$B$14),"VERTS, ","")&amp;IF(DAY(I15+33)=Paramètres!$B$17,"ENCOMBRANTS, ","")),", "," / "))</f>
        <v>0</v>
      </c>
      <c r="O20" s="7">
        <f>IF(MONTH(I15+34)&lt;&gt;5,"",TEXT(I15+34,"d") &amp; CHAR(10) &amp; SUBSTITUTE(TRIM(IF(OR(WEEKDAY(I15+34,2)=Paramètres!$B$5, WEEKDAY(I15+34,2)=Paramètres!$B$6),"OM, ","")&amp;IF(WEEKDAY(I15+34,2)=Paramètres!$B$8,"TRI, ","")&amp;IF(AND(WEEKDAY(I15+34,2)=Paramètres!$B$11, MOD(INT((I15+34-Paramètres!$B$10)/7),2)=0, I15+34&gt;=Paramètres!$B$10),"VERRE, ","")&amp;IF(AND(WEEKDAY(I15+34,2)=Paramètres!$B$15, INT((DAY(I15+34)-1)/7)+1 = Paramètres!$B$14),"VERTS, ","")&amp;IF(DAY(I15+34)=Paramètres!$B$17,"ENCOMBRANTS, ","")),", "," / "))</f>
        <v>0</v>
      </c>
      <c r="Q20" s="7">
        <f>IF(MONTH(Q15+28)&lt;&gt;6,"",TEXT(Q15+28,"d") &amp; CHAR(10) &amp; SUBSTITUTE(TRIM(IF(OR(WEEKDAY(Q15+28,2)=Paramètres!$B$5, WEEKDAY(Q15+28,2)=Paramètres!$B$6),"OM, ","")&amp;IF(WEEKDAY(Q15+28,2)=Paramètres!$B$8,"TRI, ","")&amp;IF(AND(WEEKDAY(Q15+28,2)=Paramètres!$B$11, MOD(INT((Q15+28-Paramètres!$B$10)/7),2)=0, Q15+28&gt;=Paramètres!$B$10),"VERRE, ","")&amp;IF(AND(WEEKDAY(Q15+28,2)=Paramètres!$B$15, INT((DAY(Q15+28)-1)/7)+1 = Paramètres!$B$14),"VERTS, ","")&amp;IF(DAY(Q15+28)=Paramètres!$B$17,"ENCOMBRANTS, ","")),", "," / "))</f>
        <v>0</v>
      </c>
      <c r="R20" s="7">
        <f>IF(MONTH(Q15+29)&lt;&gt;6,"",TEXT(Q15+29,"d") &amp; CHAR(10) &amp; SUBSTITUTE(TRIM(IF(OR(WEEKDAY(Q15+29,2)=Paramètres!$B$5, WEEKDAY(Q15+29,2)=Paramètres!$B$6),"OM, ","")&amp;IF(WEEKDAY(Q15+29,2)=Paramètres!$B$8,"TRI, ","")&amp;IF(AND(WEEKDAY(Q15+29,2)=Paramètres!$B$11, MOD(INT((Q15+29-Paramètres!$B$10)/7),2)=0, Q15+29&gt;=Paramètres!$B$10),"VERRE, ","")&amp;IF(AND(WEEKDAY(Q15+29,2)=Paramètres!$B$15, INT((DAY(Q15+29)-1)/7)+1 = Paramètres!$B$14),"VERTS, ","")&amp;IF(DAY(Q15+29)=Paramètres!$B$17,"ENCOMBRANTS, ","")),", "," / "))</f>
        <v>0</v>
      </c>
      <c r="S20" s="7">
        <f>IF(MONTH(Q15+30)&lt;&gt;6,"",TEXT(Q15+30,"d") &amp; CHAR(10) &amp; SUBSTITUTE(TRIM(IF(OR(WEEKDAY(Q15+30,2)=Paramètres!$B$5, WEEKDAY(Q15+30,2)=Paramètres!$B$6),"OM, ","")&amp;IF(WEEKDAY(Q15+30,2)=Paramètres!$B$8,"TRI, ","")&amp;IF(AND(WEEKDAY(Q15+30,2)=Paramètres!$B$11, MOD(INT((Q15+30-Paramètres!$B$10)/7),2)=0, Q15+30&gt;=Paramètres!$B$10),"VERRE, ","")&amp;IF(AND(WEEKDAY(Q15+30,2)=Paramètres!$B$15, INT((DAY(Q15+30)-1)/7)+1 = Paramètres!$B$14),"VERTS, ","")&amp;IF(DAY(Q15+30)=Paramètres!$B$17,"ENCOMBRANTS, ","")),", "," / "))</f>
        <v>0</v>
      </c>
      <c r="T20" s="7">
        <f>IF(MONTH(Q15+31)&lt;&gt;6,"",TEXT(Q15+31,"d") &amp; CHAR(10) &amp; SUBSTITUTE(TRIM(IF(OR(WEEKDAY(Q15+31,2)=Paramètres!$B$5, WEEKDAY(Q15+31,2)=Paramètres!$B$6),"OM, ","")&amp;IF(WEEKDAY(Q15+31,2)=Paramètres!$B$8,"TRI, ","")&amp;IF(AND(WEEKDAY(Q15+31,2)=Paramètres!$B$11, MOD(INT((Q15+31-Paramètres!$B$10)/7),2)=0, Q15+31&gt;=Paramètres!$B$10),"VERRE, ","")&amp;IF(AND(WEEKDAY(Q15+31,2)=Paramètres!$B$15, INT((DAY(Q15+31)-1)/7)+1 = Paramètres!$B$14),"VERTS, ","")&amp;IF(DAY(Q15+31)=Paramètres!$B$17,"ENCOMBRANTS, ","")),", "," / "))</f>
        <v>0</v>
      </c>
      <c r="U20" s="7">
        <f>IF(MONTH(Q15+32)&lt;&gt;6,"",TEXT(Q15+32,"d") &amp; CHAR(10) &amp; SUBSTITUTE(TRIM(IF(OR(WEEKDAY(Q15+32,2)=Paramètres!$B$5, WEEKDAY(Q15+32,2)=Paramètres!$B$6),"OM, ","")&amp;IF(WEEKDAY(Q15+32,2)=Paramètres!$B$8,"TRI, ","")&amp;IF(AND(WEEKDAY(Q15+32,2)=Paramètres!$B$11, MOD(INT((Q15+32-Paramètres!$B$10)/7),2)=0, Q15+32&gt;=Paramètres!$B$10),"VERRE, ","")&amp;IF(AND(WEEKDAY(Q15+32,2)=Paramètres!$B$15, INT((DAY(Q15+32)-1)/7)+1 = Paramètres!$B$14),"VERTS, ","")&amp;IF(DAY(Q15+32)=Paramètres!$B$17,"ENCOMBRANTS, ","")),", "," / "))</f>
        <v>0</v>
      </c>
      <c r="V20" s="7">
        <f>IF(MONTH(Q15+33)&lt;&gt;6,"",TEXT(Q15+33,"d") &amp; CHAR(10) &amp; SUBSTITUTE(TRIM(IF(OR(WEEKDAY(Q15+33,2)=Paramètres!$B$5, WEEKDAY(Q15+33,2)=Paramètres!$B$6),"OM, ","")&amp;IF(WEEKDAY(Q15+33,2)=Paramètres!$B$8,"TRI, ","")&amp;IF(AND(WEEKDAY(Q15+33,2)=Paramètres!$B$11, MOD(INT((Q15+33-Paramètres!$B$10)/7),2)=0, Q15+33&gt;=Paramètres!$B$10),"VERRE, ","")&amp;IF(AND(WEEKDAY(Q15+33,2)=Paramètres!$B$15, INT((DAY(Q15+33)-1)/7)+1 = Paramètres!$B$14),"VERTS, ","")&amp;IF(DAY(Q15+33)=Paramètres!$B$17,"ENCOMBRANTS, ","")),", "," / "))</f>
        <v>0</v>
      </c>
      <c r="W20" s="7">
        <f>IF(MONTH(Q15+34)&lt;&gt;6,"",TEXT(Q15+34,"d") &amp; CHAR(10) &amp; SUBSTITUTE(TRIM(IF(OR(WEEKDAY(Q15+34,2)=Paramètres!$B$5, WEEKDAY(Q15+34,2)=Paramètres!$B$6),"OM, ","")&amp;IF(WEEKDAY(Q15+34,2)=Paramètres!$B$8,"TRI, ","")&amp;IF(AND(WEEKDAY(Q15+34,2)=Paramètres!$B$11, MOD(INT((Q15+34-Paramètres!$B$10)/7),2)=0, Q15+34&gt;=Paramètres!$B$10),"VERRE, ","")&amp;IF(AND(WEEKDAY(Q15+34,2)=Paramètres!$B$15, INT((DAY(Q15+34)-1)/7)+1 = Paramètres!$B$14),"VERTS, ","")&amp;IF(DAY(Q15+34)=Paramètres!$B$17,"ENCOMBRANTS, ","")),", "," / "))</f>
        <v>0</v>
      </c>
    </row>
    <row r="21" spans="1:23">
      <c r="A21" s="7">
        <f>IF(MONTH(A15+35)&lt;&gt;4,"",TEXT(A15+35,"d") &amp; CHAR(10) &amp; SUBSTITUTE(TRIM(IF(OR(WEEKDAY(A15+35,2)=Paramètres!$B$5, WEEKDAY(A15+35,2)=Paramètres!$B$6),"OM, ","")&amp;IF(WEEKDAY(A15+35,2)=Paramètres!$B$8,"TRI, ","")&amp;IF(AND(WEEKDAY(A15+35,2)=Paramètres!$B$11, MOD(INT((A15+35-Paramètres!$B$10)/7),2)=0, A15+35&gt;=Paramètres!$B$10),"VERRE, ","")&amp;IF(AND(WEEKDAY(A15+35,2)=Paramètres!$B$15, INT((DAY(A15+35)-1)/7)+1 = Paramètres!$B$14),"VERTS, ","")&amp;IF(DAY(A15+35)=Paramètres!$B$17,"ENCOMBRANTS, ","")),", "," / "))</f>
        <v>0</v>
      </c>
      <c r="B21" s="7">
        <f>IF(MONTH(A15+36)&lt;&gt;4,"",TEXT(A15+36,"d") &amp; CHAR(10) &amp; SUBSTITUTE(TRIM(IF(OR(WEEKDAY(A15+36,2)=Paramètres!$B$5, WEEKDAY(A15+36,2)=Paramètres!$B$6),"OM, ","")&amp;IF(WEEKDAY(A15+36,2)=Paramètres!$B$8,"TRI, ","")&amp;IF(AND(WEEKDAY(A15+36,2)=Paramètres!$B$11, MOD(INT((A15+36-Paramètres!$B$10)/7),2)=0, A15+36&gt;=Paramètres!$B$10),"VERRE, ","")&amp;IF(AND(WEEKDAY(A15+36,2)=Paramètres!$B$15, INT((DAY(A15+36)-1)/7)+1 = Paramètres!$B$14),"VERTS, ","")&amp;IF(DAY(A15+36)=Paramètres!$B$17,"ENCOMBRANTS, ","")),", "," / "))</f>
        <v>0</v>
      </c>
      <c r="C21" s="7">
        <f>IF(MONTH(A15+37)&lt;&gt;4,"",TEXT(A15+37,"d") &amp; CHAR(10) &amp; SUBSTITUTE(TRIM(IF(OR(WEEKDAY(A15+37,2)=Paramètres!$B$5, WEEKDAY(A15+37,2)=Paramètres!$B$6),"OM, ","")&amp;IF(WEEKDAY(A15+37,2)=Paramètres!$B$8,"TRI, ","")&amp;IF(AND(WEEKDAY(A15+37,2)=Paramètres!$B$11, MOD(INT((A15+37-Paramètres!$B$10)/7),2)=0, A15+37&gt;=Paramètres!$B$10),"VERRE, ","")&amp;IF(AND(WEEKDAY(A15+37,2)=Paramètres!$B$15, INT((DAY(A15+37)-1)/7)+1 = Paramètres!$B$14),"VERTS, ","")&amp;IF(DAY(A15+37)=Paramètres!$B$17,"ENCOMBRANTS, ","")),", "," / "))</f>
        <v>0</v>
      </c>
      <c r="D21" s="7">
        <f>IF(MONTH(A15+38)&lt;&gt;4,"",TEXT(A15+38,"d") &amp; CHAR(10) &amp; SUBSTITUTE(TRIM(IF(OR(WEEKDAY(A15+38,2)=Paramètres!$B$5, WEEKDAY(A15+38,2)=Paramètres!$B$6),"OM, ","")&amp;IF(WEEKDAY(A15+38,2)=Paramètres!$B$8,"TRI, ","")&amp;IF(AND(WEEKDAY(A15+38,2)=Paramètres!$B$11, MOD(INT((A15+38-Paramètres!$B$10)/7),2)=0, A15+38&gt;=Paramètres!$B$10),"VERRE, ","")&amp;IF(AND(WEEKDAY(A15+38,2)=Paramètres!$B$15, INT((DAY(A15+38)-1)/7)+1 = Paramètres!$B$14),"VERTS, ","")&amp;IF(DAY(A15+38)=Paramètres!$B$17,"ENCOMBRANTS, ","")),", "," / "))</f>
        <v>0</v>
      </c>
      <c r="E21" s="7">
        <f>IF(MONTH(A15+39)&lt;&gt;4,"",TEXT(A15+39,"d") &amp; CHAR(10) &amp; SUBSTITUTE(TRIM(IF(OR(WEEKDAY(A15+39,2)=Paramètres!$B$5, WEEKDAY(A15+39,2)=Paramètres!$B$6),"OM, ","")&amp;IF(WEEKDAY(A15+39,2)=Paramètres!$B$8,"TRI, ","")&amp;IF(AND(WEEKDAY(A15+39,2)=Paramètres!$B$11, MOD(INT((A15+39-Paramètres!$B$10)/7),2)=0, A15+39&gt;=Paramètres!$B$10),"VERRE, ","")&amp;IF(AND(WEEKDAY(A15+39,2)=Paramètres!$B$15, INT((DAY(A15+39)-1)/7)+1 = Paramètres!$B$14),"VERTS, ","")&amp;IF(DAY(A15+39)=Paramètres!$B$17,"ENCOMBRANTS, ","")),", "," / "))</f>
        <v>0</v>
      </c>
      <c r="F21" s="7">
        <f>IF(MONTH(A15+40)&lt;&gt;4,"",TEXT(A15+40,"d") &amp; CHAR(10) &amp; SUBSTITUTE(TRIM(IF(OR(WEEKDAY(A15+40,2)=Paramètres!$B$5, WEEKDAY(A15+40,2)=Paramètres!$B$6),"OM, ","")&amp;IF(WEEKDAY(A15+40,2)=Paramètres!$B$8,"TRI, ","")&amp;IF(AND(WEEKDAY(A15+40,2)=Paramètres!$B$11, MOD(INT((A15+40-Paramètres!$B$10)/7),2)=0, A15+40&gt;=Paramètres!$B$10),"VERRE, ","")&amp;IF(AND(WEEKDAY(A15+40,2)=Paramètres!$B$15, INT((DAY(A15+40)-1)/7)+1 = Paramètres!$B$14),"VERTS, ","")&amp;IF(DAY(A15+40)=Paramètres!$B$17,"ENCOMBRANTS, ","")),", "," / "))</f>
        <v>0</v>
      </c>
      <c r="G21" s="7">
        <f>IF(MONTH(A15+41)&lt;&gt;4,"",TEXT(A15+41,"d") &amp; CHAR(10) &amp; SUBSTITUTE(TRIM(IF(OR(WEEKDAY(A15+41,2)=Paramètres!$B$5, WEEKDAY(A15+41,2)=Paramètres!$B$6),"OM, ","")&amp;IF(WEEKDAY(A15+41,2)=Paramètres!$B$8,"TRI, ","")&amp;IF(AND(WEEKDAY(A15+41,2)=Paramètres!$B$11, MOD(INT((A15+41-Paramètres!$B$10)/7),2)=0, A15+41&gt;=Paramètres!$B$10),"VERRE, ","")&amp;IF(AND(WEEKDAY(A15+41,2)=Paramètres!$B$15, INT((DAY(A15+41)-1)/7)+1 = Paramètres!$B$14),"VERTS, ","")&amp;IF(DAY(A15+41)=Paramètres!$B$17,"ENCOMBRANTS, ","")),", "," / "))</f>
        <v>0</v>
      </c>
      <c r="I21" s="7">
        <f>IF(MONTH(I15+35)&lt;&gt;5,"",TEXT(I15+35,"d") &amp; CHAR(10) &amp; SUBSTITUTE(TRIM(IF(OR(WEEKDAY(I15+35,2)=Paramètres!$B$5, WEEKDAY(I15+35,2)=Paramètres!$B$6),"OM, ","")&amp;IF(WEEKDAY(I15+35,2)=Paramètres!$B$8,"TRI, ","")&amp;IF(AND(WEEKDAY(I15+35,2)=Paramètres!$B$11, MOD(INT((I15+35-Paramètres!$B$10)/7),2)=0, I15+35&gt;=Paramètres!$B$10),"VERRE, ","")&amp;IF(AND(WEEKDAY(I15+35,2)=Paramètres!$B$15, INT((DAY(I15+35)-1)/7)+1 = Paramètres!$B$14),"VERTS, ","")&amp;IF(DAY(I15+35)=Paramètres!$B$17,"ENCOMBRANTS, ","")),", "," / "))</f>
        <v>0</v>
      </c>
      <c r="J21" s="7">
        <f>IF(MONTH(I15+36)&lt;&gt;5,"",TEXT(I15+36,"d") &amp; CHAR(10) &amp; SUBSTITUTE(TRIM(IF(OR(WEEKDAY(I15+36,2)=Paramètres!$B$5, WEEKDAY(I15+36,2)=Paramètres!$B$6),"OM, ","")&amp;IF(WEEKDAY(I15+36,2)=Paramètres!$B$8,"TRI, ","")&amp;IF(AND(WEEKDAY(I15+36,2)=Paramètres!$B$11, MOD(INT((I15+36-Paramètres!$B$10)/7),2)=0, I15+36&gt;=Paramètres!$B$10),"VERRE, ","")&amp;IF(AND(WEEKDAY(I15+36,2)=Paramètres!$B$15, INT((DAY(I15+36)-1)/7)+1 = Paramètres!$B$14),"VERTS, ","")&amp;IF(DAY(I15+36)=Paramètres!$B$17,"ENCOMBRANTS, ","")),", "," / "))</f>
        <v>0</v>
      </c>
      <c r="K21" s="7">
        <f>IF(MONTH(I15+37)&lt;&gt;5,"",TEXT(I15+37,"d") &amp; CHAR(10) &amp; SUBSTITUTE(TRIM(IF(OR(WEEKDAY(I15+37,2)=Paramètres!$B$5, WEEKDAY(I15+37,2)=Paramètres!$B$6),"OM, ","")&amp;IF(WEEKDAY(I15+37,2)=Paramètres!$B$8,"TRI, ","")&amp;IF(AND(WEEKDAY(I15+37,2)=Paramètres!$B$11, MOD(INT((I15+37-Paramètres!$B$10)/7),2)=0, I15+37&gt;=Paramètres!$B$10),"VERRE, ","")&amp;IF(AND(WEEKDAY(I15+37,2)=Paramètres!$B$15, INT((DAY(I15+37)-1)/7)+1 = Paramètres!$B$14),"VERTS, ","")&amp;IF(DAY(I15+37)=Paramètres!$B$17,"ENCOMBRANTS, ","")),", "," / "))</f>
        <v>0</v>
      </c>
      <c r="L21" s="7">
        <f>IF(MONTH(I15+38)&lt;&gt;5,"",TEXT(I15+38,"d") &amp; CHAR(10) &amp; SUBSTITUTE(TRIM(IF(OR(WEEKDAY(I15+38,2)=Paramètres!$B$5, WEEKDAY(I15+38,2)=Paramètres!$B$6),"OM, ","")&amp;IF(WEEKDAY(I15+38,2)=Paramètres!$B$8,"TRI, ","")&amp;IF(AND(WEEKDAY(I15+38,2)=Paramètres!$B$11, MOD(INT((I15+38-Paramètres!$B$10)/7),2)=0, I15+38&gt;=Paramètres!$B$10),"VERRE, ","")&amp;IF(AND(WEEKDAY(I15+38,2)=Paramètres!$B$15, INT((DAY(I15+38)-1)/7)+1 = Paramètres!$B$14),"VERTS, ","")&amp;IF(DAY(I15+38)=Paramètres!$B$17,"ENCOMBRANTS, ","")),", "," / "))</f>
        <v>0</v>
      </c>
      <c r="M21" s="7">
        <f>IF(MONTH(I15+39)&lt;&gt;5,"",TEXT(I15+39,"d") &amp; CHAR(10) &amp; SUBSTITUTE(TRIM(IF(OR(WEEKDAY(I15+39,2)=Paramètres!$B$5, WEEKDAY(I15+39,2)=Paramètres!$B$6),"OM, ","")&amp;IF(WEEKDAY(I15+39,2)=Paramètres!$B$8,"TRI, ","")&amp;IF(AND(WEEKDAY(I15+39,2)=Paramètres!$B$11, MOD(INT((I15+39-Paramètres!$B$10)/7),2)=0, I15+39&gt;=Paramètres!$B$10),"VERRE, ","")&amp;IF(AND(WEEKDAY(I15+39,2)=Paramètres!$B$15, INT((DAY(I15+39)-1)/7)+1 = Paramètres!$B$14),"VERTS, ","")&amp;IF(DAY(I15+39)=Paramètres!$B$17,"ENCOMBRANTS, ","")),", "," / "))</f>
        <v>0</v>
      </c>
      <c r="N21" s="7">
        <f>IF(MONTH(I15+40)&lt;&gt;5,"",TEXT(I15+40,"d") &amp; CHAR(10) &amp; SUBSTITUTE(TRIM(IF(OR(WEEKDAY(I15+40,2)=Paramètres!$B$5, WEEKDAY(I15+40,2)=Paramètres!$B$6),"OM, ","")&amp;IF(WEEKDAY(I15+40,2)=Paramètres!$B$8,"TRI, ","")&amp;IF(AND(WEEKDAY(I15+40,2)=Paramètres!$B$11, MOD(INT((I15+40-Paramètres!$B$10)/7),2)=0, I15+40&gt;=Paramètres!$B$10),"VERRE, ","")&amp;IF(AND(WEEKDAY(I15+40,2)=Paramètres!$B$15, INT((DAY(I15+40)-1)/7)+1 = Paramètres!$B$14),"VERTS, ","")&amp;IF(DAY(I15+40)=Paramètres!$B$17,"ENCOMBRANTS, ","")),", "," / "))</f>
        <v>0</v>
      </c>
      <c r="O21" s="7">
        <f>IF(MONTH(I15+41)&lt;&gt;5,"",TEXT(I15+41,"d") &amp; CHAR(10) &amp; SUBSTITUTE(TRIM(IF(OR(WEEKDAY(I15+41,2)=Paramètres!$B$5, WEEKDAY(I15+41,2)=Paramètres!$B$6),"OM, ","")&amp;IF(WEEKDAY(I15+41,2)=Paramètres!$B$8,"TRI, ","")&amp;IF(AND(WEEKDAY(I15+41,2)=Paramètres!$B$11, MOD(INT((I15+41-Paramètres!$B$10)/7),2)=0, I15+41&gt;=Paramètres!$B$10),"VERRE, ","")&amp;IF(AND(WEEKDAY(I15+41,2)=Paramètres!$B$15, INT((DAY(I15+41)-1)/7)+1 = Paramètres!$B$14),"VERTS, ","")&amp;IF(DAY(I15+41)=Paramètres!$B$17,"ENCOMBRANTS, ","")),", "," / "))</f>
        <v>0</v>
      </c>
      <c r="Q21" s="7">
        <f>IF(MONTH(Q15+35)&lt;&gt;6,"",TEXT(Q15+35,"d") &amp; CHAR(10) &amp; SUBSTITUTE(TRIM(IF(OR(WEEKDAY(Q15+35,2)=Paramètres!$B$5, WEEKDAY(Q15+35,2)=Paramètres!$B$6),"OM, ","")&amp;IF(WEEKDAY(Q15+35,2)=Paramètres!$B$8,"TRI, ","")&amp;IF(AND(WEEKDAY(Q15+35,2)=Paramètres!$B$11, MOD(INT((Q15+35-Paramètres!$B$10)/7),2)=0, Q15+35&gt;=Paramètres!$B$10),"VERRE, ","")&amp;IF(AND(WEEKDAY(Q15+35,2)=Paramètres!$B$15, INT((DAY(Q15+35)-1)/7)+1 = Paramètres!$B$14),"VERTS, ","")&amp;IF(DAY(Q15+35)=Paramètres!$B$17,"ENCOMBRANTS, ","")),", "," / "))</f>
        <v>0</v>
      </c>
      <c r="R21" s="7">
        <f>IF(MONTH(Q15+36)&lt;&gt;6,"",TEXT(Q15+36,"d") &amp; CHAR(10) &amp; SUBSTITUTE(TRIM(IF(OR(WEEKDAY(Q15+36,2)=Paramètres!$B$5, WEEKDAY(Q15+36,2)=Paramètres!$B$6),"OM, ","")&amp;IF(WEEKDAY(Q15+36,2)=Paramètres!$B$8,"TRI, ","")&amp;IF(AND(WEEKDAY(Q15+36,2)=Paramètres!$B$11, MOD(INT((Q15+36-Paramètres!$B$10)/7),2)=0, Q15+36&gt;=Paramètres!$B$10),"VERRE, ","")&amp;IF(AND(WEEKDAY(Q15+36,2)=Paramètres!$B$15, INT((DAY(Q15+36)-1)/7)+1 = Paramètres!$B$14),"VERTS, ","")&amp;IF(DAY(Q15+36)=Paramètres!$B$17,"ENCOMBRANTS, ","")),", "," / "))</f>
        <v>0</v>
      </c>
      <c r="S21" s="7">
        <f>IF(MONTH(Q15+37)&lt;&gt;6,"",TEXT(Q15+37,"d") &amp; CHAR(10) &amp; SUBSTITUTE(TRIM(IF(OR(WEEKDAY(Q15+37,2)=Paramètres!$B$5, WEEKDAY(Q15+37,2)=Paramètres!$B$6),"OM, ","")&amp;IF(WEEKDAY(Q15+37,2)=Paramètres!$B$8,"TRI, ","")&amp;IF(AND(WEEKDAY(Q15+37,2)=Paramètres!$B$11, MOD(INT((Q15+37-Paramètres!$B$10)/7),2)=0, Q15+37&gt;=Paramètres!$B$10),"VERRE, ","")&amp;IF(AND(WEEKDAY(Q15+37,2)=Paramètres!$B$15, INT((DAY(Q15+37)-1)/7)+1 = Paramètres!$B$14),"VERTS, ","")&amp;IF(DAY(Q15+37)=Paramètres!$B$17,"ENCOMBRANTS, ","")),", "," / "))</f>
        <v>0</v>
      </c>
      <c r="T21" s="7">
        <f>IF(MONTH(Q15+38)&lt;&gt;6,"",TEXT(Q15+38,"d") &amp; CHAR(10) &amp; SUBSTITUTE(TRIM(IF(OR(WEEKDAY(Q15+38,2)=Paramètres!$B$5, WEEKDAY(Q15+38,2)=Paramètres!$B$6),"OM, ","")&amp;IF(WEEKDAY(Q15+38,2)=Paramètres!$B$8,"TRI, ","")&amp;IF(AND(WEEKDAY(Q15+38,2)=Paramètres!$B$11, MOD(INT((Q15+38-Paramètres!$B$10)/7),2)=0, Q15+38&gt;=Paramètres!$B$10),"VERRE, ","")&amp;IF(AND(WEEKDAY(Q15+38,2)=Paramètres!$B$15, INT((DAY(Q15+38)-1)/7)+1 = Paramètres!$B$14),"VERTS, ","")&amp;IF(DAY(Q15+38)=Paramètres!$B$17,"ENCOMBRANTS, ","")),", "," / "))</f>
        <v>0</v>
      </c>
      <c r="U21" s="7">
        <f>IF(MONTH(Q15+39)&lt;&gt;6,"",TEXT(Q15+39,"d") &amp; CHAR(10) &amp; SUBSTITUTE(TRIM(IF(OR(WEEKDAY(Q15+39,2)=Paramètres!$B$5, WEEKDAY(Q15+39,2)=Paramètres!$B$6),"OM, ","")&amp;IF(WEEKDAY(Q15+39,2)=Paramètres!$B$8,"TRI, ","")&amp;IF(AND(WEEKDAY(Q15+39,2)=Paramètres!$B$11, MOD(INT((Q15+39-Paramètres!$B$10)/7),2)=0, Q15+39&gt;=Paramètres!$B$10),"VERRE, ","")&amp;IF(AND(WEEKDAY(Q15+39,2)=Paramètres!$B$15, INT((DAY(Q15+39)-1)/7)+1 = Paramètres!$B$14),"VERTS, ","")&amp;IF(DAY(Q15+39)=Paramètres!$B$17,"ENCOMBRANTS, ","")),", "," / "))</f>
        <v>0</v>
      </c>
      <c r="V21" s="7">
        <f>IF(MONTH(Q15+40)&lt;&gt;6,"",TEXT(Q15+40,"d") &amp; CHAR(10) &amp; SUBSTITUTE(TRIM(IF(OR(WEEKDAY(Q15+40,2)=Paramètres!$B$5, WEEKDAY(Q15+40,2)=Paramètres!$B$6),"OM, ","")&amp;IF(WEEKDAY(Q15+40,2)=Paramètres!$B$8,"TRI, ","")&amp;IF(AND(WEEKDAY(Q15+40,2)=Paramètres!$B$11, MOD(INT((Q15+40-Paramètres!$B$10)/7),2)=0, Q15+40&gt;=Paramètres!$B$10),"VERRE, ","")&amp;IF(AND(WEEKDAY(Q15+40,2)=Paramètres!$B$15, INT((DAY(Q15+40)-1)/7)+1 = Paramètres!$B$14),"VERTS, ","")&amp;IF(DAY(Q15+40)=Paramètres!$B$17,"ENCOMBRANTS, ","")),", "," / "))</f>
        <v>0</v>
      </c>
      <c r="W21" s="7">
        <f>IF(MONTH(Q15+41)&lt;&gt;6,"",TEXT(Q15+41,"d") &amp; CHAR(10) &amp; SUBSTITUTE(TRIM(IF(OR(WEEKDAY(Q15+41,2)=Paramètres!$B$5, WEEKDAY(Q15+41,2)=Paramètres!$B$6),"OM, ","")&amp;IF(WEEKDAY(Q15+41,2)=Paramètres!$B$8,"TRI, ","")&amp;IF(AND(WEEKDAY(Q15+41,2)=Paramètres!$B$11, MOD(INT((Q15+41-Paramètres!$B$10)/7),2)=0, Q15+41&gt;=Paramètres!$B$10),"VERRE, ","")&amp;IF(AND(WEEKDAY(Q15+41,2)=Paramètres!$B$15, INT((DAY(Q15+41)-1)/7)+1 = Paramètres!$B$14),"VERTS, ","")&amp;IF(DAY(Q15+41)=Paramètres!$B$17,"ENCOMBRANTS, ","")),", "," / "))</f>
        <v>0</v>
      </c>
    </row>
    <row r="22" spans="1:23">
      <c r="A22" s="5">
        <f>DATE(Paramètres!$B$3,7,1)</f>
        <v>0</v>
      </c>
      <c r="B22" s="6"/>
      <c r="C22" s="6"/>
      <c r="D22" s="6"/>
      <c r="E22" s="6"/>
      <c r="F22" s="6"/>
      <c r="G22" s="6"/>
      <c r="I22" s="5">
        <f>DATE(Paramètres!$B$3,8,1)</f>
        <v>0</v>
      </c>
      <c r="J22" s="6"/>
      <c r="K22" s="6"/>
      <c r="L22" s="6"/>
      <c r="M22" s="6"/>
      <c r="N22" s="6"/>
      <c r="O22" s="6"/>
      <c r="Q22" s="5">
        <f>DATE(Paramètres!$B$3,9,1)</f>
        <v>0</v>
      </c>
      <c r="R22" s="6"/>
      <c r="S22" s="6"/>
      <c r="T22" s="6"/>
      <c r="U22" s="6"/>
      <c r="V22" s="6"/>
      <c r="W22" s="6"/>
    </row>
    <row r="23" spans="1:23">
      <c r="A23" s="2" t="s">
        <v>18</v>
      </c>
      <c r="B23" s="2" t="s">
        <v>19</v>
      </c>
      <c r="C23" s="2" t="s">
        <v>20</v>
      </c>
      <c r="D23" s="2" t="s">
        <v>21</v>
      </c>
      <c r="E23" s="2" t="s">
        <v>22</v>
      </c>
      <c r="F23" s="2" t="s">
        <v>23</v>
      </c>
      <c r="G23" s="2" t="s">
        <v>24</v>
      </c>
      <c r="I23" s="2" t="s">
        <v>18</v>
      </c>
      <c r="J23" s="2" t="s">
        <v>19</v>
      </c>
      <c r="K23" s="2" t="s">
        <v>20</v>
      </c>
      <c r="L23" s="2" t="s">
        <v>21</v>
      </c>
      <c r="M23" s="2" t="s">
        <v>22</v>
      </c>
      <c r="N23" s="2" t="s">
        <v>23</v>
      </c>
      <c r="O23" s="2" t="s">
        <v>24</v>
      </c>
      <c r="Q23" s="2" t="s">
        <v>18</v>
      </c>
      <c r="R23" s="2" t="s">
        <v>19</v>
      </c>
      <c r="S23" s="2" t="s">
        <v>20</v>
      </c>
      <c r="T23" s="2" t="s">
        <v>21</v>
      </c>
      <c r="U23" s="2" t="s">
        <v>22</v>
      </c>
      <c r="V23" s="2" t="s">
        <v>23</v>
      </c>
      <c r="W23" s="2" t="s">
        <v>24</v>
      </c>
    </row>
    <row r="24" spans="1:23">
      <c r="A24">
        <f>DATE(Paramètres!$B$3,7,1)-MOD(WEEKDAY(DATE(Paramètres!$B$3,7,1),2)-1,7)</f>
        <v>0</v>
      </c>
      <c r="I24">
        <f>DATE(Paramètres!$B$3,8,1)-MOD(WEEKDAY(DATE(Paramètres!$B$3,8,1),2)-1,7)</f>
        <v>0</v>
      </c>
      <c r="Q24">
        <f>DATE(Paramètres!$B$3,9,1)-MOD(WEEKDAY(DATE(Paramètres!$B$3,9,1),2)-1,7)</f>
        <v>0</v>
      </c>
    </row>
    <row r="25" spans="1:23">
      <c r="A25" s="7">
        <f>IF(MONTH(A24+0)&lt;&gt;7,"",TEXT(A24+0,"d") &amp; CHAR(10) &amp; SUBSTITUTE(TRIM(IF(OR(WEEKDAY(A24+0,2)=Paramètres!$B$5, WEEKDAY(A24+0,2)=Paramètres!$B$6),"OM, ","")&amp;IF(WEEKDAY(A24+0,2)=Paramètres!$B$8,"TRI, ","")&amp;IF(AND(WEEKDAY(A24+0,2)=Paramètres!$B$11, MOD(INT((A24+0-Paramètres!$B$10)/7),2)=0, A24+0&gt;=Paramètres!$B$10),"VERRE, ","")&amp;IF(AND(WEEKDAY(A24+0,2)=Paramètres!$B$15, INT((DAY(A24+0)-1)/7)+1 = Paramètres!$B$14),"VERTS, ","")&amp;IF(DAY(A24+0)=Paramètres!$B$17,"ENCOMBRANTS, ","")),", "," / "))</f>
        <v>0</v>
      </c>
      <c r="B25" s="7">
        <f>IF(MONTH(A24+1)&lt;&gt;7,"",TEXT(A24+1,"d") &amp; CHAR(10) &amp; SUBSTITUTE(TRIM(IF(OR(WEEKDAY(A24+1,2)=Paramètres!$B$5, WEEKDAY(A24+1,2)=Paramètres!$B$6),"OM, ","")&amp;IF(WEEKDAY(A24+1,2)=Paramètres!$B$8,"TRI, ","")&amp;IF(AND(WEEKDAY(A24+1,2)=Paramètres!$B$11, MOD(INT((A24+1-Paramètres!$B$10)/7),2)=0, A24+1&gt;=Paramètres!$B$10),"VERRE, ","")&amp;IF(AND(WEEKDAY(A24+1,2)=Paramètres!$B$15, INT((DAY(A24+1)-1)/7)+1 = Paramètres!$B$14),"VERTS, ","")&amp;IF(DAY(A24+1)=Paramètres!$B$17,"ENCOMBRANTS, ","")),", "," / "))</f>
        <v>0</v>
      </c>
      <c r="C25" s="7">
        <f>IF(MONTH(A24+2)&lt;&gt;7,"",TEXT(A24+2,"d") &amp; CHAR(10) &amp; SUBSTITUTE(TRIM(IF(OR(WEEKDAY(A24+2,2)=Paramètres!$B$5, WEEKDAY(A24+2,2)=Paramètres!$B$6),"OM, ","")&amp;IF(WEEKDAY(A24+2,2)=Paramètres!$B$8,"TRI, ","")&amp;IF(AND(WEEKDAY(A24+2,2)=Paramètres!$B$11, MOD(INT((A24+2-Paramètres!$B$10)/7),2)=0, A24+2&gt;=Paramètres!$B$10),"VERRE, ","")&amp;IF(AND(WEEKDAY(A24+2,2)=Paramètres!$B$15, INT((DAY(A24+2)-1)/7)+1 = Paramètres!$B$14),"VERTS, ","")&amp;IF(DAY(A24+2)=Paramètres!$B$17,"ENCOMBRANTS, ","")),", "," / "))</f>
        <v>0</v>
      </c>
      <c r="D25" s="7">
        <f>IF(MONTH(A24+3)&lt;&gt;7,"",TEXT(A24+3,"d") &amp; CHAR(10) &amp; SUBSTITUTE(TRIM(IF(OR(WEEKDAY(A24+3,2)=Paramètres!$B$5, WEEKDAY(A24+3,2)=Paramètres!$B$6),"OM, ","")&amp;IF(WEEKDAY(A24+3,2)=Paramètres!$B$8,"TRI, ","")&amp;IF(AND(WEEKDAY(A24+3,2)=Paramètres!$B$11, MOD(INT((A24+3-Paramètres!$B$10)/7),2)=0, A24+3&gt;=Paramètres!$B$10),"VERRE, ","")&amp;IF(AND(WEEKDAY(A24+3,2)=Paramètres!$B$15, INT((DAY(A24+3)-1)/7)+1 = Paramètres!$B$14),"VERTS, ","")&amp;IF(DAY(A24+3)=Paramètres!$B$17,"ENCOMBRANTS, ","")),", "," / "))</f>
        <v>0</v>
      </c>
      <c r="E25" s="7">
        <f>IF(MONTH(A24+4)&lt;&gt;7,"",TEXT(A24+4,"d") &amp; CHAR(10) &amp; SUBSTITUTE(TRIM(IF(OR(WEEKDAY(A24+4,2)=Paramètres!$B$5, WEEKDAY(A24+4,2)=Paramètres!$B$6),"OM, ","")&amp;IF(WEEKDAY(A24+4,2)=Paramètres!$B$8,"TRI, ","")&amp;IF(AND(WEEKDAY(A24+4,2)=Paramètres!$B$11, MOD(INT((A24+4-Paramètres!$B$10)/7),2)=0, A24+4&gt;=Paramètres!$B$10),"VERRE, ","")&amp;IF(AND(WEEKDAY(A24+4,2)=Paramètres!$B$15, INT((DAY(A24+4)-1)/7)+1 = Paramètres!$B$14),"VERTS, ","")&amp;IF(DAY(A24+4)=Paramètres!$B$17,"ENCOMBRANTS, ","")),", "," / "))</f>
        <v>0</v>
      </c>
      <c r="F25" s="7">
        <f>IF(MONTH(A24+5)&lt;&gt;7,"",TEXT(A24+5,"d") &amp; CHAR(10) &amp; SUBSTITUTE(TRIM(IF(OR(WEEKDAY(A24+5,2)=Paramètres!$B$5, WEEKDAY(A24+5,2)=Paramètres!$B$6),"OM, ","")&amp;IF(WEEKDAY(A24+5,2)=Paramètres!$B$8,"TRI, ","")&amp;IF(AND(WEEKDAY(A24+5,2)=Paramètres!$B$11, MOD(INT((A24+5-Paramètres!$B$10)/7),2)=0, A24+5&gt;=Paramètres!$B$10),"VERRE, ","")&amp;IF(AND(WEEKDAY(A24+5,2)=Paramètres!$B$15, INT((DAY(A24+5)-1)/7)+1 = Paramètres!$B$14),"VERTS, ","")&amp;IF(DAY(A24+5)=Paramètres!$B$17,"ENCOMBRANTS, ","")),", "," / "))</f>
        <v>0</v>
      </c>
      <c r="G25" s="7">
        <f>IF(MONTH(A24+6)&lt;&gt;7,"",TEXT(A24+6,"d") &amp; CHAR(10) &amp; SUBSTITUTE(TRIM(IF(OR(WEEKDAY(A24+6,2)=Paramètres!$B$5, WEEKDAY(A24+6,2)=Paramètres!$B$6),"OM, ","")&amp;IF(WEEKDAY(A24+6,2)=Paramètres!$B$8,"TRI, ","")&amp;IF(AND(WEEKDAY(A24+6,2)=Paramètres!$B$11, MOD(INT((A24+6-Paramètres!$B$10)/7),2)=0, A24+6&gt;=Paramètres!$B$10),"VERRE, ","")&amp;IF(AND(WEEKDAY(A24+6,2)=Paramètres!$B$15, INT((DAY(A24+6)-1)/7)+1 = Paramètres!$B$14),"VERTS, ","")&amp;IF(DAY(A24+6)=Paramètres!$B$17,"ENCOMBRANTS, ","")),", "," / "))</f>
        <v>0</v>
      </c>
      <c r="I25" s="7">
        <f>IF(MONTH(I24+0)&lt;&gt;8,"",TEXT(I24+0,"d") &amp; CHAR(10) &amp; SUBSTITUTE(TRIM(IF(OR(WEEKDAY(I24+0,2)=Paramètres!$B$5, WEEKDAY(I24+0,2)=Paramètres!$B$6),"OM, ","")&amp;IF(WEEKDAY(I24+0,2)=Paramètres!$B$8,"TRI, ","")&amp;IF(AND(WEEKDAY(I24+0,2)=Paramètres!$B$11, MOD(INT((I24+0-Paramètres!$B$10)/7),2)=0, I24+0&gt;=Paramètres!$B$10),"VERRE, ","")&amp;IF(AND(WEEKDAY(I24+0,2)=Paramètres!$B$15, INT((DAY(I24+0)-1)/7)+1 = Paramètres!$B$14),"VERTS, ","")&amp;IF(DAY(I24+0)=Paramètres!$B$17,"ENCOMBRANTS, ","")),", "," / "))</f>
        <v>0</v>
      </c>
      <c r="J25" s="7">
        <f>IF(MONTH(I24+1)&lt;&gt;8,"",TEXT(I24+1,"d") &amp; CHAR(10) &amp; SUBSTITUTE(TRIM(IF(OR(WEEKDAY(I24+1,2)=Paramètres!$B$5, WEEKDAY(I24+1,2)=Paramètres!$B$6),"OM, ","")&amp;IF(WEEKDAY(I24+1,2)=Paramètres!$B$8,"TRI, ","")&amp;IF(AND(WEEKDAY(I24+1,2)=Paramètres!$B$11, MOD(INT((I24+1-Paramètres!$B$10)/7),2)=0, I24+1&gt;=Paramètres!$B$10),"VERRE, ","")&amp;IF(AND(WEEKDAY(I24+1,2)=Paramètres!$B$15, INT((DAY(I24+1)-1)/7)+1 = Paramètres!$B$14),"VERTS, ","")&amp;IF(DAY(I24+1)=Paramètres!$B$17,"ENCOMBRANTS, ","")),", "," / "))</f>
        <v>0</v>
      </c>
      <c r="K25" s="7">
        <f>IF(MONTH(I24+2)&lt;&gt;8,"",TEXT(I24+2,"d") &amp; CHAR(10) &amp; SUBSTITUTE(TRIM(IF(OR(WEEKDAY(I24+2,2)=Paramètres!$B$5, WEEKDAY(I24+2,2)=Paramètres!$B$6),"OM, ","")&amp;IF(WEEKDAY(I24+2,2)=Paramètres!$B$8,"TRI, ","")&amp;IF(AND(WEEKDAY(I24+2,2)=Paramètres!$B$11, MOD(INT((I24+2-Paramètres!$B$10)/7),2)=0, I24+2&gt;=Paramètres!$B$10),"VERRE, ","")&amp;IF(AND(WEEKDAY(I24+2,2)=Paramètres!$B$15, INT((DAY(I24+2)-1)/7)+1 = Paramètres!$B$14),"VERTS, ","")&amp;IF(DAY(I24+2)=Paramètres!$B$17,"ENCOMBRANTS, ","")),", "," / "))</f>
        <v>0</v>
      </c>
      <c r="L25" s="7">
        <f>IF(MONTH(I24+3)&lt;&gt;8,"",TEXT(I24+3,"d") &amp; CHAR(10) &amp; SUBSTITUTE(TRIM(IF(OR(WEEKDAY(I24+3,2)=Paramètres!$B$5, WEEKDAY(I24+3,2)=Paramètres!$B$6),"OM, ","")&amp;IF(WEEKDAY(I24+3,2)=Paramètres!$B$8,"TRI, ","")&amp;IF(AND(WEEKDAY(I24+3,2)=Paramètres!$B$11, MOD(INT((I24+3-Paramètres!$B$10)/7),2)=0, I24+3&gt;=Paramètres!$B$10),"VERRE, ","")&amp;IF(AND(WEEKDAY(I24+3,2)=Paramètres!$B$15, INT((DAY(I24+3)-1)/7)+1 = Paramètres!$B$14),"VERTS, ","")&amp;IF(DAY(I24+3)=Paramètres!$B$17,"ENCOMBRANTS, ","")),", "," / "))</f>
        <v>0</v>
      </c>
      <c r="M25" s="7">
        <f>IF(MONTH(I24+4)&lt;&gt;8,"",TEXT(I24+4,"d") &amp; CHAR(10) &amp; SUBSTITUTE(TRIM(IF(OR(WEEKDAY(I24+4,2)=Paramètres!$B$5, WEEKDAY(I24+4,2)=Paramètres!$B$6),"OM, ","")&amp;IF(WEEKDAY(I24+4,2)=Paramètres!$B$8,"TRI, ","")&amp;IF(AND(WEEKDAY(I24+4,2)=Paramètres!$B$11, MOD(INT((I24+4-Paramètres!$B$10)/7),2)=0, I24+4&gt;=Paramètres!$B$10),"VERRE, ","")&amp;IF(AND(WEEKDAY(I24+4,2)=Paramètres!$B$15, INT((DAY(I24+4)-1)/7)+1 = Paramètres!$B$14),"VERTS, ","")&amp;IF(DAY(I24+4)=Paramètres!$B$17,"ENCOMBRANTS, ","")),", "," / "))</f>
        <v>0</v>
      </c>
      <c r="N25" s="7">
        <f>IF(MONTH(I24+5)&lt;&gt;8,"",TEXT(I24+5,"d") &amp; CHAR(10) &amp; SUBSTITUTE(TRIM(IF(OR(WEEKDAY(I24+5,2)=Paramètres!$B$5, WEEKDAY(I24+5,2)=Paramètres!$B$6),"OM, ","")&amp;IF(WEEKDAY(I24+5,2)=Paramètres!$B$8,"TRI, ","")&amp;IF(AND(WEEKDAY(I24+5,2)=Paramètres!$B$11, MOD(INT((I24+5-Paramètres!$B$10)/7),2)=0, I24+5&gt;=Paramètres!$B$10),"VERRE, ","")&amp;IF(AND(WEEKDAY(I24+5,2)=Paramètres!$B$15, INT((DAY(I24+5)-1)/7)+1 = Paramètres!$B$14),"VERTS, ","")&amp;IF(DAY(I24+5)=Paramètres!$B$17,"ENCOMBRANTS, ","")),", "," / "))</f>
        <v>0</v>
      </c>
      <c r="O25" s="7">
        <f>IF(MONTH(I24+6)&lt;&gt;8,"",TEXT(I24+6,"d") &amp; CHAR(10) &amp; SUBSTITUTE(TRIM(IF(OR(WEEKDAY(I24+6,2)=Paramètres!$B$5, WEEKDAY(I24+6,2)=Paramètres!$B$6),"OM, ","")&amp;IF(WEEKDAY(I24+6,2)=Paramètres!$B$8,"TRI, ","")&amp;IF(AND(WEEKDAY(I24+6,2)=Paramètres!$B$11, MOD(INT((I24+6-Paramètres!$B$10)/7),2)=0, I24+6&gt;=Paramètres!$B$10),"VERRE, ","")&amp;IF(AND(WEEKDAY(I24+6,2)=Paramètres!$B$15, INT((DAY(I24+6)-1)/7)+1 = Paramètres!$B$14),"VERTS, ","")&amp;IF(DAY(I24+6)=Paramètres!$B$17,"ENCOMBRANTS, ","")),", "," / "))</f>
        <v>0</v>
      </c>
      <c r="Q25" s="7">
        <f>IF(MONTH(Q24+0)&lt;&gt;9,"",TEXT(Q24+0,"d") &amp; CHAR(10) &amp; SUBSTITUTE(TRIM(IF(OR(WEEKDAY(Q24+0,2)=Paramètres!$B$5, WEEKDAY(Q24+0,2)=Paramètres!$B$6),"OM, ","")&amp;IF(WEEKDAY(Q24+0,2)=Paramètres!$B$8,"TRI, ","")&amp;IF(AND(WEEKDAY(Q24+0,2)=Paramètres!$B$11, MOD(INT((Q24+0-Paramètres!$B$10)/7),2)=0, Q24+0&gt;=Paramètres!$B$10),"VERRE, ","")&amp;IF(AND(WEEKDAY(Q24+0,2)=Paramètres!$B$15, INT((DAY(Q24+0)-1)/7)+1 = Paramètres!$B$14),"VERTS, ","")&amp;IF(DAY(Q24+0)=Paramètres!$B$17,"ENCOMBRANTS, ","")),", "," / "))</f>
        <v>0</v>
      </c>
      <c r="R25" s="7">
        <f>IF(MONTH(Q24+1)&lt;&gt;9,"",TEXT(Q24+1,"d") &amp; CHAR(10) &amp; SUBSTITUTE(TRIM(IF(OR(WEEKDAY(Q24+1,2)=Paramètres!$B$5, WEEKDAY(Q24+1,2)=Paramètres!$B$6),"OM, ","")&amp;IF(WEEKDAY(Q24+1,2)=Paramètres!$B$8,"TRI, ","")&amp;IF(AND(WEEKDAY(Q24+1,2)=Paramètres!$B$11, MOD(INT((Q24+1-Paramètres!$B$10)/7),2)=0, Q24+1&gt;=Paramètres!$B$10),"VERRE, ","")&amp;IF(AND(WEEKDAY(Q24+1,2)=Paramètres!$B$15, INT((DAY(Q24+1)-1)/7)+1 = Paramètres!$B$14),"VERTS, ","")&amp;IF(DAY(Q24+1)=Paramètres!$B$17,"ENCOMBRANTS, ","")),", "," / "))</f>
        <v>0</v>
      </c>
      <c r="S25" s="7">
        <f>IF(MONTH(Q24+2)&lt;&gt;9,"",TEXT(Q24+2,"d") &amp; CHAR(10) &amp; SUBSTITUTE(TRIM(IF(OR(WEEKDAY(Q24+2,2)=Paramètres!$B$5, WEEKDAY(Q24+2,2)=Paramètres!$B$6),"OM, ","")&amp;IF(WEEKDAY(Q24+2,2)=Paramètres!$B$8,"TRI, ","")&amp;IF(AND(WEEKDAY(Q24+2,2)=Paramètres!$B$11, MOD(INT((Q24+2-Paramètres!$B$10)/7),2)=0, Q24+2&gt;=Paramètres!$B$10),"VERRE, ","")&amp;IF(AND(WEEKDAY(Q24+2,2)=Paramètres!$B$15, INT((DAY(Q24+2)-1)/7)+1 = Paramètres!$B$14),"VERTS, ","")&amp;IF(DAY(Q24+2)=Paramètres!$B$17,"ENCOMBRANTS, ","")),", "," / "))</f>
        <v>0</v>
      </c>
      <c r="T25" s="7">
        <f>IF(MONTH(Q24+3)&lt;&gt;9,"",TEXT(Q24+3,"d") &amp; CHAR(10) &amp; SUBSTITUTE(TRIM(IF(OR(WEEKDAY(Q24+3,2)=Paramètres!$B$5, WEEKDAY(Q24+3,2)=Paramètres!$B$6),"OM, ","")&amp;IF(WEEKDAY(Q24+3,2)=Paramètres!$B$8,"TRI, ","")&amp;IF(AND(WEEKDAY(Q24+3,2)=Paramètres!$B$11, MOD(INT((Q24+3-Paramètres!$B$10)/7),2)=0, Q24+3&gt;=Paramètres!$B$10),"VERRE, ","")&amp;IF(AND(WEEKDAY(Q24+3,2)=Paramètres!$B$15, INT((DAY(Q24+3)-1)/7)+1 = Paramètres!$B$14),"VERTS, ","")&amp;IF(DAY(Q24+3)=Paramètres!$B$17,"ENCOMBRANTS, ","")),", "," / "))</f>
        <v>0</v>
      </c>
      <c r="U25" s="7">
        <f>IF(MONTH(Q24+4)&lt;&gt;9,"",TEXT(Q24+4,"d") &amp; CHAR(10) &amp; SUBSTITUTE(TRIM(IF(OR(WEEKDAY(Q24+4,2)=Paramètres!$B$5, WEEKDAY(Q24+4,2)=Paramètres!$B$6),"OM, ","")&amp;IF(WEEKDAY(Q24+4,2)=Paramètres!$B$8,"TRI, ","")&amp;IF(AND(WEEKDAY(Q24+4,2)=Paramètres!$B$11, MOD(INT((Q24+4-Paramètres!$B$10)/7),2)=0, Q24+4&gt;=Paramètres!$B$10),"VERRE, ","")&amp;IF(AND(WEEKDAY(Q24+4,2)=Paramètres!$B$15, INT((DAY(Q24+4)-1)/7)+1 = Paramètres!$B$14),"VERTS, ","")&amp;IF(DAY(Q24+4)=Paramètres!$B$17,"ENCOMBRANTS, ","")),", "," / "))</f>
        <v>0</v>
      </c>
      <c r="V25" s="7">
        <f>IF(MONTH(Q24+5)&lt;&gt;9,"",TEXT(Q24+5,"d") &amp; CHAR(10) &amp; SUBSTITUTE(TRIM(IF(OR(WEEKDAY(Q24+5,2)=Paramètres!$B$5, WEEKDAY(Q24+5,2)=Paramètres!$B$6),"OM, ","")&amp;IF(WEEKDAY(Q24+5,2)=Paramètres!$B$8,"TRI, ","")&amp;IF(AND(WEEKDAY(Q24+5,2)=Paramètres!$B$11, MOD(INT((Q24+5-Paramètres!$B$10)/7),2)=0, Q24+5&gt;=Paramètres!$B$10),"VERRE, ","")&amp;IF(AND(WEEKDAY(Q24+5,2)=Paramètres!$B$15, INT((DAY(Q24+5)-1)/7)+1 = Paramètres!$B$14),"VERTS, ","")&amp;IF(DAY(Q24+5)=Paramètres!$B$17,"ENCOMBRANTS, ","")),", "," / "))</f>
        <v>0</v>
      </c>
      <c r="W25" s="7">
        <f>IF(MONTH(Q24+6)&lt;&gt;9,"",TEXT(Q24+6,"d") &amp; CHAR(10) &amp; SUBSTITUTE(TRIM(IF(OR(WEEKDAY(Q24+6,2)=Paramètres!$B$5, WEEKDAY(Q24+6,2)=Paramètres!$B$6),"OM, ","")&amp;IF(WEEKDAY(Q24+6,2)=Paramètres!$B$8,"TRI, ","")&amp;IF(AND(WEEKDAY(Q24+6,2)=Paramètres!$B$11, MOD(INT((Q24+6-Paramètres!$B$10)/7),2)=0, Q24+6&gt;=Paramètres!$B$10),"VERRE, ","")&amp;IF(AND(WEEKDAY(Q24+6,2)=Paramètres!$B$15, INT((DAY(Q24+6)-1)/7)+1 = Paramètres!$B$14),"VERTS, ","")&amp;IF(DAY(Q24+6)=Paramètres!$B$17,"ENCOMBRANTS, ","")),", "," / "))</f>
        <v>0</v>
      </c>
    </row>
    <row r="26" spans="1:23">
      <c r="A26" s="7">
        <f>IF(MONTH(A24+7)&lt;&gt;7,"",TEXT(A24+7,"d") &amp; CHAR(10) &amp; SUBSTITUTE(TRIM(IF(OR(WEEKDAY(A24+7,2)=Paramètres!$B$5, WEEKDAY(A24+7,2)=Paramètres!$B$6),"OM, ","")&amp;IF(WEEKDAY(A24+7,2)=Paramètres!$B$8,"TRI, ","")&amp;IF(AND(WEEKDAY(A24+7,2)=Paramètres!$B$11, MOD(INT((A24+7-Paramètres!$B$10)/7),2)=0, A24+7&gt;=Paramètres!$B$10),"VERRE, ","")&amp;IF(AND(WEEKDAY(A24+7,2)=Paramètres!$B$15, INT((DAY(A24+7)-1)/7)+1 = Paramètres!$B$14),"VERTS, ","")&amp;IF(DAY(A24+7)=Paramètres!$B$17,"ENCOMBRANTS, ","")),", "," / "))</f>
        <v>0</v>
      </c>
      <c r="B26" s="7">
        <f>IF(MONTH(A24+8)&lt;&gt;7,"",TEXT(A24+8,"d") &amp; CHAR(10) &amp; SUBSTITUTE(TRIM(IF(OR(WEEKDAY(A24+8,2)=Paramètres!$B$5, WEEKDAY(A24+8,2)=Paramètres!$B$6),"OM, ","")&amp;IF(WEEKDAY(A24+8,2)=Paramètres!$B$8,"TRI, ","")&amp;IF(AND(WEEKDAY(A24+8,2)=Paramètres!$B$11, MOD(INT((A24+8-Paramètres!$B$10)/7),2)=0, A24+8&gt;=Paramètres!$B$10),"VERRE, ","")&amp;IF(AND(WEEKDAY(A24+8,2)=Paramètres!$B$15, INT((DAY(A24+8)-1)/7)+1 = Paramètres!$B$14),"VERTS, ","")&amp;IF(DAY(A24+8)=Paramètres!$B$17,"ENCOMBRANTS, ","")),", "," / "))</f>
        <v>0</v>
      </c>
      <c r="C26" s="7">
        <f>IF(MONTH(A24+9)&lt;&gt;7,"",TEXT(A24+9,"d") &amp; CHAR(10) &amp; SUBSTITUTE(TRIM(IF(OR(WEEKDAY(A24+9,2)=Paramètres!$B$5, WEEKDAY(A24+9,2)=Paramètres!$B$6),"OM, ","")&amp;IF(WEEKDAY(A24+9,2)=Paramètres!$B$8,"TRI, ","")&amp;IF(AND(WEEKDAY(A24+9,2)=Paramètres!$B$11, MOD(INT((A24+9-Paramètres!$B$10)/7),2)=0, A24+9&gt;=Paramètres!$B$10),"VERRE, ","")&amp;IF(AND(WEEKDAY(A24+9,2)=Paramètres!$B$15, INT((DAY(A24+9)-1)/7)+1 = Paramètres!$B$14),"VERTS, ","")&amp;IF(DAY(A24+9)=Paramètres!$B$17,"ENCOMBRANTS, ","")),", "," / "))</f>
        <v>0</v>
      </c>
      <c r="D26" s="7">
        <f>IF(MONTH(A24+10)&lt;&gt;7,"",TEXT(A24+10,"d") &amp; CHAR(10) &amp; SUBSTITUTE(TRIM(IF(OR(WEEKDAY(A24+10,2)=Paramètres!$B$5, WEEKDAY(A24+10,2)=Paramètres!$B$6),"OM, ","")&amp;IF(WEEKDAY(A24+10,2)=Paramètres!$B$8,"TRI, ","")&amp;IF(AND(WEEKDAY(A24+10,2)=Paramètres!$B$11, MOD(INT((A24+10-Paramètres!$B$10)/7),2)=0, A24+10&gt;=Paramètres!$B$10),"VERRE, ","")&amp;IF(AND(WEEKDAY(A24+10,2)=Paramètres!$B$15, INT((DAY(A24+10)-1)/7)+1 = Paramètres!$B$14),"VERTS, ","")&amp;IF(DAY(A24+10)=Paramètres!$B$17,"ENCOMBRANTS, ","")),", "," / "))</f>
        <v>0</v>
      </c>
      <c r="E26" s="7">
        <f>IF(MONTH(A24+11)&lt;&gt;7,"",TEXT(A24+11,"d") &amp; CHAR(10) &amp; SUBSTITUTE(TRIM(IF(OR(WEEKDAY(A24+11,2)=Paramètres!$B$5, WEEKDAY(A24+11,2)=Paramètres!$B$6),"OM, ","")&amp;IF(WEEKDAY(A24+11,2)=Paramètres!$B$8,"TRI, ","")&amp;IF(AND(WEEKDAY(A24+11,2)=Paramètres!$B$11, MOD(INT((A24+11-Paramètres!$B$10)/7),2)=0, A24+11&gt;=Paramètres!$B$10),"VERRE, ","")&amp;IF(AND(WEEKDAY(A24+11,2)=Paramètres!$B$15, INT((DAY(A24+11)-1)/7)+1 = Paramètres!$B$14),"VERTS, ","")&amp;IF(DAY(A24+11)=Paramètres!$B$17,"ENCOMBRANTS, ","")),", "," / "))</f>
        <v>0</v>
      </c>
      <c r="F26" s="7">
        <f>IF(MONTH(A24+12)&lt;&gt;7,"",TEXT(A24+12,"d") &amp; CHAR(10) &amp; SUBSTITUTE(TRIM(IF(OR(WEEKDAY(A24+12,2)=Paramètres!$B$5, WEEKDAY(A24+12,2)=Paramètres!$B$6),"OM, ","")&amp;IF(WEEKDAY(A24+12,2)=Paramètres!$B$8,"TRI, ","")&amp;IF(AND(WEEKDAY(A24+12,2)=Paramètres!$B$11, MOD(INT((A24+12-Paramètres!$B$10)/7),2)=0, A24+12&gt;=Paramètres!$B$10),"VERRE, ","")&amp;IF(AND(WEEKDAY(A24+12,2)=Paramètres!$B$15, INT((DAY(A24+12)-1)/7)+1 = Paramètres!$B$14),"VERTS, ","")&amp;IF(DAY(A24+12)=Paramètres!$B$17,"ENCOMBRANTS, ","")),", "," / "))</f>
        <v>0</v>
      </c>
      <c r="G26" s="7">
        <f>IF(MONTH(A24+13)&lt;&gt;7,"",TEXT(A24+13,"d") &amp; CHAR(10) &amp; SUBSTITUTE(TRIM(IF(OR(WEEKDAY(A24+13,2)=Paramètres!$B$5, WEEKDAY(A24+13,2)=Paramètres!$B$6),"OM, ","")&amp;IF(WEEKDAY(A24+13,2)=Paramètres!$B$8,"TRI, ","")&amp;IF(AND(WEEKDAY(A24+13,2)=Paramètres!$B$11, MOD(INT((A24+13-Paramètres!$B$10)/7),2)=0, A24+13&gt;=Paramètres!$B$10),"VERRE, ","")&amp;IF(AND(WEEKDAY(A24+13,2)=Paramètres!$B$15, INT((DAY(A24+13)-1)/7)+1 = Paramètres!$B$14),"VERTS, ","")&amp;IF(DAY(A24+13)=Paramètres!$B$17,"ENCOMBRANTS, ","")),", "," / "))</f>
        <v>0</v>
      </c>
      <c r="I26" s="7">
        <f>IF(MONTH(I24+7)&lt;&gt;8,"",TEXT(I24+7,"d") &amp; CHAR(10) &amp; SUBSTITUTE(TRIM(IF(OR(WEEKDAY(I24+7,2)=Paramètres!$B$5, WEEKDAY(I24+7,2)=Paramètres!$B$6),"OM, ","")&amp;IF(WEEKDAY(I24+7,2)=Paramètres!$B$8,"TRI, ","")&amp;IF(AND(WEEKDAY(I24+7,2)=Paramètres!$B$11, MOD(INT((I24+7-Paramètres!$B$10)/7),2)=0, I24+7&gt;=Paramètres!$B$10),"VERRE, ","")&amp;IF(AND(WEEKDAY(I24+7,2)=Paramètres!$B$15, INT((DAY(I24+7)-1)/7)+1 = Paramètres!$B$14),"VERTS, ","")&amp;IF(DAY(I24+7)=Paramètres!$B$17,"ENCOMBRANTS, ","")),", "," / "))</f>
        <v>0</v>
      </c>
      <c r="J26" s="7">
        <f>IF(MONTH(I24+8)&lt;&gt;8,"",TEXT(I24+8,"d") &amp; CHAR(10) &amp; SUBSTITUTE(TRIM(IF(OR(WEEKDAY(I24+8,2)=Paramètres!$B$5, WEEKDAY(I24+8,2)=Paramètres!$B$6),"OM, ","")&amp;IF(WEEKDAY(I24+8,2)=Paramètres!$B$8,"TRI, ","")&amp;IF(AND(WEEKDAY(I24+8,2)=Paramètres!$B$11, MOD(INT((I24+8-Paramètres!$B$10)/7),2)=0, I24+8&gt;=Paramètres!$B$10),"VERRE, ","")&amp;IF(AND(WEEKDAY(I24+8,2)=Paramètres!$B$15, INT((DAY(I24+8)-1)/7)+1 = Paramètres!$B$14),"VERTS, ","")&amp;IF(DAY(I24+8)=Paramètres!$B$17,"ENCOMBRANTS, ","")),", "," / "))</f>
        <v>0</v>
      </c>
      <c r="K26" s="7">
        <f>IF(MONTH(I24+9)&lt;&gt;8,"",TEXT(I24+9,"d") &amp; CHAR(10) &amp; SUBSTITUTE(TRIM(IF(OR(WEEKDAY(I24+9,2)=Paramètres!$B$5, WEEKDAY(I24+9,2)=Paramètres!$B$6),"OM, ","")&amp;IF(WEEKDAY(I24+9,2)=Paramètres!$B$8,"TRI, ","")&amp;IF(AND(WEEKDAY(I24+9,2)=Paramètres!$B$11, MOD(INT((I24+9-Paramètres!$B$10)/7),2)=0, I24+9&gt;=Paramètres!$B$10),"VERRE, ","")&amp;IF(AND(WEEKDAY(I24+9,2)=Paramètres!$B$15, INT((DAY(I24+9)-1)/7)+1 = Paramètres!$B$14),"VERTS, ","")&amp;IF(DAY(I24+9)=Paramètres!$B$17,"ENCOMBRANTS, ","")),", "," / "))</f>
        <v>0</v>
      </c>
      <c r="L26" s="7">
        <f>IF(MONTH(I24+10)&lt;&gt;8,"",TEXT(I24+10,"d") &amp; CHAR(10) &amp; SUBSTITUTE(TRIM(IF(OR(WEEKDAY(I24+10,2)=Paramètres!$B$5, WEEKDAY(I24+10,2)=Paramètres!$B$6),"OM, ","")&amp;IF(WEEKDAY(I24+10,2)=Paramètres!$B$8,"TRI, ","")&amp;IF(AND(WEEKDAY(I24+10,2)=Paramètres!$B$11, MOD(INT((I24+10-Paramètres!$B$10)/7),2)=0, I24+10&gt;=Paramètres!$B$10),"VERRE, ","")&amp;IF(AND(WEEKDAY(I24+10,2)=Paramètres!$B$15, INT((DAY(I24+10)-1)/7)+1 = Paramètres!$B$14),"VERTS, ","")&amp;IF(DAY(I24+10)=Paramètres!$B$17,"ENCOMBRANTS, ","")),", "," / "))</f>
        <v>0</v>
      </c>
      <c r="M26" s="7">
        <f>IF(MONTH(I24+11)&lt;&gt;8,"",TEXT(I24+11,"d") &amp; CHAR(10) &amp; SUBSTITUTE(TRIM(IF(OR(WEEKDAY(I24+11,2)=Paramètres!$B$5, WEEKDAY(I24+11,2)=Paramètres!$B$6),"OM, ","")&amp;IF(WEEKDAY(I24+11,2)=Paramètres!$B$8,"TRI, ","")&amp;IF(AND(WEEKDAY(I24+11,2)=Paramètres!$B$11, MOD(INT((I24+11-Paramètres!$B$10)/7),2)=0, I24+11&gt;=Paramètres!$B$10),"VERRE, ","")&amp;IF(AND(WEEKDAY(I24+11,2)=Paramètres!$B$15, INT((DAY(I24+11)-1)/7)+1 = Paramètres!$B$14),"VERTS, ","")&amp;IF(DAY(I24+11)=Paramètres!$B$17,"ENCOMBRANTS, ","")),", "," / "))</f>
        <v>0</v>
      </c>
      <c r="N26" s="7">
        <f>IF(MONTH(I24+12)&lt;&gt;8,"",TEXT(I24+12,"d") &amp; CHAR(10) &amp; SUBSTITUTE(TRIM(IF(OR(WEEKDAY(I24+12,2)=Paramètres!$B$5, WEEKDAY(I24+12,2)=Paramètres!$B$6),"OM, ","")&amp;IF(WEEKDAY(I24+12,2)=Paramètres!$B$8,"TRI, ","")&amp;IF(AND(WEEKDAY(I24+12,2)=Paramètres!$B$11, MOD(INT((I24+12-Paramètres!$B$10)/7),2)=0, I24+12&gt;=Paramètres!$B$10),"VERRE, ","")&amp;IF(AND(WEEKDAY(I24+12,2)=Paramètres!$B$15, INT((DAY(I24+12)-1)/7)+1 = Paramètres!$B$14),"VERTS, ","")&amp;IF(DAY(I24+12)=Paramètres!$B$17,"ENCOMBRANTS, ","")),", "," / "))</f>
        <v>0</v>
      </c>
      <c r="O26" s="7">
        <f>IF(MONTH(I24+13)&lt;&gt;8,"",TEXT(I24+13,"d") &amp; CHAR(10) &amp; SUBSTITUTE(TRIM(IF(OR(WEEKDAY(I24+13,2)=Paramètres!$B$5, WEEKDAY(I24+13,2)=Paramètres!$B$6),"OM, ","")&amp;IF(WEEKDAY(I24+13,2)=Paramètres!$B$8,"TRI, ","")&amp;IF(AND(WEEKDAY(I24+13,2)=Paramètres!$B$11, MOD(INT((I24+13-Paramètres!$B$10)/7),2)=0, I24+13&gt;=Paramètres!$B$10),"VERRE, ","")&amp;IF(AND(WEEKDAY(I24+13,2)=Paramètres!$B$15, INT((DAY(I24+13)-1)/7)+1 = Paramètres!$B$14),"VERTS, ","")&amp;IF(DAY(I24+13)=Paramètres!$B$17,"ENCOMBRANTS, ","")),", "," / "))</f>
        <v>0</v>
      </c>
      <c r="Q26" s="7">
        <f>IF(MONTH(Q24+7)&lt;&gt;9,"",TEXT(Q24+7,"d") &amp; CHAR(10) &amp; SUBSTITUTE(TRIM(IF(OR(WEEKDAY(Q24+7,2)=Paramètres!$B$5, WEEKDAY(Q24+7,2)=Paramètres!$B$6),"OM, ","")&amp;IF(WEEKDAY(Q24+7,2)=Paramètres!$B$8,"TRI, ","")&amp;IF(AND(WEEKDAY(Q24+7,2)=Paramètres!$B$11, MOD(INT((Q24+7-Paramètres!$B$10)/7),2)=0, Q24+7&gt;=Paramètres!$B$10),"VERRE, ","")&amp;IF(AND(WEEKDAY(Q24+7,2)=Paramètres!$B$15, INT((DAY(Q24+7)-1)/7)+1 = Paramètres!$B$14),"VERTS, ","")&amp;IF(DAY(Q24+7)=Paramètres!$B$17,"ENCOMBRANTS, ","")),", "," / "))</f>
        <v>0</v>
      </c>
      <c r="R26" s="7">
        <f>IF(MONTH(Q24+8)&lt;&gt;9,"",TEXT(Q24+8,"d") &amp; CHAR(10) &amp; SUBSTITUTE(TRIM(IF(OR(WEEKDAY(Q24+8,2)=Paramètres!$B$5, WEEKDAY(Q24+8,2)=Paramètres!$B$6),"OM, ","")&amp;IF(WEEKDAY(Q24+8,2)=Paramètres!$B$8,"TRI, ","")&amp;IF(AND(WEEKDAY(Q24+8,2)=Paramètres!$B$11, MOD(INT((Q24+8-Paramètres!$B$10)/7),2)=0, Q24+8&gt;=Paramètres!$B$10),"VERRE, ","")&amp;IF(AND(WEEKDAY(Q24+8,2)=Paramètres!$B$15, INT((DAY(Q24+8)-1)/7)+1 = Paramètres!$B$14),"VERTS, ","")&amp;IF(DAY(Q24+8)=Paramètres!$B$17,"ENCOMBRANTS, ","")),", "," / "))</f>
        <v>0</v>
      </c>
      <c r="S26" s="7">
        <f>IF(MONTH(Q24+9)&lt;&gt;9,"",TEXT(Q24+9,"d") &amp; CHAR(10) &amp; SUBSTITUTE(TRIM(IF(OR(WEEKDAY(Q24+9,2)=Paramètres!$B$5, WEEKDAY(Q24+9,2)=Paramètres!$B$6),"OM, ","")&amp;IF(WEEKDAY(Q24+9,2)=Paramètres!$B$8,"TRI, ","")&amp;IF(AND(WEEKDAY(Q24+9,2)=Paramètres!$B$11, MOD(INT((Q24+9-Paramètres!$B$10)/7),2)=0, Q24+9&gt;=Paramètres!$B$10),"VERRE, ","")&amp;IF(AND(WEEKDAY(Q24+9,2)=Paramètres!$B$15, INT((DAY(Q24+9)-1)/7)+1 = Paramètres!$B$14),"VERTS, ","")&amp;IF(DAY(Q24+9)=Paramètres!$B$17,"ENCOMBRANTS, ","")),", "," / "))</f>
        <v>0</v>
      </c>
      <c r="T26" s="7">
        <f>IF(MONTH(Q24+10)&lt;&gt;9,"",TEXT(Q24+10,"d") &amp; CHAR(10) &amp; SUBSTITUTE(TRIM(IF(OR(WEEKDAY(Q24+10,2)=Paramètres!$B$5, WEEKDAY(Q24+10,2)=Paramètres!$B$6),"OM, ","")&amp;IF(WEEKDAY(Q24+10,2)=Paramètres!$B$8,"TRI, ","")&amp;IF(AND(WEEKDAY(Q24+10,2)=Paramètres!$B$11, MOD(INT((Q24+10-Paramètres!$B$10)/7),2)=0, Q24+10&gt;=Paramètres!$B$10),"VERRE, ","")&amp;IF(AND(WEEKDAY(Q24+10,2)=Paramètres!$B$15, INT((DAY(Q24+10)-1)/7)+1 = Paramètres!$B$14),"VERTS, ","")&amp;IF(DAY(Q24+10)=Paramètres!$B$17,"ENCOMBRANTS, ","")),", "," / "))</f>
        <v>0</v>
      </c>
      <c r="U26" s="7">
        <f>IF(MONTH(Q24+11)&lt;&gt;9,"",TEXT(Q24+11,"d") &amp; CHAR(10) &amp; SUBSTITUTE(TRIM(IF(OR(WEEKDAY(Q24+11,2)=Paramètres!$B$5, WEEKDAY(Q24+11,2)=Paramètres!$B$6),"OM, ","")&amp;IF(WEEKDAY(Q24+11,2)=Paramètres!$B$8,"TRI, ","")&amp;IF(AND(WEEKDAY(Q24+11,2)=Paramètres!$B$11, MOD(INT((Q24+11-Paramètres!$B$10)/7),2)=0, Q24+11&gt;=Paramètres!$B$10),"VERRE, ","")&amp;IF(AND(WEEKDAY(Q24+11,2)=Paramètres!$B$15, INT((DAY(Q24+11)-1)/7)+1 = Paramètres!$B$14),"VERTS, ","")&amp;IF(DAY(Q24+11)=Paramètres!$B$17,"ENCOMBRANTS, ","")),", "," / "))</f>
        <v>0</v>
      </c>
      <c r="V26" s="7">
        <f>IF(MONTH(Q24+12)&lt;&gt;9,"",TEXT(Q24+12,"d") &amp; CHAR(10) &amp; SUBSTITUTE(TRIM(IF(OR(WEEKDAY(Q24+12,2)=Paramètres!$B$5, WEEKDAY(Q24+12,2)=Paramètres!$B$6),"OM, ","")&amp;IF(WEEKDAY(Q24+12,2)=Paramètres!$B$8,"TRI, ","")&amp;IF(AND(WEEKDAY(Q24+12,2)=Paramètres!$B$11, MOD(INT((Q24+12-Paramètres!$B$10)/7),2)=0, Q24+12&gt;=Paramètres!$B$10),"VERRE, ","")&amp;IF(AND(WEEKDAY(Q24+12,2)=Paramètres!$B$15, INT((DAY(Q24+12)-1)/7)+1 = Paramètres!$B$14),"VERTS, ","")&amp;IF(DAY(Q24+12)=Paramètres!$B$17,"ENCOMBRANTS, ","")),", "," / "))</f>
        <v>0</v>
      </c>
      <c r="W26" s="7">
        <f>IF(MONTH(Q24+13)&lt;&gt;9,"",TEXT(Q24+13,"d") &amp; CHAR(10) &amp; SUBSTITUTE(TRIM(IF(OR(WEEKDAY(Q24+13,2)=Paramètres!$B$5, WEEKDAY(Q24+13,2)=Paramètres!$B$6),"OM, ","")&amp;IF(WEEKDAY(Q24+13,2)=Paramètres!$B$8,"TRI, ","")&amp;IF(AND(WEEKDAY(Q24+13,2)=Paramètres!$B$11, MOD(INT((Q24+13-Paramètres!$B$10)/7),2)=0, Q24+13&gt;=Paramètres!$B$10),"VERRE, ","")&amp;IF(AND(WEEKDAY(Q24+13,2)=Paramètres!$B$15, INT((DAY(Q24+13)-1)/7)+1 = Paramètres!$B$14),"VERTS, ","")&amp;IF(DAY(Q24+13)=Paramètres!$B$17,"ENCOMBRANTS, ","")),", "," / "))</f>
        <v>0</v>
      </c>
    </row>
    <row r="27" spans="1:23">
      <c r="A27" s="7">
        <f>IF(MONTH(A24+14)&lt;&gt;7,"",TEXT(A24+14,"d") &amp; CHAR(10) &amp; SUBSTITUTE(TRIM(IF(OR(WEEKDAY(A24+14,2)=Paramètres!$B$5, WEEKDAY(A24+14,2)=Paramètres!$B$6),"OM, ","")&amp;IF(WEEKDAY(A24+14,2)=Paramètres!$B$8,"TRI, ","")&amp;IF(AND(WEEKDAY(A24+14,2)=Paramètres!$B$11, MOD(INT((A24+14-Paramètres!$B$10)/7),2)=0, A24+14&gt;=Paramètres!$B$10),"VERRE, ","")&amp;IF(AND(WEEKDAY(A24+14,2)=Paramètres!$B$15, INT((DAY(A24+14)-1)/7)+1 = Paramètres!$B$14),"VERTS, ","")&amp;IF(DAY(A24+14)=Paramètres!$B$17,"ENCOMBRANTS, ","")),", "," / "))</f>
        <v>0</v>
      </c>
      <c r="B27" s="7">
        <f>IF(MONTH(A24+15)&lt;&gt;7,"",TEXT(A24+15,"d") &amp; CHAR(10) &amp; SUBSTITUTE(TRIM(IF(OR(WEEKDAY(A24+15,2)=Paramètres!$B$5, WEEKDAY(A24+15,2)=Paramètres!$B$6),"OM, ","")&amp;IF(WEEKDAY(A24+15,2)=Paramètres!$B$8,"TRI, ","")&amp;IF(AND(WEEKDAY(A24+15,2)=Paramètres!$B$11, MOD(INT((A24+15-Paramètres!$B$10)/7),2)=0, A24+15&gt;=Paramètres!$B$10),"VERRE, ","")&amp;IF(AND(WEEKDAY(A24+15,2)=Paramètres!$B$15, INT((DAY(A24+15)-1)/7)+1 = Paramètres!$B$14),"VERTS, ","")&amp;IF(DAY(A24+15)=Paramètres!$B$17,"ENCOMBRANTS, ","")),", "," / "))</f>
        <v>0</v>
      </c>
      <c r="C27" s="7">
        <f>IF(MONTH(A24+16)&lt;&gt;7,"",TEXT(A24+16,"d") &amp; CHAR(10) &amp; SUBSTITUTE(TRIM(IF(OR(WEEKDAY(A24+16,2)=Paramètres!$B$5, WEEKDAY(A24+16,2)=Paramètres!$B$6),"OM, ","")&amp;IF(WEEKDAY(A24+16,2)=Paramètres!$B$8,"TRI, ","")&amp;IF(AND(WEEKDAY(A24+16,2)=Paramètres!$B$11, MOD(INT((A24+16-Paramètres!$B$10)/7),2)=0, A24+16&gt;=Paramètres!$B$10),"VERRE, ","")&amp;IF(AND(WEEKDAY(A24+16,2)=Paramètres!$B$15, INT((DAY(A24+16)-1)/7)+1 = Paramètres!$B$14),"VERTS, ","")&amp;IF(DAY(A24+16)=Paramètres!$B$17,"ENCOMBRANTS, ","")),", "," / "))</f>
        <v>0</v>
      </c>
      <c r="D27" s="7">
        <f>IF(MONTH(A24+17)&lt;&gt;7,"",TEXT(A24+17,"d") &amp; CHAR(10) &amp; SUBSTITUTE(TRIM(IF(OR(WEEKDAY(A24+17,2)=Paramètres!$B$5, WEEKDAY(A24+17,2)=Paramètres!$B$6),"OM, ","")&amp;IF(WEEKDAY(A24+17,2)=Paramètres!$B$8,"TRI, ","")&amp;IF(AND(WEEKDAY(A24+17,2)=Paramètres!$B$11, MOD(INT((A24+17-Paramètres!$B$10)/7),2)=0, A24+17&gt;=Paramètres!$B$10),"VERRE, ","")&amp;IF(AND(WEEKDAY(A24+17,2)=Paramètres!$B$15, INT((DAY(A24+17)-1)/7)+1 = Paramètres!$B$14),"VERTS, ","")&amp;IF(DAY(A24+17)=Paramètres!$B$17,"ENCOMBRANTS, ","")),", "," / "))</f>
        <v>0</v>
      </c>
      <c r="E27" s="7">
        <f>IF(MONTH(A24+18)&lt;&gt;7,"",TEXT(A24+18,"d") &amp; CHAR(10) &amp; SUBSTITUTE(TRIM(IF(OR(WEEKDAY(A24+18,2)=Paramètres!$B$5, WEEKDAY(A24+18,2)=Paramètres!$B$6),"OM, ","")&amp;IF(WEEKDAY(A24+18,2)=Paramètres!$B$8,"TRI, ","")&amp;IF(AND(WEEKDAY(A24+18,2)=Paramètres!$B$11, MOD(INT((A24+18-Paramètres!$B$10)/7),2)=0, A24+18&gt;=Paramètres!$B$10),"VERRE, ","")&amp;IF(AND(WEEKDAY(A24+18,2)=Paramètres!$B$15, INT((DAY(A24+18)-1)/7)+1 = Paramètres!$B$14),"VERTS, ","")&amp;IF(DAY(A24+18)=Paramètres!$B$17,"ENCOMBRANTS, ","")),", "," / "))</f>
        <v>0</v>
      </c>
      <c r="F27" s="7">
        <f>IF(MONTH(A24+19)&lt;&gt;7,"",TEXT(A24+19,"d") &amp; CHAR(10) &amp; SUBSTITUTE(TRIM(IF(OR(WEEKDAY(A24+19,2)=Paramètres!$B$5, WEEKDAY(A24+19,2)=Paramètres!$B$6),"OM, ","")&amp;IF(WEEKDAY(A24+19,2)=Paramètres!$B$8,"TRI, ","")&amp;IF(AND(WEEKDAY(A24+19,2)=Paramètres!$B$11, MOD(INT((A24+19-Paramètres!$B$10)/7),2)=0, A24+19&gt;=Paramètres!$B$10),"VERRE, ","")&amp;IF(AND(WEEKDAY(A24+19,2)=Paramètres!$B$15, INT((DAY(A24+19)-1)/7)+1 = Paramètres!$B$14),"VERTS, ","")&amp;IF(DAY(A24+19)=Paramètres!$B$17,"ENCOMBRANTS, ","")),", "," / "))</f>
        <v>0</v>
      </c>
      <c r="G27" s="7">
        <f>IF(MONTH(A24+20)&lt;&gt;7,"",TEXT(A24+20,"d") &amp; CHAR(10) &amp; SUBSTITUTE(TRIM(IF(OR(WEEKDAY(A24+20,2)=Paramètres!$B$5, WEEKDAY(A24+20,2)=Paramètres!$B$6),"OM, ","")&amp;IF(WEEKDAY(A24+20,2)=Paramètres!$B$8,"TRI, ","")&amp;IF(AND(WEEKDAY(A24+20,2)=Paramètres!$B$11, MOD(INT((A24+20-Paramètres!$B$10)/7),2)=0, A24+20&gt;=Paramètres!$B$10),"VERRE, ","")&amp;IF(AND(WEEKDAY(A24+20,2)=Paramètres!$B$15, INT((DAY(A24+20)-1)/7)+1 = Paramètres!$B$14),"VERTS, ","")&amp;IF(DAY(A24+20)=Paramètres!$B$17,"ENCOMBRANTS, ","")),", "," / "))</f>
        <v>0</v>
      </c>
      <c r="I27" s="7">
        <f>IF(MONTH(I24+14)&lt;&gt;8,"",TEXT(I24+14,"d") &amp; CHAR(10) &amp; SUBSTITUTE(TRIM(IF(OR(WEEKDAY(I24+14,2)=Paramètres!$B$5, WEEKDAY(I24+14,2)=Paramètres!$B$6),"OM, ","")&amp;IF(WEEKDAY(I24+14,2)=Paramètres!$B$8,"TRI, ","")&amp;IF(AND(WEEKDAY(I24+14,2)=Paramètres!$B$11, MOD(INT((I24+14-Paramètres!$B$10)/7),2)=0, I24+14&gt;=Paramètres!$B$10),"VERRE, ","")&amp;IF(AND(WEEKDAY(I24+14,2)=Paramètres!$B$15, INT((DAY(I24+14)-1)/7)+1 = Paramètres!$B$14),"VERTS, ","")&amp;IF(DAY(I24+14)=Paramètres!$B$17,"ENCOMBRANTS, ","")),", "," / "))</f>
        <v>0</v>
      </c>
      <c r="J27" s="7">
        <f>IF(MONTH(I24+15)&lt;&gt;8,"",TEXT(I24+15,"d") &amp; CHAR(10) &amp; SUBSTITUTE(TRIM(IF(OR(WEEKDAY(I24+15,2)=Paramètres!$B$5, WEEKDAY(I24+15,2)=Paramètres!$B$6),"OM, ","")&amp;IF(WEEKDAY(I24+15,2)=Paramètres!$B$8,"TRI, ","")&amp;IF(AND(WEEKDAY(I24+15,2)=Paramètres!$B$11, MOD(INT((I24+15-Paramètres!$B$10)/7),2)=0, I24+15&gt;=Paramètres!$B$10),"VERRE, ","")&amp;IF(AND(WEEKDAY(I24+15,2)=Paramètres!$B$15, INT((DAY(I24+15)-1)/7)+1 = Paramètres!$B$14),"VERTS, ","")&amp;IF(DAY(I24+15)=Paramètres!$B$17,"ENCOMBRANTS, ","")),", "," / "))</f>
        <v>0</v>
      </c>
      <c r="K27" s="7">
        <f>IF(MONTH(I24+16)&lt;&gt;8,"",TEXT(I24+16,"d") &amp; CHAR(10) &amp; SUBSTITUTE(TRIM(IF(OR(WEEKDAY(I24+16,2)=Paramètres!$B$5, WEEKDAY(I24+16,2)=Paramètres!$B$6),"OM, ","")&amp;IF(WEEKDAY(I24+16,2)=Paramètres!$B$8,"TRI, ","")&amp;IF(AND(WEEKDAY(I24+16,2)=Paramètres!$B$11, MOD(INT((I24+16-Paramètres!$B$10)/7),2)=0, I24+16&gt;=Paramètres!$B$10),"VERRE, ","")&amp;IF(AND(WEEKDAY(I24+16,2)=Paramètres!$B$15, INT((DAY(I24+16)-1)/7)+1 = Paramètres!$B$14),"VERTS, ","")&amp;IF(DAY(I24+16)=Paramètres!$B$17,"ENCOMBRANTS, ","")),", "," / "))</f>
        <v>0</v>
      </c>
      <c r="L27" s="7">
        <f>IF(MONTH(I24+17)&lt;&gt;8,"",TEXT(I24+17,"d") &amp; CHAR(10) &amp; SUBSTITUTE(TRIM(IF(OR(WEEKDAY(I24+17,2)=Paramètres!$B$5, WEEKDAY(I24+17,2)=Paramètres!$B$6),"OM, ","")&amp;IF(WEEKDAY(I24+17,2)=Paramètres!$B$8,"TRI, ","")&amp;IF(AND(WEEKDAY(I24+17,2)=Paramètres!$B$11, MOD(INT((I24+17-Paramètres!$B$10)/7),2)=0, I24+17&gt;=Paramètres!$B$10),"VERRE, ","")&amp;IF(AND(WEEKDAY(I24+17,2)=Paramètres!$B$15, INT((DAY(I24+17)-1)/7)+1 = Paramètres!$B$14),"VERTS, ","")&amp;IF(DAY(I24+17)=Paramètres!$B$17,"ENCOMBRANTS, ","")),", "," / "))</f>
        <v>0</v>
      </c>
      <c r="M27" s="7">
        <f>IF(MONTH(I24+18)&lt;&gt;8,"",TEXT(I24+18,"d") &amp; CHAR(10) &amp; SUBSTITUTE(TRIM(IF(OR(WEEKDAY(I24+18,2)=Paramètres!$B$5, WEEKDAY(I24+18,2)=Paramètres!$B$6),"OM, ","")&amp;IF(WEEKDAY(I24+18,2)=Paramètres!$B$8,"TRI, ","")&amp;IF(AND(WEEKDAY(I24+18,2)=Paramètres!$B$11, MOD(INT((I24+18-Paramètres!$B$10)/7),2)=0, I24+18&gt;=Paramètres!$B$10),"VERRE, ","")&amp;IF(AND(WEEKDAY(I24+18,2)=Paramètres!$B$15, INT((DAY(I24+18)-1)/7)+1 = Paramètres!$B$14),"VERTS, ","")&amp;IF(DAY(I24+18)=Paramètres!$B$17,"ENCOMBRANTS, ","")),", "," / "))</f>
        <v>0</v>
      </c>
      <c r="N27" s="7">
        <f>IF(MONTH(I24+19)&lt;&gt;8,"",TEXT(I24+19,"d") &amp; CHAR(10) &amp; SUBSTITUTE(TRIM(IF(OR(WEEKDAY(I24+19,2)=Paramètres!$B$5, WEEKDAY(I24+19,2)=Paramètres!$B$6),"OM, ","")&amp;IF(WEEKDAY(I24+19,2)=Paramètres!$B$8,"TRI, ","")&amp;IF(AND(WEEKDAY(I24+19,2)=Paramètres!$B$11, MOD(INT((I24+19-Paramètres!$B$10)/7),2)=0, I24+19&gt;=Paramètres!$B$10),"VERRE, ","")&amp;IF(AND(WEEKDAY(I24+19,2)=Paramètres!$B$15, INT((DAY(I24+19)-1)/7)+1 = Paramètres!$B$14),"VERTS, ","")&amp;IF(DAY(I24+19)=Paramètres!$B$17,"ENCOMBRANTS, ","")),", "," / "))</f>
        <v>0</v>
      </c>
      <c r="O27" s="7">
        <f>IF(MONTH(I24+20)&lt;&gt;8,"",TEXT(I24+20,"d") &amp; CHAR(10) &amp; SUBSTITUTE(TRIM(IF(OR(WEEKDAY(I24+20,2)=Paramètres!$B$5, WEEKDAY(I24+20,2)=Paramètres!$B$6),"OM, ","")&amp;IF(WEEKDAY(I24+20,2)=Paramètres!$B$8,"TRI, ","")&amp;IF(AND(WEEKDAY(I24+20,2)=Paramètres!$B$11, MOD(INT((I24+20-Paramètres!$B$10)/7),2)=0, I24+20&gt;=Paramètres!$B$10),"VERRE, ","")&amp;IF(AND(WEEKDAY(I24+20,2)=Paramètres!$B$15, INT((DAY(I24+20)-1)/7)+1 = Paramètres!$B$14),"VERTS, ","")&amp;IF(DAY(I24+20)=Paramètres!$B$17,"ENCOMBRANTS, ","")),", "," / "))</f>
        <v>0</v>
      </c>
      <c r="Q27" s="7">
        <f>IF(MONTH(Q24+14)&lt;&gt;9,"",TEXT(Q24+14,"d") &amp; CHAR(10) &amp; SUBSTITUTE(TRIM(IF(OR(WEEKDAY(Q24+14,2)=Paramètres!$B$5, WEEKDAY(Q24+14,2)=Paramètres!$B$6),"OM, ","")&amp;IF(WEEKDAY(Q24+14,2)=Paramètres!$B$8,"TRI, ","")&amp;IF(AND(WEEKDAY(Q24+14,2)=Paramètres!$B$11, MOD(INT((Q24+14-Paramètres!$B$10)/7),2)=0, Q24+14&gt;=Paramètres!$B$10),"VERRE, ","")&amp;IF(AND(WEEKDAY(Q24+14,2)=Paramètres!$B$15, INT((DAY(Q24+14)-1)/7)+1 = Paramètres!$B$14),"VERTS, ","")&amp;IF(DAY(Q24+14)=Paramètres!$B$17,"ENCOMBRANTS, ","")),", "," / "))</f>
        <v>0</v>
      </c>
      <c r="R27" s="7">
        <f>IF(MONTH(Q24+15)&lt;&gt;9,"",TEXT(Q24+15,"d") &amp; CHAR(10) &amp; SUBSTITUTE(TRIM(IF(OR(WEEKDAY(Q24+15,2)=Paramètres!$B$5, WEEKDAY(Q24+15,2)=Paramètres!$B$6),"OM, ","")&amp;IF(WEEKDAY(Q24+15,2)=Paramètres!$B$8,"TRI, ","")&amp;IF(AND(WEEKDAY(Q24+15,2)=Paramètres!$B$11, MOD(INT((Q24+15-Paramètres!$B$10)/7),2)=0, Q24+15&gt;=Paramètres!$B$10),"VERRE, ","")&amp;IF(AND(WEEKDAY(Q24+15,2)=Paramètres!$B$15, INT((DAY(Q24+15)-1)/7)+1 = Paramètres!$B$14),"VERTS, ","")&amp;IF(DAY(Q24+15)=Paramètres!$B$17,"ENCOMBRANTS, ","")),", "," / "))</f>
        <v>0</v>
      </c>
      <c r="S27" s="7">
        <f>IF(MONTH(Q24+16)&lt;&gt;9,"",TEXT(Q24+16,"d") &amp; CHAR(10) &amp; SUBSTITUTE(TRIM(IF(OR(WEEKDAY(Q24+16,2)=Paramètres!$B$5, WEEKDAY(Q24+16,2)=Paramètres!$B$6),"OM, ","")&amp;IF(WEEKDAY(Q24+16,2)=Paramètres!$B$8,"TRI, ","")&amp;IF(AND(WEEKDAY(Q24+16,2)=Paramètres!$B$11, MOD(INT((Q24+16-Paramètres!$B$10)/7),2)=0, Q24+16&gt;=Paramètres!$B$10),"VERRE, ","")&amp;IF(AND(WEEKDAY(Q24+16,2)=Paramètres!$B$15, INT((DAY(Q24+16)-1)/7)+1 = Paramètres!$B$14),"VERTS, ","")&amp;IF(DAY(Q24+16)=Paramètres!$B$17,"ENCOMBRANTS, ","")),", "," / "))</f>
        <v>0</v>
      </c>
      <c r="T27" s="7">
        <f>IF(MONTH(Q24+17)&lt;&gt;9,"",TEXT(Q24+17,"d") &amp; CHAR(10) &amp; SUBSTITUTE(TRIM(IF(OR(WEEKDAY(Q24+17,2)=Paramètres!$B$5, WEEKDAY(Q24+17,2)=Paramètres!$B$6),"OM, ","")&amp;IF(WEEKDAY(Q24+17,2)=Paramètres!$B$8,"TRI, ","")&amp;IF(AND(WEEKDAY(Q24+17,2)=Paramètres!$B$11, MOD(INT((Q24+17-Paramètres!$B$10)/7),2)=0, Q24+17&gt;=Paramètres!$B$10),"VERRE, ","")&amp;IF(AND(WEEKDAY(Q24+17,2)=Paramètres!$B$15, INT((DAY(Q24+17)-1)/7)+1 = Paramètres!$B$14),"VERTS, ","")&amp;IF(DAY(Q24+17)=Paramètres!$B$17,"ENCOMBRANTS, ","")),", "," / "))</f>
        <v>0</v>
      </c>
      <c r="U27" s="7">
        <f>IF(MONTH(Q24+18)&lt;&gt;9,"",TEXT(Q24+18,"d") &amp; CHAR(10) &amp; SUBSTITUTE(TRIM(IF(OR(WEEKDAY(Q24+18,2)=Paramètres!$B$5, WEEKDAY(Q24+18,2)=Paramètres!$B$6),"OM, ","")&amp;IF(WEEKDAY(Q24+18,2)=Paramètres!$B$8,"TRI, ","")&amp;IF(AND(WEEKDAY(Q24+18,2)=Paramètres!$B$11, MOD(INT((Q24+18-Paramètres!$B$10)/7),2)=0, Q24+18&gt;=Paramètres!$B$10),"VERRE, ","")&amp;IF(AND(WEEKDAY(Q24+18,2)=Paramètres!$B$15, INT((DAY(Q24+18)-1)/7)+1 = Paramètres!$B$14),"VERTS, ","")&amp;IF(DAY(Q24+18)=Paramètres!$B$17,"ENCOMBRANTS, ","")),", "," / "))</f>
        <v>0</v>
      </c>
      <c r="V27" s="7">
        <f>IF(MONTH(Q24+19)&lt;&gt;9,"",TEXT(Q24+19,"d") &amp; CHAR(10) &amp; SUBSTITUTE(TRIM(IF(OR(WEEKDAY(Q24+19,2)=Paramètres!$B$5, WEEKDAY(Q24+19,2)=Paramètres!$B$6),"OM, ","")&amp;IF(WEEKDAY(Q24+19,2)=Paramètres!$B$8,"TRI, ","")&amp;IF(AND(WEEKDAY(Q24+19,2)=Paramètres!$B$11, MOD(INT((Q24+19-Paramètres!$B$10)/7),2)=0, Q24+19&gt;=Paramètres!$B$10),"VERRE, ","")&amp;IF(AND(WEEKDAY(Q24+19,2)=Paramètres!$B$15, INT((DAY(Q24+19)-1)/7)+1 = Paramètres!$B$14),"VERTS, ","")&amp;IF(DAY(Q24+19)=Paramètres!$B$17,"ENCOMBRANTS, ","")),", "," / "))</f>
        <v>0</v>
      </c>
      <c r="W27" s="7">
        <f>IF(MONTH(Q24+20)&lt;&gt;9,"",TEXT(Q24+20,"d") &amp; CHAR(10) &amp; SUBSTITUTE(TRIM(IF(OR(WEEKDAY(Q24+20,2)=Paramètres!$B$5, WEEKDAY(Q24+20,2)=Paramètres!$B$6),"OM, ","")&amp;IF(WEEKDAY(Q24+20,2)=Paramètres!$B$8,"TRI, ","")&amp;IF(AND(WEEKDAY(Q24+20,2)=Paramètres!$B$11, MOD(INT((Q24+20-Paramètres!$B$10)/7),2)=0, Q24+20&gt;=Paramètres!$B$10),"VERRE, ","")&amp;IF(AND(WEEKDAY(Q24+20,2)=Paramètres!$B$15, INT((DAY(Q24+20)-1)/7)+1 = Paramètres!$B$14),"VERTS, ","")&amp;IF(DAY(Q24+20)=Paramètres!$B$17,"ENCOMBRANTS, ","")),", "," / "))</f>
        <v>0</v>
      </c>
    </row>
    <row r="28" spans="1:23">
      <c r="A28" s="7">
        <f>IF(MONTH(A24+21)&lt;&gt;7,"",TEXT(A24+21,"d") &amp; CHAR(10) &amp; SUBSTITUTE(TRIM(IF(OR(WEEKDAY(A24+21,2)=Paramètres!$B$5, WEEKDAY(A24+21,2)=Paramètres!$B$6),"OM, ","")&amp;IF(WEEKDAY(A24+21,2)=Paramètres!$B$8,"TRI, ","")&amp;IF(AND(WEEKDAY(A24+21,2)=Paramètres!$B$11, MOD(INT((A24+21-Paramètres!$B$10)/7),2)=0, A24+21&gt;=Paramètres!$B$10),"VERRE, ","")&amp;IF(AND(WEEKDAY(A24+21,2)=Paramètres!$B$15, INT((DAY(A24+21)-1)/7)+1 = Paramètres!$B$14),"VERTS, ","")&amp;IF(DAY(A24+21)=Paramètres!$B$17,"ENCOMBRANTS, ","")),", "," / "))</f>
        <v>0</v>
      </c>
      <c r="B28" s="7">
        <f>IF(MONTH(A24+22)&lt;&gt;7,"",TEXT(A24+22,"d") &amp; CHAR(10) &amp; SUBSTITUTE(TRIM(IF(OR(WEEKDAY(A24+22,2)=Paramètres!$B$5, WEEKDAY(A24+22,2)=Paramètres!$B$6),"OM, ","")&amp;IF(WEEKDAY(A24+22,2)=Paramètres!$B$8,"TRI, ","")&amp;IF(AND(WEEKDAY(A24+22,2)=Paramètres!$B$11, MOD(INT((A24+22-Paramètres!$B$10)/7),2)=0, A24+22&gt;=Paramètres!$B$10),"VERRE, ","")&amp;IF(AND(WEEKDAY(A24+22,2)=Paramètres!$B$15, INT((DAY(A24+22)-1)/7)+1 = Paramètres!$B$14),"VERTS, ","")&amp;IF(DAY(A24+22)=Paramètres!$B$17,"ENCOMBRANTS, ","")),", "," / "))</f>
        <v>0</v>
      </c>
      <c r="C28" s="7">
        <f>IF(MONTH(A24+23)&lt;&gt;7,"",TEXT(A24+23,"d") &amp; CHAR(10) &amp; SUBSTITUTE(TRIM(IF(OR(WEEKDAY(A24+23,2)=Paramètres!$B$5, WEEKDAY(A24+23,2)=Paramètres!$B$6),"OM, ","")&amp;IF(WEEKDAY(A24+23,2)=Paramètres!$B$8,"TRI, ","")&amp;IF(AND(WEEKDAY(A24+23,2)=Paramètres!$B$11, MOD(INT((A24+23-Paramètres!$B$10)/7),2)=0, A24+23&gt;=Paramètres!$B$10),"VERRE, ","")&amp;IF(AND(WEEKDAY(A24+23,2)=Paramètres!$B$15, INT((DAY(A24+23)-1)/7)+1 = Paramètres!$B$14),"VERTS, ","")&amp;IF(DAY(A24+23)=Paramètres!$B$17,"ENCOMBRANTS, ","")),", "," / "))</f>
        <v>0</v>
      </c>
      <c r="D28" s="7">
        <f>IF(MONTH(A24+24)&lt;&gt;7,"",TEXT(A24+24,"d") &amp; CHAR(10) &amp; SUBSTITUTE(TRIM(IF(OR(WEEKDAY(A24+24,2)=Paramètres!$B$5, WEEKDAY(A24+24,2)=Paramètres!$B$6),"OM, ","")&amp;IF(WEEKDAY(A24+24,2)=Paramètres!$B$8,"TRI, ","")&amp;IF(AND(WEEKDAY(A24+24,2)=Paramètres!$B$11, MOD(INT((A24+24-Paramètres!$B$10)/7),2)=0, A24+24&gt;=Paramètres!$B$10),"VERRE, ","")&amp;IF(AND(WEEKDAY(A24+24,2)=Paramètres!$B$15, INT((DAY(A24+24)-1)/7)+1 = Paramètres!$B$14),"VERTS, ","")&amp;IF(DAY(A24+24)=Paramètres!$B$17,"ENCOMBRANTS, ","")),", "," / "))</f>
        <v>0</v>
      </c>
      <c r="E28" s="7">
        <f>IF(MONTH(A24+25)&lt;&gt;7,"",TEXT(A24+25,"d") &amp; CHAR(10) &amp; SUBSTITUTE(TRIM(IF(OR(WEEKDAY(A24+25,2)=Paramètres!$B$5, WEEKDAY(A24+25,2)=Paramètres!$B$6),"OM, ","")&amp;IF(WEEKDAY(A24+25,2)=Paramètres!$B$8,"TRI, ","")&amp;IF(AND(WEEKDAY(A24+25,2)=Paramètres!$B$11, MOD(INT((A24+25-Paramètres!$B$10)/7),2)=0, A24+25&gt;=Paramètres!$B$10),"VERRE, ","")&amp;IF(AND(WEEKDAY(A24+25,2)=Paramètres!$B$15, INT((DAY(A24+25)-1)/7)+1 = Paramètres!$B$14),"VERTS, ","")&amp;IF(DAY(A24+25)=Paramètres!$B$17,"ENCOMBRANTS, ","")),", "," / "))</f>
        <v>0</v>
      </c>
      <c r="F28" s="7">
        <f>IF(MONTH(A24+26)&lt;&gt;7,"",TEXT(A24+26,"d") &amp; CHAR(10) &amp; SUBSTITUTE(TRIM(IF(OR(WEEKDAY(A24+26,2)=Paramètres!$B$5, WEEKDAY(A24+26,2)=Paramètres!$B$6),"OM, ","")&amp;IF(WEEKDAY(A24+26,2)=Paramètres!$B$8,"TRI, ","")&amp;IF(AND(WEEKDAY(A24+26,2)=Paramètres!$B$11, MOD(INT((A24+26-Paramètres!$B$10)/7),2)=0, A24+26&gt;=Paramètres!$B$10),"VERRE, ","")&amp;IF(AND(WEEKDAY(A24+26,2)=Paramètres!$B$15, INT((DAY(A24+26)-1)/7)+1 = Paramètres!$B$14),"VERTS, ","")&amp;IF(DAY(A24+26)=Paramètres!$B$17,"ENCOMBRANTS, ","")),", "," / "))</f>
        <v>0</v>
      </c>
      <c r="G28" s="7">
        <f>IF(MONTH(A24+27)&lt;&gt;7,"",TEXT(A24+27,"d") &amp; CHAR(10) &amp; SUBSTITUTE(TRIM(IF(OR(WEEKDAY(A24+27,2)=Paramètres!$B$5, WEEKDAY(A24+27,2)=Paramètres!$B$6),"OM, ","")&amp;IF(WEEKDAY(A24+27,2)=Paramètres!$B$8,"TRI, ","")&amp;IF(AND(WEEKDAY(A24+27,2)=Paramètres!$B$11, MOD(INT((A24+27-Paramètres!$B$10)/7),2)=0, A24+27&gt;=Paramètres!$B$10),"VERRE, ","")&amp;IF(AND(WEEKDAY(A24+27,2)=Paramètres!$B$15, INT((DAY(A24+27)-1)/7)+1 = Paramètres!$B$14),"VERTS, ","")&amp;IF(DAY(A24+27)=Paramètres!$B$17,"ENCOMBRANTS, ","")),", "," / "))</f>
        <v>0</v>
      </c>
      <c r="I28" s="7">
        <f>IF(MONTH(I24+21)&lt;&gt;8,"",TEXT(I24+21,"d") &amp; CHAR(10) &amp; SUBSTITUTE(TRIM(IF(OR(WEEKDAY(I24+21,2)=Paramètres!$B$5, WEEKDAY(I24+21,2)=Paramètres!$B$6),"OM, ","")&amp;IF(WEEKDAY(I24+21,2)=Paramètres!$B$8,"TRI, ","")&amp;IF(AND(WEEKDAY(I24+21,2)=Paramètres!$B$11, MOD(INT((I24+21-Paramètres!$B$10)/7),2)=0, I24+21&gt;=Paramètres!$B$10),"VERRE, ","")&amp;IF(AND(WEEKDAY(I24+21,2)=Paramètres!$B$15, INT((DAY(I24+21)-1)/7)+1 = Paramètres!$B$14),"VERTS, ","")&amp;IF(DAY(I24+21)=Paramètres!$B$17,"ENCOMBRANTS, ","")),", "," / "))</f>
        <v>0</v>
      </c>
      <c r="J28" s="7">
        <f>IF(MONTH(I24+22)&lt;&gt;8,"",TEXT(I24+22,"d") &amp; CHAR(10) &amp; SUBSTITUTE(TRIM(IF(OR(WEEKDAY(I24+22,2)=Paramètres!$B$5, WEEKDAY(I24+22,2)=Paramètres!$B$6),"OM, ","")&amp;IF(WEEKDAY(I24+22,2)=Paramètres!$B$8,"TRI, ","")&amp;IF(AND(WEEKDAY(I24+22,2)=Paramètres!$B$11, MOD(INT((I24+22-Paramètres!$B$10)/7),2)=0, I24+22&gt;=Paramètres!$B$10),"VERRE, ","")&amp;IF(AND(WEEKDAY(I24+22,2)=Paramètres!$B$15, INT((DAY(I24+22)-1)/7)+1 = Paramètres!$B$14),"VERTS, ","")&amp;IF(DAY(I24+22)=Paramètres!$B$17,"ENCOMBRANTS, ","")),", "," / "))</f>
        <v>0</v>
      </c>
      <c r="K28" s="7">
        <f>IF(MONTH(I24+23)&lt;&gt;8,"",TEXT(I24+23,"d") &amp; CHAR(10) &amp; SUBSTITUTE(TRIM(IF(OR(WEEKDAY(I24+23,2)=Paramètres!$B$5, WEEKDAY(I24+23,2)=Paramètres!$B$6),"OM, ","")&amp;IF(WEEKDAY(I24+23,2)=Paramètres!$B$8,"TRI, ","")&amp;IF(AND(WEEKDAY(I24+23,2)=Paramètres!$B$11, MOD(INT((I24+23-Paramètres!$B$10)/7),2)=0, I24+23&gt;=Paramètres!$B$10),"VERRE, ","")&amp;IF(AND(WEEKDAY(I24+23,2)=Paramètres!$B$15, INT((DAY(I24+23)-1)/7)+1 = Paramètres!$B$14),"VERTS, ","")&amp;IF(DAY(I24+23)=Paramètres!$B$17,"ENCOMBRANTS, ","")),", "," / "))</f>
        <v>0</v>
      </c>
      <c r="L28" s="7">
        <f>IF(MONTH(I24+24)&lt;&gt;8,"",TEXT(I24+24,"d") &amp; CHAR(10) &amp; SUBSTITUTE(TRIM(IF(OR(WEEKDAY(I24+24,2)=Paramètres!$B$5, WEEKDAY(I24+24,2)=Paramètres!$B$6),"OM, ","")&amp;IF(WEEKDAY(I24+24,2)=Paramètres!$B$8,"TRI, ","")&amp;IF(AND(WEEKDAY(I24+24,2)=Paramètres!$B$11, MOD(INT((I24+24-Paramètres!$B$10)/7),2)=0, I24+24&gt;=Paramètres!$B$10),"VERRE, ","")&amp;IF(AND(WEEKDAY(I24+24,2)=Paramètres!$B$15, INT((DAY(I24+24)-1)/7)+1 = Paramètres!$B$14),"VERTS, ","")&amp;IF(DAY(I24+24)=Paramètres!$B$17,"ENCOMBRANTS, ","")),", "," / "))</f>
        <v>0</v>
      </c>
      <c r="M28" s="7">
        <f>IF(MONTH(I24+25)&lt;&gt;8,"",TEXT(I24+25,"d") &amp; CHAR(10) &amp; SUBSTITUTE(TRIM(IF(OR(WEEKDAY(I24+25,2)=Paramètres!$B$5, WEEKDAY(I24+25,2)=Paramètres!$B$6),"OM, ","")&amp;IF(WEEKDAY(I24+25,2)=Paramètres!$B$8,"TRI, ","")&amp;IF(AND(WEEKDAY(I24+25,2)=Paramètres!$B$11, MOD(INT((I24+25-Paramètres!$B$10)/7),2)=0, I24+25&gt;=Paramètres!$B$10),"VERRE, ","")&amp;IF(AND(WEEKDAY(I24+25,2)=Paramètres!$B$15, INT((DAY(I24+25)-1)/7)+1 = Paramètres!$B$14),"VERTS, ","")&amp;IF(DAY(I24+25)=Paramètres!$B$17,"ENCOMBRANTS, ","")),", "," / "))</f>
        <v>0</v>
      </c>
      <c r="N28" s="7">
        <f>IF(MONTH(I24+26)&lt;&gt;8,"",TEXT(I24+26,"d") &amp; CHAR(10) &amp; SUBSTITUTE(TRIM(IF(OR(WEEKDAY(I24+26,2)=Paramètres!$B$5, WEEKDAY(I24+26,2)=Paramètres!$B$6),"OM, ","")&amp;IF(WEEKDAY(I24+26,2)=Paramètres!$B$8,"TRI, ","")&amp;IF(AND(WEEKDAY(I24+26,2)=Paramètres!$B$11, MOD(INT((I24+26-Paramètres!$B$10)/7),2)=0, I24+26&gt;=Paramètres!$B$10),"VERRE, ","")&amp;IF(AND(WEEKDAY(I24+26,2)=Paramètres!$B$15, INT((DAY(I24+26)-1)/7)+1 = Paramètres!$B$14),"VERTS, ","")&amp;IF(DAY(I24+26)=Paramètres!$B$17,"ENCOMBRANTS, ","")),", "," / "))</f>
        <v>0</v>
      </c>
      <c r="O28" s="7">
        <f>IF(MONTH(I24+27)&lt;&gt;8,"",TEXT(I24+27,"d") &amp; CHAR(10) &amp; SUBSTITUTE(TRIM(IF(OR(WEEKDAY(I24+27,2)=Paramètres!$B$5, WEEKDAY(I24+27,2)=Paramètres!$B$6),"OM, ","")&amp;IF(WEEKDAY(I24+27,2)=Paramètres!$B$8,"TRI, ","")&amp;IF(AND(WEEKDAY(I24+27,2)=Paramètres!$B$11, MOD(INT((I24+27-Paramètres!$B$10)/7),2)=0, I24+27&gt;=Paramètres!$B$10),"VERRE, ","")&amp;IF(AND(WEEKDAY(I24+27,2)=Paramètres!$B$15, INT((DAY(I24+27)-1)/7)+1 = Paramètres!$B$14),"VERTS, ","")&amp;IF(DAY(I24+27)=Paramètres!$B$17,"ENCOMBRANTS, ","")),", "," / "))</f>
        <v>0</v>
      </c>
      <c r="Q28" s="7">
        <f>IF(MONTH(Q24+21)&lt;&gt;9,"",TEXT(Q24+21,"d") &amp; CHAR(10) &amp; SUBSTITUTE(TRIM(IF(OR(WEEKDAY(Q24+21,2)=Paramètres!$B$5, WEEKDAY(Q24+21,2)=Paramètres!$B$6),"OM, ","")&amp;IF(WEEKDAY(Q24+21,2)=Paramètres!$B$8,"TRI, ","")&amp;IF(AND(WEEKDAY(Q24+21,2)=Paramètres!$B$11, MOD(INT((Q24+21-Paramètres!$B$10)/7),2)=0, Q24+21&gt;=Paramètres!$B$10),"VERRE, ","")&amp;IF(AND(WEEKDAY(Q24+21,2)=Paramètres!$B$15, INT((DAY(Q24+21)-1)/7)+1 = Paramètres!$B$14),"VERTS, ","")&amp;IF(DAY(Q24+21)=Paramètres!$B$17,"ENCOMBRANTS, ","")),", "," / "))</f>
        <v>0</v>
      </c>
      <c r="R28" s="7">
        <f>IF(MONTH(Q24+22)&lt;&gt;9,"",TEXT(Q24+22,"d") &amp; CHAR(10) &amp; SUBSTITUTE(TRIM(IF(OR(WEEKDAY(Q24+22,2)=Paramètres!$B$5, WEEKDAY(Q24+22,2)=Paramètres!$B$6),"OM, ","")&amp;IF(WEEKDAY(Q24+22,2)=Paramètres!$B$8,"TRI, ","")&amp;IF(AND(WEEKDAY(Q24+22,2)=Paramètres!$B$11, MOD(INT((Q24+22-Paramètres!$B$10)/7),2)=0, Q24+22&gt;=Paramètres!$B$10),"VERRE, ","")&amp;IF(AND(WEEKDAY(Q24+22,2)=Paramètres!$B$15, INT((DAY(Q24+22)-1)/7)+1 = Paramètres!$B$14),"VERTS, ","")&amp;IF(DAY(Q24+22)=Paramètres!$B$17,"ENCOMBRANTS, ","")),", "," / "))</f>
        <v>0</v>
      </c>
      <c r="S28" s="7">
        <f>IF(MONTH(Q24+23)&lt;&gt;9,"",TEXT(Q24+23,"d") &amp; CHAR(10) &amp; SUBSTITUTE(TRIM(IF(OR(WEEKDAY(Q24+23,2)=Paramètres!$B$5, WEEKDAY(Q24+23,2)=Paramètres!$B$6),"OM, ","")&amp;IF(WEEKDAY(Q24+23,2)=Paramètres!$B$8,"TRI, ","")&amp;IF(AND(WEEKDAY(Q24+23,2)=Paramètres!$B$11, MOD(INT((Q24+23-Paramètres!$B$10)/7),2)=0, Q24+23&gt;=Paramètres!$B$10),"VERRE, ","")&amp;IF(AND(WEEKDAY(Q24+23,2)=Paramètres!$B$15, INT((DAY(Q24+23)-1)/7)+1 = Paramètres!$B$14),"VERTS, ","")&amp;IF(DAY(Q24+23)=Paramètres!$B$17,"ENCOMBRANTS, ","")),", "," / "))</f>
        <v>0</v>
      </c>
      <c r="T28" s="7">
        <f>IF(MONTH(Q24+24)&lt;&gt;9,"",TEXT(Q24+24,"d") &amp; CHAR(10) &amp; SUBSTITUTE(TRIM(IF(OR(WEEKDAY(Q24+24,2)=Paramètres!$B$5, WEEKDAY(Q24+24,2)=Paramètres!$B$6),"OM, ","")&amp;IF(WEEKDAY(Q24+24,2)=Paramètres!$B$8,"TRI, ","")&amp;IF(AND(WEEKDAY(Q24+24,2)=Paramètres!$B$11, MOD(INT((Q24+24-Paramètres!$B$10)/7),2)=0, Q24+24&gt;=Paramètres!$B$10),"VERRE, ","")&amp;IF(AND(WEEKDAY(Q24+24,2)=Paramètres!$B$15, INT((DAY(Q24+24)-1)/7)+1 = Paramètres!$B$14),"VERTS, ","")&amp;IF(DAY(Q24+24)=Paramètres!$B$17,"ENCOMBRANTS, ","")),", "," / "))</f>
        <v>0</v>
      </c>
      <c r="U28" s="7">
        <f>IF(MONTH(Q24+25)&lt;&gt;9,"",TEXT(Q24+25,"d") &amp; CHAR(10) &amp; SUBSTITUTE(TRIM(IF(OR(WEEKDAY(Q24+25,2)=Paramètres!$B$5, WEEKDAY(Q24+25,2)=Paramètres!$B$6),"OM, ","")&amp;IF(WEEKDAY(Q24+25,2)=Paramètres!$B$8,"TRI, ","")&amp;IF(AND(WEEKDAY(Q24+25,2)=Paramètres!$B$11, MOD(INT((Q24+25-Paramètres!$B$10)/7),2)=0, Q24+25&gt;=Paramètres!$B$10),"VERRE, ","")&amp;IF(AND(WEEKDAY(Q24+25,2)=Paramètres!$B$15, INT((DAY(Q24+25)-1)/7)+1 = Paramètres!$B$14),"VERTS, ","")&amp;IF(DAY(Q24+25)=Paramètres!$B$17,"ENCOMBRANTS, ","")),", "," / "))</f>
        <v>0</v>
      </c>
      <c r="V28" s="7">
        <f>IF(MONTH(Q24+26)&lt;&gt;9,"",TEXT(Q24+26,"d") &amp; CHAR(10) &amp; SUBSTITUTE(TRIM(IF(OR(WEEKDAY(Q24+26,2)=Paramètres!$B$5, WEEKDAY(Q24+26,2)=Paramètres!$B$6),"OM, ","")&amp;IF(WEEKDAY(Q24+26,2)=Paramètres!$B$8,"TRI, ","")&amp;IF(AND(WEEKDAY(Q24+26,2)=Paramètres!$B$11, MOD(INT((Q24+26-Paramètres!$B$10)/7),2)=0, Q24+26&gt;=Paramètres!$B$10),"VERRE, ","")&amp;IF(AND(WEEKDAY(Q24+26,2)=Paramètres!$B$15, INT((DAY(Q24+26)-1)/7)+1 = Paramètres!$B$14),"VERTS, ","")&amp;IF(DAY(Q24+26)=Paramètres!$B$17,"ENCOMBRANTS, ","")),", "," / "))</f>
        <v>0</v>
      </c>
      <c r="W28" s="7">
        <f>IF(MONTH(Q24+27)&lt;&gt;9,"",TEXT(Q24+27,"d") &amp; CHAR(10) &amp; SUBSTITUTE(TRIM(IF(OR(WEEKDAY(Q24+27,2)=Paramètres!$B$5, WEEKDAY(Q24+27,2)=Paramètres!$B$6),"OM, ","")&amp;IF(WEEKDAY(Q24+27,2)=Paramètres!$B$8,"TRI, ","")&amp;IF(AND(WEEKDAY(Q24+27,2)=Paramètres!$B$11, MOD(INT((Q24+27-Paramètres!$B$10)/7),2)=0, Q24+27&gt;=Paramètres!$B$10),"VERRE, ","")&amp;IF(AND(WEEKDAY(Q24+27,2)=Paramètres!$B$15, INT((DAY(Q24+27)-1)/7)+1 = Paramètres!$B$14),"VERTS, ","")&amp;IF(DAY(Q24+27)=Paramètres!$B$17,"ENCOMBRANTS, ","")),", "," / "))</f>
        <v>0</v>
      </c>
    </row>
    <row r="29" spans="1:23">
      <c r="A29" s="7">
        <f>IF(MONTH(A24+28)&lt;&gt;7,"",TEXT(A24+28,"d") &amp; CHAR(10) &amp; SUBSTITUTE(TRIM(IF(OR(WEEKDAY(A24+28,2)=Paramètres!$B$5, WEEKDAY(A24+28,2)=Paramètres!$B$6),"OM, ","")&amp;IF(WEEKDAY(A24+28,2)=Paramètres!$B$8,"TRI, ","")&amp;IF(AND(WEEKDAY(A24+28,2)=Paramètres!$B$11, MOD(INT((A24+28-Paramètres!$B$10)/7),2)=0, A24+28&gt;=Paramètres!$B$10),"VERRE, ","")&amp;IF(AND(WEEKDAY(A24+28,2)=Paramètres!$B$15, INT((DAY(A24+28)-1)/7)+1 = Paramètres!$B$14),"VERTS, ","")&amp;IF(DAY(A24+28)=Paramètres!$B$17,"ENCOMBRANTS, ","")),", "," / "))</f>
        <v>0</v>
      </c>
      <c r="B29" s="7">
        <f>IF(MONTH(A24+29)&lt;&gt;7,"",TEXT(A24+29,"d") &amp; CHAR(10) &amp; SUBSTITUTE(TRIM(IF(OR(WEEKDAY(A24+29,2)=Paramètres!$B$5, WEEKDAY(A24+29,2)=Paramètres!$B$6),"OM, ","")&amp;IF(WEEKDAY(A24+29,2)=Paramètres!$B$8,"TRI, ","")&amp;IF(AND(WEEKDAY(A24+29,2)=Paramètres!$B$11, MOD(INT((A24+29-Paramètres!$B$10)/7),2)=0, A24+29&gt;=Paramètres!$B$10),"VERRE, ","")&amp;IF(AND(WEEKDAY(A24+29,2)=Paramètres!$B$15, INT((DAY(A24+29)-1)/7)+1 = Paramètres!$B$14),"VERTS, ","")&amp;IF(DAY(A24+29)=Paramètres!$B$17,"ENCOMBRANTS, ","")),", "," / "))</f>
        <v>0</v>
      </c>
      <c r="C29" s="7">
        <f>IF(MONTH(A24+30)&lt;&gt;7,"",TEXT(A24+30,"d") &amp; CHAR(10) &amp; SUBSTITUTE(TRIM(IF(OR(WEEKDAY(A24+30,2)=Paramètres!$B$5, WEEKDAY(A24+30,2)=Paramètres!$B$6),"OM, ","")&amp;IF(WEEKDAY(A24+30,2)=Paramètres!$B$8,"TRI, ","")&amp;IF(AND(WEEKDAY(A24+30,2)=Paramètres!$B$11, MOD(INT((A24+30-Paramètres!$B$10)/7),2)=0, A24+30&gt;=Paramètres!$B$10),"VERRE, ","")&amp;IF(AND(WEEKDAY(A24+30,2)=Paramètres!$B$15, INT((DAY(A24+30)-1)/7)+1 = Paramètres!$B$14),"VERTS, ","")&amp;IF(DAY(A24+30)=Paramètres!$B$17,"ENCOMBRANTS, ","")),", "," / "))</f>
        <v>0</v>
      </c>
      <c r="D29" s="7">
        <f>IF(MONTH(A24+31)&lt;&gt;7,"",TEXT(A24+31,"d") &amp; CHAR(10) &amp; SUBSTITUTE(TRIM(IF(OR(WEEKDAY(A24+31,2)=Paramètres!$B$5, WEEKDAY(A24+31,2)=Paramètres!$B$6),"OM, ","")&amp;IF(WEEKDAY(A24+31,2)=Paramètres!$B$8,"TRI, ","")&amp;IF(AND(WEEKDAY(A24+31,2)=Paramètres!$B$11, MOD(INT((A24+31-Paramètres!$B$10)/7),2)=0, A24+31&gt;=Paramètres!$B$10),"VERRE, ","")&amp;IF(AND(WEEKDAY(A24+31,2)=Paramètres!$B$15, INT((DAY(A24+31)-1)/7)+1 = Paramètres!$B$14),"VERTS, ","")&amp;IF(DAY(A24+31)=Paramètres!$B$17,"ENCOMBRANTS, ","")),", "," / "))</f>
        <v>0</v>
      </c>
      <c r="E29" s="7">
        <f>IF(MONTH(A24+32)&lt;&gt;7,"",TEXT(A24+32,"d") &amp; CHAR(10) &amp; SUBSTITUTE(TRIM(IF(OR(WEEKDAY(A24+32,2)=Paramètres!$B$5, WEEKDAY(A24+32,2)=Paramètres!$B$6),"OM, ","")&amp;IF(WEEKDAY(A24+32,2)=Paramètres!$B$8,"TRI, ","")&amp;IF(AND(WEEKDAY(A24+32,2)=Paramètres!$B$11, MOD(INT((A24+32-Paramètres!$B$10)/7),2)=0, A24+32&gt;=Paramètres!$B$10),"VERRE, ","")&amp;IF(AND(WEEKDAY(A24+32,2)=Paramètres!$B$15, INT((DAY(A24+32)-1)/7)+1 = Paramètres!$B$14),"VERTS, ","")&amp;IF(DAY(A24+32)=Paramètres!$B$17,"ENCOMBRANTS, ","")),", "," / "))</f>
        <v>0</v>
      </c>
      <c r="F29" s="7">
        <f>IF(MONTH(A24+33)&lt;&gt;7,"",TEXT(A24+33,"d") &amp; CHAR(10) &amp; SUBSTITUTE(TRIM(IF(OR(WEEKDAY(A24+33,2)=Paramètres!$B$5, WEEKDAY(A24+33,2)=Paramètres!$B$6),"OM, ","")&amp;IF(WEEKDAY(A24+33,2)=Paramètres!$B$8,"TRI, ","")&amp;IF(AND(WEEKDAY(A24+33,2)=Paramètres!$B$11, MOD(INT((A24+33-Paramètres!$B$10)/7),2)=0, A24+33&gt;=Paramètres!$B$10),"VERRE, ","")&amp;IF(AND(WEEKDAY(A24+33,2)=Paramètres!$B$15, INT((DAY(A24+33)-1)/7)+1 = Paramètres!$B$14),"VERTS, ","")&amp;IF(DAY(A24+33)=Paramètres!$B$17,"ENCOMBRANTS, ","")),", "," / "))</f>
        <v>0</v>
      </c>
      <c r="G29" s="7">
        <f>IF(MONTH(A24+34)&lt;&gt;7,"",TEXT(A24+34,"d") &amp; CHAR(10) &amp; SUBSTITUTE(TRIM(IF(OR(WEEKDAY(A24+34,2)=Paramètres!$B$5, WEEKDAY(A24+34,2)=Paramètres!$B$6),"OM, ","")&amp;IF(WEEKDAY(A24+34,2)=Paramètres!$B$8,"TRI, ","")&amp;IF(AND(WEEKDAY(A24+34,2)=Paramètres!$B$11, MOD(INT((A24+34-Paramètres!$B$10)/7),2)=0, A24+34&gt;=Paramètres!$B$10),"VERRE, ","")&amp;IF(AND(WEEKDAY(A24+34,2)=Paramètres!$B$15, INT((DAY(A24+34)-1)/7)+1 = Paramètres!$B$14),"VERTS, ","")&amp;IF(DAY(A24+34)=Paramètres!$B$17,"ENCOMBRANTS, ","")),", "," / "))</f>
        <v>0</v>
      </c>
      <c r="I29" s="7">
        <f>IF(MONTH(I24+28)&lt;&gt;8,"",TEXT(I24+28,"d") &amp; CHAR(10) &amp; SUBSTITUTE(TRIM(IF(OR(WEEKDAY(I24+28,2)=Paramètres!$B$5, WEEKDAY(I24+28,2)=Paramètres!$B$6),"OM, ","")&amp;IF(WEEKDAY(I24+28,2)=Paramètres!$B$8,"TRI, ","")&amp;IF(AND(WEEKDAY(I24+28,2)=Paramètres!$B$11, MOD(INT((I24+28-Paramètres!$B$10)/7),2)=0, I24+28&gt;=Paramètres!$B$10),"VERRE, ","")&amp;IF(AND(WEEKDAY(I24+28,2)=Paramètres!$B$15, INT((DAY(I24+28)-1)/7)+1 = Paramètres!$B$14),"VERTS, ","")&amp;IF(DAY(I24+28)=Paramètres!$B$17,"ENCOMBRANTS, ","")),", "," / "))</f>
        <v>0</v>
      </c>
      <c r="J29" s="7">
        <f>IF(MONTH(I24+29)&lt;&gt;8,"",TEXT(I24+29,"d") &amp; CHAR(10) &amp; SUBSTITUTE(TRIM(IF(OR(WEEKDAY(I24+29,2)=Paramètres!$B$5, WEEKDAY(I24+29,2)=Paramètres!$B$6),"OM, ","")&amp;IF(WEEKDAY(I24+29,2)=Paramètres!$B$8,"TRI, ","")&amp;IF(AND(WEEKDAY(I24+29,2)=Paramètres!$B$11, MOD(INT((I24+29-Paramètres!$B$10)/7),2)=0, I24+29&gt;=Paramètres!$B$10),"VERRE, ","")&amp;IF(AND(WEEKDAY(I24+29,2)=Paramètres!$B$15, INT((DAY(I24+29)-1)/7)+1 = Paramètres!$B$14),"VERTS, ","")&amp;IF(DAY(I24+29)=Paramètres!$B$17,"ENCOMBRANTS, ","")),", "," / "))</f>
        <v>0</v>
      </c>
      <c r="K29" s="7">
        <f>IF(MONTH(I24+30)&lt;&gt;8,"",TEXT(I24+30,"d") &amp; CHAR(10) &amp; SUBSTITUTE(TRIM(IF(OR(WEEKDAY(I24+30,2)=Paramètres!$B$5, WEEKDAY(I24+30,2)=Paramètres!$B$6),"OM, ","")&amp;IF(WEEKDAY(I24+30,2)=Paramètres!$B$8,"TRI, ","")&amp;IF(AND(WEEKDAY(I24+30,2)=Paramètres!$B$11, MOD(INT((I24+30-Paramètres!$B$10)/7),2)=0, I24+30&gt;=Paramètres!$B$10),"VERRE, ","")&amp;IF(AND(WEEKDAY(I24+30,2)=Paramètres!$B$15, INT((DAY(I24+30)-1)/7)+1 = Paramètres!$B$14),"VERTS, ","")&amp;IF(DAY(I24+30)=Paramètres!$B$17,"ENCOMBRANTS, ","")),", "," / "))</f>
        <v>0</v>
      </c>
      <c r="L29" s="7">
        <f>IF(MONTH(I24+31)&lt;&gt;8,"",TEXT(I24+31,"d") &amp; CHAR(10) &amp; SUBSTITUTE(TRIM(IF(OR(WEEKDAY(I24+31,2)=Paramètres!$B$5, WEEKDAY(I24+31,2)=Paramètres!$B$6),"OM, ","")&amp;IF(WEEKDAY(I24+31,2)=Paramètres!$B$8,"TRI, ","")&amp;IF(AND(WEEKDAY(I24+31,2)=Paramètres!$B$11, MOD(INT((I24+31-Paramètres!$B$10)/7),2)=0, I24+31&gt;=Paramètres!$B$10),"VERRE, ","")&amp;IF(AND(WEEKDAY(I24+31,2)=Paramètres!$B$15, INT((DAY(I24+31)-1)/7)+1 = Paramètres!$B$14),"VERTS, ","")&amp;IF(DAY(I24+31)=Paramètres!$B$17,"ENCOMBRANTS, ","")),", "," / "))</f>
        <v>0</v>
      </c>
      <c r="M29" s="7">
        <f>IF(MONTH(I24+32)&lt;&gt;8,"",TEXT(I24+32,"d") &amp; CHAR(10) &amp; SUBSTITUTE(TRIM(IF(OR(WEEKDAY(I24+32,2)=Paramètres!$B$5, WEEKDAY(I24+32,2)=Paramètres!$B$6),"OM, ","")&amp;IF(WEEKDAY(I24+32,2)=Paramètres!$B$8,"TRI, ","")&amp;IF(AND(WEEKDAY(I24+32,2)=Paramètres!$B$11, MOD(INT((I24+32-Paramètres!$B$10)/7),2)=0, I24+32&gt;=Paramètres!$B$10),"VERRE, ","")&amp;IF(AND(WEEKDAY(I24+32,2)=Paramètres!$B$15, INT((DAY(I24+32)-1)/7)+1 = Paramètres!$B$14),"VERTS, ","")&amp;IF(DAY(I24+32)=Paramètres!$B$17,"ENCOMBRANTS, ","")),", "," / "))</f>
        <v>0</v>
      </c>
      <c r="N29" s="7">
        <f>IF(MONTH(I24+33)&lt;&gt;8,"",TEXT(I24+33,"d") &amp; CHAR(10) &amp; SUBSTITUTE(TRIM(IF(OR(WEEKDAY(I24+33,2)=Paramètres!$B$5, WEEKDAY(I24+33,2)=Paramètres!$B$6),"OM, ","")&amp;IF(WEEKDAY(I24+33,2)=Paramètres!$B$8,"TRI, ","")&amp;IF(AND(WEEKDAY(I24+33,2)=Paramètres!$B$11, MOD(INT((I24+33-Paramètres!$B$10)/7),2)=0, I24+33&gt;=Paramètres!$B$10),"VERRE, ","")&amp;IF(AND(WEEKDAY(I24+33,2)=Paramètres!$B$15, INT((DAY(I24+33)-1)/7)+1 = Paramètres!$B$14),"VERTS, ","")&amp;IF(DAY(I24+33)=Paramètres!$B$17,"ENCOMBRANTS, ","")),", "," / "))</f>
        <v>0</v>
      </c>
      <c r="O29" s="7">
        <f>IF(MONTH(I24+34)&lt;&gt;8,"",TEXT(I24+34,"d") &amp; CHAR(10) &amp; SUBSTITUTE(TRIM(IF(OR(WEEKDAY(I24+34,2)=Paramètres!$B$5, WEEKDAY(I24+34,2)=Paramètres!$B$6),"OM, ","")&amp;IF(WEEKDAY(I24+34,2)=Paramètres!$B$8,"TRI, ","")&amp;IF(AND(WEEKDAY(I24+34,2)=Paramètres!$B$11, MOD(INT((I24+34-Paramètres!$B$10)/7),2)=0, I24+34&gt;=Paramètres!$B$10),"VERRE, ","")&amp;IF(AND(WEEKDAY(I24+34,2)=Paramètres!$B$15, INT((DAY(I24+34)-1)/7)+1 = Paramètres!$B$14),"VERTS, ","")&amp;IF(DAY(I24+34)=Paramètres!$B$17,"ENCOMBRANTS, ","")),", "," / "))</f>
        <v>0</v>
      </c>
      <c r="Q29" s="7">
        <f>IF(MONTH(Q24+28)&lt;&gt;9,"",TEXT(Q24+28,"d") &amp; CHAR(10) &amp; SUBSTITUTE(TRIM(IF(OR(WEEKDAY(Q24+28,2)=Paramètres!$B$5, WEEKDAY(Q24+28,2)=Paramètres!$B$6),"OM, ","")&amp;IF(WEEKDAY(Q24+28,2)=Paramètres!$B$8,"TRI, ","")&amp;IF(AND(WEEKDAY(Q24+28,2)=Paramètres!$B$11, MOD(INT((Q24+28-Paramètres!$B$10)/7),2)=0, Q24+28&gt;=Paramètres!$B$10),"VERRE, ","")&amp;IF(AND(WEEKDAY(Q24+28,2)=Paramètres!$B$15, INT((DAY(Q24+28)-1)/7)+1 = Paramètres!$B$14),"VERTS, ","")&amp;IF(DAY(Q24+28)=Paramètres!$B$17,"ENCOMBRANTS, ","")),", "," / "))</f>
        <v>0</v>
      </c>
      <c r="R29" s="7">
        <f>IF(MONTH(Q24+29)&lt;&gt;9,"",TEXT(Q24+29,"d") &amp; CHAR(10) &amp; SUBSTITUTE(TRIM(IF(OR(WEEKDAY(Q24+29,2)=Paramètres!$B$5, WEEKDAY(Q24+29,2)=Paramètres!$B$6),"OM, ","")&amp;IF(WEEKDAY(Q24+29,2)=Paramètres!$B$8,"TRI, ","")&amp;IF(AND(WEEKDAY(Q24+29,2)=Paramètres!$B$11, MOD(INT((Q24+29-Paramètres!$B$10)/7),2)=0, Q24+29&gt;=Paramètres!$B$10),"VERRE, ","")&amp;IF(AND(WEEKDAY(Q24+29,2)=Paramètres!$B$15, INT((DAY(Q24+29)-1)/7)+1 = Paramètres!$B$14),"VERTS, ","")&amp;IF(DAY(Q24+29)=Paramètres!$B$17,"ENCOMBRANTS, ","")),", "," / "))</f>
        <v>0</v>
      </c>
      <c r="S29" s="7">
        <f>IF(MONTH(Q24+30)&lt;&gt;9,"",TEXT(Q24+30,"d") &amp; CHAR(10) &amp; SUBSTITUTE(TRIM(IF(OR(WEEKDAY(Q24+30,2)=Paramètres!$B$5, WEEKDAY(Q24+30,2)=Paramètres!$B$6),"OM, ","")&amp;IF(WEEKDAY(Q24+30,2)=Paramètres!$B$8,"TRI, ","")&amp;IF(AND(WEEKDAY(Q24+30,2)=Paramètres!$B$11, MOD(INT((Q24+30-Paramètres!$B$10)/7),2)=0, Q24+30&gt;=Paramètres!$B$10),"VERRE, ","")&amp;IF(AND(WEEKDAY(Q24+30,2)=Paramètres!$B$15, INT((DAY(Q24+30)-1)/7)+1 = Paramètres!$B$14),"VERTS, ","")&amp;IF(DAY(Q24+30)=Paramètres!$B$17,"ENCOMBRANTS, ","")),", "," / "))</f>
        <v>0</v>
      </c>
      <c r="T29" s="7">
        <f>IF(MONTH(Q24+31)&lt;&gt;9,"",TEXT(Q24+31,"d") &amp; CHAR(10) &amp; SUBSTITUTE(TRIM(IF(OR(WEEKDAY(Q24+31,2)=Paramètres!$B$5, WEEKDAY(Q24+31,2)=Paramètres!$B$6),"OM, ","")&amp;IF(WEEKDAY(Q24+31,2)=Paramètres!$B$8,"TRI, ","")&amp;IF(AND(WEEKDAY(Q24+31,2)=Paramètres!$B$11, MOD(INT((Q24+31-Paramètres!$B$10)/7),2)=0, Q24+31&gt;=Paramètres!$B$10),"VERRE, ","")&amp;IF(AND(WEEKDAY(Q24+31,2)=Paramètres!$B$15, INT((DAY(Q24+31)-1)/7)+1 = Paramètres!$B$14),"VERTS, ","")&amp;IF(DAY(Q24+31)=Paramètres!$B$17,"ENCOMBRANTS, ","")),", "," / "))</f>
        <v>0</v>
      </c>
      <c r="U29" s="7">
        <f>IF(MONTH(Q24+32)&lt;&gt;9,"",TEXT(Q24+32,"d") &amp; CHAR(10) &amp; SUBSTITUTE(TRIM(IF(OR(WEEKDAY(Q24+32,2)=Paramètres!$B$5, WEEKDAY(Q24+32,2)=Paramètres!$B$6),"OM, ","")&amp;IF(WEEKDAY(Q24+32,2)=Paramètres!$B$8,"TRI, ","")&amp;IF(AND(WEEKDAY(Q24+32,2)=Paramètres!$B$11, MOD(INT((Q24+32-Paramètres!$B$10)/7),2)=0, Q24+32&gt;=Paramètres!$B$10),"VERRE, ","")&amp;IF(AND(WEEKDAY(Q24+32,2)=Paramètres!$B$15, INT((DAY(Q24+32)-1)/7)+1 = Paramètres!$B$14),"VERTS, ","")&amp;IF(DAY(Q24+32)=Paramètres!$B$17,"ENCOMBRANTS, ","")),", "," / "))</f>
        <v>0</v>
      </c>
      <c r="V29" s="7">
        <f>IF(MONTH(Q24+33)&lt;&gt;9,"",TEXT(Q24+33,"d") &amp; CHAR(10) &amp; SUBSTITUTE(TRIM(IF(OR(WEEKDAY(Q24+33,2)=Paramètres!$B$5, WEEKDAY(Q24+33,2)=Paramètres!$B$6),"OM, ","")&amp;IF(WEEKDAY(Q24+33,2)=Paramètres!$B$8,"TRI, ","")&amp;IF(AND(WEEKDAY(Q24+33,2)=Paramètres!$B$11, MOD(INT((Q24+33-Paramètres!$B$10)/7),2)=0, Q24+33&gt;=Paramètres!$B$10),"VERRE, ","")&amp;IF(AND(WEEKDAY(Q24+33,2)=Paramètres!$B$15, INT((DAY(Q24+33)-1)/7)+1 = Paramètres!$B$14),"VERTS, ","")&amp;IF(DAY(Q24+33)=Paramètres!$B$17,"ENCOMBRANTS, ","")),", "," / "))</f>
        <v>0</v>
      </c>
      <c r="W29" s="7">
        <f>IF(MONTH(Q24+34)&lt;&gt;9,"",TEXT(Q24+34,"d") &amp; CHAR(10) &amp; SUBSTITUTE(TRIM(IF(OR(WEEKDAY(Q24+34,2)=Paramètres!$B$5, WEEKDAY(Q24+34,2)=Paramètres!$B$6),"OM, ","")&amp;IF(WEEKDAY(Q24+34,2)=Paramètres!$B$8,"TRI, ","")&amp;IF(AND(WEEKDAY(Q24+34,2)=Paramètres!$B$11, MOD(INT((Q24+34-Paramètres!$B$10)/7),2)=0, Q24+34&gt;=Paramètres!$B$10),"VERRE, ","")&amp;IF(AND(WEEKDAY(Q24+34,2)=Paramètres!$B$15, INT((DAY(Q24+34)-1)/7)+1 = Paramètres!$B$14),"VERTS, ","")&amp;IF(DAY(Q24+34)=Paramètres!$B$17,"ENCOMBRANTS, ","")),", "," / "))</f>
        <v>0</v>
      </c>
    </row>
    <row r="30" spans="1:23">
      <c r="A30" s="7">
        <f>IF(MONTH(A24+35)&lt;&gt;7,"",TEXT(A24+35,"d") &amp; CHAR(10) &amp; SUBSTITUTE(TRIM(IF(OR(WEEKDAY(A24+35,2)=Paramètres!$B$5, WEEKDAY(A24+35,2)=Paramètres!$B$6),"OM, ","")&amp;IF(WEEKDAY(A24+35,2)=Paramètres!$B$8,"TRI, ","")&amp;IF(AND(WEEKDAY(A24+35,2)=Paramètres!$B$11, MOD(INT((A24+35-Paramètres!$B$10)/7),2)=0, A24+35&gt;=Paramètres!$B$10),"VERRE, ","")&amp;IF(AND(WEEKDAY(A24+35,2)=Paramètres!$B$15, INT((DAY(A24+35)-1)/7)+1 = Paramètres!$B$14),"VERTS, ","")&amp;IF(DAY(A24+35)=Paramètres!$B$17,"ENCOMBRANTS, ","")),", "," / "))</f>
        <v>0</v>
      </c>
      <c r="B30" s="7">
        <f>IF(MONTH(A24+36)&lt;&gt;7,"",TEXT(A24+36,"d") &amp; CHAR(10) &amp; SUBSTITUTE(TRIM(IF(OR(WEEKDAY(A24+36,2)=Paramètres!$B$5, WEEKDAY(A24+36,2)=Paramètres!$B$6),"OM, ","")&amp;IF(WEEKDAY(A24+36,2)=Paramètres!$B$8,"TRI, ","")&amp;IF(AND(WEEKDAY(A24+36,2)=Paramètres!$B$11, MOD(INT((A24+36-Paramètres!$B$10)/7),2)=0, A24+36&gt;=Paramètres!$B$10),"VERRE, ","")&amp;IF(AND(WEEKDAY(A24+36,2)=Paramètres!$B$15, INT((DAY(A24+36)-1)/7)+1 = Paramètres!$B$14),"VERTS, ","")&amp;IF(DAY(A24+36)=Paramètres!$B$17,"ENCOMBRANTS, ","")),", "," / "))</f>
        <v>0</v>
      </c>
      <c r="C30" s="7">
        <f>IF(MONTH(A24+37)&lt;&gt;7,"",TEXT(A24+37,"d") &amp; CHAR(10) &amp; SUBSTITUTE(TRIM(IF(OR(WEEKDAY(A24+37,2)=Paramètres!$B$5, WEEKDAY(A24+37,2)=Paramètres!$B$6),"OM, ","")&amp;IF(WEEKDAY(A24+37,2)=Paramètres!$B$8,"TRI, ","")&amp;IF(AND(WEEKDAY(A24+37,2)=Paramètres!$B$11, MOD(INT((A24+37-Paramètres!$B$10)/7),2)=0, A24+37&gt;=Paramètres!$B$10),"VERRE, ","")&amp;IF(AND(WEEKDAY(A24+37,2)=Paramètres!$B$15, INT((DAY(A24+37)-1)/7)+1 = Paramètres!$B$14),"VERTS, ","")&amp;IF(DAY(A24+37)=Paramètres!$B$17,"ENCOMBRANTS, ","")),", "," / "))</f>
        <v>0</v>
      </c>
      <c r="D30" s="7">
        <f>IF(MONTH(A24+38)&lt;&gt;7,"",TEXT(A24+38,"d") &amp; CHAR(10) &amp; SUBSTITUTE(TRIM(IF(OR(WEEKDAY(A24+38,2)=Paramètres!$B$5, WEEKDAY(A24+38,2)=Paramètres!$B$6),"OM, ","")&amp;IF(WEEKDAY(A24+38,2)=Paramètres!$B$8,"TRI, ","")&amp;IF(AND(WEEKDAY(A24+38,2)=Paramètres!$B$11, MOD(INT((A24+38-Paramètres!$B$10)/7),2)=0, A24+38&gt;=Paramètres!$B$10),"VERRE, ","")&amp;IF(AND(WEEKDAY(A24+38,2)=Paramètres!$B$15, INT((DAY(A24+38)-1)/7)+1 = Paramètres!$B$14),"VERTS, ","")&amp;IF(DAY(A24+38)=Paramètres!$B$17,"ENCOMBRANTS, ","")),", "," / "))</f>
        <v>0</v>
      </c>
      <c r="E30" s="7">
        <f>IF(MONTH(A24+39)&lt;&gt;7,"",TEXT(A24+39,"d") &amp; CHAR(10) &amp; SUBSTITUTE(TRIM(IF(OR(WEEKDAY(A24+39,2)=Paramètres!$B$5, WEEKDAY(A24+39,2)=Paramètres!$B$6),"OM, ","")&amp;IF(WEEKDAY(A24+39,2)=Paramètres!$B$8,"TRI, ","")&amp;IF(AND(WEEKDAY(A24+39,2)=Paramètres!$B$11, MOD(INT((A24+39-Paramètres!$B$10)/7),2)=0, A24+39&gt;=Paramètres!$B$10),"VERRE, ","")&amp;IF(AND(WEEKDAY(A24+39,2)=Paramètres!$B$15, INT((DAY(A24+39)-1)/7)+1 = Paramètres!$B$14),"VERTS, ","")&amp;IF(DAY(A24+39)=Paramètres!$B$17,"ENCOMBRANTS, ","")),", "," / "))</f>
        <v>0</v>
      </c>
      <c r="F30" s="7">
        <f>IF(MONTH(A24+40)&lt;&gt;7,"",TEXT(A24+40,"d") &amp; CHAR(10) &amp; SUBSTITUTE(TRIM(IF(OR(WEEKDAY(A24+40,2)=Paramètres!$B$5, WEEKDAY(A24+40,2)=Paramètres!$B$6),"OM, ","")&amp;IF(WEEKDAY(A24+40,2)=Paramètres!$B$8,"TRI, ","")&amp;IF(AND(WEEKDAY(A24+40,2)=Paramètres!$B$11, MOD(INT((A24+40-Paramètres!$B$10)/7),2)=0, A24+40&gt;=Paramètres!$B$10),"VERRE, ","")&amp;IF(AND(WEEKDAY(A24+40,2)=Paramètres!$B$15, INT((DAY(A24+40)-1)/7)+1 = Paramètres!$B$14),"VERTS, ","")&amp;IF(DAY(A24+40)=Paramètres!$B$17,"ENCOMBRANTS, ","")),", "," / "))</f>
        <v>0</v>
      </c>
      <c r="G30" s="7">
        <f>IF(MONTH(A24+41)&lt;&gt;7,"",TEXT(A24+41,"d") &amp; CHAR(10) &amp; SUBSTITUTE(TRIM(IF(OR(WEEKDAY(A24+41,2)=Paramètres!$B$5, WEEKDAY(A24+41,2)=Paramètres!$B$6),"OM, ","")&amp;IF(WEEKDAY(A24+41,2)=Paramètres!$B$8,"TRI, ","")&amp;IF(AND(WEEKDAY(A24+41,2)=Paramètres!$B$11, MOD(INT((A24+41-Paramètres!$B$10)/7),2)=0, A24+41&gt;=Paramètres!$B$10),"VERRE, ","")&amp;IF(AND(WEEKDAY(A24+41,2)=Paramètres!$B$15, INT((DAY(A24+41)-1)/7)+1 = Paramètres!$B$14),"VERTS, ","")&amp;IF(DAY(A24+41)=Paramètres!$B$17,"ENCOMBRANTS, ","")),", "," / "))</f>
        <v>0</v>
      </c>
      <c r="I30" s="7">
        <f>IF(MONTH(I24+35)&lt;&gt;8,"",TEXT(I24+35,"d") &amp; CHAR(10) &amp; SUBSTITUTE(TRIM(IF(OR(WEEKDAY(I24+35,2)=Paramètres!$B$5, WEEKDAY(I24+35,2)=Paramètres!$B$6),"OM, ","")&amp;IF(WEEKDAY(I24+35,2)=Paramètres!$B$8,"TRI, ","")&amp;IF(AND(WEEKDAY(I24+35,2)=Paramètres!$B$11, MOD(INT((I24+35-Paramètres!$B$10)/7),2)=0, I24+35&gt;=Paramètres!$B$10),"VERRE, ","")&amp;IF(AND(WEEKDAY(I24+35,2)=Paramètres!$B$15, INT((DAY(I24+35)-1)/7)+1 = Paramètres!$B$14),"VERTS, ","")&amp;IF(DAY(I24+35)=Paramètres!$B$17,"ENCOMBRANTS, ","")),", "," / "))</f>
        <v>0</v>
      </c>
      <c r="J30" s="7">
        <f>IF(MONTH(I24+36)&lt;&gt;8,"",TEXT(I24+36,"d") &amp; CHAR(10) &amp; SUBSTITUTE(TRIM(IF(OR(WEEKDAY(I24+36,2)=Paramètres!$B$5, WEEKDAY(I24+36,2)=Paramètres!$B$6),"OM, ","")&amp;IF(WEEKDAY(I24+36,2)=Paramètres!$B$8,"TRI, ","")&amp;IF(AND(WEEKDAY(I24+36,2)=Paramètres!$B$11, MOD(INT((I24+36-Paramètres!$B$10)/7),2)=0, I24+36&gt;=Paramètres!$B$10),"VERRE, ","")&amp;IF(AND(WEEKDAY(I24+36,2)=Paramètres!$B$15, INT((DAY(I24+36)-1)/7)+1 = Paramètres!$B$14),"VERTS, ","")&amp;IF(DAY(I24+36)=Paramètres!$B$17,"ENCOMBRANTS, ","")),", "," / "))</f>
        <v>0</v>
      </c>
      <c r="K30" s="7">
        <f>IF(MONTH(I24+37)&lt;&gt;8,"",TEXT(I24+37,"d") &amp; CHAR(10) &amp; SUBSTITUTE(TRIM(IF(OR(WEEKDAY(I24+37,2)=Paramètres!$B$5, WEEKDAY(I24+37,2)=Paramètres!$B$6),"OM, ","")&amp;IF(WEEKDAY(I24+37,2)=Paramètres!$B$8,"TRI, ","")&amp;IF(AND(WEEKDAY(I24+37,2)=Paramètres!$B$11, MOD(INT((I24+37-Paramètres!$B$10)/7),2)=0, I24+37&gt;=Paramètres!$B$10),"VERRE, ","")&amp;IF(AND(WEEKDAY(I24+37,2)=Paramètres!$B$15, INT((DAY(I24+37)-1)/7)+1 = Paramètres!$B$14),"VERTS, ","")&amp;IF(DAY(I24+37)=Paramètres!$B$17,"ENCOMBRANTS, ","")),", "," / "))</f>
        <v>0</v>
      </c>
      <c r="L30" s="7">
        <f>IF(MONTH(I24+38)&lt;&gt;8,"",TEXT(I24+38,"d") &amp; CHAR(10) &amp; SUBSTITUTE(TRIM(IF(OR(WEEKDAY(I24+38,2)=Paramètres!$B$5, WEEKDAY(I24+38,2)=Paramètres!$B$6),"OM, ","")&amp;IF(WEEKDAY(I24+38,2)=Paramètres!$B$8,"TRI, ","")&amp;IF(AND(WEEKDAY(I24+38,2)=Paramètres!$B$11, MOD(INT((I24+38-Paramètres!$B$10)/7),2)=0, I24+38&gt;=Paramètres!$B$10),"VERRE, ","")&amp;IF(AND(WEEKDAY(I24+38,2)=Paramètres!$B$15, INT((DAY(I24+38)-1)/7)+1 = Paramètres!$B$14),"VERTS, ","")&amp;IF(DAY(I24+38)=Paramètres!$B$17,"ENCOMBRANTS, ","")),", "," / "))</f>
        <v>0</v>
      </c>
      <c r="M30" s="7">
        <f>IF(MONTH(I24+39)&lt;&gt;8,"",TEXT(I24+39,"d") &amp; CHAR(10) &amp; SUBSTITUTE(TRIM(IF(OR(WEEKDAY(I24+39,2)=Paramètres!$B$5, WEEKDAY(I24+39,2)=Paramètres!$B$6),"OM, ","")&amp;IF(WEEKDAY(I24+39,2)=Paramètres!$B$8,"TRI, ","")&amp;IF(AND(WEEKDAY(I24+39,2)=Paramètres!$B$11, MOD(INT((I24+39-Paramètres!$B$10)/7),2)=0, I24+39&gt;=Paramètres!$B$10),"VERRE, ","")&amp;IF(AND(WEEKDAY(I24+39,2)=Paramètres!$B$15, INT((DAY(I24+39)-1)/7)+1 = Paramètres!$B$14),"VERTS, ","")&amp;IF(DAY(I24+39)=Paramètres!$B$17,"ENCOMBRANTS, ","")),", "," / "))</f>
        <v>0</v>
      </c>
      <c r="N30" s="7">
        <f>IF(MONTH(I24+40)&lt;&gt;8,"",TEXT(I24+40,"d") &amp; CHAR(10) &amp; SUBSTITUTE(TRIM(IF(OR(WEEKDAY(I24+40,2)=Paramètres!$B$5, WEEKDAY(I24+40,2)=Paramètres!$B$6),"OM, ","")&amp;IF(WEEKDAY(I24+40,2)=Paramètres!$B$8,"TRI, ","")&amp;IF(AND(WEEKDAY(I24+40,2)=Paramètres!$B$11, MOD(INT((I24+40-Paramètres!$B$10)/7),2)=0, I24+40&gt;=Paramètres!$B$10),"VERRE, ","")&amp;IF(AND(WEEKDAY(I24+40,2)=Paramètres!$B$15, INT((DAY(I24+40)-1)/7)+1 = Paramètres!$B$14),"VERTS, ","")&amp;IF(DAY(I24+40)=Paramètres!$B$17,"ENCOMBRANTS, ","")),", "," / "))</f>
        <v>0</v>
      </c>
      <c r="O30" s="7">
        <f>IF(MONTH(I24+41)&lt;&gt;8,"",TEXT(I24+41,"d") &amp; CHAR(10) &amp; SUBSTITUTE(TRIM(IF(OR(WEEKDAY(I24+41,2)=Paramètres!$B$5, WEEKDAY(I24+41,2)=Paramètres!$B$6),"OM, ","")&amp;IF(WEEKDAY(I24+41,2)=Paramètres!$B$8,"TRI, ","")&amp;IF(AND(WEEKDAY(I24+41,2)=Paramètres!$B$11, MOD(INT((I24+41-Paramètres!$B$10)/7),2)=0, I24+41&gt;=Paramètres!$B$10),"VERRE, ","")&amp;IF(AND(WEEKDAY(I24+41,2)=Paramètres!$B$15, INT((DAY(I24+41)-1)/7)+1 = Paramètres!$B$14),"VERTS, ","")&amp;IF(DAY(I24+41)=Paramètres!$B$17,"ENCOMBRANTS, ","")),", "," / "))</f>
        <v>0</v>
      </c>
      <c r="Q30" s="7">
        <f>IF(MONTH(Q24+35)&lt;&gt;9,"",TEXT(Q24+35,"d") &amp; CHAR(10) &amp; SUBSTITUTE(TRIM(IF(OR(WEEKDAY(Q24+35,2)=Paramètres!$B$5, WEEKDAY(Q24+35,2)=Paramètres!$B$6),"OM, ","")&amp;IF(WEEKDAY(Q24+35,2)=Paramètres!$B$8,"TRI, ","")&amp;IF(AND(WEEKDAY(Q24+35,2)=Paramètres!$B$11, MOD(INT((Q24+35-Paramètres!$B$10)/7),2)=0, Q24+35&gt;=Paramètres!$B$10),"VERRE, ","")&amp;IF(AND(WEEKDAY(Q24+35,2)=Paramètres!$B$15, INT((DAY(Q24+35)-1)/7)+1 = Paramètres!$B$14),"VERTS, ","")&amp;IF(DAY(Q24+35)=Paramètres!$B$17,"ENCOMBRANTS, ","")),", "," / "))</f>
        <v>0</v>
      </c>
      <c r="R30" s="7">
        <f>IF(MONTH(Q24+36)&lt;&gt;9,"",TEXT(Q24+36,"d") &amp; CHAR(10) &amp; SUBSTITUTE(TRIM(IF(OR(WEEKDAY(Q24+36,2)=Paramètres!$B$5, WEEKDAY(Q24+36,2)=Paramètres!$B$6),"OM, ","")&amp;IF(WEEKDAY(Q24+36,2)=Paramètres!$B$8,"TRI, ","")&amp;IF(AND(WEEKDAY(Q24+36,2)=Paramètres!$B$11, MOD(INT((Q24+36-Paramètres!$B$10)/7),2)=0, Q24+36&gt;=Paramètres!$B$10),"VERRE, ","")&amp;IF(AND(WEEKDAY(Q24+36,2)=Paramètres!$B$15, INT((DAY(Q24+36)-1)/7)+1 = Paramètres!$B$14),"VERTS, ","")&amp;IF(DAY(Q24+36)=Paramètres!$B$17,"ENCOMBRANTS, ","")),", "," / "))</f>
        <v>0</v>
      </c>
      <c r="S30" s="7">
        <f>IF(MONTH(Q24+37)&lt;&gt;9,"",TEXT(Q24+37,"d") &amp; CHAR(10) &amp; SUBSTITUTE(TRIM(IF(OR(WEEKDAY(Q24+37,2)=Paramètres!$B$5, WEEKDAY(Q24+37,2)=Paramètres!$B$6),"OM, ","")&amp;IF(WEEKDAY(Q24+37,2)=Paramètres!$B$8,"TRI, ","")&amp;IF(AND(WEEKDAY(Q24+37,2)=Paramètres!$B$11, MOD(INT((Q24+37-Paramètres!$B$10)/7),2)=0, Q24+37&gt;=Paramètres!$B$10),"VERRE, ","")&amp;IF(AND(WEEKDAY(Q24+37,2)=Paramètres!$B$15, INT((DAY(Q24+37)-1)/7)+1 = Paramètres!$B$14),"VERTS, ","")&amp;IF(DAY(Q24+37)=Paramètres!$B$17,"ENCOMBRANTS, ","")),", "," / "))</f>
        <v>0</v>
      </c>
      <c r="T30" s="7">
        <f>IF(MONTH(Q24+38)&lt;&gt;9,"",TEXT(Q24+38,"d") &amp; CHAR(10) &amp; SUBSTITUTE(TRIM(IF(OR(WEEKDAY(Q24+38,2)=Paramètres!$B$5, WEEKDAY(Q24+38,2)=Paramètres!$B$6),"OM, ","")&amp;IF(WEEKDAY(Q24+38,2)=Paramètres!$B$8,"TRI, ","")&amp;IF(AND(WEEKDAY(Q24+38,2)=Paramètres!$B$11, MOD(INT((Q24+38-Paramètres!$B$10)/7),2)=0, Q24+38&gt;=Paramètres!$B$10),"VERRE, ","")&amp;IF(AND(WEEKDAY(Q24+38,2)=Paramètres!$B$15, INT((DAY(Q24+38)-1)/7)+1 = Paramètres!$B$14),"VERTS, ","")&amp;IF(DAY(Q24+38)=Paramètres!$B$17,"ENCOMBRANTS, ","")),", "," / "))</f>
        <v>0</v>
      </c>
      <c r="U30" s="7">
        <f>IF(MONTH(Q24+39)&lt;&gt;9,"",TEXT(Q24+39,"d") &amp; CHAR(10) &amp; SUBSTITUTE(TRIM(IF(OR(WEEKDAY(Q24+39,2)=Paramètres!$B$5, WEEKDAY(Q24+39,2)=Paramètres!$B$6),"OM, ","")&amp;IF(WEEKDAY(Q24+39,2)=Paramètres!$B$8,"TRI, ","")&amp;IF(AND(WEEKDAY(Q24+39,2)=Paramètres!$B$11, MOD(INT((Q24+39-Paramètres!$B$10)/7),2)=0, Q24+39&gt;=Paramètres!$B$10),"VERRE, ","")&amp;IF(AND(WEEKDAY(Q24+39,2)=Paramètres!$B$15, INT((DAY(Q24+39)-1)/7)+1 = Paramètres!$B$14),"VERTS, ","")&amp;IF(DAY(Q24+39)=Paramètres!$B$17,"ENCOMBRANTS, ","")),", "," / "))</f>
        <v>0</v>
      </c>
      <c r="V30" s="7">
        <f>IF(MONTH(Q24+40)&lt;&gt;9,"",TEXT(Q24+40,"d") &amp; CHAR(10) &amp; SUBSTITUTE(TRIM(IF(OR(WEEKDAY(Q24+40,2)=Paramètres!$B$5, WEEKDAY(Q24+40,2)=Paramètres!$B$6),"OM, ","")&amp;IF(WEEKDAY(Q24+40,2)=Paramètres!$B$8,"TRI, ","")&amp;IF(AND(WEEKDAY(Q24+40,2)=Paramètres!$B$11, MOD(INT((Q24+40-Paramètres!$B$10)/7),2)=0, Q24+40&gt;=Paramètres!$B$10),"VERRE, ","")&amp;IF(AND(WEEKDAY(Q24+40,2)=Paramètres!$B$15, INT((DAY(Q24+40)-1)/7)+1 = Paramètres!$B$14),"VERTS, ","")&amp;IF(DAY(Q24+40)=Paramètres!$B$17,"ENCOMBRANTS, ","")),", "," / "))</f>
        <v>0</v>
      </c>
      <c r="W30" s="7">
        <f>IF(MONTH(Q24+41)&lt;&gt;9,"",TEXT(Q24+41,"d") &amp; CHAR(10) &amp; SUBSTITUTE(TRIM(IF(OR(WEEKDAY(Q24+41,2)=Paramètres!$B$5, WEEKDAY(Q24+41,2)=Paramètres!$B$6),"OM, ","")&amp;IF(WEEKDAY(Q24+41,2)=Paramètres!$B$8,"TRI, ","")&amp;IF(AND(WEEKDAY(Q24+41,2)=Paramètres!$B$11, MOD(INT((Q24+41-Paramètres!$B$10)/7),2)=0, Q24+41&gt;=Paramètres!$B$10),"VERRE, ","")&amp;IF(AND(WEEKDAY(Q24+41,2)=Paramètres!$B$15, INT((DAY(Q24+41)-1)/7)+1 = Paramètres!$B$14),"VERTS, ","")&amp;IF(DAY(Q24+41)=Paramètres!$B$17,"ENCOMBRANTS, ","")),", "," / "))</f>
        <v>0</v>
      </c>
    </row>
    <row r="31" spans="1:23">
      <c r="A31" s="5">
        <f>DATE(Paramètres!$B$3,10,1)</f>
        <v>0</v>
      </c>
      <c r="B31" s="6"/>
      <c r="C31" s="6"/>
      <c r="D31" s="6"/>
      <c r="E31" s="6"/>
      <c r="F31" s="6"/>
      <c r="G31" s="6"/>
      <c r="I31" s="5">
        <f>DATE(Paramètres!$B$3,11,1)</f>
        <v>0</v>
      </c>
      <c r="J31" s="6"/>
      <c r="K31" s="6"/>
      <c r="L31" s="6"/>
      <c r="M31" s="6"/>
      <c r="N31" s="6"/>
      <c r="O31" s="6"/>
      <c r="Q31" s="5">
        <f>DATE(Paramètres!$B$3,12,1)</f>
        <v>0</v>
      </c>
      <c r="R31" s="6"/>
      <c r="S31" s="6"/>
      <c r="T31" s="6"/>
      <c r="U31" s="6"/>
      <c r="V31" s="6"/>
      <c r="W31" s="6"/>
    </row>
    <row r="32" spans="1:23">
      <c r="A32" s="2" t="s">
        <v>18</v>
      </c>
      <c r="B32" s="2" t="s">
        <v>19</v>
      </c>
      <c r="C32" s="2" t="s">
        <v>20</v>
      </c>
      <c r="D32" s="2" t="s">
        <v>21</v>
      </c>
      <c r="E32" s="2" t="s">
        <v>22</v>
      </c>
      <c r="F32" s="2" t="s">
        <v>23</v>
      </c>
      <c r="G32" s="2" t="s">
        <v>24</v>
      </c>
      <c r="I32" s="2" t="s">
        <v>18</v>
      </c>
      <c r="J32" s="2" t="s">
        <v>19</v>
      </c>
      <c r="K32" s="2" t="s">
        <v>20</v>
      </c>
      <c r="L32" s="2" t="s">
        <v>21</v>
      </c>
      <c r="M32" s="2" t="s">
        <v>22</v>
      </c>
      <c r="N32" s="2" t="s">
        <v>23</v>
      </c>
      <c r="O32" s="2" t="s">
        <v>24</v>
      </c>
      <c r="Q32" s="2" t="s">
        <v>18</v>
      </c>
      <c r="R32" s="2" t="s">
        <v>19</v>
      </c>
      <c r="S32" s="2" t="s">
        <v>20</v>
      </c>
      <c r="T32" s="2" t="s">
        <v>21</v>
      </c>
      <c r="U32" s="2" t="s">
        <v>22</v>
      </c>
      <c r="V32" s="2" t="s">
        <v>23</v>
      </c>
      <c r="W32" s="2" t="s">
        <v>24</v>
      </c>
    </row>
    <row r="33" spans="1:23">
      <c r="A33">
        <f>DATE(Paramètres!$B$3,10,1)-MOD(WEEKDAY(DATE(Paramètres!$B$3,10,1),2)-1,7)</f>
        <v>0</v>
      </c>
      <c r="I33">
        <f>DATE(Paramètres!$B$3,11,1)-MOD(WEEKDAY(DATE(Paramètres!$B$3,11,1),2)-1,7)</f>
        <v>0</v>
      </c>
      <c r="Q33">
        <f>DATE(Paramètres!$B$3,12,1)-MOD(WEEKDAY(DATE(Paramètres!$B$3,12,1),2)-1,7)</f>
        <v>0</v>
      </c>
    </row>
    <row r="34" spans="1:23">
      <c r="A34" s="7">
        <f>IF(MONTH(A33+0)&lt;&gt;10,"",TEXT(A33+0,"d") &amp; CHAR(10) &amp; SUBSTITUTE(TRIM(IF(OR(WEEKDAY(A33+0,2)=Paramètres!$B$5, WEEKDAY(A33+0,2)=Paramètres!$B$6),"OM, ","")&amp;IF(WEEKDAY(A33+0,2)=Paramètres!$B$8,"TRI, ","")&amp;IF(AND(WEEKDAY(A33+0,2)=Paramètres!$B$11, MOD(INT((A33+0-Paramètres!$B$10)/7),2)=0, A33+0&gt;=Paramètres!$B$10),"VERRE, ","")&amp;IF(AND(WEEKDAY(A33+0,2)=Paramètres!$B$15, INT((DAY(A33+0)-1)/7)+1 = Paramètres!$B$14),"VERTS, ","")&amp;IF(DAY(A33+0)=Paramètres!$B$17,"ENCOMBRANTS, ","")),", "," / "))</f>
        <v>0</v>
      </c>
      <c r="B34" s="7">
        <f>IF(MONTH(A33+1)&lt;&gt;10,"",TEXT(A33+1,"d") &amp; CHAR(10) &amp; SUBSTITUTE(TRIM(IF(OR(WEEKDAY(A33+1,2)=Paramètres!$B$5, WEEKDAY(A33+1,2)=Paramètres!$B$6),"OM, ","")&amp;IF(WEEKDAY(A33+1,2)=Paramètres!$B$8,"TRI, ","")&amp;IF(AND(WEEKDAY(A33+1,2)=Paramètres!$B$11, MOD(INT((A33+1-Paramètres!$B$10)/7),2)=0, A33+1&gt;=Paramètres!$B$10),"VERRE, ","")&amp;IF(AND(WEEKDAY(A33+1,2)=Paramètres!$B$15, INT((DAY(A33+1)-1)/7)+1 = Paramètres!$B$14),"VERTS, ","")&amp;IF(DAY(A33+1)=Paramètres!$B$17,"ENCOMBRANTS, ","")),", "," / "))</f>
        <v>0</v>
      </c>
      <c r="C34" s="7">
        <f>IF(MONTH(A33+2)&lt;&gt;10,"",TEXT(A33+2,"d") &amp; CHAR(10) &amp; SUBSTITUTE(TRIM(IF(OR(WEEKDAY(A33+2,2)=Paramètres!$B$5, WEEKDAY(A33+2,2)=Paramètres!$B$6),"OM, ","")&amp;IF(WEEKDAY(A33+2,2)=Paramètres!$B$8,"TRI, ","")&amp;IF(AND(WEEKDAY(A33+2,2)=Paramètres!$B$11, MOD(INT((A33+2-Paramètres!$B$10)/7),2)=0, A33+2&gt;=Paramètres!$B$10),"VERRE, ","")&amp;IF(AND(WEEKDAY(A33+2,2)=Paramètres!$B$15, INT((DAY(A33+2)-1)/7)+1 = Paramètres!$B$14),"VERTS, ","")&amp;IF(DAY(A33+2)=Paramètres!$B$17,"ENCOMBRANTS, ","")),", "," / "))</f>
        <v>0</v>
      </c>
      <c r="D34" s="7">
        <f>IF(MONTH(A33+3)&lt;&gt;10,"",TEXT(A33+3,"d") &amp; CHAR(10) &amp; SUBSTITUTE(TRIM(IF(OR(WEEKDAY(A33+3,2)=Paramètres!$B$5, WEEKDAY(A33+3,2)=Paramètres!$B$6),"OM, ","")&amp;IF(WEEKDAY(A33+3,2)=Paramètres!$B$8,"TRI, ","")&amp;IF(AND(WEEKDAY(A33+3,2)=Paramètres!$B$11, MOD(INT((A33+3-Paramètres!$B$10)/7),2)=0, A33+3&gt;=Paramètres!$B$10),"VERRE, ","")&amp;IF(AND(WEEKDAY(A33+3,2)=Paramètres!$B$15, INT((DAY(A33+3)-1)/7)+1 = Paramètres!$B$14),"VERTS, ","")&amp;IF(DAY(A33+3)=Paramètres!$B$17,"ENCOMBRANTS, ","")),", "," / "))</f>
        <v>0</v>
      </c>
      <c r="E34" s="7">
        <f>IF(MONTH(A33+4)&lt;&gt;10,"",TEXT(A33+4,"d") &amp; CHAR(10) &amp; SUBSTITUTE(TRIM(IF(OR(WEEKDAY(A33+4,2)=Paramètres!$B$5, WEEKDAY(A33+4,2)=Paramètres!$B$6),"OM, ","")&amp;IF(WEEKDAY(A33+4,2)=Paramètres!$B$8,"TRI, ","")&amp;IF(AND(WEEKDAY(A33+4,2)=Paramètres!$B$11, MOD(INT((A33+4-Paramètres!$B$10)/7),2)=0, A33+4&gt;=Paramètres!$B$10),"VERRE, ","")&amp;IF(AND(WEEKDAY(A33+4,2)=Paramètres!$B$15, INT((DAY(A33+4)-1)/7)+1 = Paramètres!$B$14),"VERTS, ","")&amp;IF(DAY(A33+4)=Paramètres!$B$17,"ENCOMBRANTS, ","")),", "," / "))</f>
        <v>0</v>
      </c>
      <c r="F34" s="7">
        <f>IF(MONTH(A33+5)&lt;&gt;10,"",TEXT(A33+5,"d") &amp; CHAR(10) &amp; SUBSTITUTE(TRIM(IF(OR(WEEKDAY(A33+5,2)=Paramètres!$B$5, WEEKDAY(A33+5,2)=Paramètres!$B$6),"OM, ","")&amp;IF(WEEKDAY(A33+5,2)=Paramètres!$B$8,"TRI, ","")&amp;IF(AND(WEEKDAY(A33+5,2)=Paramètres!$B$11, MOD(INT((A33+5-Paramètres!$B$10)/7),2)=0, A33+5&gt;=Paramètres!$B$10),"VERRE, ","")&amp;IF(AND(WEEKDAY(A33+5,2)=Paramètres!$B$15, INT((DAY(A33+5)-1)/7)+1 = Paramètres!$B$14),"VERTS, ","")&amp;IF(DAY(A33+5)=Paramètres!$B$17,"ENCOMBRANTS, ","")),", "," / "))</f>
        <v>0</v>
      </c>
      <c r="G34" s="7">
        <f>IF(MONTH(A33+6)&lt;&gt;10,"",TEXT(A33+6,"d") &amp; CHAR(10) &amp; SUBSTITUTE(TRIM(IF(OR(WEEKDAY(A33+6,2)=Paramètres!$B$5, WEEKDAY(A33+6,2)=Paramètres!$B$6),"OM, ","")&amp;IF(WEEKDAY(A33+6,2)=Paramètres!$B$8,"TRI, ","")&amp;IF(AND(WEEKDAY(A33+6,2)=Paramètres!$B$11, MOD(INT((A33+6-Paramètres!$B$10)/7),2)=0, A33+6&gt;=Paramètres!$B$10),"VERRE, ","")&amp;IF(AND(WEEKDAY(A33+6,2)=Paramètres!$B$15, INT((DAY(A33+6)-1)/7)+1 = Paramètres!$B$14),"VERTS, ","")&amp;IF(DAY(A33+6)=Paramètres!$B$17,"ENCOMBRANTS, ","")),", "," / "))</f>
        <v>0</v>
      </c>
      <c r="I34" s="7">
        <f>IF(MONTH(I33+0)&lt;&gt;11,"",TEXT(I33+0,"d") &amp; CHAR(10) &amp; SUBSTITUTE(TRIM(IF(OR(WEEKDAY(I33+0,2)=Paramètres!$B$5, WEEKDAY(I33+0,2)=Paramètres!$B$6),"OM, ","")&amp;IF(WEEKDAY(I33+0,2)=Paramètres!$B$8,"TRI, ","")&amp;IF(AND(WEEKDAY(I33+0,2)=Paramètres!$B$11, MOD(INT((I33+0-Paramètres!$B$10)/7),2)=0, I33+0&gt;=Paramètres!$B$10),"VERRE, ","")&amp;IF(AND(WEEKDAY(I33+0,2)=Paramètres!$B$15, INT((DAY(I33+0)-1)/7)+1 = Paramètres!$B$14),"VERTS, ","")&amp;IF(DAY(I33+0)=Paramètres!$B$17,"ENCOMBRANTS, ","")),", "," / "))</f>
        <v>0</v>
      </c>
      <c r="J34" s="7">
        <f>IF(MONTH(I33+1)&lt;&gt;11,"",TEXT(I33+1,"d") &amp; CHAR(10) &amp; SUBSTITUTE(TRIM(IF(OR(WEEKDAY(I33+1,2)=Paramètres!$B$5, WEEKDAY(I33+1,2)=Paramètres!$B$6),"OM, ","")&amp;IF(WEEKDAY(I33+1,2)=Paramètres!$B$8,"TRI, ","")&amp;IF(AND(WEEKDAY(I33+1,2)=Paramètres!$B$11, MOD(INT((I33+1-Paramètres!$B$10)/7),2)=0, I33+1&gt;=Paramètres!$B$10),"VERRE, ","")&amp;IF(AND(WEEKDAY(I33+1,2)=Paramètres!$B$15, INT((DAY(I33+1)-1)/7)+1 = Paramètres!$B$14),"VERTS, ","")&amp;IF(DAY(I33+1)=Paramètres!$B$17,"ENCOMBRANTS, ","")),", "," / "))</f>
        <v>0</v>
      </c>
      <c r="K34" s="7">
        <f>IF(MONTH(I33+2)&lt;&gt;11,"",TEXT(I33+2,"d") &amp; CHAR(10) &amp; SUBSTITUTE(TRIM(IF(OR(WEEKDAY(I33+2,2)=Paramètres!$B$5, WEEKDAY(I33+2,2)=Paramètres!$B$6),"OM, ","")&amp;IF(WEEKDAY(I33+2,2)=Paramètres!$B$8,"TRI, ","")&amp;IF(AND(WEEKDAY(I33+2,2)=Paramètres!$B$11, MOD(INT((I33+2-Paramètres!$B$10)/7),2)=0, I33+2&gt;=Paramètres!$B$10),"VERRE, ","")&amp;IF(AND(WEEKDAY(I33+2,2)=Paramètres!$B$15, INT((DAY(I33+2)-1)/7)+1 = Paramètres!$B$14),"VERTS, ","")&amp;IF(DAY(I33+2)=Paramètres!$B$17,"ENCOMBRANTS, ","")),", "," / "))</f>
        <v>0</v>
      </c>
      <c r="L34" s="7">
        <f>IF(MONTH(I33+3)&lt;&gt;11,"",TEXT(I33+3,"d") &amp; CHAR(10) &amp; SUBSTITUTE(TRIM(IF(OR(WEEKDAY(I33+3,2)=Paramètres!$B$5, WEEKDAY(I33+3,2)=Paramètres!$B$6),"OM, ","")&amp;IF(WEEKDAY(I33+3,2)=Paramètres!$B$8,"TRI, ","")&amp;IF(AND(WEEKDAY(I33+3,2)=Paramètres!$B$11, MOD(INT((I33+3-Paramètres!$B$10)/7),2)=0, I33+3&gt;=Paramètres!$B$10),"VERRE, ","")&amp;IF(AND(WEEKDAY(I33+3,2)=Paramètres!$B$15, INT((DAY(I33+3)-1)/7)+1 = Paramètres!$B$14),"VERTS, ","")&amp;IF(DAY(I33+3)=Paramètres!$B$17,"ENCOMBRANTS, ","")),", "," / "))</f>
        <v>0</v>
      </c>
      <c r="M34" s="7">
        <f>IF(MONTH(I33+4)&lt;&gt;11,"",TEXT(I33+4,"d") &amp; CHAR(10) &amp; SUBSTITUTE(TRIM(IF(OR(WEEKDAY(I33+4,2)=Paramètres!$B$5, WEEKDAY(I33+4,2)=Paramètres!$B$6),"OM, ","")&amp;IF(WEEKDAY(I33+4,2)=Paramètres!$B$8,"TRI, ","")&amp;IF(AND(WEEKDAY(I33+4,2)=Paramètres!$B$11, MOD(INT((I33+4-Paramètres!$B$10)/7),2)=0, I33+4&gt;=Paramètres!$B$10),"VERRE, ","")&amp;IF(AND(WEEKDAY(I33+4,2)=Paramètres!$B$15, INT((DAY(I33+4)-1)/7)+1 = Paramètres!$B$14),"VERTS, ","")&amp;IF(DAY(I33+4)=Paramètres!$B$17,"ENCOMBRANTS, ","")),", "," / "))</f>
        <v>0</v>
      </c>
      <c r="N34" s="7">
        <f>IF(MONTH(I33+5)&lt;&gt;11,"",TEXT(I33+5,"d") &amp; CHAR(10) &amp; SUBSTITUTE(TRIM(IF(OR(WEEKDAY(I33+5,2)=Paramètres!$B$5, WEEKDAY(I33+5,2)=Paramètres!$B$6),"OM, ","")&amp;IF(WEEKDAY(I33+5,2)=Paramètres!$B$8,"TRI, ","")&amp;IF(AND(WEEKDAY(I33+5,2)=Paramètres!$B$11, MOD(INT((I33+5-Paramètres!$B$10)/7),2)=0, I33+5&gt;=Paramètres!$B$10),"VERRE, ","")&amp;IF(AND(WEEKDAY(I33+5,2)=Paramètres!$B$15, INT((DAY(I33+5)-1)/7)+1 = Paramètres!$B$14),"VERTS, ","")&amp;IF(DAY(I33+5)=Paramètres!$B$17,"ENCOMBRANTS, ","")),", "," / "))</f>
        <v>0</v>
      </c>
      <c r="O34" s="7">
        <f>IF(MONTH(I33+6)&lt;&gt;11,"",TEXT(I33+6,"d") &amp; CHAR(10) &amp; SUBSTITUTE(TRIM(IF(OR(WEEKDAY(I33+6,2)=Paramètres!$B$5, WEEKDAY(I33+6,2)=Paramètres!$B$6),"OM, ","")&amp;IF(WEEKDAY(I33+6,2)=Paramètres!$B$8,"TRI, ","")&amp;IF(AND(WEEKDAY(I33+6,2)=Paramètres!$B$11, MOD(INT((I33+6-Paramètres!$B$10)/7),2)=0, I33+6&gt;=Paramètres!$B$10),"VERRE, ","")&amp;IF(AND(WEEKDAY(I33+6,2)=Paramètres!$B$15, INT((DAY(I33+6)-1)/7)+1 = Paramètres!$B$14),"VERTS, ","")&amp;IF(DAY(I33+6)=Paramètres!$B$17,"ENCOMBRANTS, ","")),", "," / "))</f>
        <v>0</v>
      </c>
      <c r="Q34" s="7">
        <f>IF(MONTH(Q33+0)&lt;&gt;12,"",TEXT(Q33+0,"d") &amp; CHAR(10) &amp; SUBSTITUTE(TRIM(IF(OR(WEEKDAY(Q33+0,2)=Paramètres!$B$5, WEEKDAY(Q33+0,2)=Paramètres!$B$6),"OM, ","")&amp;IF(WEEKDAY(Q33+0,2)=Paramètres!$B$8,"TRI, ","")&amp;IF(AND(WEEKDAY(Q33+0,2)=Paramètres!$B$11, MOD(INT((Q33+0-Paramètres!$B$10)/7),2)=0, Q33+0&gt;=Paramètres!$B$10),"VERRE, ","")&amp;IF(AND(WEEKDAY(Q33+0,2)=Paramètres!$B$15, INT((DAY(Q33+0)-1)/7)+1 = Paramètres!$B$14),"VERTS, ","")&amp;IF(DAY(Q33+0)=Paramètres!$B$17,"ENCOMBRANTS, ","")),", "," / "))</f>
        <v>0</v>
      </c>
      <c r="R34" s="7">
        <f>IF(MONTH(Q33+1)&lt;&gt;12,"",TEXT(Q33+1,"d") &amp; CHAR(10) &amp; SUBSTITUTE(TRIM(IF(OR(WEEKDAY(Q33+1,2)=Paramètres!$B$5, WEEKDAY(Q33+1,2)=Paramètres!$B$6),"OM, ","")&amp;IF(WEEKDAY(Q33+1,2)=Paramètres!$B$8,"TRI, ","")&amp;IF(AND(WEEKDAY(Q33+1,2)=Paramètres!$B$11, MOD(INT((Q33+1-Paramètres!$B$10)/7),2)=0, Q33+1&gt;=Paramètres!$B$10),"VERRE, ","")&amp;IF(AND(WEEKDAY(Q33+1,2)=Paramètres!$B$15, INT((DAY(Q33+1)-1)/7)+1 = Paramètres!$B$14),"VERTS, ","")&amp;IF(DAY(Q33+1)=Paramètres!$B$17,"ENCOMBRANTS, ","")),", "," / "))</f>
        <v>0</v>
      </c>
      <c r="S34" s="7">
        <f>IF(MONTH(Q33+2)&lt;&gt;12,"",TEXT(Q33+2,"d") &amp; CHAR(10) &amp; SUBSTITUTE(TRIM(IF(OR(WEEKDAY(Q33+2,2)=Paramètres!$B$5, WEEKDAY(Q33+2,2)=Paramètres!$B$6),"OM, ","")&amp;IF(WEEKDAY(Q33+2,2)=Paramètres!$B$8,"TRI, ","")&amp;IF(AND(WEEKDAY(Q33+2,2)=Paramètres!$B$11, MOD(INT((Q33+2-Paramètres!$B$10)/7),2)=0, Q33+2&gt;=Paramètres!$B$10),"VERRE, ","")&amp;IF(AND(WEEKDAY(Q33+2,2)=Paramètres!$B$15, INT((DAY(Q33+2)-1)/7)+1 = Paramètres!$B$14),"VERTS, ","")&amp;IF(DAY(Q33+2)=Paramètres!$B$17,"ENCOMBRANTS, ","")),", "," / "))</f>
        <v>0</v>
      </c>
      <c r="T34" s="7">
        <f>IF(MONTH(Q33+3)&lt;&gt;12,"",TEXT(Q33+3,"d") &amp; CHAR(10) &amp; SUBSTITUTE(TRIM(IF(OR(WEEKDAY(Q33+3,2)=Paramètres!$B$5, WEEKDAY(Q33+3,2)=Paramètres!$B$6),"OM, ","")&amp;IF(WEEKDAY(Q33+3,2)=Paramètres!$B$8,"TRI, ","")&amp;IF(AND(WEEKDAY(Q33+3,2)=Paramètres!$B$11, MOD(INT((Q33+3-Paramètres!$B$10)/7),2)=0, Q33+3&gt;=Paramètres!$B$10),"VERRE, ","")&amp;IF(AND(WEEKDAY(Q33+3,2)=Paramètres!$B$15, INT((DAY(Q33+3)-1)/7)+1 = Paramètres!$B$14),"VERTS, ","")&amp;IF(DAY(Q33+3)=Paramètres!$B$17,"ENCOMBRANTS, ","")),", "," / "))</f>
        <v>0</v>
      </c>
      <c r="U34" s="7">
        <f>IF(MONTH(Q33+4)&lt;&gt;12,"",TEXT(Q33+4,"d") &amp; CHAR(10) &amp; SUBSTITUTE(TRIM(IF(OR(WEEKDAY(Q33+4,2)=Paramètres!$B$5, WEEKDAY(Q33+4,2)=Paramètres!$B$6),"OM, ","")&amp;IF(WEEKDAY(Q33+4,2)=Paramètres!$B$8,"TRI, ","")&amp;IF(AND(WEEKDAY(Q33+4,2)=Paramètres!$B$11, MOD(INT((Q33+4-Paramètres!$B$10)/7),2)=0, Q33+4&gt;=Paramètres!$B$10),"VERRE, ","")&amp;IF(AND(WEEKDAY(Q33+4,2)=Paramètres!$B$15, INT((DAY(Q33+4)-1)/7)+1 = Paramètres!$B$14),"VERTS, ","")&amp;IF(DAY(Q33+4)=Paramètres!$B$17,"ENCOMBRANTS, ","")),", "," / "))</f>
        <v>0</v>
      </c>
      <c r="V34" s="7">
        <f>IF(MONTH(Q33+5)&lt;&gt;12,"",TEXT(Q33+5,"d") &amp; CHAR(10) &amp; SUBSTITUTE(TRIM(IF(OR(WEEKDAY(Q33+5,2)=Paramètres!$B$5, WEEKDAY(Q33+5,2)=Paramètres!$B$6),"OM, ","")&amp;IF(WEEKDAY(Q33+5,2)=Paramètres!$B$8,"TRI, ","")&amp;IF(AND(WEEKDAY(Q33+5,2)=Paramètres!$B$11, MOD(INT((Q33+5-Paramètres!$B$10)/7),2)=0, Q33+5&gt;=Paramètres!$B$10),"VERRE, ","")&amp;IF(AND(WEEKDAY(Q33+5,2)=Paramètres!$B$15, INT((DAY(Q33+5)-1)/7)+1 = Paramètres!$B$14),"VERTS, ","")&amp;IF(DAY(Q33+5)=Paramètres!$B$17,"ENCOMBRANTS, ","")),", "," / "))</f>
        <v>0</v>
      </c>
      <c r="W34" s="7">
        <f>IF(MONTH(Q33+6)&lt;&gt;12,"",TEXT(Q33+6,"d") &amp; CHAR(10) &amp; SUBSTITUTE(TRIM(IF(OR(WEEKDAY(Q33+6,2)=Paramètres!$B$5, WEEKDAY(Q33+6,2)=Paramètres!$B$6),"OM, ","")&amp;IF(WEEKDAY(Q33+6,2)=Paramètres!$B$8,"TRI, ","")&amp;IF(AND(WEEKDAY(Q33+6,2)=Paramètres!$B$11, MOD(INT((Q33+6-Paramètres!$B$10)/7),2)=0, Q33+6&gt;=Paramètres!$B$10),"VERRE, ","")&amp;IF(AND(WEEKDAY(Q33+6,2)=Paramètres!$B$15, INT((DAY(Q33+6)-1)/7)+1 = Paramètres!$B$14),"VERTS, ","")&amp;IF(DAY(Q33+6)=Paramètres!$B$17,"ENCOMBRANTS, ","")),", "," / "))</f>
        <v>0</v>
      </c>
    </row>
    <row r="35" spans="1:23">
      <c r="A35" s="7">
        <f>IF(MONTH(A33+7)&lt;&gt;10,"",TEXT(A33+7,"d") &amp; CHAR(10) &amp; SUBSTITUTE(TRIM(IF(OR(WEEKDAY(A33+7,2)=Paramètres!$B$5, WEEKDAY(A33+7,2)=Paramètres!$B$6),"OM, ","")&amp;IF(WEEKDAY(A33+7,2)=Paramètres!$B$8,"TRI, ","")&amp;IF(AND(WEEKDAY(A33+7,2)=Paramètres!$B$11, MOD(INT((A33+7-Paramètres!$B$10)/7),2)=0, A33+7&gt;=Paramètres!$B$10),"VERRE, ","")&amp;IF(AND(WEEKDAY(A33+7,2)=Paramètres!$B$15, INT((DAY(A33+7)-1)/7)+1 = Paramètres!$B$14),"VERTS, ","")&amp;IF(DAY(A33+7)=Paramètres!$B$17,"ENCOMBRANTS, ","")),", "," / "))</f>
        <v>0</v>
      </c>
      <c r="B35" s="7">
        <f>IF(MONTH(A33+8)&lt;&gt;10,"",TEXT(A33+8,"d") &amp; CHAR(10) &amp; SUBSTITUTE(TRIM(IF(OR(WEEKDAY(A33+8,2)=Paramètres!$B$5, WEEKDAY(A33+8,2)=Paramètres!$B$6),"OM, ","")&amp;IF(WEEKDAY(A33+8,2)=Paramètres!$B$8,"TRI, ","")&amp;IF(AND(WEEKDAY(A33+8,2)=Paramètres!$B$11, MOD(INT((A33+8-Paramètres!$B$10)/7),2)=0, A33+8&gt;=Paramètres!$B$10),"VERRE, ","")&amp;IF(AND(WEEKDAY(A33+8,2)=Paramètres!$B$15, INT((DAY(A33+8)-1)/7)+1 = Paramètres!$B$14),"VERTS, ","")&amp;IF(DAY(A33+8)=Paramètres!$B$17,"ENCOMBRANTS, ","")),", "," / "))</f>
        <v>0</v>
      </c>
      <c r="C35" s="7">
        <f>IF(MONTH(A33+9)&lt;&gt;10,"",TEXT(A33+9,"d") &amp; CHAR(10) &amp; SUBSTITUTE(TRIM(IF(OR(WEEKDAY(A33+9,2)=Paramètres!$B$5, WEEKDAY(A33+9,2)=Paramètres!$B$6),"OM, ","")&amp;IF(WEEKDAY(A33+9,2)=Paramètres!$B$8,"TRI, ","")&amp;IF(AND(WEEKDAY(A33+9,2)=Paramètres!$B$11, MOD(INT((A33+9-Paramètres!$B$10)/7),2)=0, A33+9&gt;=Paramètres!$B$10),"VERRE, ","")&amp;IF(AND(WEEKDAY(A33+9,2)=Paramètres!$B$15, INT((DAY(A33+9)-1)/7)+1 = Paramètres!$B$14),"VERTS, ","")&amp;IF(DAY(A33+9)=Paramètres!$B$17,"ENCOMBRANTS, ","")),", "," / "))</f>
        <v>0</v>
      </c>
      <c r="D35" s="7">
        <f>IF(MONTH(A33+10)&lt;&gt;10,"",TEXT(A33+10,"d") &amp; CHAR(10) &amp; SUBSTITUTE(TRIM(IF(OR(WEEKDAY(A33+10,2)=Paramètres!$B$5, WEEKDAY(A33+10,2)=Paramètres!$B$6),"OM, ","")&amp;IF(WEEKDAY(A33+10,2)=Paramètres!$B$8,"TRI, ","")&amp;IF(AND(WEEKDAY(A33+10,2)=Paramètres!$B$11, MOD(INT((A33+10-Paramètres!$B$10)/7),2)=0, A33+10&gt;=Paramètres!$B$10),"VERRE, ","")&amp;IF(AND(WEEKDAY(A33+10,2)=Paramètres!$B$15, INT((DAY(A33+10)-1)/7)+1 = Paramètres!$B$14),"VERTS, ","")&amp;IF(DAY(A33+10)=Paramètres!$B$17,"ENCOMBRANTS, ","")),", "," / "))</f>
        <v>0</v>
      </c>
      <c r="E35" s="7">
        <f>IF(MONTH(A33+11)&lt;&gt;10,"",TEXT(A33+11,"d") &amp; CHAR(10) &amp; SUBSTITUTE(TRIM(IF(OR(WEEKDAY(A33+11,2)=Paramètres!$B$5, WEEKDAY(A33+11,2)=Paramètres!$B$6),"OM, ","")&amp;IF(WEEKDAY(A33+11,2)=Paramètres!$B$8,"TRI, ","")&amp;IF(AND(WEEKDAY(A33+11,2)=Paramètres!$B$11, MOD(INT((A33+11-Paramètres!$B$10)/7),2)=0, A33+11&gt;=Paramètres!$B$10),"VERRE, ","")&amp;IF(AND(WEEKDAY(A33+11,2)=Paramètres!$B$15, INT((DAY(A33+11)-1)/7)+1 = Paramètres!$B$14),"VERTS, ","")&amp;IF(DAY(A33+11)=Paramètres!$B$17,"ENCOMBRANTS, ","")),", "," / "))</f>
        <v>0</v>
      </c>
      <c r="F35" s="7">
        <f>IF(MONTH(A33+12)&lt;&gt;10,"",TEXT(A33+12,"d") &amp; CHAR(10) &amp; SUBSTITUTE(TRIM(IF(OR(WEEKDAY(A33+12,2)=Paramètres!$B$5, WEEKDAY(A33+12,2)=Paramètres!$B$6),"OM, ","")&amp;IF(WEEKDAY(A33+12,2)=Paramètres!$B$8,"TRI, ","")&amp;IF(AND(WEEKDAY(A33+12,2)=Paramètres!$B$11, MOD(INT((A33+12-Paramètres!$B$10)/7),2)=0, A33+12&gt;=Paramètres!$B$10),"VERRE, ","")&amp;IF(AND(WEEKDAY(A33+12,2)=Paramètres!$B$15, INT((DAY(A33+12)-1)/7)+1 = Paramètres!$B$14),"VERTS, ","")&amp;IF(DAY(A33+12)=Paramètres!$B$17,"ENCOMBRANTS, ","")),", "," / "))</f>
        <v>0</v>
      </c>
      <c r="G35" s="7">
        <f>IF(MONTH(A33+13)&lt;&gt;10,"",TEXT(A33+13,"d") &amp; CHAR(10) &amp; SUBSTITUTE(TRIM(IF(OR(WEEKDAY(A33+13,2)=Paramètres!$B$5, WEEKDAY(A33+13,2)=Paramètres!$B$6),"OM, ","")&amp;IF(WEEKDAY(A33+13,2)=Paramètres!$B$8,"TRI, ","")&amp;IF(AND(WEEKDAY(A33+13,2)=Paramètres!$B$11, MOD(INT((A33+13-Paramètres!$B$10)/7),2)=0, A33+13&gt;=Paramètres!$B$10),"VERRE, ","")&amp;IF(AND(WEEKDAY(A33+13,2)=Paramètres!$B$15, INT((DAY(A33+13)-1)/7)+1 = Paramètres!$B$14),"VERTS, ","")&amp;IF(DAY(A33+13)=Paramètres!$B$17,"ENCOMBRANTS, ","")),", "," / "))</f>
        <v>0</v>
      </c>
      <c r="I35" s="7">
        <f>IF(MONTH(I33+7)&lt;&gt;11,"",TEXT(I33+7,"d") &amp; CHAR(10) &amp; SUBSTITUTE(TRIM(IF(OR(WEEKDAY(I33+7,2)=Paramètres!$B$5, WEEKDAY(I33+7,2)=Paramètres!$B$6),"OM, ","")&amp;IF(WEEKDAY(I33+7,2)=Paramètres!$B$8,"TRI, ","")&amp;IF(AND(WEEKDAY(I33+7,2)=Paramètres!$B$11, MOD(INT((I33+7-Paramètres!$B$10)/7),2)=0, I33+7&gt;=Paramètres!$B$10),"VERRE, ","")&amp;IF(AND(WEEKDAY(I33+7,2)=Paramètres!$B$15, INT((DAY(I33+7)-1)/7)+1 = Paramètres!$B$14),"VERTS, ","")&amp;IF(DAY(I33+7)=Paramètres!$B$17,"ENCOMBRANTS, ","")),", "," / "))</f>
        <v>0</v>
      </c>
      <c r="J35" s="7">
        <f>IF(MONTH(I33+8)&lt;&gt;11,"",TEXT(I33+8,"d") &amp; CHAR(10) &amp; SUBSTITUTE(TRIM(IF(OR(WEEKDAY(I33+8,2)=Paramètres!$B$5, WEEKDAY(I33+8,2)=Paramètres!$B$6),"OM, ","")&amp;IF(WEEKDAY(I33+8,2)=Paramètres!$B$8,"TRI, ","")&amp;IF(AND(WEEKDAY(I33+8,2)=Paramètres!$B$11, MOD(INT((I33+8-Paramètres!$B$10)/7),2)=0, I33+8&gt;=Paramètres!$B$10),"VERRE, ","")&amp;IF(AND(WEEKDAY(I33+8,2)=Paramètres!$B$15, INT((DAY(I33+8)-1)/7)+1 = Paramètres!$B$14),"VERTS, ","")&amp;IF(DAY(I33+8)=Paramètres!$B$17,"ENCOMBRANTS, ","")),", "," / "))</f>
        <v>0</v>
      </c>
      <c r="K35" s="7">
        <f>IF(MONTH(I33+9)&lt;&gt;11,"",TEXT(I33+9,"d") &amp; CHAR(10) &amp; SUBSTITUTE(TRIM(IF(OR(WEEKDAY(I33+9,2)=Paramètres!$B$5, WEEKDAY(I33+9,2)=Paramètres!$B$6),"OM, ","")&amp;IF(WEEKDAY(I33+9,2)=Paramètres!$B$8,"TRI, ","")&amp;IF(AND(WEEKDAY(I33+9,2)=Paramètres!$B$11, MOD(INT((I33+9-Paramètres!$B$10)/7),2)=0, I33+9&gt;=Paramètres!$B$10),"VERRE, ","")&amp;IF(AND(WEEKDAY(I33+9,2)=Paramètres!$B$15, INT((DAY(I33+9)-1)/7)+1 = Paramètres!$B$14),"VERTS, ","")&amp;IF(DAY(I33+9)=Paramètres!$B$17,"ENCOMBRANTS, ","")),", "," / "))</f>
        <v>0</v>
      </c>
      <c r="L35" s="7">
        <f>IF(MONTH(I33+10)&lt;&gt;11,"",TEXT(I33+10,"d") &amp; CHAR(10) &amp; SUBSTITUTE(TRIM(IF(OR(WEEKDAY(I33+10,2)=Paramètres!$B$5, WEEKDAY(I33+10,2)=Paramètres!$B$6),"OM, ","")&amp;IF(WEEKDAY(I33+10,2)=Paramètres!$B$8,"TRI, ","")&amp;IF(AND(WEEKDAY(I33+10,2)=Paramètres!$B$11, MOD(INT((I33+10-Paramètres!$B$10)/7),2)=0, I33+10&gt;=Paramètres!$B$10),"VERRE, ","")&amp;IF(AND(WEEKDAY(I33+10,2)=Paramètres!$B$15, INT((DAY(I33+10)-1)/7)+1 = Paramètres!$B$14),"VERTS, ","")&amp;IF(DAY(I33+10)=Paramètres!$B$17,"ENCOMBRANTS, ","")),", "," / "))</f>
        <v>0</v>
      </c>
      <c r="M35" s="7">
        <f>IF(MONTH(I33+11)&lt;&gt;11,"",TEXT(I33+11,"d") &amp; CHAR(10) &amp; SUBSTITUTE(TRIM(IF(OR(WEEKDAY(I33+11,2)=Paramètres!$B$5, WEEKDAY(I33+11,2)=Paramètres!$B$6),"OM, ","")&amp;IF(WEEKDAY(I33+11,2)=Paramètres!$B$8,"TRI, ","")&amp;IF(AND(WEEKDAY(I33+11,2)=Paramètres!$B$11, MOD(INT((I33+11-Paramètres!$B$10)/7),2)=0, I33+11&gt;=Paramètres!$B$10),"VERRE, ","")&amp;IF(AND(WEEKDAY(I33+11,2)=Paramètres!$B$15, INT((DAY(I33+11)-1)/7)+1 = Paramètres!$B$14),"VERTS, ","")&amp;IF(DAY(I33+11)=Paramètres!$B$17,"ENCOMBRANTS, ","")),", "," / "))</f>
        <v>0</v>
      </c>
      <c r="N35" s="7">
        <f>IF(MONTH(I33+12)&lt;&gt;11,"",TEXT(I33+12,"d") &amp; CHAR(10) &amp; SUBSTITUTE(TRIM(IF(OR(WEEKDAY(I33+12,2)=Paramètres!$B$5, WEEKDAY(I33+12,2)=Paramètres!$B$6),"OM, ","")&amp;IF(WEEKDAY(I33+12,2)=Paramètres!$B$8,"TRI, ","")&amp;IF(AND(WEEKDAY(I33+12,2)=Paramètres!$B$11, MOD(INT((I33+12-Paramètres!$B$10)/7),2)=0, I33+12&gt;=Paramètres!$B$10),"VERRE, ","")&amp;IF(AND(WEEKDAY(I33+12,2)=Paramètres!$B$15, INT((DAY(I33+12)-1)/7)+1 = Paramètres!$B$14),"VERTS, ","")&amp;IF(DAY(I33+12)=Paramètres!$B$17,"ENCOMBRANTS, ","")),", "," / "))</f>
        <v>0</v>
      </c>
      <c r="O35" s="7">
        <f>IF(MONTH(I33+13)&lt;&gt;11,"",TEXT(I33+13,"d") &amp; CHAR(10) &amp; SUBSTITUTE(TRIM(IF(OR(WEEKDAY(I33+13,2)=Paramètres!$B$5, WEEKDAY(I33+13,2)=Paramètres!$B$6),"OM, ","")&amp;IF(WEEKDAY(I33+13,2)=Paramètres!$B$8,"TRI, ","")&amp;IF(AND(WEEKDAY(I33+13,2)=Paramètres!$B$11, MOD(INT((I33+13-Paramètres!$B$10)/7),2)=0, I33+13&gt;=Paramètres!$B$10),"VERRE, ","")&amp;IF(AND(WEEKDAY(I33+13,2)=Paramètres!$B$15, INT((DAY(I33+13)-1)/7)+1 = Paramètres!$B$14),"VERTS, ","")&amp;IF(DAY(I33+13)=Paramètres!$B$17,"ENCOMBRANTS, ","")),", "," / "))</f>
        <v>0</v>
      </c>
      <c r="Q35" s="7">
        <f>IF(MONTH(Q33+7)&lt;&gt;12,"",TEXT(Q33+7,"d") &amp; CHAR(10) &amp; SUBSTITUTE(TRIM(IF(OR(WEEKDAY(Q33+7,2)=Paramètres!$B$5, WEEKDAY(Q33+7,2)=Paramètres!$B$6),"OM, ","")&amp;IF(WEEKDAY(Q33+7,2)=Paramètres!$B$8,"TRI, ","")&amp;IF(AND(WEEKDAY(Q33+7,2)=Paramètres!$B$11, MOD(INT((Q33+7-Paramètres!$B$10)/7),2)=0, Q33+7&gt;=Paramètres!$B$10),"VERRE, ","")&amp;IF(AND(WEEKDAY(Q33+7,2)=Paramètres!$B$15, INT((DAY(Q33+7)-1)/7)+1 = Paramètres!$B$14),"VERTS, ","")&amp;IF(DAY(Q33+7)=Paramètres!$B$17,"ENCOMBRANTS, ","")),", "," / "))</f>
        <v>0</v>
      </c>
      <c r="R35" s="7">
        <f>IF(MONTH(Q33+8)&lt;&gt;12,"",TEXT(Q33+8,"d") &amp; CHAR(10) &amp; SUBSTITUTE(TRIM(IF(OR(WEEKDAY(Q33+8,2)=Paramètres!$B$5, WEEKDAY(Q33+8,2)=Paramètres!$B$6),"OM, ","")&amp;IF(WEEKDAY(Q33+8,2)=Paramètres!$B$8,"TRI, ","")&amp;IF(AND(WEEKDAY(Q33+8,2)=Paramètres!$B$11, MOD(INT((Q33+8-Paramètres!$B$10)/7),2)=0, Q33+8&gt;=Paramètres!$B$10),"VERRE, ","")&amp;IF(AND(WEEKDAY(Q33+8,2)=Paramètres!$B$15, INT((DAY(Q33+8)-1)/7)+1 = Paramètres!$B$14),"VERTS, ","")&amp;IF(DAY(Q33+8)=Paramètres!$B$17,"ENCOMBRANTS, ","")),", "," / "))</f>
        <v>0</v>
      </c>
      <c r="S35" s="7">
        <f>IF(MONTH(Q33+9)&lt;&gt;12,"",TEXT(Q33+9,"d") &amp; CHAR(10) &amp; SUBSTITUTE(TRIM(IF(OR(WEEKDAY(Q33+9,2)=Paramètres!$B$5, WEEKDAY(Q33+9,2)=Paramètres!$B$6),"OM, ","")&amp;IF(WEEKDAY(Q33+9,2)=Paramètres!$B$8,"TRI, ","")&amp;IF(AND(WEEKDAY(Q33+9,2)=Paramètres!$B$11, MOD(INT((Q33+9-Paramètres!$B$10)/7),2)=0, Q33+9&gt;=Paramètres!$B$10),"VERRE, ","")&amp;IF(AND(WEEKDAY(Q33+9,2)=Paramètres!$B$15, INT((DAY(Q33+9)-1)/7)+1 = Paramètres!$B$14),"VERTS, ","")&amp;IF(DAY(Q33+9)=Paramètres!$B$17,"ENCOMBRANTS, ","")),", "," / "))</f>
        <v>0</v>
      </c>
      <c r="T35" s="7">
        <f>IF(MONTH(Q33+10)&lt;&gt;12,"",TEXT(Q33+10,"d") &amp; CHAR(10) &amp; SUBSTITUTE(TRIM(IF(OR(WEEKDAY(Q33+10,2)=Paramètres!$B$5, WEEKDAY(Q33+10,2)=Paramètres!$B$6),"OM, ","")&amp;IF(WEEKDAY(Q33+10,2)=Paramètres!$B$8,"TRI, ","")&amp;IF(AND(WEEKDAY(Q33+10,2)=Paramètres!$B$11, MOD(INT((Q33+10-Paramètres!$B$10)/7),2)=0, Q33+10&gt;=Paramètres!$B$10),"VERRE, ","")&amp;IF(AND(WEEKDAY(Q33+10,2)=Paramètres!$B$15, INT((DAY(Q33+10)-1)/7)+1 = Paramètres!$B$14),"VERTS, ","")&amp;IF(DAY(Q33+10)=Paramètres!$B$17,"ENCOMBRANTS, ","")),", "," / "))</f>
        <v>0</v>
      </c>
      <c r="U35" s="7">
        <f>IF(MONTH(Q33+11)&lt;&gt;12,"",TEXT(Q33+11,"d") &amp; CHAR(10) &amp; SUBSTITUTE(TRIM(IF(OR(WEEKDAY(Q33+11,2)=Paramètres!$B$5, WEEKDAY(Q33+11,2)=Paramètres!$B$6),"OM, ","")&amp;IF(WEEKDAY(Q33+11,2)=Paramètres!$B$8,"TRI, ","")&amp;IF(AND(WEEKDAY(Q33+11,2)=Paramètres!$B$11, MOD(INT((Q33+11-Paramètres!$B$10)/7),2)=0, Q33+11&gt;=Paramètres!$B$10),"VERRE, ","")&amp;IF(AND(WEEKDAY(Q33+11,2)=Paramètres!$B$15, INT((DAY(Q33+11)-1)/7)+1 = Paramètres!$B$14),"VERTS, ","")&amp;IF(DAY(Q33+11)=Paramètres!$B$17,"ENCOMBRANTS, ","")),", "," / "))</f>
        <v>0</v>
      </c>
      <c r="V35" s="7">
        <f>IF(MONTH(Q33+12)&lt;&gt;12,"",TEXT(Q33+12,"d") &amp; CHAR(10) &amp; SUBSTITUTE(TRIM(IF(OR(WEEKDAY(Q33+12,2)=Paramètres!$B$5, WEEKDAY(Q33+12,2)=Paramètres!$B$6),"OM, ","")&amp;IF(WEEKDAY(Q33+12,2)=Paramètres!$B$8,"TRI, ","")&amp;IF(AND(WEEKDAY(Q33+12,2)=Paramètres!$B$11, MOD(INT((Q33+12-Paramètres!$B$10)/7),2)=0, Q33+12&gt;=Paramètres!$B$10),"VERRE, ","")&amp;IF(AND(WEEKDAY(Q33+12,2)=Paramètres!$B$15, INT((DAY(Q33+12)-1)/7)+1 = Paramètres!$B$14),"VERTS, ","")&amp;IF(DAY(Q33+12)=Paramètres!$B$17,"ENCOMBRANTS, ","")),", "," / "))</f>
        <v>0</v>
      </c>
      <c r="W35" s="7">
        <f>IF(MONTH(Q33+13)&lt;&gt;12,"",TEXT(Q33+13,"d") &amp; CHAR(10) &amp; SUBSTITUTE(TRIM(IF(OR(WEEKDAY(Q33+13,2)=Paramètres!$B$5, WEEKDAY(Q33+13,2)=Paramètres!$B$6),"OM, ","")&amp;IF(WEEKDAY(Q33+13,2)=Paramètres!$B$8,"TRI, ","")&amp;IF(AND(WEEKDAY(Q33+13,2)=Paramètres!$B$11, MOD(INT((Q33+13-Paramètres!$B$10)/7),2)=0, Q33+13&gt;=Paramètres!$B$10),"VERRE, ","")&amp;IF(AND(WEEKDAY(Q33+13,2)=Paramètres!$B$15, INT((DAY(Q33+13)-1)/7)+1 = Paramètres!$B$14),"VERTS, ","")&amp;IF(DAY(Q33+13)=Paramètres!$B$17,"ENCOMBRANTS, ","")),", "," / "))</f>
        <v>0</v>
      </c>
    </row>
    <row r="36" spans="1:23">
      <c r="A36" s="7">
        <f>IF(MONTH(A33+14)&lt;&gt;10,"",TEXT(A33+14,"d") &amp; CHAR(10) &amp; SUBSTITUTE(TRIM(IF(OR(WEEKDAY(A33+14,2)=Paramètres!$B$5, WEEKDAY(A33+14,2)=Paramètres!$B$6),"OM, ","")&amp;IF(WEEKDAY(A33+14,2)=Paramètres!$B$8,"TRI, ","")&amp;IF(AND(WEEKDAY(A33+14,2)=Paramètres!$B$11, MOD(INT((A33+14-Paramètres!$B$10)/7),2)=0, A33+14&gt;=Paramètres!$B$10),"VERRE, ","")&amp;IF(AND(WEEKDAY(A33+14,2)=Paramètres!$B$15, INT((DAY(A33+14)-1)/7)+1 = Paramètres!$B$14),"VERTS, ","")&amp;IF(DAY(A33+14)=Paramètres!$B$17,"ENCOMBRANTS, ","")),", "," / "))</f>
        <v>0</v>
      </c>
      <c r="B36" s="7">
        <f>IF(MONTH(A33+15)&lt;&gt;10,"",TEXT(A33+15,"d") &amp; CHAR(10) &amp; SUBSTITUTE(TRIM(IF(OR(WEEKDAY(A33+15,2)=Paramètres!$B$5, WEEKDAY(A33+15,2)=Paramètres!$B$6),"OM, ","")&amp;IF(WEEKDAY(A33+15,2)=Paramètres!$B$8,"TRI, ","")&amp;IF(AND(WEEKDAY(A33+15,2)=Paramètres!$B$11, MOD(INT((A33+15-Paramètres!$B$10)/7),2)=0, A33+15&gt;=Paramètres!$B$10),"VERRE, ","")&amp;IF(AND(WEEKDAY(A33+15,2)=Paramètres!$B$15, INT((DAY(A33+15)-1)/7)+1 = Paramètres!$B$14),"VERTS, ","")&amp;IF(DAY(A33+15)=Paramètres!$B$17,"ENCOMBRANTS, ","")),", "," / "))</f>
        <v>0</v>
      </c>
      <c r="C36" s="7">
        <f>IF(MONTH(A33+16)&lt;&gt;10,"",TEXT(A33+16,"d") &amp; CHAR(10) &amp; SUBSTITUTE(TRIM(IF(OR(WEEKDAY(A33+16,2)=Paramètres!$B$5, WEEKDAY(A33+16,2)=Paramètres!$B$6),"OM, ","")&amp;IF(WEEKDAY(A33+16,2)=Paramètres!$B$8,"TRI, ","")&amp;IF(AND(WEEKDAY(A33+16,2)=Paramètres!$B$11, MOD(INT((A33+16-Paramètres!$B$10)/7),2)=0, A33+16&gt;=Paramètres!$B$10),"VERRE, ","")&amp;IF(AND(WEEKDAY(A33+16,2)=Paramètres!$B$15, INT((DAY(A33+16)-1)/7)+1 = Paramètres!$B$14),"VERTS, ","")&amp;IF(DAY(A33+16)=Paramètres!$B$17,"ENCOMBRANTS, ","")),", "," / "))</f>
        <v>0</v>
      </c>
      <c r="D36" s="7">
        <f>IF(MONTH(A33+17)&lt;&gt;10,"",TEXT(A33+17,"d") &amp; CHAR(10) &amp; SUBSTITUTE(TRIM(IF(OR(WEEKDAY(A33+17,2)=Paramètres!$B$5, WEEKDAY(A33+17,2)=Paramètres!$B$6),"OM, ","")&amp;IF(WEEKDAY(A33+17,2)=Paramètres!$B$8,"TRI, ","")&amp;IF(AND(WEEKDAY(A33+17,2)=Paramètres!$B$11, MOD(INT((A33+17-Paramètres!$B$10)/7),2)=0, A33+17&gt;=Paramètres!$B$10),"VERRE, ","")&amp;IF(AND(WEEKDAY(A33+17,2)=Paramètres!$B$15, INT((DAY(A33+17)-1)/7)+1 = Paramètres!$B$14),"VERTS, ","")&amp;IF(DAY(A33+17)=Paramètres!$B$17,"ENCOMBRANTS, ","")),", "," / "))</f>
        <v>0</v>
      </c>
      <c r="E36" s="7">
        <f>IF(MONTH(A33+18)&lt;&gt;10,"",TEXT(A33+18,"d") &amp; CHAR(10) &amp; SUBSTITUTE(TRIM(IF(OR(WEEKDAY(A33+18,2)=Paramètres!$B$5, WEEKDAY(A33+18,2)=Paramètres!$B$6),"OM, ","")&amp;IF(WEEKDAY(A33+18,2)=Paramètres!$B$8,"TRI, ","")&amp;IF(AND(WEEKDAY(A33+18,2)=Paramètres!$B$11, MOD(INT((A33+18-Paramètres!$B$10)/7),2)=0, A33+18&gt;=Paramètres!$B$10),"VERRE, ","")&amp;IF(AND(WEEKDAY(A33+18,2)=Paramètres!$B$15, INT((DAY(A33+18)-1)/7)+1 = Paramètres!$B$14),"VERTS, ","")&amp;IF(DAY(A33+18)=Paramètres!$B$17,"ENCOMBRANTS, ","")),", "," / "))</f>
        <v>0</v>
      </c>
      <c r="F36" s="7">
        <f>IF(MONTH(A33+19)&lt;&gt;10,"",TEXT(A33+19,"d") &amp; CHAR(10) &amp; SUBSTITUTE(TRIM(IF(OR(WEEKDAY(A33+19,2)=Paramètres!$B$5, WEEKDAY(A33+19,2)=Paramètres!$B$6),"OM, ","")&amp;IF(WEEKDAY(A33+19,2)=Paramètres!$B$8,"TRI, ","")&amp;IF(AND(WEEKDAY(A33+19,2)=Paramètres!$B$11, MOD(INT((A33+19-Paramètres!$B$10)/7),2)=0, A33+19&gt;=Paramètres!$B$10),"VERRE, ","")&amp;IF(AND(WEEKDAY(A33+19,2)=Paramètres!$B$15, INT((DAY(A33+19)-1)/7)+1 = Paramètres!$B$14),"VERTS, ","")&amp;IF(DAY(A33+19)=Paramètres!$B$17,"ENCOMBRANTS, ","")),", "," / "))</f>
        <v>0</v>
      </c>
      <c r="G36" s="7">
        <f>IF(MONTH(A33+20)&lt;&gt;10,"",TEXT(A33+20,"d") &amp; CHAR(10) &amp; SUBSTITUTE(TRIM(IF(OR(WEEKDAY(A33+20,2)=Paramètres!$B$5, WEEKDAY(A33+20,2)=Paramètres!$B$6),"OM, ","")&amp;IF(WEEKDAY(A33+20,2)=Paramètres!$B$8,"TRI, ","")&amp;IF(AND(WEEKDAY(A33+20,2)=Paramètres!$B$11, MOD(INT((A33+20-Paramètres!$B$10)/7),2)=0, A33+20&gt;=Paramètres!$B$10),"VERRE, ","")&amp;IF(AND(WEEKDAY(A33+20,2)=Paramètres!$B$15, INT((DAY(A33+20)-1)/7)+1 = Paramètres!$B$14),"VERTS, ","")&amp;IF(DAY(A33+20)=Paramètres!$B$17,"ENCOMBRANTS, ","")),", "," / "))</f>
        <v>0</v>
      </c>
      <c r="I36" s="7">
        <f>IF(MONTH(I33+14)&lt;&gt;11,"",TEXT(I33+14,"d") &amp; CHAR(10) &amp; SUBSTITUTE(TRIM(IF(OR(WEEKDAY(I33+14,2)=Paramètres!$B$5, WEEKDAY(I33+14,2)=Paramètres!$B$6),"OM, ","")&amp;IF(WEEKDAY(I33+14,2)=Paramètres!$B$8,"TRI, ","")&amp;IF(AND(WEEKDAY(I33+14,2)=Paramètres!$B$11, MOD(INT((I33+14-Paramètres!$B$10)/7),2)=0, I33+14&gt;=Paramètres!$B$10),"VERRE, ","")&amp;IF(AND(WEEKDAY(I33+14,2)=Paramètres!$B$15, INT((DAY(I33+14)-1)/7)+1 = Paramètres!$B$14),"VERTS, ","")&amp;IF(DAY(I33+14)=Paramètres!$B$17,"ENCOMBRANTS, ","")),", "," / "))</f>
        <v>0</v>
      </c>
      <c r="J36" s="7">
        <f>IF(MONTH(I33+15)&lt;&gt;11,"",TEXT(I33+15,"d") &amp; CHAR(10) &amp; SUBSTITUTE(TRIM(IF(OR(WEEKDAY(I33+15,2)=Paramètres!$B$5, WEEKDAY(I33+15,2)=Paramètres!$B$6),"OM, ","")&amp;IF(WEEKDAY(I33+15,2)=Paramètres!$B$8,"TRI, ","")&amp;IF(AND(WEEKDAY(I33+15,2)=Paramètres!$B$11, MOD(INT((I33+15-Paramètres!$B$10)/7),2)=0, I33+15&gt;=Paramètres!$B$10),"VERRE, ","")&amp;IF(AND(WEEKDAY(I33+15,2)=Paramètres!$B$15, INT((DAY(I33+15)-1)/7)+1 = Paramètres!$B$14),"VERTS, ","")&amp;IF(DAY(I33+15)=Paramètres!$B$17,"ENCOMBRANTS, ","")),", "," / "))</f>
        <v>0</v>
      </c>
      <c r="K36" s="7">
        <f>IF(MONTH(I33+16)&lt;&gt;11,"",TEXT(I33+16,"d") &amp; CHAR(10) &amp; SUBSTITUTE(TRIM(IF(OR(WEEKDAY(I33+16,2)=Paramètres!$B$5, WEEKDAY(I33+16,2)=Paramètres!$B$6),"OM, ","")&amp;IF(WEEKDAY(I33+16,2)=Paramètres!$B$8,"TRI, ","")&amp;IF(AND(WEEKDAY(I33+16,2)=Paramètres!$B$11, MOD(INT((I33+16-Paramètres!$B$10)/7),2)=0, I33+16&gt;=Paramètres!$B$10),"VERRE, ","")&amp;IF(AND(WEEKDAY(I33+16,2)=Paramètres!$B$15, INT((DAY(I33+16)-1)/7)+1 = Paramètres!$B$14),"VERTS, ","")&amp;IF(DAY(I33+16)=Paramètres!$B$17,"ENCOMBRANTS, ","")),", "," / "))</f>
        <v>0</v>
      </c>
      <c r="L36" s="7">
        <f>IF(MONTH(I33+17)&lt;&gt;11,"",TEXT(I33+17,"d") &amp; CHAR(10) &amp; SUBSTITUTE(TRIM(IF(OR(WEEKDAY(I33+17,2)=Paramètres!$B$5, WEEKDAY(I33+17,2)=Paramètres!$B$6),"OM, ","")&amp;IF(WEEKDAY(I33+17,2)=Paramètres!$B$8,"TRI, ","")&amp;IF(AND(WEEKDAY(I33+17,2)=Paramètres!$B$11, MOD(INT((I33+17-Paramètres!$B$10)/7),2)=0, I33+17&gt;=Paramètres!$B$10),"VERRE, ","")&amp;IF(AND(WEEKDAY(I33+17,2)=Paramètres!$B$15, INT((DAY(I33+17)-1)/7)+1 = Paramètres!$B$14),"VERTS, ","")&amp;IF(DAY(I33+17)=Paramètres!$B$17,"ENCOMBRANTS, ","")),", "," / "))</f>
        <v>0</v>
      </c>
      <c r="M36" s="7">
        <f>IF(MONTH(I33+18)&lt;&gt;11,"",TEXT(I33+18,"d") &amp; CHAR(10) &amp; SUBSTITUTE(TRIM(IF(OR(WEEKDAY(I33+18,2)=Paramètres!$B$5, WEEKDAY(I33+18,2)=Paramètres!$B$6),"OM, ","")&amp;IF(WEEKDAY(I33+18,2)=Paramètres!$B$8,"TRI, ","")&amp;IF(AND(WEEKDAY(I33+18,2)=Paramètres!$B$11, MOD(INT((I33+18-Paramètres!$B$10)/7),2)=0, I33+18&gt;=Paramètres!$B$10),"VERRE, ","")&amp;IF(AND(WEEKDAY(I33+18,2)=Paramètres!$B$15, INT((DAY(I33+18)-1)/7)+1 = Paramètres!$B$14),"VERTS, ","")&amp;IF(DAY(I33+18)=Paramètres!$B$17,"ENCOMBRANTS, ","")),", "," / "))</f>
        <v>0</v>
      </c>
      <c r="N36" s="7">
        <f>IF(MONTH(I33+19)&lt;&gt;11,"",TEXT(I33+19,"d") &amp; CHAR(10) &amp; SUBSTITUTE(TRIM(IF(OR(WEEKDAY(I33+19,2)=Paramètres!$B$5, WEEKDAY(I33+19,2)=Paramètres!$B$6),"OM, ","")&amp;IF(WEEKDAY(I33+19,2)=Paramètres!$B$8,"TRI, ","")&amp;IF(AND(WEEKDAY(I33+19,2)=Paramètres!$B$11, MOD(INT((I33+19-Paramètres!$B$10)/7),2)=0, I33+19&gt;=Paramètres!$B$10),"VERRE, ","")&amp;IF(AND(WEEKDAY(I33+19,2)=Paramètres!$B$15, INT((DAY(I33+19)-1)/7)+1 = Paramètres!$B$14),"VERTS, ","")&amp;IF(DAY(I33+19)=Paramètres!$B$17,"ENCOMBRANTS, ","")),", "," / "))</f>
        <v>0</v>
      </c>
      <c r="O36" s="7">
        <f>IF(MONTH(I33+20)&lt;&gt;11,"",TEXT(I33+20,"d") &amp; CHAR(10) &amp; SUBSTITUTE(TRIM(IF(OR(WEEKDAY(I33+20,2)=Paramètres!$B$5, WEEKDAY(I33+20,2)=Paramètres!$B$6),"OM, ","")&amp;IF(WEEKDAY(I33+20,2)=Paramètres!$B$8,"TRI, ","")&amp;IF(AND(WEEKDAY(I33+20,2)=Paramètres!$B$11, MOD(INT((I33+20-Paramètres!$B$10)/7),2)=0, I33+20&gt;=Paramètres!$B$10),"VERRE, ","")&amp;IF(AND(WEEKDAY(I33+20,2)=Paramètres!$B$15, INT((DAY(I33+20)-1)/7)+1 = Paramètres!$B$14),"VERTS, ","")&amp;IF(DAY(I33+20)=Paramètres!$B$17,"ENCOMBRANTS, ","")),", "," / "))</f>
        <v>0</v>
      </c>
      <c r="Q36" s="7">
        <f>IF(MONTH(Q33+14)&lt;&gt;12,"",TEXT(Q33+14,"d") &amp; CHAR(10) &amp; SUBSTITUTE(TRIM(IF(OR(WEEKDAY(Q33+14,2)=Paramètres!$B$5, WEEKDAY(Q33+14,2)=Paramètres!$B$6),"OM, ","")&amp;IF(WEEKDAY(Q33+14,2)=Paramètres!$B$8,"TRI, ","")&amp;IF(AND(WEEKDAY(Q33+14,2)=Paramètres!$B$11, MOD(INT((Q33+14-Paramètres!$B$10)/7),2)=0, Q33+14&gt;=Paramètres!$B$10),"VERRE, ","")&amp;IF(AND(WEEKDAY(Q33+14,2)=Paramètres!$B$15, INT((DAY(Q33+14)-1)/7)+1 = Paramètres!$B$14),"VERTS, ","")&amp;IF(DAY(Q33+14)=Paramètres!$B$17,"ENCOMBRANTS, ","")),", "," / "))</f>
        <v>0</v>
      </c>
      <c r="R36" s="7">
        <f>IF(MONTH(Q33+15)&lt;&gt;12,"",TEXT(Q33+15,"d") &amp; CHAR(10) &amp; SUBSTITUTE(TRIM(IF(OR(WEEKDAY(Q33+15,2)=Paramètres!$B$5, WEEKDAY(Q33+15,2)=Paramètres!$B$6),"OM, ","")&amp;IF(WEEKDAY(Q33+15,2)=Paramètres!$B$8,"TRI, ","")&amp;IF(AND(WEEKDAY(Q33+15,2)=Paramètres!$B$11, MOD(INT((Q33+15-Paramètres!$B$10)/7),2)=0, Q33+15&gt;=Paramètres!$B$10),"VERRE, ","")&amp;IF(AND(WEEKDAY(Q33+15,2)=Paramètres!$B$15, INT((DAY(Q33+15)-1)/7)+1 = Paramètres!$B$14),"VERTS, ","")&amp;IF(DAY(Q33+15)=Paramètres!$B$17,"ENCOMBRANTS, ","")),", "," / "))</f>
        <v>0</v>
      </c>
      <c r="S36" s="7">
        <f>IF(MONTH(Q33+16)&lt;&gt;12,"",TEXT(Q33+16,"d") &amp; CHAR(10) &amp; SUBSTITUTE(TRIM(IF(OR(WEEKDAY(Q33+16,2)=Paramètres!$B$5, WEEKDAY(Q33+16,2)=Paramètres!$B$6),"OM, ","")&amp;IF(WEEKDAY(Q33+16,2)=Paramètres!$B$8,"TRI, ","")&amp;IF(AND(WEEKDAY(Q33+16,2)=Paramètres!$B$11, MOD(INT((Q33+16-Paramètres!$B$10)/7),2)=0, Q33+16&gt;=Paramètres!$B$10),"VERRE, ","")&amp;IF(AND(WEEKDAY(Q33+16,2)=Paramètres!$B$15, INT((DAY(Q33+16)-1)/7)+1 = Paramètres!$B$14),"VERTS, ","")&amp;IF(DAY(Q33+16)=Paramètres!$B$17,"ENCOMBRANTS, ","")),", "," / "))</f>
        <v>0</v>
      </c>
      <c r="T36" s="7">
        <f>IF(MONTH(Q33+17)&lt;&gt;12,"",TEXT(Q33+17,"d") &amp; CHAR(10) &amp; SUBSTITUTE(TRIM(IF(OR(WEEKDAY(Q33+17,2)=Paramètres!$B$5, WEEKDAY(Q33+17,2)=Paramètres!$B$6),"OM, ","")&amp;IF(WEEKDAY(Q33+17,2)=Paramètres!$B$8,"TRI, ","")&amp;IF(AND(WEEKDAY(Q33+17,2)=Paramètres!$B$11, MOD(INT((Q33+17-Paramètres!$B$10)/7),2)=0, Q33+17&gt;=Paramètres!$B$10),"VERRE, ","")&amp;IF(AND(WEEKDAY(Q33+17,2)=Paramètres!$B$15, INT((DAY(Q33+17)-1)/7)+1 = Paramètres!$B$14),"VERTS, ","")&amp;IF(DAY(Q33+17)=Paramètres!$B$17,"ENCOMBRANTS, ","")),", "," / "))</f>
        <v>0</v>
      </c>
      <c r="U36" s="7">
        <f>IF(MONTH(Q33+18)&lt;&gt;12,"",TEXT(Q33+18,"d") &amp; CHAR(10) &amp; SUBSTITUTE(TRIM(IF(OR(WEEKDAY(Q33+18,2)=Paramètres!$B$5, WEEKDAY(Q33+18,2)=Paramètres!$B$6),"OM, ","")&amp;IF(WEEKDAY(Q33+18,2)=Paramètres!$B$8,"TRI, ","")&amp;IF(AND(WEEKDAY(Q33+18,2)=Paramètres!$B$11, MOD(INT((Q33+18-Paramètres!$B$10)/7),2)=0, Q33+18&gt;=Paramètres!$B$10),"VERRE, ","")&amp;IF(AND(WEEKDAY(Q33+18,2)=Paramètres!$B$15, INT((DAY(Q33+18)-1)/7)+1 = Paramètres!$B$14),"VERTS, ","")&amp;IF(DAY(Q33+18)=Paramètres!$B$17,"ENCOMBRANTS, ","")),", "," / "))</f>
        <v>0</v>
      </c>
      <c r="V36" s="7">
        <f>IF(MONTH(Q33+19)&lt;&gt;12,"",TEXT(Q33+19,"d") &amp; CHAR(10) &amp; SUBSTITUTE(TRIM(IF(OR(WEEKDAY(Q33+19,2)=Paramètres!$B$5, WEEKDAY(Q33+19,2)=Paramètres!$B$6),"OM, ","")&amp;IF(WEEKDAY(Q33+19,2)=Paramètres!$B$8,"TRI, ","")&amp;IF(AND(WEEKDAY(Q33+19,2)=Paramètres!$B$11, MOD(INT((Q33+19-Paramètres!$B$10)/7),2)=0, Q33+19&gt;=Paramètres!$B$10),"VERRE, ","")&amp;IF(AND(WEEKDAY(Q33+19,2)=Paramètres!$B$15, INT((DAY(Q33+19)-1)/7)+1 = Paramètres!$B$14),"VERTS, ","")&amp;IF(DAY(Q33+19)=Paramètres!$B$17,"ENCOMBRANTS, ","")),", "," / "))</f>
        <v>0</v>
      </c>
      <c r="W36" s="7">
        <f>IF(MONTH(Q33+20)&lt;&gt;12,"",TEXT(Q33+20,"d") &amp; CHAR(10) &amp; SUBSTITUTE(TRIM(IF(OR(WEEKDAY(Q33+20,2)=Paramètres!$B$5, WEEKDAY(Q33+20,2)=Paramètres!$B$6),"OM, ","")&amp;IF(WEEKDAY(Q33+20,2)=Paramètres!$B$8,"TRI, ","")&amp;IF(AND(WEEKDAY(Q33+20,2)=Paramètres!$B$11, MOD(INT((Q33+20-Paramètres!$B$10)/7),2)=0, Q33+20&gt;=Paramètres!$B$10),"VERRE, ","")&amp;IF(AND(WEEKDAY(Q33+20,2)=Paramètres!$B$15, INT((DAY(Q33+20)-1)/7)+1 = Paramètres!$B$14),"VERTS, ","")&amp;IF(DAY(Q33+20)=Paramètres!$B$17,"ENCOMBRANTS, ","")),", "," / "))</f>
        <v>0</v>
      </c>
    </row>
    <row r="37" spans="1:23">
      <c r="A37" s="7">
        <f>IF(MONTH(A33+21)&lt;&gt;10,"",TEXT(A33+21,"d") &amp; CHAR(10) &amp; SUBSTITUTE(TRIM(IF(OR(WEEKDAY(A33+21,2)=Paramètres!$B$5, WEEKDAY(A33+21,2)=Paramètres!$B$6),"OM, ","")&amp;IF(WEEKDAY(A33+21,2)=Paramètres!$B$8,"TRI, ","")&amp;IF(AND(WEEKDAY(A33+21,2)=Paramètres!$B$11, MOD(INT((A33+21-Paramètres!$B$10)/7),2)=0, A33+21&gt;=Paramètres!$B$10),"VERRE, ","")&amp;IF(AND(WEEKDAY(A33+21,2)=Paramètres!$B$15, INT((DAY(A33+21)-1)/7)+1 = Paramètres!$B$14),"VERTS, ","")&amp;IF(DAY(A33+21)=Paramètres!$B$17,"ENCOMBRANTS, ","")),", "," / "))</f>
        <v>0</v>
      </c>
      <c r="B37" s="7">
        <f>IF(MONTH(A33+22)&lt;&gt;10,"",TEXT(A33+22,"d") &amp; CHAR(10) &amp; SUBSTITUTE(TRIM(IF(OR(WEEKDAY(A33+22,2)=Paramètres!$B$5, WEEKDAY(A33+22,2)=Paramètres!$B$6),"OM, ","")&amp;IF(WEEKDAY(A33+22,2)=Paramètres!$B$8,"TRI, ","")&amp;IF(AND(WEEKDAY(A33+22,2)=Paramètres!$B$11, MOD(INT((A33+22-Paramètres!$B$10)/7),2)=0, A33+22&gt;=Paramètres!$B$10),"VERRE, ","")&amp;IF(AND(WEEKDAY(A33+22,2)=Paramètres!$B$15, INT((DAY(A33+22)-1)/7)+1 = Paramètres!$B$14),"VERTS, ","")&amp;IF(DAY(A33+22)=Paramètres!$B$17,"ENCOMBRANTS, ","")),", "," / "))</f>
        <v>0</v>
      </c>
      <c r="C37" s="7">
        <f>IF(MONTH(A33+23)&lt;&gt;10,"",TEXT(A33+23,"d") &amp; CHAR(10) &amp; SUBSTITUTE(TRIM(IF(OR(WEEKDAY(A33+23,2)=Paramètres!$B$5, WEEKDAY(A33+23,2)=Paramètres!$B$6),"OM, ","")&amp;IF(WEEKDAY(A33+23,2)=Paramètres!$B$8,"TRI, ","")&amp;IF(AND(WEEKDAY(A33+23,2)=Paramètres!$B$11, MOD(INT((A33+23-Paramètres!$B$10)/7),2)=0, A33+23&gt;=Paramètres!$B$10),"VERRE, ","")&amp;IF(AND(WEEKDAY(A33+23,2)=Paramètres!$B$15, INT((DAY(A33+23)-1)/7)+1 = Paramètres!$B$14),"VERTS, ","")&amp;IF(DAY(A33+23)=Paramètres!$B$17,"ENCOMBRANTS, ","")),", "," / "))</f>
        <v>0</v>
      </c>
      <c r="D37" s="7">
        <f>IF(MONTH(A33+24)&lt;&gt;10,"",TEXT(A33+24,"d") &amp; CHAR(10) &amp; SUBSTITUTE(TRIM(IF(OR(WEEKDAY(A33+24,2)=Paramètres!$B$5, WEEKDAY(A33+24,2)=Paramètres!$B$6),"OM, ","")&amp;IF(WEEKDAY(A33+24,2)=Paramètres!$B$8,"TRI, ","")&amp;IF(AND(WEEKDAY(A33+24,2)=Paramètres!$B$11, MOD(INT((A33+24-Paramètres!$B$10)/7),2)=0, A33+24&gt;=Paramètres!$B$10),"VERRE, ","")&amp;IF(AND(WEEKDAY(A33+24,2)=Paramètres!$B$15, INT((DAY(A33+24)-1)/7)+1 = Paramètres!$B$14),"VERTS, ","")&amp;IF(DAY(A33+24)=Paramètres!$B$17,"ENCOMBRANTS, ","")),", "," / "))</f>
        <v>0</v>
      </c>
      <c r="E37" s="7">
        <f>IF(MONTH(A33+25)&lt;&gt;10,"",TEXT(A33+25,"d") &amp; CHAR(10) &amp; SUBSTITUTE(TRIM(IF(OR(WEEKDAY(A33+25,2)=Paramètres!$B$5, WEEKDAY(A33+25,2)=Paramètres!$B$6),"OM, ","")&amp;IF(WEEKDAY(A33+25,2)=Paramètres!$B$8,"TRI, ","")&amp;IF(AND(WEEKDAY(A33+25,2)=Paramètres!$B$11, MOD(INT((A33+25-Paramètres!$B$10)/7),2)=0, A33+25&gt;=Paramètres!$B$10),"VERRE, ","")&amp;IF(AND(WEEKDAY(A33+25,2)=Paramètres!$B$15, INT((DAY(A33+25)-1)/7)+1 = Paramètres!$B$14),"VERTS, ","")&amp;IF(DAY(A33+25)=Paramètres!$B$17,"ENCOMBRANTS, ","")),", "," / "))</f>
        <v>0</v>
      </c>
      <c r="F37" s="7">
        <f>IF(MONTH(A33+26)&lt;&gt;10,"",TEXT(A33+26,"d") &amp; CHAR(10) &amp; SUBSTITUTE(TRIM(IF(OR(WEEKDAY(A33+26,2)=Paramètres!$B$5, WEEKDAY(A33+26,2)=Paramètres!$B$6),"OM, ","")&amp;IF(WEEKDAY(A33+26,2)=Paramètres!$B$8,"TRI, ","")&amp;IF(AND(WEEKDAY(A33+26,2)=Paramètres!$B$11, MOD(INT((A33+26-Paramètres!$B$10)/7),2)=0, A33+26&gt;=Paramètres!$B$10),"VERRE, ","")&amp;IF(AND(WEEKDAY(A33+26,2)=Paramètres!$B$15, INT((DAY(A33+26)-1)/7)+1 = Paramètres!$B$14),"VERTS, ","")&amp;IF(DAY(A33+26)=Paramètres!$B$17,"ENCOMBRANTS, ","")),", "," / "))</f>
        <v>0</v>
      </c>
      <c r="G37" s="7">
        <f>IF(MONTH(A33+27)&lt;&gt;10,"",TEXT(A33+27,"d") &amp; CHAR(10) &amp; SUBSTITUTE(TRIM(IF(OR(WEEKDAY(A33+27,2)=Paramètres!$B$5, WEEKDAY(A33+27,2)=Paramètres!$B$6),"OM, ","")&amp;IF(WEEKDAY(A33+27,2)=Paramètres!$B$8,"TRI, ","")&amp;IF(AND(WEEKDAY(A33+27,2)=Paramètres!$B$11, MOD(INT((A33+27-Paramètres!$B$10)/7),2)=0, A33+27&gt;=Paramètres!$B$10),"VERRE, ","")&amp;IF(AND(WEEKDAY(A33+27,2)=Paramètres!$B$15, INT((DAY(A33+27)-1)/7)+1 = Paramètres!$B$14),"VERTS, ","")&amp;IF(DAY(A33+27)=Paramètres!$B$17,"ENCOMBRANTS, ","")),", "," / "))</f>
        <v>0</v>
      </c>
      <c r="I37" s="7">
        <f>IF(MONTH(I33+21)&lt;&gt;11,"",TEXT(I33+21,"d") &amp; CHAR(10) &amp; SUBSTITUTE(TRIM(IF(OR(WEEKDAY(I33+21,2)=Paramètres!$B$5, WEEKDAY(I33+21,2)=Paramètres!$B$6),"OM, ","")&amp;IF(WEEKDAY(I33+21,2)=Paramètres!$B$8,"TRI, ","")&amp;IF(AND(WEEKDAY(I33+21,2)=Paramètres!$B$11, MOD(INT((I33+21-Paramètres!$B$10)/7),2)=0, I33+21&gt;=Paramètres!$B$10),"VERRE, ","")&amp;IF(AND(WEEKDAY(I33+21,2)=Paramètres!$B$15, INT((DAY(I33+21)-1)/7)+1 = Paramètres!$B$14),"VERTS, ","")&amp;IF(DAY(I33+21)=Paramètres!$B$17,"ENCOMBRANTS, ","")),", "," / "))</f>
        <v>0</v>
      </c>
      <c r="J37" s="7">
        <f>IF(MONTH(I33+22)&lt;&gt;11,"",TEXT(I33+22,"d") &amp; CHAR(10) &amp; SUBSTITUTE(TRIM(IF(OR(WEEKDAY(I33+22,2)=Paramètres!$B$5, WEEKDAY(I33+22,2)=Paramètres!$B$6),"OM, ","")&amp;IF(WEEKDAY(I33+22,2)=Paramètres!$B$8,"TRI, ","")&amp;IF(AND(WEEKDAY(I33+22,2)=Paramètres!$B$11, MOD(INT((I33+22-Paramètres!$B$10)/7),2)=0, I33+22&gt;=Paramètres!$B$10),"VERRE, ","")&amp;IF(AND(WEEKDAY(I33+22,2)=Paramètres!$B$15, INT((DAY(I33+22)-1)/7)+1 = Paramètres!$B$14),"VERTS, ","")&amp;IF(DAY(I33+22)=Paramètres!$B$17,"ENCOMBRANTS, ","")),", "," / "))</f>
        <v>0</v>
      </c>
      <c r="K37" s="7">
        <f>IF(MONTH(I33+23)&lt;&gt;11,"",TEXT(I33+23,"d") &amp; CHAR(10) &amp; SUBSTITUTE(TRIM(IF(OR(WEEKDAY(I33+23,2)=Paramètres!$B$5, WEEKDAY(I33+23,2)=Paramètres!$B$6),"OM, ","")&amp;IF(WEEKDAY(I33+23,2)=Paramètres!$B$8,"TRI, ","")&amp;IF(AND(WEEKDAY(I33+23,2)=Paramètres!$B$11, MOD(INT((I33+23-Paramètres!$B$10)/7),2)=0, I33+23&gt;=Paramètres!$B$10),"VERRE, ","")&amp;IF(AND(WEEKDAY(I33+23,2)=Paramètres!$B$15, INT((DAY(I33+23)-1)/7)+1 = Paramètres!$B$14),"VERTS, ","")&amp;IF(DAY(I33+23)=Paramètres!$B$17,"ENCOMBRANTS, ","")),", "," / "))</f>
        <v>0</v>
      </c>
      <c r="L37" s="7">
        <f>IF(MONTH(I33+24)&lt;&gt;11,"",TEXT(I33+24,"d") &amp; CHAR(10) &amp; SUBSTITUTE(TRIM(IF(OR(WEEKDAY(I33+24,2)=Paramètres!$B$5, WEEKDAY(I33+24,2)=Paramètres!$B$6),"OM, ","")&amp;IF(WEEKDAY(I33+24,2)=Paramètres!$B$8,"TRI, ","")&amp;IF(AND(WEEKDAY(I33+24,2)=Paramètres!$B$11, MOD(INT((I33+24-Paramètres!$B$10)/7),2)=0, I33+24&gt;=Paramètres!$B$10),"VERRE, ","")&amp;IF(AND(WEEKDAY(I33+24,2)=Paramètres!$B$15, INT((DAY(I33+24)-1)/7)+1 = Paramètres!$B$14),"VERTS, ","")&amp;IF(DAY(I33+24)=Paramètres!$B$17,"ENCOMBRANTS, ","")),", "," / "))</f>
        <v>0</v>
      </c>
      <c r="M37" s="7">
        <f>IF(MONTH(I33+25)&lt;&gt;11,"",TEXT(I33+25,"d") &amp; CHAR(10) &amp; SUBSTITUTE(TRIM(IF(OR(WEEKDAY(I33+25,2)=Paramètres!$B$5, WEEKDAY(I33+25,2)=Paramètres!$B$6),"OM, ","")&amp;IF(WEEKDAY(I33+25,2)=Paramètres!$B$8,"TRI, ","")&amp;IF(AND(WEEKDAY(I33+25,2)=Paramètres!$B$11, MOD(INT((I33+25-Paramètres!$B$10)/7),2)=0, I33+25&gt;=Paramètres!$B$10),"VERRE, ","")&amp;IF(AND(WEEKDAY(I33+25,2)=Paramètres!$B$15, INT((DAY(I33+25)-1)/7)+1 = Paramètres!$B$14),"VERTS, ","")&amp;IF(DAY(I33+25)=Paramètres!$B$17,"ENCOMBRANTS, ","")),", "," / "))</f>
        <v>0</v>
      </c>
      <c r="N37" s="7">
        <f>IF(MONTH(I33+26)&lt;&gt;11,"",TEXT(I33+26,"d") &amp; CHAR(10) &amp; SUBSTITUTE(TRIM(IF(OR(WEEKDAY(I33+26,2)=Paramètres!$B$5, WEEKDAY(I33+26,2)=Paramètres!$B$6),"OM, ","")&amp;IF(WEEKDAY(I33+26,2)=Paramètres!$B$8,"TRI, ","")&amp;IF(AND(WEEKDAY(I33+26,2)=Paramètres!$B$11, MOD(INT((I33+26-Paramètres!$B$10)/7),2)=0, I33+26&gt;=Paramètres!$B$10),"VERRE, ","")&amp;IF(AND(WEEKDAY(I33+26,2)=Paramètres!$B$15, INT((DAY(I33+26)-1)/7)+1 = Paramètres!$B$14),"VERTS, ","")&amp;IF(DAY(I33+26)=Paramètres!$B$17,"ENCOMBRANTS, ","")),", "," / "))</f>
        <v>0</v>
      </c>
      <c r="O37" s="7">
        <f>IF(MONTH(I33+27)&lt;&gt;11,"",TEXT(I33+27,"d") &amp; CHAR(10) &amp; SUBSTITUTE(TRIM(IF(OR(WEEKDAY(I33+27,2)=Paramètres!$B$5, WEEKDAY(I33+27,2)=Paramètres!$B$6),"OM, ","")&amp;IF(WEEKDAY(I33+27,2)=Paramètres!$B$8,"TRI, ","")&amp;IF(AND(WEEKDAY(I33+27,2)=Paramètres!$B$11, MOD(INT((I33+27-Paramètres!$B$10)/7),2)=0, I33+27&gt;=Paramètres!$B$10),"VERRE, ","")&amp;IF(AND(WEEKDAY(I33+27,2)=Paramètres!$B$15, INT((DAY(I33+27)-1)/7)+1 = Paramètres!$B$14),"VERTS, ","")&amp;IF(DAY(I33+27)=Paramètres!$B$17,"ENCOMBRANTS, ","")),", "," / "))</f>
        <v>0</v>
      </c>
      <c r="Q37" s="7">
        <f>IF(MONTH(Q33+21)&lt;&gt;12,"",TEXT(Q33+21,"d") &amp; CHAR(10) &amp; SUBSTITUTE(TRIM(IF(OR(WEEKDAY(Q33+21,2)=Paramètres!$B$5, WEEKDAY(Q33+21,2)=Paramètres!$B$6),"OM, ","")&amp;IF(WEEKDAY(Q33+21,2)=Paramètres!$B$8,"TRI, ","")&amp;IF(AND(WEEKDAY(Q33+21,2)=Paramètres!$B$11, MOD(INT((Q33+21-Paramètres!$B$10)/7),2)=0, Q33+21&gt;=Paramètres!$B$10),"VERRE, ","")&amp;IF(AND(WEEKDAY(Q33+21,2)=Paramètres!$B$15, INT((DAY(Q33+21)-1)/7)+1 = Paramètres!$B$14),"VERTS, ","")&amp;IF(DAY(Q33+21)=Paramètres!$B$17,"ENCOMBRANTS, ","")),", "," / "))</f>
        <v>0</v>
      </c>
      <c r="R37" s="7">
        <f>IF(MONTH(Q33+22)&lt;&gt;12,"",TEXT(Q33+22,"d") &amp; CHAR(10) &amp; SUBSTITUTE(TRIM(IF(OR(WEEKDAY(Q33+22,2)=Paramètres!$B$5, WEEKDAY(Q33+22,2)=Paramètres!$B$6),"OM, ","")&amp;IF(WEEKDAY(Q33+22,2)=Paramètres!$B$8,"TRI, ","")&amp;IF(AND(WEEKDAY(Q33+22,2)=Paramètres!$B$11, MOD(INT((Q33+22-Paramètres!$B$10)/7),2)=0, Q33+22&gt;=Paramètres!$B$10),"VERRE, ","")&amp;IF(AND(WEEKDAY(Q33+22,2)=Paramètres!$B$15, INT((DAY(Q33+22)-1)/7)+1 = Paramètres!$B$14),"VERTS, ","")&amp;IF(DAY(Q33+22)=Paramètres!$B$17,"ENCOMBRANTS, ","")),", "," / "))</f>
        <v>0</v>
      </c>
      <c r="S37" s="7">
        <f>IF(MONTH(Q33+23)&lt;&gt;12,"",TEXT(Q33+23,"d") &amp; CHAR(10) &amp; SUBSTITUTE(TRIM(IF(OR(WEEKDAY(Q33+23,2)=Paramètres!$B$5, WEEKDAY(Q33+23,2)=Paramètres!$B$6),"OM, ","")&amp;IF(WEEKDAY(Q33+23,2)=Paramètres!$B$8,"TRI, ","")&amp;IF(AND(WEEKDAY(Q33+23,2)=Paramètres!$B$11, MOD(INT((Q33+23-Paramètres!$B$10)/7),2)=0, Q33+23&gt;=Paramètres!$B$10),"VERRE, ","")&amp;IF(AND(WEEKDAY(Q33+23,2)=Paramètres!$B$15, INT((DAY(Q33+23)-1)/7)+1 = Paramètres!$B$14),"VERTS, ","")&amp;IF(DAY(Q33+23)=Paramètres!$B$17,"ENCOMBRANTS, ","")),", "," / "))</f>
        <v>0</v>
      </c>
      <c r="T37" s="7">
        <f>IF(MONTH(Q33+24)&lt;&gt;12,"",TEXT(Q33+24,"d") &amp; CHAR(10) &amp; SUBSTITUTE(TRIM(IF(OR(WEEKDAY(Q33+24,2)=Paramètres!$B$5, WEEKDAY(Q33+24,2)=Paramètres!$B$6),"OM, ","")&amp;IF(WEEKDAY(Q33+24,2)=Paramètres!$B$8,"TRI, ","")&amp;IF(AND(WEEKDAY(Q33+24,2)=Paramètres!$B$11, MOD(INT((Q33+24-Paramètres!$B$10)/7),2)=0, Q33+24&gt;=Paramètres!$B$10),"VERRE, ","")&amp;IF(AND(WEEKDAY(Q33+24,2)=Paramètres!$B$15, INT((DAY(Q33+24)-1)/7)+1 = Paramètres!$B$14),"VERTS, ","")&amp;IF(DAY(Q33+24)=Paramètres!$B$17,"ENCOMBRANTS, ","")),", "," / "))</f>
        <v>0</v>
      </c>
      <c r="U37" s="7">
        <f>IF(MONTH(Q33+25)&lt;&gt;12,"",TEXT(Q33+25,"d") &amp; CHAR(10) &amp; SUBSTITUTE(TRIM(IF(OR(WEEKDAY(Q33+25,2)=Paramètres!$B$5, WEEKDAY(Q33+25,2)=Paramètres!$B$6),"OM, ","")&amp;IF(WEEKDAY(Q33+25,2)=Paramètres!$B$8,"TRI, ","")&amp;IF(AND(WEEKDAY(Q33+25,2)=Paramètres!$B$11, MOD(INT((Q33+25-Paramètres!$B$10)/7),2)=0, Q33+25&gt;=Paramètres!$B$10),"VERRE, ","")&amp;IF(AND(WEEKDAY(Q33+25,2)=Paramètres!$B$15, INT((DAY(Q33+25)-1)/7)+1 = Paramètres!$B$14),"VERTS, ","")&amp;IF(DAY(Q33+25)=Paramètres!$B$17,"ENCOMBRANTS, ","")),", "," / "))</f>
        <v>0</v>
      </c>
      <c r="V37" s="7">
        <f>IF(MONTH(Q33+26)&lt;&gt;12,"",TEXT(Q33+26,"d") &amp; CHAR(10) &amp; SUBSTITUTE(TRIM(IF(OR(WEEKDAY(Q33+26,2)=Paramètres!$B$5, WEEKDAY(Q33+26,2)=Paramètres!$B$6),"OM, ","")&amp;IF(WEEKDAY(Q33+26,2)=Paramètres!$B$8,"TRI, ","")&amp;IF(AND(WEEKDAY(Q33+26,2)=Paramètres!$B$11, MOD(INT((Q33+26-Paramètres!$B$10)/7),2)=0, Q33+26&gt;=Paramètres!$B$10),"VERRE, ","")&amp;IF(AND(WEEKDAY(Q33+26,2)=Paramètres!$B$15, INT((DAY(Q33+26)-1)/7)+1 = Paramètres!$B$14),"VERTS, ","")&amp;IF(DAY(Q33+26)=Paramètres!$B$17,"ENCOMBRANTS, ","")),", "," / "))</f>
        <v>0</v>
      </c>
      <c r="W37" s="7">
        <f>IF(MONTH(Q33+27)&lt;&gt;12,"",TEXT(Q33+27,"d") &amp; CHAR(10) &amp; SUBSTITUTE(TRIM(IF(OR(WEEKDAY(Q33+27,2)=Paramètres!$B$5, WEEKDAY(Q33+27,2)=Paramètres!$B$6),"OM, ","")&amp;IF(WEEKDAY(Q33+27,2)=Paramètres!$B$8,"TRI, ","")&amp;IF(AND(WEEKDAY(Q33+27,2)=Paramètres!$B$11, MOD(INT((Q33+27-Paramètres!$B$10)/7),2)=0, Q33+27&gt;=Paramètres!$B$10),"VERRE, ","")&amp;IF(AND(WEEKDAY(Q33+27,2)=Paramètres!$B$15, INT((DAY(Q33+27)-1)/7)+1 = Paramètres!$B$14),"VERTS, ","")&amp;IF(DAY(Q33+27)=Paramètres!$B$17,"ENCOMBRANTS, ","")),", "," / "))</f>
        <v>0</v>
      </c>
    </row>
    <row r="38" spans="1:23">
      <c r="A38" s="7">
        <f>IF(MONTH(A33+28)&lt;&gt;10,"",TEXT(A33+28,"d") &amp; CHAR(10) &amp; SUBSTITUTE(TRIM(IF(OR(WEEKDAY(A33+28,2)=Paramètres!$B$5, WEEKDAY(A33+28,2)=Paramètres!$B$6),"OM, ","")&amp;IF(WEEKDAY(A33+28,2)=Paramètres!$B$8,"TRI, ","")&amp;IF(AND(WEEKDAY(A33+28,2)=Paramètres!$B$11, MOD(INT((A33+28-Paramètres!$B$10)/7),2)=0, A33+28&gt;=Paramètres!$B$10),"VERRE, ","")&amp;IF(AND(WEEKDAY(A33+28,2)=Paramètres!$B$15, INT((DAY(A33+28)-1)/7)+1 = Paramètres!$B$14),"VERTS, ","")&amp;IF(DAY(A33+28)=Paramètres!$B$17,"ENCOMBRANTS, ","")),", "," / "))</f>
        <v>0</v>
      </c>
      <c r="B38" s="7">
        <f>IF(MONTH(A33+29)&lt;&gt;10,"",TEXT(A33+29,"d") &amp; CHAR(10) &amp; SUBSTITUTE(TRIM(IF(OR(WEEKDAY(A33+29,2)=Paramètres!$B$5, WEEKDAY(A33+29,2)=Paramètres!$B$6),"OM, ","")&amp;IF(WEEKDAY(A33+29,2)=Paramètres!$B$8,"TRI, ","")&amp;IF(AND(WEEKDAY(A33+29,2)=Paramètres!$B$11, MOD(INT((A33+29-Paramètres!$B$10)/7),2)=0, A33+29&gt;=Paramètres!$B$10),"VERRE, ","")&amp;IF(AND(WEEKDAY(A33+29,2)=Paramètres!$B$15, INT((DAY(A33+29)-1)/7)+1 = Paramètres!$B$14),"VERTS, ","")&amp;IF(DAY(A33+29)=Paramètres!$B$17,"ENCOMBRANTS, ","")),", "," / "))</f>
        <v>0</v>
      </c>
      <c r="C38" s="7">
        <f>IF(MONTH(A33+30)&lt;&gt;10,"",TEXT(A33+30,"d") &amp; CHAR(10) &amp; SUBSTITUTE(TRIM(IF(OR(WEEKDAY(A33+30,2)=Paramètres!$B$5, WEEKDAY(A33+30,2)=Paramètres!$B$6),"OM, ","")&amp;IF(WEEKDAY(A33+30,2)=Paramètres!$B$8,"TRI, ","")&amp;IF(AND(WEEKDAY(A33+30,2)=Paramètres!$B$11, MOD(INT((A33+30-Paramètres!$B$10)/7),2)=0, A33+30&gt;=Paramètres!$B$10),"VERRE, ","")&amp;IF(AND(WEEKDAY(A33+30,2)=Paramètres!$B$15, INT((DAY(A33+30)-1)/7)+1 = Paramètres!$B$14),"VERTS, ","")&amp;IF(DAY(A33+30)=Paramètres!$B$17,"ENCOMBRANTS, ","")),", "," / "))</f>
        <v>0</v>
      </c>
      <c r="D38" s="7">
        <f>IF(MONTH(A33+31)&lt;&gt;10,"",TEXT(A33+31,"d") &amp; CHAR(10) &amp; SUBSTITUTE(TRIM(IF(OR(WEEKDAY(A33+31,2)=Paramètres!$B$5, WEEKDAY(A33+31,2)=Paramètres!$B$6),"OM, ","")&amp;IF(WEEKDAY(A33+31,2)=Paramètres!$B$8,"TRI, ","")&amp;IF(AND(WEEKDAY(A33+31,2)=Paramètres!$B$11, MOD(INT((A33+31-Paramètres!$B$10)/7),2)=0, A33+31&gt;=Paramètres!$B$10),"VERRE, ","")&amp;IF(AND(WEEKDAY(A33+31,2)=Paramètres!$B$15, INT((DAY(A33+31)-1)/7)+1 = Paramètres!$B$14),"VERTS, ","")&amp;IF(DAY(A33+31)=Paramètres!$B$17,"ENCOMBRANTS, ","")),", "," / "))</f>
        <v>0</v>
      </c>
      <c r="E38" s="7">
        <f>IF(MONTH(A33+32)&lt;&gt;10,"",TEXT(A33+32,"d") &amp; CHAR(10) &amp; SUBSTITUTE(TRIM(IF(OR(WEEKDAY(A33+32,2)=Paramètres!$B$5, WEEKDAY(A33+32,2)=Paramètres!$B$6),"OM, ","")&amp;IF(WEEKDAY(A33+32,2)=Paramètres!$B$8,"TRI, ","")&amp;IF(AND(WEEKDAY(A33+32,2)=Paramètres!$B$11, MOD(INT((A33+32-Paramètres!$B$10)/7),2)=0, A33+32&gt;=Paramètres!$B$10),"VERRE, ","")&amp;IF(AND(WEEKDAY(A33+32,2)=Paramètres!$B$15, INT((DAY(A33+32)-1)/7)+1 = Paramètres!$B$14),"VERTS, ","")&amp;IF(DAY(A33+32)=Paramètres!$B$17,"ENCOMBRANTS, ","")),", "," / "))</f>
        <v>0</v>
      </c>
      <c r="F38" s="7">
        <f>IF(MONTH(A33+33)&lt;&gt;10,"",TEXT(A33+33,"d") &amp; CHAR(10) &amp; SUBSTITUTE(TRIM(IF(OR(WEEKDAY(A33+33,2)=Paramètres!$B$5, WEEKDAY(A33+33,2)=Paramètres!$B$6),"OM, ","")&amp;IF(WEEKDAY(A33+33,2)=Paramètres!$B$8,"TRI, ","")&amp;IF(AND(WEEKDAY(A33+33,2)=Paramètres!$B$11, MOD(INT((A33+33-Paramètres!$B$10)/7),2)=0, A33+33&gt;=Paramètres!$B$10),"VERRE, ","")&amp;IF(AND(WEEKDAY(A33+33,2)=Paramètres!$B$15, INT((DAY(A33+33)-1)/7)+1 = Paramètres!$B$14),"VERTS, ","")&amp;IF(DAY(A33+33)=Paramètres!$B$17,"ENCOMBRANTS, ","")),", "," / "))</f>
        <v>0</v>
      </c>
      <c r="G38" s="7">
        <f>IF(MONTH(A33+34)&lt;&gt;10,"",TEXT(A33+34,"d") &amp; CHAR(10) &amp; SUBSTITUTE(TRIM(IF(OR(WEEKDAY(A33+34,2)=Paramètres!$B$5, WEEKDAY(A33+34,2)=Paramètres!$B$6),"OM, ","")&amp;IF(WEEKDAY(A33+34,2)=Paramètres!$B$8,"TRI, ","")&amp;IF(AND(WEEKDAY(A33+34,2)=Paramètres!$B$11, MOD(INT((A33+34-Paramètres!$B$10)/7),2)=0, A33+34&gt;=Paramètres!$B$10),"VERRE, ","")&amp;IF(AND(WEEKDAY(A33+34,2)=Paramètres!$B$15, INT((DAY(A33+34)-1)/7)+1 = Paramètres!$B$14),"VERTS, ","")&amp;IF(DAY(A33+34)=Paramètres!$B$17,"ENCOMBRANTS, ","")),", "," / "))</f>
        <v>0</v>
      </c>
      <c r="I38" s="7">
        <f>IF(MONTH(I33+28)&lt;&gt;11,"",TEXT(I33+28,"d") &amp; CHAR(10) &amp; SUBSTITUTE(TRIM(IF(OR(WEEKDAY(I33+28,2)=Paramètres!$B$5, WEEKDAY(I33+28,2)=Paramètres!$B$6),"OM, ","")&amp;IF(WEEKDAY(I33+28,2)=Paramètres!$B$8,"TRI, ","")&amp;IF(AND(WEEKDAY(I33+28,2)=Paramètres!$B$11, MOD(INT((I33+28-Paramètres!$B$10)/7),2)=0, I33+28&gt;=Paramètres!$B$10),"VERRE, ","")&amp;IF(AND(WEEKDAY(I33+28,2)=Paramètres!$B$15, INT((DAY(I33+28)-1)/7)+1 = Paramètres!$B$14),"VERTS, ","")&amp;IF(DAY(I33+28)=Paramètres!$B$17,"ENCOMBRANTS, ","")),", "," / "))</f>
        <v>0</v>
      </c>
      <c r="J38" s="7">
        <f>IF(MONTH(I33+29)&lt;&gt;11,"",TEXT(I33+29,"d") &amp; CHAR(10) &amp; SUBSTITUTE(TRIM(IF(OR(WEEKDAY(I33+29,2)=Paramètres!$B$5, WEEKDAY(I33+29,2)=Paramètres!$B$6),"OM, ","")&amp;IF(WEEKDAY(I33+29,2)=Paramètres!$B$8,"TRI, ","")&amp;IF(AND(WEEKDAY(I33+29,2)=Paramètres!$B$11, MOD(INT((I33+29-Paramètres!$B$10)/7),2)=0, I33+29&gt;=Paramètres!$B$10),"VERRE, ","")&amp;IF(AND(WEEKDAY(I33+29,2)=Paramètres!$B$15, INT((DAY(I33+29)-1)/7)+1 = Paramètres!$B$14),"VERTS, ","")&amp;IF(DAY(I33+29)=Paramètres!$B$17,"ENCOMBRANTS, ","")),", "," / "))</f>
        <v>0</v>
      </c>
      <c r="K38" s="7">
        <f>IF(MONTH(I33+30)&lt;&gt;11,"",TEXT(I33+30,"d") &amp; CHAR(10) &amp; SUBSTITUTE(TRIM(IF(OR(WEEKDAY(I33+30,2)=Paramètres!$B$5, WEEKDAY(I33+30,2)=Paramètres!$B$6),"OM, ","")&amp;IF(WEEKDAY(I33+30,2)=Paramètres!$B$8,"TRI, ","")&amp;IF(AND(WEEKDAY(I33+30,2)=Paramètres!$B$11, MOD(INT((I33+30-Paramètres!$B$10)/7),2)=0, I33+30&gt;=Paramètres!$B$10),"VERRE, ","")&amp;IF(AND(WEEKDAY(I33+30,2)=Paramètres!$B$15, INT((DAY(I33+30)-1)/7)+1 = Paramètres!$B$14),"VERTS, ","")&amp;IF(DAY(I33+30)=Paramètres!$B$17,"ENCOMBRANTS, ","")),", "," / "))</f>
        <v>0</v>
      </c>
      <c r="L38" s="7">
        <f>IF(MONTH(I33+31)&lt;&gt;11,"",TEXT(I33+31,"d") &amp; CHAR(10) &amp; SUBSTITUTE(TRIM(IF(OR(WEEKDAY(I33+31,2)=Paramètres!$B$5, WEEKDAY(I33+31,2)=Paramètres!$B$6),"OM, ","")&amp;IF(WEEKDAY(I33+31,2)=Paramètres!$B$8,"TRI, ","")&amp;IF(AND(WEEKDAY(I33+31,2)=Paramètres!$B$11, MOD(INT((I33+31-Paramètres!$B$10)/7),2)=0, I33+31&gt;=Paramètres!$B$10),"VERRE, ","")&amp;IF(AND(WEEKDAY(I33+31,2)=Paramètres!$B$15, INT((DAY(I33+31)-1)/7)+1 = Paramètres!$B$14),"VERTS, ","")&amp;IF(DAY(I33+31)=Paramètres!$B$17,"ENCOMBRANTS, ","")),", "," / "))</f>
        <v>0</v>
      </c>
      <c r="M38" s="7">
        <f>IF(MONTH(I33+32)&lt;&gt;11,"",TEXT(I33+32,"d") &amp; CHAR(10) &amp; SUBSTITUTE(TRIM(IF(OR(WEEKDAY(I33+32,2)=Paramètres!$B$5, WEEKDAY(I33+32,2)=Paramètres!$B$6),"OM, ","")&amp;IF(WEEKDAY(I33+32,2)=Paramètres!$B$8,"TRI, ","")&amp;IF(AND(WEEKDAY(I33+32,2)=Paramètres!$B$11, MOD(INT((I33+32-Paramètres!$B$10)/7),2)=0, I33+32&gt;=Paramètres!$B$10),"VERRE, ","")&amp;IF(AND(WEEKDAY(I33+32,2)=Paramètres!$B$15, INT((DAY(I33+32)-1)/7)+1 = Paramètres!$B$14),"VERTS, ","")&amp;IF(DAY(I33+32)=Paramètres!$B$17,"ENCOMBRANTS, ","")),", "," / "))</f>
        <v>0</v>
      </c>
      <c r="N38" s="7">
        <f>IF(MONTH(I33+33)&lt;&gt;11,"",TEXT(I33+33,"d") &amp; CHAR(10) &amp; SUBSTITUTE(TRIM(IF(OR(WEEKDAY(I33+33,2)=Paramètres!$B$5, WEEKDAY(I33+33,2)=Paramètres!$B$6),"OM, ","")&amp;IF(WEEKDAY(I33+33,2)=Paramètres!$B$8,"TRI, ","")&amp;IF(AND(WEEKDAY(I33+33,2)=Paramètres!$B$11, MOD(INT((I33+33-Paramètres!$B$10)/7),2)=0, I33+33&gt;=Paramètres!$B$10),"VERRE, ","")&amp;IF(AND(WEEKDAY(I33+33,2)=Paramètres!$B$15, INT((DAY(I33+33)-1)/7)+1 = Paramètres!$B$14),"VERTS, ","")&amp;IF(DAY(I33+33)=Paramètres!$B$17,"ENCOMBRANTS, ","")),", "," / "))</f>
        <v>0</v>
      </c>
      <c r="O38" s="7">
        <f>IF(MONTH(I33+34)&lt;&gt;11,"",TEXT(I33+34,"d") &amp; CHAR(10) &amp; SUBSTITUTE(TRIM(IF(OR(WEEKDAY(I33+34,2)=Paramètres!$B$5, WEEKDAY(I33+34,2)=Paramètres!$B$6),"OM, ","")&amp;IF(WEEKDAY(I33+34,2)=Paramètres!$B$8,"TRI, ","")&amp;IF(AND(WEEKDAY(I33+34,2)=Paramètres!$B$11, MOD(INT((I33+34-Paramètres!$B$10)/7),2)=0, I33+34&gt;=Paramètres!$B$10),"VERRE, ","")&amp;IF(AND(WEEKDAY(I33+34,2)=Paramètres!$B$15, INT((DAY(I33+34)-1)/7)+1 = Paramètres!$B$14),"VERTS, ","")&amp;IF(DAY(I33+34)=Paramètres!$B$17,"ENCOMBRANTS, ","")),", "," / "))</f>
        <v>0</v>
      </c>
      <c r="Q38" s="7">
        <f>IF(MONTH(Q33+28)&lt;&gt;12,"",TEXT(Q33+28,"d") &amp; CHAR(10) &amp; SUBSTITUTE(TRIM(IF(OR(WEEKDAY(Q33+28,2)=Paramètres!$B$5, WEEKDAY(Q33+28,2)=Paramètres!$B$6),"OM, ","")&amp;IF(WEEKDAY(Q33+28,2)=Paramètres!$B$8,"TRI, ","")&amp;IF(AND(WEEKDAY(Q33+28,2)=Paramètres!$B$11, MOD(INT((Q33+28-Paramètres!$B$10)/7),2)=0, Q33+28&gt;=Paramètres!$B$10),"VERRE, ","")&amp;IF(AND(WEEKDAY(Q33+28,2)=Paramètres!$B$15, INT((DAY(Q33+28)-1)/7)+1 = Paramètres!$B$14),"VERTS, ","")&amp;IF(DAY(Q33+28)=Paramètres!$B$17,"ENCOMBRANTS, ","")),", "," / "))</f>
        <v>0</v>
      </c>
      <c r="R38" s="7">
        <f>IF(MONTH(Q33+29)&lt;&gt;12,"",TEXT(Q33+29,"d") &amp; CHAR(10) &amp; SUBSTITUTE(TRIM(IF(OR(WEEKDAY(Q33+29,2)=Paramètres!$B$5, WEEKDAY(Q33+29,2)=Paramètres!$B$6),"OM, ","")&amp;IF(WEEKDAY(Q33+29,2)=Paramètres!$B$8,"TRI, ","")&amp;IF(AND(WEEKDAY(Q33+29,2)=Paramètres!$B$11, MOD(INT((Q33+29-Paramètres!$B$10)/7),2)=0, Q33+29&gt;=Paramètres!$B$10),"VERRE, ","")&amp;IF(AND(WEEKDAY(Q33+29,2)=Paramètres!$B$15, INT((DAY(Q33+29)-1)/7)+1 = Paramètres!$B$14),"VERTS, ","")&amp;IF(DAY(Q33+29)=Paramètres!$B$17,"ENCOMBRANTS, ","")),", "," / "))</f>
        <v>0</v>
      </c>
      <c r="S38" s="7">
        <f>IF(MONTH(Q33+30)&lt;&gt;12,"",TEXT(Q33+30,"d") &amp; CHAR(10) &amp; SUBSTITUTE(TRIM(IF(OR(WEEKDAY(Q33+30,2)=Paramètres!$B$5, WEEKDAY(Q33+30,2)=Paramètres!$B$6),"OM, ","")&amp;IF(WEEKDAY(Q33+30,2)=Paramètres!$B$8,"TRI, ","")&amp;IF(AND(WEEKDAY(Q33+30,2)=Paramètres!$B$11, MOD(INT((Q33+30-Paramètres!$B$10)/7),2)=0, Q33+30&gt;=Paramètres!$B$10),"VERRE, ","")&amp;IF(AND(WEEKDAY(Q33+30,2)=Paramètres!$B$15, INT((DAY(Q33+30)-1)/7)+1 = Paramètres!$B$14),"VERTS, ","")&amp;IF(DAY(Q33+30)=Paramètres!$B$17,"ENCOMBRANTS, ","")),", "," / "))</f>
        <v>0</v>
      </c>
      <c r="T38" s="7">
        <f>IF(MONTH(Q33+31)&lt;&gt;12,"",TEXT(Q33+31,"d") &amp; CHAR(10) &amp; SUBSTITUTE(TRIM(IF(OR(WEEKDAY(Q33+31,2)=Paramètres!$B$5, WEEKDAY(Q33+31,2)=Paramètres!$B$6),"OM, ","")&amp;IF(WEEKDAY(Q33+31,2)=Paramètres!$B$8,"TRI, ","")&amp;IF(AND(WEEKDAY(Q33+31,2)=Paramètres!$B$11, MOD(INT((Q33+31-Paramètres!$B$10)/7),2)=0, Q33+31&gt;=Paramètres!$B$10),"VERRE, ","")&amp;IF(AND(WEEKDAY(Q33+31,2)=Paramètres!$B$15, INT((DAY(Q33+31)-1)/7)+1 = Paramètres!$B$14),"VERTS, ","")&amp;IF(DAY(Q33+31)=Paramètres!$B$17,"ENCOMBRANTS, ","")),", "," / "))</f>
        <v>0</v>
      </c>
      <c r="U38" s="7">
        <f>IF(MONTH(Q33+32)&lt;&gt;12,"",TEXT(Q33+32,"d") &amp; CHAR(10) &amp; SUBSTITUTE(TRIM(IF(OR(WEEKDAY(Q33+32,2)=Paramètres!$B$5, WEEKDAY(Q33+32,2)=Paramètres!$B$6),"OM, ","")&amp;IF(WEEKDAY(Q33+32,2)=Paramètres!$B$8,"TRI, ","")&amp;IF(AND(WEEKDAY(Q33+32,2)=Paramètres!$B$11, MOD(INT((Q33+32-Paramètres!$B$10)/7),2)=0, Q33+32&gt;=Paramètres!$B$10),"VERRE, ","")&amp;IF(AND(WEEKDAY(Q33+32,2)=Paramètres!$B$15, INT((DAY(Q33+32)-1)/7)+1 = Paramètres!$B$14),"VERTS, ","")&amp;IF(DAY(Q33+32)=Paramètres!$B$17,"ENCOMBRANTS, ","")),", "," / "))</f>
        <v>0</v>
      </c>
      <c r="V38" s="7">
        <f>IF(MONTH(Q33+33)&lt;&gt;12,"",TEXT(Q33+33,"d") &amp; CHAR(10) &amp; SUBSTITUTE(TRIM(IF(OR(WEEKDAY(Q33+33,2)=Paramètres!$B$5, WEEKDAY(Q33+33,2)=Paramètres!$B$6),"OM, ","")&amp;IF(WEEKDAY(Q33+33,2)=Paramètres!$B$8,"TRI, ","")&amp;IF(AND(WEEKDAY(Q33+33,2)=Paramètres!$B$11, MOD(INT((Q33+33-Paramètres!$B$10)/7),2)=0, Q33+33&gt;=Paramètres!$B$10),"VERRE, ","")&amp;IF(AND(WEEKDAY(Q33+33,2)=Paramètres!$B$15, INT((DAY(Q33+33)-1)/7)+1 = Paramètres!$B$14),"VERTS, ","")&amp;IF(DAY(Q33+33)=Paramètres!$B$17,"ENCOMBRANTS, ","")),", "," / "))</f>
        <v>0</v>
      </c>
      <c r="W38" s="7">
        <f>IF(MONTH(Q33+34)&lt;&gt;12,"",TEXT(Q33+34,"d") &amp; CHAR(10) &amp; SUBSTITUTE(TRIM(IF(OR(WEEKDAY(Q33+34,2)=Paramètres!$B$5, WEEKDAY(Q33+34,2)=Paramètres!$B$6),"OM, ","")&amp;IF(WEEKDAY(Q33+34,2)=Paramètres!$B$8,"TRI, ","")&amp;IF(AND(WEEKDAY(Q33+34,2)=Paramètres!$B$11, MOD(INT((Q33+34-Paramètres!$B$10)/7),2)=0, Q33+34&gt;=Paramètres!$B$10),"VERRE, ","")&amp;IF(AND(WEEKDAY(Q33+34,2)=Paramètres!$B$15, INT((DAY(Q33+34)-1)/7)+1 = Paramètres!$B$14),"VERTS, ","")&amp;IF(DAY(Q33+34)=Paramètres!$B$17,"ENCOMBRANTS, ","")),", "," / "))</f>
        <v>0</v>
      </c>
    </row>
    <row r="39" spans="1:23">
      <c r="A39" s="7">
        <f>IF(MONTH(A33+35)&lt;&gt;10,"",TEXT(A33+35,"d") &amp; CHAR(10) &amp; SUBSTITUTE(TRIM(IF(OR(WEEKDAY(A33+35,2)=Paramètres!$B$5, WEEKDAY(A33+35,2)=Paramètres!$B$6),"OM, ","")&amp;IF(WEEKDAY(A33+35,2)=Paramètres!$B$8,"TRI, ","")&amp;IF(AND(WEEKDAY(A33+35,2)=Paramètres!$B$11, MOD(INT((A33+35-Paramètres!$B$10)/7),2)=0, A33+35&gt;=Paramètres!$B$10),"VERRE, ","")&amp;IF(AND(WEEKDAY(A33+35,2)=Paramètres!$B$15, INT((DAY(A33+35)-1)/7)+1 = Paramètres!$B$14),"VERTS, ","")&amp;IF(DAY(A33+35)=Paramètres!$B$17,"ENCOMBRANTS, ","")),", "," / "))</f>
        <v>0</v>
      </c>
      <c r="B39" s="7">
        <f>IF(MONTH(A33+36)&lt;&gt;10,"",TEXT(A33+36,"d") &amp; CHAR(10) &amp; SUBSTITUTE(TRIM(IF(OR(WEEKDAY(A33+36,2)=Paramètres!$B$5, WEEKDAY(A33+36,2)=Paramètres!$B$6),"OM, ","")&amp;IF(WEEKDAY(A33+36,2)=Paramètres!$B$8,"TRI, ","")&amp;IF(AND(WEEKDAY(A33+36,2)=Paramètres!$B$11, MOD(INT((A33+36-Paramètres!$B$10)/7),2)=0, A33+36&gt;=Paramètres!$B$10),"VERRE, ","")&amp;IF(AND(WEEKDAY(A33+36,2)=Paramètres!$B$15, INT((DAY(A33+36)-1)/7)+1 = Paramètres!$B$14),"VERTS, ","")&amp;IF(DAY(A33+36)=Paramètres!$B$17,"ENCOMBRANTS, ","")),", "," / "))</f>
        <v>0</v>
      </c>
      <c r="C39" s="7">
        <f>IF(MONTH(A33+37)&lt;&gt;10,"",TEXT(A33+37,"d") &amp; CHAR(10) &amp; SUBSTITUTE(TRIM(IF(OR(WEEKDAY(A33+37,2)=Paramètres!$B$5, WEEKDAY(A33+37,2)=Paramètres!$B$6),"OM, ","")&amp;IF(WEEKDAY(A33+37,2)=Paramètres!$B$8,"TRI, ","")&amp;IF(AND(WEEKDAY(A33+37,2)=Paramètres!$B$11, MOD(INT((A33+37-Paramètres!$B$10)/7),2)=0, A33+37&gt;=Paramètres!$B$10),"VERRE, ","")&amp;IF(AND(WEEKDAY(A33+37,2)=Paramètres!$B$15, INT((DAY(A33+37)-1)/7)+1 = Paramètres!$B$14),"VERTS, ","")&amp;IF(DAY(A33+37)=Paramètres!$B$17,"ENCOMBRANTS, ","")),", "," / "))</f>
        <v>0</v>
      </c>
      <c r="D39" s="7">
        <f>IF(MONTH(A33+38)&lt;&gt;10,"",TEXT(A33+38,"d") &amp; CHAR(10) &amp; SUBSTITUTE(TRIM(IF(OR(WEEKDAY(A33+38,2)=Paramètres!$B$5, WEEKDAY(A33+38,2)=Paramètres!$B$6),"OM, ","")&amp;IF(WEEKDAY(A33+38,2)=Paramètres!$B$8,"TRI, ","")&amp;IF(AND(WEEKDAY(A33+38,2)=Paramètres!$B$11, MOD(INT((A33+38-Paramètres!$B$10)/7),2)=0, A33+38&gt;=Paramètres!$B$10),"VERRE, ","")&amp;IF(AND(WEEKDAY(A33+38,2)=Paramètres!$B$15, INT((DAY(A33+38)-1)/7)+1 = Paramètres!$B$14),"VERTS, ","")&amp;IF(DAY(A33+38)=Paramètres!$B$17,"ENCOMBRANTS, ","")),", "," / "))</f>
        <v>0</v>
      </c>
      <c r="E39" s="7">
        <f>IF(MONTH(A33+39)&lt;&gt;10,"",TEXT(A33+39,"d") &amp; CHAR(10) &amp; SUBSTITUTE(TRIM(IF(OR(WEEKDAY(A33+39,2)=Paramètres!$B$5, WEEKDAY(A33+39,2)=Paramètres!$B$6),"OM, ","")&amp;IF(WEEKDAY(A33+39,2)=Paramètres!$B$8,"TRI, ","")&amp;IF(AND(WEEKDAY(A33+39,2)=Paramètres!$B$11, MOD(INT((A33+39-Paramètres!$B$10)/7),2)=0, A33+39&gt;=Paramètres!$B$10),"VERRE, ","")&amp;IF(AND(WEEKDAY(A33+39,2)=Paramètres!$B$15, INT((DAY(A33+39)-1)/7)+1 = Paramètres!$B$14),"VERTS, ","")&amp;IF(DAY(A33+39)=Paramètres!$B$17,"ENCOMBRANTS, ","")),", "," / "))</f>
        <v>0</v>
      </c>
      <c r="F39" s="7">
        <f>IF(MONTH(A33+40)&lt;&gt;10,"",TEXT(A33+40,"d") &amp; CHAR(10) &amp; SUBSTITUTE(TRIM(IF(OR(WEEKDAY(A33+40,2)=Paramètres!$B$5, WEEKDAY(A33+40,2)=Paramètres!$B$6),"OM, ","")&amp;IF(WEEKDAY(A33+40,2)=Paramètres!$B$8,"TRI, ","")&amp;IF(AND(WEEKDAY(A33+40,2)=Paramètres!$B$11, MOD(INT((A33+40-Paramètres!$B$10)/7),2)=0, A33+40&gt;=Paramètres!$B$10),"VERRE, ","")&amp;IF(AND(WEEKDAY(A33+40,2)=Paramètres!$B$15, INT((DAY(A33+40)-1)/7)+1 = Paramètres!$B$14),"VERTS, ","")&amp;IF(DAY(A33+40)=Paramètres!$B$17,"ENCOMBRANTS, ","")),", "," / "))</f>
        <v>0</v>
      </c>
      <c r="G39" s="7">
        <f>IF(MONTH(A33+41)&lt;&gt;10,"",TEXT(A33+41,"d") &amp; CHAR(10) &amp; SUBSTITUTE(TRIM(IF(OR(WEEKDAY(A33+41,2)=Paramètres!$B$5, WEEKDAY(A33+41,2)=Paramètres!$B$6),"OM, ","")&amp;IF(WEEKDAY(A33+41,2)=Paramètres!$B$8,"TRI, ","")&amp;IF(AND(WEEKDAY(A33+41,2)=Paramètres!$B$11, MOD(INT((A33+41-Paramètres!$B$10)/7),2)=0, A33+41&gt;=Paramètres!$B$10),"VERRE, ","")&amp;IF(AND(WEEKDAY(A33+41,2)=Paramètres!$B$15, INT((DAY(A33+41)-1)/7)+1 = Paramètres!$B$14),"VERTS, ","")&amp;IF(DAY(A33+41)=Paramètres!$B$17,"ENCOMBRANTS, ","")),", "," / "))</f>
        <v>0</v>
      </c>
      <c r="I39" s="7">
        <f>IF(MONTH(I33+35)&lt;&gt;11,"",TEXT(I33+35,"d") &amp; CHAR(10) &amp; SUBSTITUTE(TRIM(IF(OR(WEEKDAY(I33+35,2)=Paramètres!$B$5, WEEKDAY(I33+35,2)=Paramètres!$B$6),"OM, ","")&amp;IF(WEEKDAY(I33+35,2)=Paramètres!$B$8,"TRI, ","")&amp;IF(AND(WEEKDAY(I33+35,2)=Paramètres!$B$11, MOD(INT((I33+35-Paramètres!$B$10)/7),2)=0, I33+35&gt;=Paramètres!$B$10),"VERRE, ","")&amp;IF(AND(WEEKDAY(I33+35,2)=Paramètres!$B$15, INT((DAY(I33+35)-1)/7)+1 = Paramètres!$B$14),"VERTS, ","")&amp;IF(DAY(I33+35)=Paramètres!$B$17,"ENCOMBRANTS, ","")),", "," / "))</f>
        <v>0</v>
      </c>
      <c r="J39" s="7">
        <f>IF(MONTH(I33+36)&lt;&gt;11,"",TEXT(I33+36,"d") &amp; CHAR(10) &amp; SUBSTITUTE(TRIM(IF(OR(WEEKDAY(I33+36,2)=Paramètres!$B$5, WEEKDAY(I33+36,2)=Paramètres!$B$6),"OM, ","")&amp;IF(WEEKDAY(I33+36,2)=Paramètres!$B$8,"TRI, ","")&amp;IF(AND(WEEKDAY(I33+36,2)=Paramètres!$B$11, MOD(INT((I33+36-Paramètres!$B$10)/7),2)=0, I33+36&gt;=Paramètres!$B$10),"VERRE, ","")&amp;IF(AND(WEEKDAY(I33+36,2)=Paramètres!$B$15, INT((DAY(I33+36)-1)/7)+1 = Paramètres!$B$14),"VERTS, ","")&amp;IF(DAY(I33+36)=Paramètres!$B$17,"ENCOMBRANTS, ","")),", "," / "))</f>
        <v>0</v>
      </c>
      <c r="K39" s="7">
        <f>IF(MONTH(I33+37)&lt;&gt;11,"",TEXT(I33+37,"d") &amp; CHAR(10) &amp; SUBSTITUTE(TRIM(IF(OR(WEEKDAY(I33+37,2)=Paramètres!$B$5, WEEKDAY(I33+37,2)=Paramètres!$B$6),"OM, ","")&amp;IF(WEEKDAY(I33+37,2)=Paramètres!$B$8,"TRI, ","")&amp;IF(AND(WEEKDAY(I33+37,2)=Paramètres!$B$11, MOD(INT((I33+37-Paramètres!$B$10)/7),2)=0, I33+37&gt;=Paramètres!$B$10),"VERRE, ","")&amp;IF(AND(WEEKDAY(I33+37,2)=Paramètres!$B$15, INT((DAY(I33+37)-1)/7)+1 = Paramètres!$B$14),"VERTS, ","")&amp;IF(DAY(I33+37)=Paramètres!$B$17,"ENCOMBRANTS, ","")),", "," / "))</f>
        <v>0</v>
      </c>
      <c r="L39" s="7">
        <f>IF(MONTH(I33+38)&lt;&gt;11,"",TEXT(I33+38,"d") &amp; CHAR(10) &amp; SUBSTITUTE(TRIM(IF(OR(WEEKDAY(I33+38,2)=Paramètres!$B$5, WEEKDAY(I33+38,2)=Paramètres!$B$6),"OM, ","")&amp;IF(WEEKDAY(I33+38,2)=Paramètres!$B$8,"TRI, ","")&amp;IF(AND(WEEKDAY(I33+38,2)=Paramètres!$B$11, MOD(INT((I33+38-Paramètres!$B$10)/7),2)=0, I33+38&gt;=Paramètres!$B$10),"VERRE, ","")&amp;IF(AND(WEEKDAY(I33+38,2)=Paramètres!$B$15, INT((DAY(I33+38)-1)/7)+1 = Paramètres!$B$14),"VERTS, ","")&amp;IF(DAY(I33+38)=Paramètres!$B$17,"ENCOMBRANTS, ","")),", "," / "))</f>
        <v>0</v>
      </c>
      <c r="M39" s="7">
        <f>IF(MONTH(I33+39)&lt;&gt;11,"",TEXT(I33+39,"d") &amp; CHAR(10) &amp; SUBSTITUTE(TRIM(IF(OR(WEEKDAY(I33+39,2)=Paramètres!$B$5, WEEKDAY(I33+39,2)=Paramètres!$B$6),"OM, ","")&amp;IF(WEEKDAY(I33+39,2)=Paramètres!$B$8,"TRI, ","")&amp;IF(AND(WEEKDAY(I33+39,2)=Paramètres!$B$11, MOD(INT((I33+39-Paramètres!$B$10)/7),2)=0, I33+39&gt;=Paramètres!$B$10),"VERRE, ","")&amp;IF(AND(WEEKDAY(I33+39,2)=Paramètres!$B$15, INT((DAY(I33+39)-1)/7)+1 = Paramètres!$B$14),"VERTS, ","")&amp;IF(DAY(I33+39)=Paramètres!$B$17,"ENCOMBRANTS, ","")),", "," / "))</f>
        <v>0</v>
      </c>
      <c r="N39" s="7">
        <f>IF(MONTH(I33+40)&lt;&gt;11,"",TEXT(I33+40,"d") &amp; CHAR(10) &amp; SUBSTITUTE(TRIM(IF(OR(WEEKDAY(I33+40,2)=Paramètres!$B$5, WEEKDAY(I33+40,2)=Paramètres!$B$6),"OM, ","")&amp;IF(WEEKDAY(I33+40,2)=Paramètres!$B$8,"TRI, ","")&amp;IF(AND(WEEKDAY(I33+40,2)=Paramètres!$B$11, MOD(INT((I33+40-Paramètres!$B$10)/7),2)=0, I33+40&gt;=Paramètres!$B$10),"VERRE, ","")&amp;IF(AND(WEEKDAY(I33+40,2)=Paramètres!$B$15, INT((DAY(I33+40)-1)/7)+1 = Paramètres!$B$14),"VERTS, ","")&amp;IF(DAY(I33+40)=Paramètres!$B$17,"ENCOMBRANTS, ","")),", "," / "))</f>
        <v>0</v>
      </c>
      <c r="O39" s="7">
        <f>IF(MONTH(I33+41)&lt;&gt;11,"",TEXT(I33+41,"d") &amp; CHAR(10) &amp; SUBSTITUTE(TRIM(IF(OR(WEEKDAY(I33+41,2)=Paramètres!$B$5, WEEKDAY(I33+41,2)=Paramètres!$B$6),"OM, ","")&amp;IF(WEEKDAY(I33+41,2)=Paramètres!$B$8,"TRI, ","")&amp;IF(AND(WEEKDAY(I33+41,2)=Paramètres!$B$11, MOD(INT((I33+41-Paramètres!$B$10)/7),2)=0, I33+41&gt;=Paramètres!$B$10),"VERRE, ","")&amp;IF(AND(WEEKDAY(I33+41,2)=Paramètres!$B$15, INT((DAY(I33+41)-1)/7)+1 = Paramètres!$B$14),"VERTS, ","")&amp;IF(DAY(I33+41)=Paramètres!$B$17,"ENCOMBRANTS, ","")),", "," / "))</f>
        <v>0</v>
      </c>
      <c r="Q39" s="7">
        <f>IF(MONTH(Q33+35)&lt;&gt;12,"",TEXT(Q33+35,"d") &amp; CHAR(10) &amp; SUBSTITUTE(TRIM(IF(OR(WEEKDAY(Q33+35,2)=Paramètres!$B$5, WEEKDAY(Q33+35,2)=Paramètres!$B$6),"OM, ","")&amp;IF(WEEKDAY(Q33+35,2)=Paramètres!$B$8,"TRI, ","")&amp;IF(AND(WEEKDAY(Q33+35,2)=Paramètres!$B$11, MOD(INT((Q33+35-Paramètres!$B$10)/7),2)=0, Q33+35&gt;=Paramètres!$B$10),"VERRE, ","")&amp;IF(AND(WEEKDAY(Q33+35,2)=Paramètres!$B$15, INT((DAY(Q33+35)-1)/7)+1 = Paramètres!$B$14),"VERTS, ","")&amp;IF(DAY(Q33+35)=Paramètres!$B$17,"ENCOMBRANTS, ","")),", "," / "))</f>
        <v>0</v>
      </c>
      <c r="R39" s="7">
        <f>IF(MONTH(Q33+36)&lt;&gt;12,"",TEXT(Q33+36,"d") &amp; CHAR(10) &amp; SUBSTITUTE(TRIM(IF(OR(WEEKDAY(Q33+36,2)=Paramètres!$B$5, WEEKDAY(Q33+36,2)=Paramètres!$B$6),"OM, ","")&amp;IF(WEEKDAY(Q33+36,2)=Paramètres!$B$8,"TRI, ","")&amp;IF(AND(WEEKDAY(Q33+36,2)=Paramètres!$B$11, MOD(INT((Q33+36-Paramètres!$B$10)/7),2)=0, Q33+36&gt;=Paramètres!$B$10),"VERRE, ","")&amp;IF(AND(WEEKDAY(Q33+36,2)=Paramètres!$B$15, INT((DAY(Q33+36)-1)/7)+1 = Paramètres!$B$14),"VERTS, ","")&amp;IF(DAY(Q33+36)=Paramètres!$B$17,"ENCOMBRANTS, ","")),", "," / "))</f>
        <v>0</v>
      </c>
      <c r="S39" s="7">
        <f>IF(MONTH(Q33+37)&lt;&gt;12,"",TEXT(Q33+37,"d") &amp; CHAR(10) &amp; SUBSTITUTE(TRIM(IF(OR(WEEKDAY(Q33+37,2)=Paramètres!$B$5, WEEKDAY(Q33+37,2)=Paramètres!$B$6),"OM, ","")&amp;IF(WEEKDAY(Q33+37,2)=Paramètres!$B$8,"TRI, ","")&amp;IF(AND(WEEKDAY(Q33+37,2)=Paramètres!$B$11, MOD(INT((Q33+37-Paramètres!$B$10)/7),2)=0, Q33+37&gt;=Paramètres!$B$10),"VERRE, ","")&amp;IF(AND(WEEKDAY(Q33+37,2)=Paramètres!$B$15, INT((DAY(Q33+37)-1)/7)+1 = Paramètres!$B$14),"VERTS, ","")&amp;IF(DAY(Q33+37)=Paramètres!$B$17,"ENCOMBRANTS, ","")),", "," / "))</f>
        <v>0</v>
      </c>
      <c r="T39" s="7">
        <f>IF(MONTH(Q33+38)&lt;&gt;12,"",TEXT(Q33+38,"d") &amp; CHAR(10) &amp; SUBSTITUTE(TRIM(IF(OR(WEEKDAY(Q33+38,2)=Paramètres!$B$5, WEEKDAY(Q33+38,2)=Paramètres!$B$6),"OM, ","")&amp;IF(WEEKDAY(Q33+38,2)=Paramètres!$B$8,"TRI, ","")&amp;IF(AND(WEEKDAY(Q33+38,2)=Paramètres!$B$11, MOD(INT((Q33+38-Paramètres!$B$10)/7),2)=0, Q33+38&gt;=Paramètres!$B$10),"VERRE, ","")&amp;IF(AND(WEEKDAY(Q33+38,2)=Paramètres!$B$15, INT((DAY(Q33+38)-1)/7)+1 = Paramètres!$B$14),"VERTS, ","")&amp;IF(DAY(Q33+38)=Paramètres!$B$17,"ENCOMBRANTS, ","")),", "," / "))</f>
        <v>0</v>
      </c>
      <c r="U39" s="7">
        <f>IF(MONTH(Q33+39)&lt;&gt;12,"",TEXT(Q33+39,"d") &amp; CHAR(10) &amp; SUBSTITUTE(TRIM(IF(OR(WEEKDAY(Q33+39,2)=Paramètres!$B$5, WEEKDAY(Q33+39,2)=Paramètres!$B$6),"OM, ","")&amp;IF(WEEKDAY(Q33+39,2)=Paramètres!$B$8,"TRI, ","")&amp;IF(AND(WEEKDAY(Q33+39,2)=Paramètres!$B$11, MOD(INT((Q33+39-Paramètres!$B$10)/7),2)=0, Q33+39&gt;=Paramètres!$B$10),"VERRE, ","")&amp;IF(AND(WEEKDAY(Q33+39,2)=Paramètres!$B$15, INT((DAY(Q33+39)-1)/7)+1 = Paramètres!$B$14),"VERTS, ","")&amp;IF(DAY(Q33+39)=Paramètres!$B$17,"ENCOMBRANTS, ","")),", "," / "))</f>
        <v>0</v>
      </c>
      <c r="V39" s="7">
        <f>IF(MONTH(Q33+40)&lt;&gt;12,"",TEXT(Q33+40,"d") &amp; CHAR(10) &amp; SUBSTITUTE(TRIM(IF(OR(WEEKDAY(Q33+40,2)=Paramètres!$B$5, WEEKDAY(Q33+40,2)=Paramètres!$B$6),"OM, ","")&amp;IF(WEEKDAY(Q33+40,2)=Paramètres!$B$8,"TRI, ","")&amp;IF(AND(WEEKDAY(Q33+40,2)=Paramètres!$B$11, MOD(INT((Q33+40-Paramètres!$B$10)/7),2)=0, Q33+40&gt;=Paramètres!$B$10),"VERRE, ","")&amp;IF(AND(WEEKDAY(Q33+40,2)=Paramètres!$B$15, INT((DAY(Q33+40)-1)/7)+1 = Paramètres!$B$14),"VERTS, ","")&amp;IF(DAY(Q33+40)=Paramètres!$B$17,"ENCOMBRANTS, ","")),", "," / "))</f>
        <v>0</v>
      </c>
      <c r="W39" s="7">
        <f>IF(MONTH(Q33+41)&lt;&gt;12,"",TEXT(Q33+41,"d") &amp; CHAR(10) &amp; SUBSTITUTE(TRIM(IF(OR(WEEKDAY(Q33+41,2)=Paramètres!$B$5, WEEKDAY(Q33+41,2)=Paramètres!$B$6),"OM, ","")&amp;IF(WEEKDAY(Q33+41,2)=Paramètres!$B$8,"TRI, ","")&amp;IF(AND(WEEKDAY(Q33+41,2)=Paramètres!$B$11, MOD(INT((Q33+41-Paramètres!$B$10)/7),2)=0, Q33+41&gt;=Paramètres!$B$10),"VERRE, ","")&amp;IF(AND(WEEKDAY(Q33+41,2)=Paramètres!$B$15, INT((DAY(Q33+41)-1)/7)+1 = Paramètres!$B$14),"VERTS, ","")&amp;IF(DAY(Q33+41)=Paramètres!$B$17,"ENCOMBRANTS, ","")),", "," / "))</f>
        <v>0</v>
      </c>
    </row>
  </sheetData>
  <mergeCells count="13">
    <mergeCell ref="A1:N1"/>
    <mergeCell ref="A4:G4"/>
    <mergeCell ref="I4:O4"/>
    <mergeCell ref="Q4:W4"/>
    <mergeCell ref="A13:G13"/>
    <mergeCell ref="I13:O13"/>
    <mergeCell ref="Q13:W13"/>
    <mergeCell ref="A22:G22"/>
    <mergeCell ref="I22:O22"/>
    <mergeCell ref="Q22:W22"/>
    <mergeCell ref="A31:G31"/>
    <mergeCell ref="I31:O31"/>
    <mergeCell ref="Q31:W31"/>
  </mergeCells>
  <conditionalFormatting sqref="A7:X40">
    <cfRule type="containsText" dxfId="0" priority="6" operator="containsText" text="OM">
      <formula>NOT(ISERROR(SEARCH("OM",A7)))</formula>
    </cfRule>
    <cfRule type="containsText" dxfId="1" priority="7" operator="containsText" text="TRI">
      <formula>NOT(ISERROR(SEARCH("TRI",A7)))</formula>
    </cfRule>
    <cfRule type="containsText" dxfId="2" priority="8" operator="containsText" text="VERRE">
      <formula>NOT(ISERROR(SEARCH("VERRE",A7)))</formula>
    </cfRule>
    <cfRule type="containsText" dxfId="3" priority="9" operator="containsText" text="VERTS">
      <formula>NOT(ISERROR(SEARCH("VERTS",A7)))</formula>
    </cfRule>
    <cfRule type="containsText" dxfId="4" priority="10" operator="containsText" text="ENCOMBRANTS">
      <formula>NOT(ISERROR(SEARCH("ENCOMBRANTS",A7)))</formula>
    </cfRule>
  </conditionalFormatting>
  <conditionalFormatting sqref="Q3">
    <cfRule type="notContainsBlanks" dxfId="0" priority="1">
      <formula>LEN(TRIM(Q3))&gt;0</formula>
    </cfRule>
  </conditionalFormatting>
  <conditionalFormatting sqref="Q4">
    <cfRule type="notContainsBlanks" dxfId="1" priority="2">
      <formula>LEN(TRIM(Q4))&gt;0</formula>
    </cfRule>
  </conditionalFormatting>
  <conditionalFormatting sqref="Q5">
    <cfRule type="notContainsBlanks" dxfId="2" priority="3">
      <formula>LEN(TRIM(Q5))&gt;0</formula>
    </cfRule>
  </conditionalFormatting>
  <conditionalFormatting sqref="Q6">
    <cfRule type="notContainsBlanks" dxfId="3" priority="4">
      <formula>LEN(TRIM(Q6))&gt;0</formula>
    </cfRule>
  </conditionalFormatting>
  <conditionalFormatting sqref="Q7">
    <cfRule type="notContainsBlanks" dxfId="4" priority="5">
      <formula>LEN(TRIM(Q7))&gt;0</formula>
    </cfRule>
  </conditionalFormatting>
  <pageMargins left="0.4" right="0.4" top="0.5" bottom="0.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Paramètres</vt:lpstr>
      <vt:lpstr>Calendrier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2025-10-28T00:02:22Z</dcterms:created>
  <dcterms:modified xsi:type="dcterms:W3CDTF">2025-10-28T00:02:22Z</dcterms:modified>
</cp:coreProperties>
</file>