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00_Accueil" sheetId="1" r:id="rId1"/>
    <sheet name="01_Parametres" sheetId="2" r:id="rId2"/>
    <sheet name="02_Echeancier" sheetId="3" r:id="rId3"/>
    <sheet name="03_TAEG_Resultats" sheetId="4" r:id="rId4"/>
  </sheets>
  <definedNames>
    <definedName name="AssFixe">'01_Parametres'!$C$14</definedName>
    <definedName name="AssTau">'01_Parametres'!$C$13</definedName>
    <definedName name="AssType">'01_Parametres'!$C$12</definedName>
    <definedName name="BallonPct">'01_Parametres'!$C$19</definedName>
    <definedName name="CapFin">'01_Parametres'!$C$29</definedName>
    <definedName name="Date0">'01_Parametres'!$C$26</definedName>
    <definedName name="DiffMode">'01_Parametres'!$C$22</definedName>
    <definedName name="DiffN">'01_Parametres'!$C$23</definedName>
    <definedName name="FraisInitCash">'01_Parametres'!$C$7</definedName>
    <definedName name="FraisInitFin">'01_Parametres'!$C$8</definedName>
    <definedName name="FraisRec">'01_Parametres'!$C$9</definedName>
    <definedName name="FVballon">'02_Echeancier'!$I$4</definedName>
    <definedName name="i">'01_Parametres'!$C$31</definedName>
    <definedName name="NAmort">'02_Echeancier'!$F$4</definedName>
    <definedName name="Net0">'01_Parametres'!$C$30</definedName>
    <definedName name="Nmois">'01_Parametres'!$C$18</definedName>
    <definedName name="PMTnom">'02_Echeancier'!$L$4</definedName>
    <definedName name="PNom">'01_Parametres'!$C$6</definedName>
    <definedName name="PVapresDiff">'02_Echeancier'!$C$4</definedName>
    <definedName name="TauxAnn">'01_Parametres'!$C$17</definedName>
  </definedNames>
  <calcPr calcId="124519" fullCalcOnLoad="1"/>
</workbook>
</file>

<file path=xl/sharedStrings.xml><?xml version="1.0" encoding="utf-8"?>
<sst xmlns="http://schemas.openxmlformats.org/spreadsheetml/2006/main" count="69" uniqueCount="69">
  <si>
    <t>Calculateur TAEG / TEG — Coût total du crédit (FR)</t>
  </si>
  <si>
    <t>Dernière mise à jour : 29/09/2025</t>
  </si>
  <si>
    <t>Mode d’emploi express</t>
  </si>
  <si>
    <t>1) 01_Parametres : saisissez montant, taux, frais, assurance, différé, durée.</t>
  </si>
  <si>
    <t>2) 02_Echeancier : vérifiez le tableau et les flux.</t>
  </si>
  <si>
    <t>3) 03_TAEG_Resultats : lisez les TAEG et les graphiques.</t>
  </si>
  <si>
    <t>Paramètres du crédit</t>
  </si>
  <si>
    <t>Dernière mise à jour</t>
  </si>
  <si>
    <t>Montants &amp; taux</t>
  </si>
  <si>
    <t>Montant nominal du prêt</t>
  </si>
  <si>
    <t>Frais initiaux payés comptant</t>
  </si>
  <si>
    <t>Frais initiaux financés (ajoutés au capital)</t>
  </si>
  <si>
    <t>Frais récurrents par échéance</t>
  </si>
  <si>
    <t>Assurance emprunteur (optionnelle)</t>
  </si>
  <si>
    <t>Type d’assurance</t>
  </si>
  <si>
    <t>Sur capital initial (%)</t>
  </si>
  <si>
    <t>Taux annuel assurance (si %)</t>
  </si>
  <si>
    <t>Montant fixe mensuel (si fixe)</t>
  </si>
  <si>
    <t>Taux &amp; durée</t>
  </si>
  <si>
    <t>Taux nominal annuel (hors assurance)</t>
  </si>
  <si>
    <t>Durée (mois)</t>
  </si>
  <si>
    <t>Ballon final (% du capital initial)</t>
  </si>
  <si>
    <t>Différé (facultatif)</t>
  </si>
  <si>
    <t>Mode de différé</t>
  </si>
  <si>
    <t>Aucun</t>
  </si>
  <si>
    <t>Nombre de mois de différé</t>
  </si>
  <si>
    <t>Calendrier</t>
  </si>
  <si>
    <t>Date de décaissement</t>
  </si>
  <si>
    <t>Dérivés &amp; contrôles</t>
  </si>
  <si>
    <t>Capital financé (nominal + frais financés)</t>
  </si>
  <si>
    <t>Net perçu à t0 (décaissé − frais comptant)</t>
  </si>
  <si>
    <t>Taux périodique (mensuel)</t>
  </si>
  <si>
    <t>Assurance mensuelle (formule)</t>
  </si>
  <si>
    <t>Assurance sur capital initial</t>
  </si>
  <si>
    <t>Assurance fixe déclarée</t>
  </si>
  <si>
    <t>Assurance sur CRD (calculée dans l’échéancier)</t>
  </si>
  <si>
    <t>Réf. 02_Echeancier!H*</t>
  </si>
  <si>
    <t>Échéancier &amp; flux (emprunteur)</t>
  </si>
  <si>
    <t>#</t>
  </si>
  <si>
    <t>Date</t>
  </si>
  <si>
    <t>Début CRD</t>
  </si>
  <si>
    <t>Intérêt</t>
  </si>
  <si>
    <t>Amort.</t>
  </si>
  <si>
    <t>Paiement (hors ass./frais)</t>
  </si>
  <si>
    <t>Assurance</t>
  </si>
  <si>
    <t>Frais récurrents</t>
  </si>
  <si>
    <t>Total payé</t>
  </si>
  <si>
    <t>Flux net emprunteur</t>
  </si>
  <si>
    <t>CRD fin</t>
  </si>
  <si>
    <t>Ballon (si dernier)</t>
  </si>
  <si>
    <t>Type période</t>
  </si>
  <si>
    <t>Capital de départ pour amortissement</t>
  </si>
  <si>
    <t>Périodes d’amortissement effectif</t>
  </si>
  <si>
    <t>Ballon final nominal</t>
  </si>
  <si>
    <t>Paiement nominal constant</t>
  </si>
  <si>
    <t>Décaissement</t>
  </si>
  <si>
    <t>TAEG / TEG — Résultats &amp; diagnostics</t>
  </si>
  <si>
    <t>Synthèse</t>
  </si>
  <si>
    <t>TAEG périodique (IRR) annualisé</t>
  </si>
  <si>
    <t>TAEG calendaire (XIRR)</t>
  </si>
  <si>
    <t>Coûts cumulés</t>
  </si>
  <si>
    <t>Intérêts totaux</t>
  </si>
  <si>
    <t>Assurance totale</t>
  </si>
  <si>
    <t>Frais récurrents totaux</t>
  </si>
  <si>
    <t>Frais initiaux comptant</t>
  </si>
  <si>
    <t>Diagnostics</t>
  </si>
  <si>
    <t>Solde final (doit tendre vers 0 avec ballon réglé)</t>
  </si>
  <si>
    <t>Net reçu t0</t>
  </si>
  <si>
    <t>Somme des flux (≈0 si cohérent)</t>
  </si>
</sst>
</file>

<file path=xl/styles.xml><?xml version="1.0" encoding="utf-8"?>
<styleSheet xmlns="http://schemas.openxmlformats.org/spreadsheetml/2006/main">
  <numFmts count="5">
    <numFmt numFmtId="164" formatCode="dd/mm/yyyy"/>
    <numFmt numFmtId="165" formatCode="#,##0.00"/>
    <numFmt numFmtId="166" formatCode="0.00%"/>
    <numFmt numFmtId="167" formatCode="0.0%"/>
    <numFmt numFmtId="168" formatCode="0.000000%"/>
  </numFmts>
  <fonts count="6">
    <font>
      <sz val="11"/>
      <color theme="1"/>
      <name val="Calibri"/>
      <family val="2"/>
      <scheme val="minor"/>
    </font>
    <font>
      <b/>
      <sz val="18"/>
      <color rgb="FF0F766E"/>
      <name val="Calibri"/>
      <family val="2"/>
      <scheme val="minor"/>
    </font>
    <font>
      <i/>
      <sz val="11"/>
      <color rgb="FF6B7280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1"/>
      <color rgb="FF022C22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2937"/>
        <bgColor indexed="64"/>
      </patternFill>
    </fill>
    <fill>
      <patternFill patternType="solid">
        <fgColor rgb="FF0EA5A4"/>
        <bgColor indexed="64"/>
      </patternFill>
    </fill>
    <fill>
      <patternFill patternType="solid">
        <fgColor rgb="FFF0FDFA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/>
    <xf numFmtId="0" fontId="0" fillId="0" borderId="2" xfId="0" applyBorder="1"/>
    <xf numFmtId="0" fontId="4" fillId="3" borderId="2" xfId="0" applyFont="1" applyFill="1" applyBorder="1"/>
    <xf numFmtId="164" fontId="0" fillId="0" borderId="2" xfId="0" applyNumberFormat="1" applyBorder="1"/>
    <xf numFmtId="165" fontId="0" fillId="0" borderId="2" xfId="0" applyNumberFormat="1" applyBorder="1"/>
    <xf numFmtId="166" fontId="0" fillId="0" borderId="2" xfId="0" applyNumberFormat="1" applyBorder="1"/>
    <xf numFmtId="167" fontId="0" fillId="0" borderId="2" xfId="0" applyNumberFormat="1" applyBorder="1"/>
    <xf numFmtId="168" fontId="0" fillId="0" borderId="2" xfId="0" applyNumberFormat="1" applyBorder="1"/>
    <xf numFmtId="0" fontId="0" fillId="4" borderId="2" xfId="0" applyFill="1" applyBorder="1"/>
    <xf numFmtId="0" fontId="5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des coûts (hors capital)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Coûts</c:v>
          </c:tx>
          <c:dLbls>
            <c:showPercent val="1"/>
          </c:dLbls>
          <c:cat>
            <c:strRef>
              <c:f>'03_TAEG_Resultats'!$B$9:$B$12</c:f>
              <c:strCache>
                <c:ptCount val="4"/>
                <c:pt idx="0">
                  <c:v>Intérêts totaux</c:v>
                </c:pt>
                <c:pt idx="1">
                  <c:v>Assurance totale</c:v>
                </c:pt>
                <c:pt idx="2">
                  <c:v>Frais récurrents totaux</c:v>
                </c:pt>
                <c:pt idx="3">
                  <c:v>Frais initiaux comptant</c:v>
                </c:pt>
              </c:strCache>
            </c:strRef>
          </c:cat>
          <c:val>
            <c:numRef>
              <c:f>'03_TAEG_Resultats'!$C$9:$C$12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firstSliceAng val="0"/>
        <c:holeSize val="55"/>
      </c:doughnut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Capital restant dû (jusqu'à 360 mois)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CRD</c:v>
          </c:tx>
          <c:cat>
            <c:numRef>
              <c:f>'02_Echeancier'!$C$8:$C$368</c:f>
              <c:numCache>
                <c:formatCode>General</c:formatCode>
                <c:ptCount val="361"/>
                <c:pt idx="0">
                  <c:v>45931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</c:numCache>
            </c:numRef>
          </c:cat>
          <c:val>
            <c:numRef>
              <c:f>'02_Echeancier'!$K$8:$K$368</c:f>
              <c:numCache>
                <c:formatCode>General</c:formatCode>
                <c:ptCount val="36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7</xdr:row>
      <xdr:rowOff>0</xdr:rowOff>
    </xdr:from>
    <xdr:to>
      <xdr:col>8</xdr:col>
      <xdr:colOff>514350</xdr:colOff>
      <xdr:row>22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19</xdr:row>
      <xdr:rowOff>0</xdr:rowOff>
    </xdr:from>
    <xdr:to>
      <xdr:col>8</xdr:col>
      <xdr:colOff>514350</xdr:colOff>
      <xdr:row>34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B8"/>
  <sheetViews>
    <sheetView tabSelected="1" workbookViewId="0"/>
  </sheetViews>
  <sheetFormatPr defaultRowHeight="15"/>
  <cols>
    <col min="1" max="1" width="2.7109375" customWidth="1"/>
    <col min="2" max="2" width="46.7109375" customWidth="1"/>
    <col min="3" max="4" width="86.7109375" customWidth="1"/>
  </cols>
  <sheetData>
    <row r="2" spans="2:2">
      <c r="B2" s="1" t="s">
        <v>0</v>
      </c>
    </row>
    <row r="3" spans="2:2">
      <c r="B3" s="2" t="s">
        <v>1</v>
      </c>
    </row>
    <row r="5" spans="2:2">
      <c r="B5" s="3" t="s">
        <v>2</v>
      </c>
    </row>
    <row r="6" spans="2:2">
      <c r="B6" s="4" t="s">
        <v>3</v>
      </c>
    </row>
    <row r="7" spans="2:2">
      <c r="B7" s="4" t="s">
        <v>4</v>
      </c>
    </row>
    <row r="8" spans="2:2">
      <c r="B8" s="4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C36"/>
  <sheetViews>
    <sheetView workbookViewId="0">
      <pane ySplit="10" topLeftCell="A11" activePane="bottomLeft" state="frozen"/>
      <selection pane="bottomLeft"/>
    </sheetView>
  </sheetViews>
  <sheetFormatPr defaultRowHeight="15"/>
  <cols>
    <col min="1" max="1" width="2.7109375" customWidth="1"/>
    <col min="2" max="2" width="46.7109375" customWidth="1"/>
    <col min="3" max="5" width="22.7109375" customWidth="1"/>
  </cols>
  <sheetData>
    <row r="2" spans="2:3">
      <c r="B2" s="1" t="s">
        <v>6</v>
      </c>
    </row>
    <row r="3" spans="2:3">
      <c r="B3" s="5" t="s">
        <v>7</v>
      </c>
      <c r="C3" s="6">
        <v>45929</v>
      </c>
    </row>
    <row r="5" spans="2:3">
      <c r="B5" s="3" t="s">
        <v>8</v>
      </c>
    </row>
    <row r="6" spans="2:3">
      <c r="B6" s="5" t="s">
        <v>9</v>
      </c>
      <c r="C6" s="7">
        <v>100000</v>
      </c>
    </row>
    <row r="7" spans="2:3">
      <c r="B7" s="5" t="s">
        <v>10</v>
      </c>
      <c r="C7" s="7">
        <v>1000</v>
      </c>
    </row>
    <row r="8" spans="2:3">
      <c r="B8" s="5" t="s">
        <v>11</v>
      </c>
      <c r="C8" s="7">
        <v>0</v>
      </c>
    </row>
    <row r="9" spans="2:3">
      <c r="B9" s="5" t="s">
        <v>12</v>
      </c>
      <c r="C9" s="7">
        <v>2</v>
      </c>
    </row>
    <row r="11" spans="2:3">
      <c r="B11" s="3" t="s">
        <v>13</v>
      </c>
    </row>
    <row r="12" spans="2:3">
      <c r="B12" s="5" t="s">
        <v>14</v>
      </c>
      <c r="C12" s="4" t="s">
        <v>15</v>
      </c>
    </row>
    <row r="13" spans="2:3">
      <c r="B13" s="5" t="s">
        <v>16</v>
      </c>
      <c r="C13" s="8">
        <v>0.003</v>
      </c>
    </row>
    <row r="14" spans="2:3">
      <c r="B14" s="5" t="s">
        <v>17</v>
      </c>
      <c r="C14" s="7">
        <v>0</v>
      </c>
    </row>
    <row r="16" spans="2:3">
      <c r="B16" s="3" t="s">
        <v>18</v>
      </c>
    </row>
    <row r="17" spans="2:3">
      <c r="B17" s="5" t="s">
        <v>19</v>
      </c>
      <c r="C17" s="9">
        <v>0.045</v>
      </c>
    </row>
    <row r="18" spans="2:3">
      <c r="B18" s="5" t="s">
        <v>20</v>
      </c>
      <c r="C18" s="4">
        <v>240</v>
      </c>
    </row>
    <row r="19" spans="2:3">
      <c r="B19" s="5" t="s">
        <v>21</v>
      </c>
      <c r="C19" s="8">
        <v>0</v>
      </c>
    </row>
    <row r="21" spans="2:3">
      <c r="B21" s="3" t="s">
        <v>22</v>
      </c>
    </row>
    <row r="22" spans="2:3">
      <c r="B22" s="5" t="s">
        <v>23</v>
      </c>
      <c r="C22" s="4" t="s">
        <v>24</v>
      </c>
    </row>
    <row r="23" spans="2:3">
      <c r="B23" s="5" t="s">
        <v>25</v>
      </c>
      <c r="C23" s="4">
        <v>0</v>
      </c>
    </row>
    <row r="25" spans="2:3">
      <c r="B25" s="3" t="s">
        <v>26</v>
      </c>
    </row>
    <row r="26" spans="2:3">
      <c r="B26" s="5" t="s">
        <v>27</v>
      </c>
      <c r="C26" s="6">
        <v>45931</v>
      </c>
    </row>
    <row r="28" spans="2:3">
      <c r="B28" s="3" t="s">
        <v>28</v>
      </c>
    </row>
    <row r="29" spans="2:3">
      <c r="B29" s="5" t="s">
        <v>29</v>
      </c>
      <c r="C29" s="7">
        <f>C6+C8</f>
        <v>0</v>
      </c>
    </row>
    <row r="30" spans="2:3">
      <c r="B30" s="5" t="s">
        <v>30</v>
      </c>
      <c r="C30" s="7">
        <f>C6-C7</f>
        <v>0</v>
      </c>
    </row>
    <row r="31" spans="2:3">
      <c r="B31" s="5" t="s">
        <v>31</v>
      </c>
      <c r="C31" s="10">
        <f>C17/12</f>
        <v>0</v>
      </c>
    </row>
    <row r="33" spans="2:3">
      <c r="B33" s="3" t="s">
        <v>32</v>
      </c>
    </row>
    <row r="34" spans="2:3">
      <c r="B34" s="5" t="s">
        <v>33</v>
      </c>
      <c r="C34" s="7">
        <f>IF(C12="Sur capital initial (%)", C13/12*C6, 0)</f>
        <v>0</v>
      </c>
    </row>
    <row r="35" spans="2:3">
      <c r="B35" s="5" t="s">
        <v>34</v>
      </c>
      <c r="C35" s="7">
        <f>IF(C12="Montant fixe/mois", C14, 0)</f>
        <v>0</v>
      </c>
    </row>
    <row r="36" spans="2:3">
      <c r="B36" s="5" t="s">
        <v>35</v>
      </c>
      <c r="C36" s="2" t="s">
        <v>36</v>
      </c>
    </row>
  </sheetData>
  <dataValidations count="2">
    <dataValidation type="list" allowBlank="1" showInputMessage="1" showErrorMessage="1" sqref="C12">
      <formula1>"Aucune,Sur capital initial (%),Sur CRD (%),Montant fixe/mois"</formula1>
    </dataValidation>
    <dataValidation type="list" allowBlank="1" showInputMessage="1" showErrorMessage="1" sqref="C22">
      <formula1>"Aucun,Intérêts seuls,Total (capitalisation)"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N368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2.7109375" customWidth="1"/>
    <col min="2" max="2" width="10.7109375" customWidth="1"/>
    <col min="3" max="3" width="12.7109375" customWidth="1"/>
    <col min="4" max="4" width="14.7109375" customWidth="1"/>
    <col min="5" max="9" width="15.7109375" customWidth="1"/>
    <col min="10" max="11" width="16.7109375" customWidth="1"/>
    <col min="12" max="14" width="18.7109375" customWidth="1"/>
  </cols>
  <sheetData>
    <row r="2" spans="2:14">
      <c r="B2" s="1" t="s">
        <v>37</v>
      </c>
    </row>
    <row r="4" spans="2:14">
      <c r="B4" s="3" t="s">
        <v>51</v>
      </c>
      <c r="C4" s="7">
        <f>IF(DiffMode="Total (capitalisation)", CapFin*(1+i)^DiffN, CapFin)</f>
        <v>0</v>
      </c>
      <c r="E4" s="3" t="s">
        <v>52</v>
      </c>
      <c r="F4" s="4">
        <f>Nmois-DiffN</f>
        <v>0</v>
      </c>
      <c r="H4" s="3" t="s">
        <v>53</v>
      </c>
      <c r="I4" s="7">
        <f>BallonPct*PNom</f>
        <v>0</v>
      </c>
      <c r="K4" s="3" t="s">
        <v>54</v>
      </c>
      <c r="L4" s="7">
        <f>IF(NAmort&gt;0, PMT(i, NAmort, -PVapresDiff, FVballon), 0)</f>
        <v>0</v>
      </c>
    </row>
    <row r="7" spans="2:14">
      <c r="B7" s="5" t="s">
        <v>38</v>
      </c>
      <c r="C7" s="5" t="s">
        <v>39</v>
      </c>
      <c r="D7" s="5" t="s">
        <v>40</v>
      </c>
      <c r="E7" s="5" t="s">
        <v>41</v>
      </c>
      <c r="F7" s="5" t="s">
        <v>42</v>
      </c>
      <c r="G7" s="5" t="s">
        <v>43</v>
      </c>
      <c r="H7" s="5" t="s">
        <v>44</v>
      </c>
      <c r="I7" s="5" t="s">
        <v>45</v>
      </c>
      <c r="J7" s="5" t="s">
        <v>46</v>
      </c>
      <c r="K7" s="5" t="s">
        <v>47</v>
      </c>
      <c r="L7" s="5" t="s">
        <v>48</v>
      </c>
      <c r="M7" s="5" t="s">
        <v>49</v>
      </c>
      <c r="N7" s="5" t="s">
        <v>50</v>
      </c>
    </row>
    <row r="8" spans="2:14">
      <c r="B8" s="11">
        <v>0</v>
      </c>
      <c r="C8" s="6">
        <v>45931</v>
      </c>
      <c r="K8" s="7">
        <f>Net0</f>
        <v>0</v>
      </c>
      <c r="N8" s="12" t="s">
        <v>55</v>
      </c>
    </row>
    <row r="9" spans="2:14">
      <c r="B9" s="4">
        <v>1</v>
      </c>
      <c r="C9" s="6">
        <f>EDATE(Date0,1)</f>
        <v>0</v>
      </c>
      <c r="D9" s="7">
        <f>CapFin</f>
        <v>0</v>
      </c>
      <c r="E9" s="7">
        <f>C9*i</f>
        <v>0</v>
      </c>
      <c r="F9" s="7">
        <f>IF(N9="Amortissement", F9-D9, 0)</f>
        <v>0</v>
      </c>
      <c r="G9" s="7">
        <f>IF(1&lt;=DiffN, IF(DiffMode="Total (capitalisation)", 0, D9), PMTnom)</f>
        <v>0</v>
      </c>
      <c r="H9" s="7">
        <f>IF(AssType="Sur capital initial (%)", AssTau/12*PNom, IF(AssType="Sur CRD (%)", AssTau/12*C9, IF(AssType="Montant fixe/mois", AssFixe, 0)))</f>
        <v>0</v>
      </c>
      <c r="I9" s="7">
        <f>FraisRec</f>
        <v>0</v>
      </c>
      <c r="J9" s="7">
        <f>F9+G9+H9</f>
        <v>0</v>
      </c>
      <c r="K9" s="7">
        <f>-(I9+L9)</f>
        <v>0</v>
      </c>
      <c r="L9" s="7">
        <f>IF(N9="Différé total", C9+D9, IF(N9="Intérêts seuls", C9, C9-E9))</f>
        <v>0</v>
      </c>
      <c r="M9" s="7">
        <f>IF(1=Nmois, FVballon, 0)</f>
        <v>0</v>
      </c>
      <c r="N9">
        <f>IF(1&lt;=DiffN, IF(DiffMode="Total (capitalisation)","Différé total","Intérêts seuls"), "Amortissement")</f>
        <v>0</v>
      </c>
    </row>
    <row r="10" spans="2:14">
      <c r="B10" s="11">
        <v>2</v>
      </c>
      <c r="C10" s="6">
        <f>EDATE(Date0,2)</f>
        <v>0</v>
      </c>
      <c r="D10" s="7">
        <f>K9</f>
        <v>0</v>
      </c>
      <c r="E10" s="7">
        <f>C10*i</f>
        <v>0</v>
      </c>
      <c r="F10" s="7">
        <f>IF(N10="Amortissement", F10-D10, 0)</f>
        <v>0</v>
      </c>
      <c r="G10" s="7">
        <f>IF(2&lt;=DiffN, IF(DiffMode="Total (capitalisation)", 0, D10), PMTnom)</f>
        <v>0</v>
      </c>
      <c r="H10" s="7">
        <f>IF(AssType="Sur capital initial (%)", AssTau/12*PNom, IF(AssType="Sur CRD (%)", AssTau/12*C10, IF(AssType="Montant fixe/mois", AssFixe, 0)))</f>
        <v>0</v>
      </c>
      <c r="I10" s="7">
        <f>FraisRec</f>
        <v>0</v>
      </c>
      <c r="J10" s="7">
        <f>F10+G10+H10</f>
        <v>0</v>
      </c>
      <c r="K10" s="7">
        <f>-(I10+L10)</f>
        <v>0</v>
      </c>
      <c r="L10" s="7">
        <f>IF(N10="Différé total", C10+D10, IF(N10="Intérêts seuls", C10, C10-E10))</f>
        <v>0</v>
      </c>
      <c r="M10" s="7">
        <f>IF(2=Nmois, FVballon, 0)</f>
        <v>0</v>
      </c>
      <c r="N10">
        <f>IF(2&lt;=DiffN, IF(DiffMode="Total (capitalisation)","Différé total","Intérêts seuls"), "Amortissement")</f>
        <v>0</v>
      </c>
    </row>
    <row r="11" spans="2:14">
      <c r="B11" s="4">
        <v>3</v>
      </c>
      <c r="C11" s="6">
        <f>EDATE(Date0,3)</f>
        <v>0</v>
      </c>
      <c r="D11" s="7">
        <f>K10</f>
        <v>0</v>
      </c>
      <c r="E11" s="7">
        <f>C11*i</f>
        <v>0</v>
      </c>
      <c r="F11" s="7">
        <f>IF(N11="Amortissement", F11-D11, 0)</f>
        <v>0</v>
      </c>
      <c r="G11" s="7">
        <f>IF(3&lt;=DiffN, IF(DiffMode="Total (capitalisation)", 0, D11), PMTnom)</f>
        <v>0</v>
      </c>
      <c r="H11" s="7">
        <f>IF(AssType="Sur capital initial (%)", AssTau/12*PNom, IF(AssType="Sur CRD (%)", AssTau/12*C11, IF(AssType="Montant fixe/mois", AssFixe, 0)))</f>
        <v>0</v>
      </c>
      <c r="I11" s="7">
        <f>FraisRec</f>
        <v>0</v>
      </c>
      <c r="J11" s="7">
        <f>F11+G11+H11</f>
        <v>0</v>
      </c>
      <c r="K11" s="7">
        <f>-(I11+L11)</f>
        <v>0</v>
      </c>
      <c r="L11" s="7">
        <f>IF(N11="Différé total", C11+D11, IF(N11="Intérêts seuls", C11, C11-E11))</f>
        <v>0</v>
      </c>
      <c r="M11" s="7">
        <f>IF(3=Nmois, FVballon, 0)</f>
        <v>0</v>
      </c>
      <c r="N11">
        <f>IF(3&lt;=DiffN, IF(DiffMode="Total (capitalisation)","Différé total","Intérêts seuls"), "Amortissement")</f>
        <v>0</v>
      </c>
    </row>
    <row r="12" spans="2:14">
      <c r="B12" s="11">
        <v>4</v>
      </c>
      <c r="C12" s="6">
        <f>EDATE(Date0,4)</f>
        <v>0</v>
      </c>
      <c r="D12" s="7">
        <f>K11</f>
        <v>0</v>
      </c>
      <c r="E12" s="7">
        <f>C12*i</f>
        <v>0</v>
      </c>
      <c r="F12" s="7">
        <f>IF(N12="Amortissement", F12-D12, 0)</f>
        <v>0</v>
      </c>
      <c r="G12" s="7">
        <f>IF(4&lt;=DiffN, IF(DiffMode="Total (capitalisation)", 0, D12), PMTnom)</f>
        <v>0</v>
      </c>
      <c r="H12" s="7">
        <f>IF(AssType="Sur capital initial (%)", AssTau/12*PNom, IF(AssType="Sur CRD (%)", AssTau/12*C12, IF(AssType="Montant fixe/mois", AssFixe, 0)))</f>
        <v>0</v>
      </c>
      <c r="I12" s="7">
        <f>FraisRec</f>
        <v>0</v>
      </c>
      <c r="J12" s="7">
        <f>F12+G12+H12</f>
        <v>0</v>
      </c>
      <c r="K12" s="7">
        <f>-(I12+L12)</f>
        <v>0</v>
      </c>
      <c r="L12" s="7">
        <f>IF(N12="Différé total", C12+D12, IF(N12="Intérêts seuls", C12, C12-E12))</f>
        <v>0</v>
      </c>
      <c r="M12" s="7">
        <f>IF(4=Nmois, FVballon, 0)</f>
        <v>0</v>
      </c>
      <c r="N12">
        <f>IF(4&lt;=DiffN, IF(DiffMode="Total (capitalisation)","Différé total","Intérêts seuls"), "Amortissement")</f>
        <v>0</v>
      </c>
    </row>
    <row r="13" spans="2:14">
      <c r="B13" s="4">
        <v>5</v>
      </c>
      <c r="C13" s="6">
        <f>EDATE(Date0,5)</f>
        <v>0</v>
      </c>
      <c r="D13" s="7">
        <f>K12</f>
        <v>0</v>
      </c>
      <c r="E13" s="7">
        <f>C13*i</f>
        <v>0</v>
      </c>
      <c r="F13" s="7">
        <f>IF(N13="Amortissement", F13-D13, 0)</f>
        <v>0</v>
      </c>
      <c r="G13" s="7">
        <f>IF(5&lt;=DiffN, IF(DiffMode="Total (capitalisation)", 0, D13), PMTnom)</f>
        <v>0</v>
      </c>
      <c r="H13" s="7">
        <f>IF(AssType="Sur capital initial (%)", AssTau/12*PNom, IF(AssType="Sur CRD (%)", AssTau/12*C13, IF(AssType="Montant fixe/mois", AssFixe, 0)))</f>
        <v>0</v>
      </c>
      <c r="I13" s="7">
        <f>FraisRec</f>
        <v>0</v>
      </c>
      <c r="J13" s="7">
        <f>F13+G13+H13</f>
        <v>0</v>
      </c>
      <c r="K13" s="7">
        <f>-(I13+L13)</f>
        <v>0</v>
      </c>
      <c r="L13" s="7">
        <f>IF(N13="Différé total", C13+D13, IF(N13="Intérêts seuls", C13, C13-E13))</f>
        <v>0</v>
      </c>
      <c r="M13" s="7">
        <f>IF(5=Nmois, FVballon, 0)</f>
        <v>0</v>
      </c>
      <c r="N13">
        <f>IF(5&lt;=DiffN, IF(DiffMode="Total (capitalisation)","Différé total","Intérêts seuls"), "Amortissement")</f>
        <v>0</v>
      </c>
    </row>
    <row r="14" spans="2:14">
      <c r="B14" s="11">
        <v>6</v>
      </c>
      <c r="C14" s="6">
        <f>EDATE(Date0,6)</f>
        <v>0</v>
      </c>
      <c r="D14" s="7">
        <f>K13</f>
        <v>0</v>
      </c>
      <c r="E14" s="7">
        <f>C14*i</f>
        <v>0</v>
      </c>
      <c r="F14" s="7">
        <f>IF(N14="Amortissement", F14-D14, 0)</f>
        <v>0</v>
      </c>
      <c r="G14" s="7">
        <f>IF(6&lt;=DiffN, IF(DiffMode="Total (capitalisation)", 0, D14), PMTnom)</f>
        <v>0</v>
      </c>
      <c r="H14" s="7">
        <f>IF(AssType="Sur capital initial (%)", AssTau/12*PNom, IF(AssType="Sur CRD (%)", AssTau/12*C14, IF(AssType="Montant fixe/mois", AssFixe, 0)))</f>
        <v>0</v>
      </c>
      <c r="I14" s="7">
        <f>FraisRec</f>
        <v>0</v>
      </c>
      <c r="J14" s="7">
        <f>F14+G14+H14</f>
        <v>0</v>
      </c>
      <c r="K14" s="7">
        <f>-(I14+L14)</f>
        <v>0</v>
      </c>
      <c r="L14" s="7">
        <f>IF(N14="Différé total", C14+D14, IF(N14="Intérêts seuls", C14, C14-E14))</f>
        <v>0</v>
      </c>
      <c r="M14" s="7">
        <f>IF(6=Nmois, FVballon, 0)</f>
        <v>0</v>
      </c>
      <c r="N14">
        <f>IF(6&lt;=DiffN, IF(DiffMode="Total (capitalisation)","Différé total","Intérêts seuls"), "Amortissement")</f>
        <v>0</v>
      </c>
    </row>
    <row r="15" spans="2:14">
      <c r="B15" s="4">
        <v>7</v>
      </c>
      <c r="C15" s="6">
        <f>EDATE(Date0,7)</f>
        <v>0</v>
      </c>
      <c r="D15" s="7">
        <f>K14</f>
        <v>0</v>
      </c>
      <c r="E15" s="7">
        <f>C15*i</f>
        <v>0</v>
      </c>
      <c r="F15" s="7">
        <f>IF(N15="Amortissement", F15-D15, 0)</f>
        <v>0</v>
      </c>
      <c r="G15" s="7">
        <f>IF(7&lt;=DiffN, IF(DiffMode="Total (capitalisation)", 0, D15), PMTnom)</f>
        <v>0</v>
      </c>
      <c r="H15" s="7">
        <f>IF(AssType="Sur capital initial (%)", AssTau/12*PNom, IF(AssType="Sur CRD (%)", AssTau/12*C15, IF(AssType="Montant fixe/mois", AssFixe, 0)))</f>
        <v>0</v>
      </c>
      <c r="I15" s="7">
        <f>FraisRec</f>
        <v>0</v>
      </c>
      <c r="J15" s="7">
        <f>F15+G15+H15</f>
        <v>0</v>
      </c>
      <c r="K15" s="7">
        <f>-(I15+L15)</f>
        <v>0</v>
      </c>
      <c r="L15" s="7">
        <f>IF(N15="Différé total", C15+D15, IF(N15="Intérêts seuls", C15, C15-E15))</f>
        <v>0</v>
      </c>
      <c r="M15" s="7">
        <f>IF(7=Nmois, FVballon, 0)</f>
        <v>0</v>
      </c>
      <c r="N15">
        <f>IF(7&lt;=DiffN, IF(DiffMode="Total (capitalisation)","Différé total","Intérêts seuls"), "Amortissement")</f>
        <v>0</v>
      </c>
    </row>
    <row r="16" spans="2:14">
      <c r="B16" s="11">
        <v>8</v>
      </c>
      <c r="C16" s="6">
        <f>EDATE(Date0,8)</f>
        <v>0</v>
      </c>
      <c r="D16" s="7">
        <f>K15</f>
        <v>0</v>
      </c>
      <c r="E16" s="7">
        <f>C16*i</f>
        <v>0</v>
      </c>
      <c r="F16" s="7">
        <f>IF(N16="Amortissement", F16-D16, 0)</f>
        <v>0</v>
      </c>
      <c r="G16" s="7">
        <f>IF(8&lt;=DiffN, IF(DiffMode="Total (capitalisation)", 0, D16), PMTnom)</f>
        <v>0</v>
      </c>
      <c r="H16" s="7">
        <f>IF(AssType="Sur capital initial (%)", AssTau/12*PNom, IF(AssType="Sur CRD (%)", AssTau/12*C16, IF(AssType="Montant fixe/mois", AssFixe, 0)))</f>
        <v>0</v>
      </c>
      <c r="I16" s="7">
        <f>FraisRec</f>
        <v>0</v>
      </c>
      <c r="J16" s="7">
        <f>F16+G16+H16</f>
        <v>0</v>
      </c>
      <c r="K16" s="7">
        <f>-(I16+L16)</f>
        <v>0</v>
      </c>
      <c r="L16" s="7">
        <f>IF(N16="Différé total", C16+D16, IF(N16="Intérêts seuls", C16, C16-E16))</f>
        <v>0</v>
      </c>
      <c r="M16" s="7">
        <f>IF(8=Nmois, FVballon, 0)</f>
        <v>0</v>
      </c>
      <c r="N16">
        <f>IF(8&lt;=DiffN, IF(DiffMode="Total (capitalisation)","Différé total","Intérêts seuls"), "Amortissement")</f>
        <v>0</v>
      </c>
    </row>
    <row r="17" spans="2:14">
      <c r="B17" s="4">
        <v>9</v>
      </c>
      <c r="C17" s="6">
        <f>EDATE(Date0,9)</f>
        <v>0</v>
      </c>
      <c r="D17" s="7">
        <f>K16</f>
        <v>0</v>
      </c>
      <c r="E17" s="7">
        <f>C17*i</f>
        <v>0</v>
      </c>
      <c r="F17" s="7">
        <f>IF(N17="Amortissement", F17-D17, 0)</f>
        <v>0</v>
      </c>
      <c r="G17" s="7">
        <f>IF(9&lt;=DiffN, IF(DiffMode="Total (capitalisation)", 0, D17), PMTnom)</f>
        <v>0</v>
      </c>
      <c r="H17" s="7">
        <f>IF(AssType="Sur capital initial (%)", AssTau/12*PNom, IF(AssType="Sur CRD (%)", AssTau/12*C17, IF(AssType="Montant fixe/mois", AssFixe, 0)))</f>
        <v>0</v>
      </c>
      <c r="I17" s="7">
        <f>FraisRec</f>
        <v>0</v>
      </c>
      <c r="J17" s="7">
        <f>F17+G17+H17</f>
        <v>0</v>
      </c>
      <c r="K17" s="7">
        <f>-(I17+L17)</f>
        <v>0</v>
      </c>
      <c r="L17" s="7">
        <f>IF(N17="Différé total", C17+D17, IF(N17="Intérêts seuls", C17, C17-E17))</f>
        <v>0</v>
      </c>
      <c r="M17" s="7">
        <f>IF(9=Nmois, FVballon, 0)</f>
        <v>0</v>
      </c>
      <c r="N17">
        <f>IF(9&lt;=DiffN, IF(DiffMode="Total (capitalisation)","Différé total","Intérêts seuls"), "Amortissement")</f>
        <v>0</v>
      </c>
    </row>
    <row r="18" spans="2:14">
      <c r="B18" s="11">
        <v>10</v>
      </c>
      <c r="C18" s="6">
        <f>EDATE(Date0,10)</f>
        <v>0</v>
      </c>
      <c r="D18" s="7">
        <f>K17</f>
        <v>0</v>
      </c>
      <c r="E18" s="7">
        <f>C18*i</f>
        <v>0</v>
      </c>
      <c r="F18" s="7">
        <f>IF(N18="Amortissement", F18-D18, 0)</f>
        <v>0</v>
      </c>
      <c r="G18" s="7">
        <f>IF(10&lt;=DiffN, IF(DiffMode="Total (capitalisation)", 0, D18), PMTnom)</f>
        <v>0</v>
      </c>
      <c r="H18" s="7">
        <f>IF(AssType="Sur capital initial (%)", AssTau/12*PNom, IF(AssType="Sur CRD (%)", AssTau/12*C18, IF(AssType="Montant fixe/mois", AssFixe, 0)))</f>
        <v>0</v>
      </c>
      <c r="I18" s="7">
        <f>FraisRec</f>
        <v>0</v>
      </c>
      <c r="J18" s="7">
        <f>F18+G18+H18</f>
        <v>0</v>
      </c>
      <c r="K18" s="7">
        <f>-(I18+L18)</f>
        <v>0</v>
      </c>
      <c r="L18" s="7">
        <f>IF(N18="Différé total", C18+D18, IF(N18="Intérêts seuls", C18, C18-E18))</f>
        <v>0</v>
      </c>
      <c r="M18" s="7">
        <f>IF(10=Nmois, FVballon, 0)</f>
        <v>0</v>
      </c>
      <c r="N18">
        <f>IF(10&lt;=DiffN, IF(DiffMode="Total (capitalisation)","Différé total","Intérêts seuls"), "Amortissement")</f>
        <v>0</v>
      </c>
    </row>
    <row r="19" spans="2:14">
      <c r="B19" s="4">
        <v>11</v>
      </c>
      <c r="C19" s="6">
        <f>EDATE(Date0,11)</f>
        <v>0</v>
      </c>
      <c r="D19" s="7">
        <f>K18</f>
        <v>0</v>
      </c>
      <c r="E19" s="7">
        <f>C19*i</f>
        <v>0</v>
      </c>
      <c r="F19" s="7">
        <f>IF(N19="Amortissement", F19-D19, 0)</f>
        <v>0</v>
      </c>
      <c r="G19" s="7">
        <f>IF(11&lt;=DiffN, IF(DiffMode="Total (capitalisation)", 0, D19), PMTnom)</f>
        <v>0</v>
      </c>
      <c r="H19" s="7">
        <f>IF(AssType="Sur capital initial (%)", AssTau/12*PNom, IF(AssType="Sur CRD (%)", AssTau/12*C19, IF(AssType="Montant fixe/mois", AssFixe, 0)))</f>
        <v>0</v>
      </c>
      <c r="I19" s="7">
        <f>FraisRec</f>
        <v>0</v>
      </c>
      <c r="J19" s="7">
        <f>F19+G19+H19</f>
        <v>0</v>
      </c>
      <c r="K19" s="7">
        <f>-(I19+L19)</f>
        <v>0</v>
      </c>
      <c r="L19" s="7">
        <f>IF(N19="Différé total", C19+D19, IF(N19="Intérêts seuls", C19, C19-E19))</f>
        <v>0</v>
      </c>
      <c r="M19" s="7">
        <f>IF(11=Nmois, FVballon, 0)</f>
        <v>0</v>
      </c>
      <c r="N19">
        <f>IF(11&lt;=DiffN, IF(DiffMode="Total (capitalisation)","Différé total","Intérêts seuls"), "Amortissement")</f>
        <v>0</v>
      </c>
    </row>
    <row r="20" spans="2:14">
      <c r="B20" s="11">
        <v>12</v>
      </c>
      <c r="C20" s="6">
        <f>EDATE(Date0,12)</f>
        <v>0</v>
      </c>
      <c r="D20" s="7">
        <f>K19</f>
        <v>0</v>
      </c>
      <c r="E20" s="7">
        <f>C20*i</f>
        <v>0</v>
      </c>
      <c r="F20" s="7">
        <f>IF(N20="Amortissement", F20-D20, 0)</f>
        <v>0</v>
      </c>
      <c r="G20" s="7">
        <f>IF(12&lt;=DiffN, IF(DiffMode="Total (capitalisation)", 0, D20), PMTnom)</f>
        <v>0</v>
      </c>
      <c r="H20" s="7">
        <f>IF(AssType="Sur capital initial (%)", AssTau/12*PNom, IF(AssType="Sur CRD (%)", AssTau/12*C20, IF(AssType="Montant fixe/mois", AssFixe, 0)))</f>
        <v>0</v>
      </c>
      <c r="I20" s="7">
        <f>FraisRec</f>
        <v>0</v>
      </c>
      <c r="J20" s="7">
        <f>F20+G20+H20</f>
        <v>0</v>
      </c>
      <c r="K20" s="7">
        <f>-(I20+L20)</f>
        <v>0</v>
      </c>
      <c r="L20" s="7">
        <f>IF(N20="Différé total", C20+D20, IF(N20="Intérêts seuls", C20, C20-E20))</f>
        <v>0</v>
      </c>
      <c r="M20" s="7">
        <f>IF(12=Nmois, FVballon, 0)</f>
        <v>0</v>
      </c>
      <c r="N20">
        <f>IF(12&lt;=DiffN, IF(DiffMode="Total (capitalisation)","Différé total","Intérêts seuls"), "Amortissement")</f>
        <v>0</v>
      </c>
    </row>
    <row r="21" spans="2:14">
      <c r="B21" s="4">
        <v>13</v>
      </c>
      <c r="C21" s="6">
        <f>EDATE(Date0,13)</f>
        <v>0</v>
      </c>
      <c r="D21" s="7">
        <f>K20</f>
        <v>0</v>
      </c>
      <c r="E21" s="7">
        <f>C21*i</f>
        <v>0</v>
      </c>
      <c r="F21" s="7">
        <f>IF(N21="Amortissement", F21-D21, 0)</f>
        <v>0</v>
      </c>
      <c r="G21" s="7">
        <f>IF(13&lt;=DiffN, IF(DiffMode="Total (capitalisation)", 0, D21), PMTnom)</f>
        <v>0</v>
      </c>
      <c r="H21" s="7">
        <f>IF(AssType="Sur capital initial (%)", AssTau/12*PNom, IF(AssType="Sur CRD (%)", AssTau/12*C21, IF(AssType="Montant fixe/mois", AssFixe, 0)))</f>
        <v>0</v>
      </c>
      <c r="I21" s="7">
        <f>FraisRec</f>
        <v>0</v>
      </c>
      <c r="J21" s="7">
        <f>F21+G21+H21</f>
        <v>0</v>
      </c>
      <c r="K21" s="7">
        <f>-(I21+L21)</f>
        <v>0</v>
      </c>
      <c r="L21" s="7">
        <f>IF(N21="Différé total", C21+D21, IF(N21="Intérêts seuls", C21, C21-E21))</f>
        <v>0</v>
      </c>
      <c r="M21" s="7">
        <f>IF(13=Nmois, FVballon, 0)</f>
        <v>0</v>
      </c>
      <c r="N21">
        <f>IF(13&lt;=DiffN, IF(DiffMode="Total (capitalisation)","Différé total","Intérêts seuls"), "Amortissement")</f>
        <v>0</v>
      </c>
    </row>
    <row r="22" spans="2:14">
      <c r="B22" s="11">
        <v>14</v>
      </c>
      <c r="C22" s="6">
        <f>EDATE(Date0,14)</f>
        <v>0</v>
      </c>
      <c r="D22" s="7">
        <f>K21</f>
        <v>0</v>
      </c>
      <c r="E22" s="7">
        <f>C22*i</f>
        <v>0</v>
      </c>
      <c r="F22" s="7">
        <f>IF(N22="Amortissement", F22-D22, 0)</f>
        <v>0</v>
      </c>
      <c r="G22" s="7">
        <f>IF(14&lt;=DiffN, IF(DiffMode="Total (capitalisation)", 0, D22), PMTnom)</f>
        <v>0</v>
      </c>
      <c r="H22" s="7">
        <f>IF(AssType="Sur capital initial (%)", AssTau/12*PNom, IF(AssType="Sur CRD (%)", AssTau/12*C22, IF(AssType="Montant fixe/mois", AssFixe, 0)))</f>
        <v>0</v>
      </c>
      <c r="I22" s="7">
        <f>FraisRec</f>
        <v>0</v>
      </c>
      <c r="J22" s="7">
        <f>F22+G22+H22</f>
        <v>0</v>
      </c>
      <c r="K22" s="7">
        <f>-(I22+L22)</f>
        <v>0</v>
      </c>
      <c r="L22" s="7">
        <f>IF(N22="Différé total", C22+D22, IF(N22="Intérêts seuls", C22, C22-E22))</f>
        <v>0</v>
      </c>
      <c r="M22" s="7">
        <f>IF(14=Nmois, FVballon, 0)</f>
        <v>0</v>
      </c>
      <c r="N22">
        <f>IF(14&lt;=DiffN, IF(DiffMode="Total (capitalisation)","Différé total","Intérêts seuls"), "Amortissement")</f>
        <v>0</v>
      </c>
    </row>
    <row r="23" spans="2:14">
      <c r="B23" s="4">
        <v>15</v>
      </c>
      <c r="C23" s="6">
        <f>EDATE(Date0,15)</f>
        <v>0</v>
      </c>
      <c r="D23" s="7">
        <f>K22</f>
        <v>0</v>
      </c>
      <c r="E23" s="7">
        <f>C23*i</f>
        <v>0</v>
      </c>
      <c r="F23" s="7">
        <f>IF(N23="Amortissement", F23-D23, 0)</f>
        <v>0</v>
      </c>
      <c r="G23" s="7">
        <f>IF(15&lt;=DiffN, IF(DiffMode="Total (capitalisation)", 0, D23), PMTnom)</f>
        <v>0</v>
      </c>
      <c r="H23" s="7">
        <f>IF(AssType="Sur capital initial (%)", AssTau/12*PNom, IF(AssType="Sur CRD (%)", AssTau/12*C23, IF(AssType="Montant fixe/mois", AssFixe, 0)))</f>
        <v>0</v>
      </c>
      <c r="I23" s="7">
        <f>FraisRec</f>
        <v>0</v>
      </c>
      <c r="J23" s="7">
        <f>F23+G23+H23</f>
        <v>0</v>
      </c>
      <c r="K23" s="7">
        <f>-(I23+L23)</f>
        <v>0</v>
      </c>
      <c r="L23" s="7">
        <f>IF(N23="Différé total", C23+D23, IF(N23="Intérêts seuls", C23, C23-E23))</f>
        <v>0</v>
      </c>
      <c r="M23" s="7">
        <f>IF(15=Nmois, FVballon, 0)</f>
        <v>0</v>
      </c>
      <c r="N23">
        <f>IF(15&lt;=DiffN, IF(DiffMode="Total (capitalisation)","Différé total","Intérêts seuls"), "Amortissement")</f>
        <v>0</v>
      </c>
    </row>
    <row r="24" spans="2:14">
      <c r="B24" s="11">
        <v>16</v>
      </c>
      <c r="C24" s="6">
        <f>EDATE(Date0,16)</f>
        <v>0</v>
      </c>
      <c r="D24" s="7">
        <f>K23</f>
        <v>0</v>
      </c>
      <c r="E24" s="7">
        <f>C24*i</f>
        <v>0</v>
      </c>
      <c r="F24" s="7">
        <f>IF(N24="Amortissement", F24-D24, 0)</f>
        <v>0</v>
      </c>
      <c r="G24" s="7">
        <f>IF(16&lt;=DiffN, IF(DiffMode="Total (capitalisation)", 0, D24), PMTnom)</f>
        <v>0</v>
      </c>
      <c r="H24" s="7">
        <f>IF(AssType="Sur capital initial (%)", AssTau/12*PNom, IF(AssType="Sur CRD (%)", AssTau/12*C24, IF(AssType="Montant fixe/mois", AssFixe, 0)))</f>
        <v>0</v>
      </c>
      <c r="I24" s="7">
        <f>FraisRec</f>
        <v>0</v>
      </c>
      <c r="J24" s="7">
        <f>F24+G24+H24</f>
        <v>0</v>
      </c>
      <c r="K24" s="7">
        <f>-(I24+L24)</f>
        <v>0</v>
      </c>
      <c r="L24" s="7">
        <f>IF(N24="Différé total", C24+D24, IF(N24="Intérêts seuls", C24, C24-E24))</f>
        <v>0</v>
      </c>
      <c r="M24" s="7">
        <f>IF(16=Nmois, FVballon, 0)</f>
        <v>0</v>
      </c>
      <c r="N24">
        <f>IF(16&lt;=DiffN, IF(DiffMode="Total (capitalisation)","Différé total","Intérêts seuls"), "Amortissement")</f>
        <v>0</v>
      </c>
    </row>
    <row r="25" spans="2:14">
      <c r="B25" s="4">
        <v>17</v>
      </c>
      <c r="C25" s="6">
        <f>EDATE(Date0,17)</f>
        <v>0</v>
      </c>
      <c r="D25" s="7">
        <f>K24</f>
        <v>0</v>
      </c>
      <c r="E25" s="7">
        <f>C25*i</f>
        <v>0</v>
      </c>
      <c r="F25" s="7">
        <f>IF(N25="Amortissement", F25-D25, 0)</f>
        <v>0</v>
      </c>
      <c r="G25" s="7">
        <f>IF(17&lt;=DiffN, IF(DiffMode="Total (capitalisation)", 0, D25), PMTnom)</f>
        <v>0</v>
      </c>
      <c r="H25" s="7">
        <f>IF(AssType="Sur capital initial (%)", AssTau/12*PNom, IF(AssType="Sur CRD (%)", AssTau/12*C25, IF(AssType="Montant fixe/mois", AssFixe, 0)))</f>
        <v>0</v>
      </c>
      <c r="I25" s="7">
        <f>FraisRec</f>
        <v>0</v>
      </c>
      <c r="J25" s="7">
        <f>F25+G25+H25</f>
        <v>0</v>
      </c>
      <c r="K25" s="7">
        <f>-(I25+L25)</f>
        <v>0</v>
      </c>
      <c r="L25" s="7">
        <f>IF(N25="Différé total", C25+D25, IF(N25="Intérêts seuls", C25, C25-E25))</f>
        <v>0</v>
      </c>
      <c r="M25" s="7">
        <f>IF(17=Nmois, FVballon, 0)</f>
        <v>0</v>
      </c>
      <c r="N25">
        <f>IF(17&lt;=DiffN, IF(DiffMode="Total (capitalisation)","Différé total","Intérêts seuls"), "Amortissement")</f>
        <v>0</v>
      </c>
    </row>
    <row r="26" spans="2:14">
      <c r="B26" s="11">
        <v>18</v>
      </c>
      <c r="C26" s="6">
        <f>EDATE(Date0,18)</f>
        <v>0</v>
      </c>
      <c r="D26" s="7">
        <f>K25</f>
        <v>0</v>
      </c>
      <c r="E26" s="7">
        <f>C26*i</f>
        <v>0</v>
      </c>
      <c r="F26" s="7">
        <f>IF(N26="Amortissement", F26-D26, 0)</f>
        <v>0</v>
      </c>
      <c r="G26" s="7">
        <f>IF(18&lt;=DiffN, IF(DiffMode="Total (capitalisation)", 0, D26), PMTnom)</f>
        <v>0</v>
      </c>
      <c r="H26" s="7">
        <f>IF(AssType="Sur capital initial (%)", AssTau/12*PNom, IF(AssType="Sur CRD (%)", AssTau/12*C26, IF(AssType="Montant fixe/mois", AssFixe, 0)))</f>
        <v>0</v>
      </c>
      <c r="I26" s="7">
        <f>FraisRec</f>
        <v>0</v>
      </c>
      <c r="J26" s="7">
        <f>F26+G26+H26</f>
        <v>0</v>
      </c>
      <c r="K26" s="7">
        <f>-(I26+L26)</f>
        <v>0</v>
      </c>
      <c r="L26" s="7">
        <f>IF(N26="Différé total", C26+D26, IF(N26="Intérêts seuls", C26, C26-E26))</f>
        <v>0</v>
      </c>
      <c r="M26" s="7">
        <f>IF(18=Nmois, FVballon, 0)</f>
        <v>0</v>
      </c>
      <c r="N26">
        <f>IF(18&lt;=DiffN, IF(DiffMode="Total (capitalisation)","Différé total","Intérêts seuls"), "Amortissement")</f>
        <v>0</v>
      </c>
    </row>
    <row r="27" spans="2:14">
      <c r="B27" s="4">
        <v>19</v>
      </c>
      <c r="C27" s="6">
        <f>EDATE(Date0,19)</f>
        <v>0</v>
      </c>
      <c r="D27" s="7">
        <f>K26</f>
        <v>0</v>
      </c>
      <c r="E27" s="7">
        <f>C27*i</f>
        <v>0</v>
      </c>
      <c r="F27" s="7">
        <f>IF(N27="Amortissement", F27-D27, 0)</f>
        <v>0</v>
      </c>
      <c r="G27" s="7">
        <f>IF(19&lt;=DiffN, IF(DiffMode="Total (capitalisation)", 0, D27), PMTnom)</f>
        <v>0</v>
      </c>
      <c r="H27" s="7">
        <f>IF(AssType="Sur capital initial (%)", AssTau/12*PNom, IF(AssType="Sur CRD (%)", AssTau/12*C27, IF(AssType="Montant fixe/mois", AssFixe, 0)))</f>
        <v>0</v>
      </c>
      <c r="I27" s="7">
        <f>FraisRec</f>
        <v>0</v>
      </c>
      <c r="J27" s="7">
        <f>F27+G27+H27</f>
        <v>0</v>
      </c>
      <c r="K27" s="7">
        <f>-(I27+L27)</f>
        <v>0</v>
      </c>
      <c r="L27" s="7">
        <f>IF(N27="Différé total", C27+D27, IF(N27="Intérêts seuls", C27, C27-E27))</f>
        <v>0</v>
      </c>
      <c r="M27" s="7">
        <f>IF(19=Nmois, FVballon, 0)</f>
        <v>0</v>
      </c>
      <c r="N27">
        <f>IF(19&lt;=DiffN, IF(DiffMode="Total (capitalisation)","Différé total","Intérêts seuls"), "Amortissement")</f>
        <v>0</v>
      </c>
    </row>
    <row r="28" spans="2:14">
      <c r="B28" s="11">
        <v>20</v>
      </c>
      <c r="C28" s="6">
        <f>EDATE(Date0,20)</f>
        <v>0</v>
      </c>
      <c r="D28" s="7">
        <f>K27</f>
        <v>0</v>
      </c>
      <c r="E28" s="7">
        <f>C28*i</f>
        <v>0</v>
      </c>
      <c r="F28" s="7">
        <f>IF(N28="Amortissement", F28-D28, 0)</f>
        <v>0</v>
      </c>
      <c r="G28" s="7">
        <f>IF(20&lt;=DiffN, IF(DiffMode="Total (capitalisation)", 0, D28), PMTnom)</f>
        <v>0</v>
      </c>
      <c r="H28" s="7">
        <f>IF(AssType="Sur capital initial (%)", AssTau/12*PNom, IF(AssType="Sur CRD (%)", AssTau/12*C28, IF(AssType="Montant fixe/mois", AssFixe, 0)))</f>
        <v>0</v>
      </c>
      <c r="I28" s="7">
        <f>FraisRec</f>
        <v>0</v>
      </c>
      <c r="J28" s="7">
        <f>F28+G28+H28</f>
        <v>0</v>
      </c>
      <c r="K28" s="7">
        <f>-(I28+L28)</f>
        <v>0</v>
      </c>
      <c r="L28" s="7">
        <f>IF(N28="Différé total", C28+D28, IF(N28="Intérêts seuls", C28, C28-E28))</f>
        <v>0</v>
      </c>
      <c r="M28" s="7">
        <f>IF(20=Nmois, FVballon, 0)</f>
        <v>0</v>
      </c>
      <c r="N28">
        <f>IF(20&lt;=DiffN, IF(DiffMode="Total (capitalisation)","Différé total","Intérêts seuls"), "Amortissement")</f>
        <v>0</v>
      </c>
    </row>
    <row r="29" spans="2:14">
      <c r="B29" s="4">
        <v>21</v>
      </c>
      <c r="C29" s="6">
        <f>EDATE(Date0,21)</f>
        <v>0</v>
      </c>
      <c r="D29" s="7">
        <f>K28</f>
        <v>0</v>
      </c>
      <c r="E29" s="7">
        <f>C29*i</f>
        <v>0</v>
      </c>
      <c r="F29" s="7">
        <f>IF(N29="Amortissement", F29-D29, 0)</f>
        <v>0</v>
      </c>
      <c r="G29" s="7">
        <f>IF(21&lt;=DiffN, IF(DiffMode="Total (capitalisation)", 0, D29), PMTnom)</f>
        <v>0</v>
      </c>
      <c r="H29" s="7">
        <f>IF(AssType="Sur capital initial (%)", AssTau/12*PNom, IF(AssType="Sur CRD (%)", AssTau/12*C29, IF(AssType="Montant fixe/mois", AssFixe, 0)))</f>
        <v>0</v>
      </c>
      <c r="I29" s="7">
        <f>FraisRec</f>
        <v>0</v>
      </c>
      <c r="J29" s="7">
        <f>F29+G29+H29</f>
        <v>0</v>
      </c>
      <c r="K29" s="7">
        <f>-(I29+L29)</f>
        <v>0</v>
      </c>
      <c r="L29" s="7">
        <f>IF(N29="Différé total", C29+D29, IF(N29="Intérêts seuls", C29, C29-E29))</f>
        <v>0</v>
      </c>
      <c r="M29" s="7">
        <f>IF(21=Nmois, FVballon, 0)</f>
        <v>0</v>
      </c>
      <c r="N29">
        <f>IF(21&lt;=DiffN, IF(DiffMode="Total (capitalisation)","Différé total","Intérêts seuls"), "Amortissement")</f>
        <v>0</v>
      </c>
    </row>
    <row r="30" spans="2:14">
      <c r="B30" s="11">
        <v>22</v>
      </c>
      <c r="C30" s="6">
        <f>EDATE(Date0,22)</f>
        <v>0</v>
      </c>
      <c r="D30" s="7">
        <f>K29</f>
        <v>0</v>
      </c>
      <c r="E30" s="7">
        <f>C30*i</f>
        <v>0</v>
      </c>
      <c r="F30" s="7">
        <f>IF(N30="Amortissement", F30-D30, 0)</f>
        <v>0</v>
      </c>
      <c r="G30" s="7">
        <f>IF(22&lt;=DiffN, IF(DiffMode="Total (capitalisation)", 0, D30), PMTnom)</f>
        <v>0</v>
      </c>
      <c r="H30" s="7">
        <f>IF(AssType="Sur capital initial (%)", AssTau/12*PNom, IF(AssType="Sur CRD (%)", AssTau/12*C30, IF(AssType="Montant fixe/mois", AssFixe, 0)))</f>
        <v>0</v>
      </c>
      <c r="I30" s="7">
        <f>FraisRec</f>
        <v>0</v>
      </c>
      <c r="J30" s="7">
        <f>F30+G30+H30</f>
        <v>0</v>
      </c>
      <c r="K30" s="7">
        <f>-(I30+L30)</f>
        <v>0</v>
      </c>
      <c r="L30" s="7">
        <f>IF(N30="Différé total", C30+D30, IF(N30="Intérêts seuls", C30, C30-E30))</f>
        <v>0</v>
      </c>
      <c r="M30" s="7">
        <f>IF(22=Nmois, FVballon, 0)</f>
        <v>0</v>
      </c>
      <c r="N30">
        <f>IF(22&lt;=DiffN, IF(DiffMode="Total (capitalisation)","Différé total","Intérêts seuls"), "Amortissement")</f>
        <v>0</v>
      </c>
    </row>
    <row r="31" spans="2:14">
      <c r="B31" s="4">
        <v>23</v>
      </c>
      <c r="C31" s="6">
        <f>EDATE(Date0,23)</f>
        <v>0</v>
      </c>
      <c r="D31" s="7">
        <f>K30</f>
        <v>0</v>
      </c>
      <c r="E31" s="7">
        <f>C31*i</f>
        <v>0</v>
      </c>
      <c r="F31" s="7">
        <f>IF(N31="Amortissement", F31-D31, 0)</f>
        <v>0</v>
      </c>
      <c r="G31" s="7">
        <f>IF(23&lt;=DiffN, IF(DiffMode="Total (capitalisation)", 0, D31), PMTnom)</f>
        <v>0</v>
      </c>
      <c r="H31" s="7">
        <f>IF(AssType="Sur capital initial (%)", AssTau/12*PNom, IF(AssType="Sur CRD (%)", AssTau/12*C31, IF(AssType="Montant fixe/mois", AssFixe, 0)))</f>
        <v>0</v>
      </c>
      <c r="I31" s="7">
        <f>FraisRec</f>
        <v>0</v>
      </c>
      <c r="J31" s="7">
        <f>F31+G31+H31</f>
        <v>0</v>
      </c>
      <c r="K31" s="7">
        <f>-(I31+L31)</f>
        <v>0</v>
      </c>
      <c r="L31" s="7">
        <f>IF(N31="Différé total", C31+D31, IF(N31="Intérêts seuls", C31, C31-E31))</f>
        <v>0</v>
      </c>
      <c r="M31" s="7">
        <f>IF(23=Nmois, FVballon, 0)</f>
        <v>0</v>
      </c>
      <c r="N31">
        <f>IF(23&lt;=DiffN, IF(DiffMode="Total (capitalisation)","Différé total","Intérêts seuls"), "Amortissement")</f>
        <v>0</v>
      </c>
    </row>
    <row r="32" spans="2:14">
      <c r="B32" s="11">
        <v>24</v>
      </c>
      <c r="C32" s="6">
        <f>EDATE(Date0,24)</f>
        <v>0</v>
      </c>
      <c r="D32" s="7">
        <f>K31</f>
        <v>0</v>
      </c>
      <c r="E32" s="7">
        <f>C32*i</f>
        <v>0</v>
      </c>
      <c r="F32" s="7">
        <f>IF(N32="Amortissement", F32-D32, 0)</f>
        <v>0</v>
      </c>
      <c r="G32" s="7">
        <f>IF(24&lt;=DiffN, IF(DiffMode="Total (capitalisation)", 0, D32), PMTnom)</f>
        <v>0</v>
      </c>
      <c r="H32" s="7">
        <f>IF(AssType="Sur capital initial (%)", AssTau/12*PNom, IF(AssType="Sur CRD (%)", AssTau/12*C32, IF(AssType="Montant fixe/mois", AssFixe, 0)))</f>
        <v>0</v>
      </c>
      <c r="I32" s="7">
        <f>FraisRec</f>
        <v>0</v>
      </c>
      <c r="J32" s="7">
        <f>F32+G32+H32</f>
        <v>0</v>
      </c>
      <c r="K32" s="7">
        <f>-(I32+L32)</f>
        <v>0</v>
      </c>
      <c r="L32" s="7">
        <f>IF(N32="Différé total", C32+D32, IF(N32="Intérêts seuls", C32, C32-E32))</f>
        <v>0</v>
      </c>
      <c r="M32" s="7">
        <f>IF(24=Nmois, FVballon, 0)</f>
        <v>0</v>
      </c>
      <c r="N32">
        <f>IF(24&lt;=DiffN, IF(DiffMode="Total (capitalisation)","Différé total","Intérêts seuls"), "Amortissement")</f>
        <v>0</v>
      </c>
    </row>
    <row r="33" spans="2:14">
      <c r="B33" s="4">
        <v>25</v>
      </c>
      <c r="C33" s="6">
        <f>EDATE(Date0,25)</f>
        <v>0</v>
      </c>
      <c r="D33" s="7">
        <f>K32</f>
        <v>0</v>
      </c>
      <c r="E33" s="7">
        <f>C33*i</f>
        <v>0</v>
      </c>
      <c r="F33" s="7">
        <f>IF(N33="Amortissement", F33-D33, 0)</f>
        <v>0</v>
      </c>
      <c r="G33" s="7">
        <f>IF(25&lt;=DiffN, IF(DiffMode="Total (capitalisation)", 0, D33), PMTnom)</f>
        <v>0</v>
      </c>
      <c r="H33" s="7">
        <f>IF(AssType="Sur capital initial (%)", AssTau/12*PNom, IF(AssType="Sur CRD (%)", AssTau/12*C33, IF(AssType="Montant fixe/mois", AssFixe, 0)))</f>
        <v>0</v>
      </c>
      <c r="I33" s="7">
        <f>FraisRec</f>
        <v>0</v>
      </c>
      <c r="J33" s="7">
        <f>F33+G33+H33</f>
        <v>0</v>
      </c>
      <c r="K33" s="7">
        <f>-(I33+L33)</f>
        <v>0</v>
      </c>
      <c r="L33" s="7">
        <f>IF(N33="Différé total", C33+D33, IF(N33="Intérêts seuls", C33, C33-E33))</f>
        <v>0</v>
      </c>
      <c r="M33" s="7">
        <f>IF(25=Nmois, FVballon, 0)</f>
        <v>0</v>
      </c>
      <c r="N33">
        <f>IF(25&lt;=DiffN, IF(DiffMode="Total (capitalisation)","Différé total","Intérêts seuls"), "Amortissement")</f>
        <v>0</v>
      </c>
    </row>
    <row r="34" spans="2:14">
      <c r="B34" s="11">
        <v>26</v>
      </c>
      <c r="C34" s="6">
        <f>EDATE(Date0,26)</f>
        <v>0</v>
      </c>
      <c r="D34" s="7">
        <f>K33</f>
        <v>0</v>
      </c>
      <c r="E34" s="7">
        <f>C34*i</f>
        <v>0</v>
      </c>
      <c r="F34" s="7">
        <f>IF(N34="Amortissement", F34-D34, 0)</f>
        <v>0</v>
      </c>
      <c r="G34" s="7">
        <f>IF(26&lt;=DiffN, IF(DiffMode="Total (capitalisation)", 0, D34), PMTnom)</f>
        <v>0</v>
      </c>
      <c r="H34" s="7">
        <f>IF(AssType="Sur capital initial (%)", AssTau/12*PNom, IF(AssType="Sur CRD (%)", AssTau/12*C34, IF(AssType="Montant fixe/mois", AssFixe, 0)))</f>
        <v>0</v>
      </c>
      <c r="I34" s="7">
        <f>FraisRec</f>
        <v>0</v>
      </c>
      <c r="J34" s="7">
        <f>F34+G34+H34</f>
        <v>0</v>
      </c>
      <c r="K34" s="7">
        <f>-(I34+L34)</f>
        <v>0</v>
      </c>
      <c r="L34" s="7">
        <f>IF(N34="Différé total", C34+D34, IF(N34="Intérêts seuls", C34, C34-E34))</f>
        <v>0</v>
      </c>
      <c r="M34" s="7">
        <f>IF(26=Nmois, FVballon, 0)</f>
        <v>0</v>
      </c>
      <c r="N34">
        <f>IF(26&lt;=DiffN, IF(DiffMode="Total (capitalisation)","Différé total","Intérêts seuls"), "Amortissement")</f>
        <v>0</v>
      </c>
    </row>
    <row r="35" spans="2:14">
      <c r="B35" s="4">
        <v>27</v>
      </c>
      <c r="C35" s="6">
        <f>EDATE(Date0,27)</f>
        <v>0</v>
      </c>
      <c r="D35" s="7">
        <f>K34</f>
        <v>0</v>
      </c>
      <c r="E35" s="7">
        <f>C35*i</f>
        <v>0</v>
      </c>
      <c r="F35" s="7">
        <f>IF(N35="Amortissement", F35-D35, 0)</f>
        <v>0</v>
      </c>
      <c r="G35" s="7">
        <f>IF(27&lt;=DiffN, IF(DiffMode="Total (capitalisation)", 0, D35), PMTnom)</f>
        <v>0</v>
      </c>
      <c r="H35" s="7">
        <f>IF(AssType="Sur capital initial (%)", AssTau/12*PNom, IF(AssType="Sur CRD (%)", AssTau/12*C35, IF(AssType="Montant fixe/mois", AssFixe, 0)))</f>
        <v>0</v>
      </c>
      <c r="I35" s="7">
        <f>FraisRec</f>
        <v>0</v>
      </c>
      <c r="J35" s="7">
        <f>F35+G35+H35</f>
        <v>0</v>
      </c>
      <c r="K35" s="7">
        <f>-(I35+L35)</f>
        <v>0</v>
      </c>
      <c r="L35" s="7">
        <f>IF(N35="Différé total", C35+D35, IF(N35="Intérêts seuls", C35, C35-E35))</f>
        <v>0</v>
      </c>
      <c r="M35" s="7">
        <f>IF(27=Nmois, FVballon, 0)</f>
        <v>0</v>
      </c>
      <c r="N35">
        <f>IF(27&lt;=DiffN, IF(DiffMode="Total (capitalisation)","Différé total","Intérêts seuls"), "Amortissement")</f>
        <v>0</v>
      </c>
    </row>
    <row r="36" spans="2:14">
      <c r="B36" s="11">
        <v>28</v>
      </c>
      <c r="C36" s="6">
        <f>EDATE(Date0,28)</f>
        <v>0</v>
      </c>
      <c r="D36" s="7">
        <f>K35</f>
        <v>0</v>
      </c>
      <c r="E36" s="7">
        <f>C36*i</f>
        <v>0</v>
      </c>
      <c r="F36" s="7">
        <f>IF(N36="Amortissement", F36-D36, 0)</f>
        <v>0</v>
      </c>
      <c r="G36" s="7">
        <f>IF(28&lt;=DiffN, IF(DiffMode="Total (capitalisation)", 0, D36), PMTnom)</f>
        <v>0</v>
      </c>
      <c r="H36" s="7">
        <f>IF(AssType="Sur capital initial (%)", AssTau/12*PNom, IF(AssType="Sur CRD (%)", AssTau/12*C36, IF(AssType="Montant fixe/mois", AssFixe, 0)))</f>
        <v>0</v>
      </c>
      <c r="I36" s="7">
        <f>FraisRec</f>
        <v>0</v>
      </c>
      <c r="J36" s="7">
        <f>F36+G36+H36</f>
        <v>0</v>
      </c>
      <c r="K36" s="7">
        <f>-(I36+L36)</f>
        <v>0</v>
      </c>
      <c r="L36" s="7">
        <f>IF(N36="Différé total", C36+D36, IF(N36="Intérêts seuls", C36, C36-E36))</f>
        <v>0</v>
      </c>
      <c r="M36" s="7">
        <f>IF(28=Nmois, FVballon, 0)</f>
        <v>0</v>
      </c>
      <c r="N36">
        <f>IF(28&lt;=DiffN, IF(DiffMode="Total (capitalisation)","Différé total","Intérêts seuls"), "Amortissement")</f>
        <v>0</v>
      </c>
    </row>
    <row r="37" spans="2:14">
      <c r="B37" s="4">
        <v>29</v>
      </c>
      <c r="C37" s="6">
        <f>EDATE(Date0,29)</f>
        <v>0</v>
      </c>
      <c r="D37" s="7">
        <f>K36</f>
        <v>0</v>
      </c>
      <c r="E37" s="7">
        <f>C37*i</f>
        <v>0</v>
      </c>
      <c r="F37" s="7">
        <f>IF(N37="Amortissement", F37-D37, 0)</f>
        <v>0</v>
      </c>
      <c r="G37" s="7">
        <f>IF(29&lt;=DiffN, IF(DiffMode="Total (capitalisation)", 0, D37), PMTnom)</f>
        <v>0</v>
      </c>
      <c r="H37" s="7">
        <f>IF(AssType="Sur capital initial (%)", AssTau/12*PNom, IF(AssType="Sur CRD (%)", AssTau/12*C37, IF(AssType="Montant fixe/mois", AssFixe, 0)))</f>
        <v>0</v>
      </c>
      <c r="I37" s="7">
        <f>FraisRec</f>
        <v>0</v>
      </c>
      <c r="J37" s="7">
        <f>F37+G37+H37</f>
        <v>0</v>
      </c>
      <c r="K37" s="7">
        <f>-(I37+L37)</f>
        <v>0</v>
      </c>
      <c r="L37" s="7">
        <f>IF(N37="Différé total", C37+D37, IF(N37="Intérêts seuls", C37, C37-E37))</f>
        <v>0</v>
      </c>
      <c r="M37" s="7">
        <f>IF(29=Nmois, FVballon, 0)</f>
        <v>0</v>
      </c>
      <c r="N37">
        <f>IF(29&lt;=DiffN, IF(DiffMode="Total (capitalisation)","Différé total","Intérêts seuls"), "Amortissement")</f>
        <v>0</v>
      </c>
    </row>
    <row r="38" spans="2:14">
      <c r="B38" s="11">
        <v>30</v>
      </c>
      <c r="C38" s="6">
        <f>EDATE(Date0,30)</f>
        <v>0</v>
      </c>
      <c r="D38" s="7">
        <f>K37</f>
        <v>0</v>
      </c>
      <c r="E38" s="7">
        <f>C38*i</f>
        <v>0</v>
      </c>
      <c r="F38" s="7">
        <f>IF(N38="Amortissement", F38-D38, 0)</f>
        <v>0</v>
      </c>
      <c r="G38" s="7">
        <f>IF(30&lt;=DiffN, IF(DiffMode="Total (capitalisation)", 0, D38), PMTnom)</f>
        <v>0</v>
      </c>
      <c r="H38" s="7">
        <f>IF(AssType="Sur capital initial (%)", AssTau/12*PNom, IF(AssType="Sur CRD (%)", AssTau/12*C38, IF(AssType="Montant fixe/mois", AssFixe, 0)))</f>
        <v>0</v>
      </c>
      <c r="I38" s="7">
        <f>FraisRec</f>
        <v>0</v>
      </c>
      <c r="J38" s="7">
        <f>F38+G38+H38</f>
        <v>0</v>
      </c>
      <c r="K38" s="7">
        <f>-(I38+L38)</f>
        <v>0</v>
      </c>
      <c r="L38" s="7">
        <f>IF(N38="Différé total", C38+D38, IF(N38="Intérêts seuls", C38, C38-E38))</f>
        <v>0</v>
      </c>
      <c r="M38" s="7">
        <f>IF(30=Nmois, FVballon, 0)</f>
        <v>0</v>
      </c>
      <c r="N38">
        <f>IF(30&lt;=DiffN, IF(DiffMode="Total (capitalisation)","Différé total","Intérêts seuls"), "Amortissement")</f>
        <v>0</v>
      </c>
    </row>
    <row r="39" spans="2:14">
      <c r="B39" s="4">
        <v>31</v>
      </c>
      <c r="C39" s="6">
        <f>EDATE(Date0,31)</f>
        <v>0</v>
      </c>
      <c r="D39" s="7">
        <f>K38</f>
        <v>0</v>
      </c>
      <c r="E39" s="7">
        <f>C39*i</f>
        <v>0</v>
      </c>
      <c r="F39" s="7">
        <f>IF(N39="Amortissement", F39-D39, 0)</f>
        <v>0</v>
      </c>
      <c r="G39" s="7">
        <f>IF(31&lt;=DiffN, IF(DiffMode="Total (capitalisation)", 0, D39), PMTnom)</f>
        <v>0</v>
      </c>
      <c r="H39" s="7">
        <f>IF(AssType="Sur capital initial (%)", AssTau/12*PNom, IF(AssType="Sur CRD (%)", AssTau/12*C39, IF(AssType="Montant fixe/mois", AssFixe, 0)))</f>
        <v>0</v>
      </c>
      <c r="I39" s="7">
        <f>FraisRec</f>
        <v>0</v>
      </c>
      <c r="J39" s="7">
        <f>F39+G39+H39</f>
        <v>0</v>
      </c>
      <c r="K39" s="7">
        <f>-(I39+L39)</f>
        <v>0</v>
      </c>
      <c r="L39" s="7">
        <f>IF(N39="Différé total", C39+D39, IF(N39="Intérêts seuls", C39, C39-E39))</f>
        <v>0</v>
      </c>
      <c r="M39" s="7">
        <f>IF(31=Nmois, FVballon, 0)</f>
        <v>0</v>
      </c>
      <c r="N39">
        <f>IF(31&lt;=DiffN, IF(DiffMode="Total (capitalisation)","Différé total","Intérêts seuls"), "Amortissement")</f>
        <v>0</v>
      </c>
    </row>
    <row r="40" spans="2:14">
      <c r="B40" s="11">
        <v>32</v>
      </c>
      <c r="C40" s="6">
        <f>EDATE(Date0,32)</f>
        <v>0</v>
      </c>
      <c r="D40" s="7">
        <f>K39</f>
        <v>0</v>
      </c>
      <c r="E40" s="7">
        <f>C40*i</f>
        <v>0</v>
      </c>
      <c r="F40" s="7">
        <f>IF(N40="Amortissement", F40-D40, 0)</f>
        <v>0</v>
      </c>
      <c r="G40" s="7">
        <f>IF(32&lt;=DiffN, IF(DiffMode="Total (capitalisation)", 0, D40), PMTnom)</f>
        <v>0</v>
      </c>
      <c r="H40" s="7">
        <f>IF(AssType="Sur capital initial (%)", AssTau/12*PNom, IF(AssType="Sur CRD (%)", AssTau/12*C40, IF(AssType="Montant fixe/mois", AssFixe, 0)))</f>
        <v>0</v>
      </c>
      <c r="I40" s="7">
        <f>FraisRec</f>
        <v>0</v>
      </c>
      <c r="J40" s="7">
        <f>F40+G40+H40</f>
        <v>0</v>
      </c>
      <c r="K40" s="7">
        <f>-(I40+L40)</f>
        <v>0</v>
      </c>
      <c r="L40" s="7">
        <f>IF(N40="Différé total", C40+D40, IF(N40="Intérêts seuls", C40, C40-E40))</f>
        <v>0</v>
      </c>
      <c r="M40" s="7">
        <f>IF(32=Nmois, FVballon, 0)</f>
        <v>0</v>
      </c>
      <c r="N40">
        <f>IF(32&lt;=DiffN, IF(DiffMode="Total (capitalisation)","Différé total","Intérêts seuls"), "Amortissement")</f>
        <v>0</v>
      </c>
    </row>
    <row r="41" spans="2:14">
      <c r="B41" s="4">
        <v>33</v>
      </c>
      <c r="C41" s="6">
        <f>EDATE(Date0,33)</f>
        <v>0</v>
      </c>
      <c r="D41" s="7">
        <f>K40</f>
        <v>0</v>
      </c>
      <c r="E41" s="7">
        <f>C41*i</f>
        <v>0</v>
      </c>
      <c r="F41" s="7">
        <f>IF(N41="Amortissement", F41-D41, 0)</f>
        <v>0</v>
      </c>
      <c r="G41" s="7">
        <f>IF(33&lt;=DiffN, IF(DiffMode="Total (capitalisation)", 0, D41), PMTnom)</f>
        <v>0</v>
      </c>
      <c r="H41" s="7">
        <f>IF(AssType="Sur capital initial (%)", AssTau/12*PNom, IF(AssType="Sur CRD (%)", AssTau/12*C41, IF(AssType="Montant fixe/mois", AssFixe, 0)))</f>
        <v>0</v>
      </c>
      <c r="I41" s="7">
        <f>FraisRec</f>
        <v>0</v>
      </c>
      <c r="J41" s="7">
        <f>F41+G41+H41</f>
        <v>0</v>
      </c>
      <c r="K41" s="7">
        <f>-(I41+L41)</f>
        <v>0</v>
      </c>
      <c r="L41" s="7">
        <f>IF(N41="Différé total", C41+D41, IF(N41="Intérêts seuls", C41, C41-E41))</f>
        <v>0</v>
      </c>
      <c r="M41" s="7">
        <f>IF(33=Nmois, FVballon, 0)</f>
        <v>0</v>
      </c>
      <c r="N41">
        <f>IF(33&lt;=DiffN, IF(DiffMode="Total (capitalisation)","Différé total","Intérêts seuls"), "Amortissement")</f>
        <v>0</v>
      </c>
    </row>
    <row r="42" spans="2:14">
      <c r="B42" s="11">
        <v>34</v>
      </c>
      <c r="C42" s="6">
        <f>EDATE(Date0,34)</f>
        <v>0</v>
      </c>
      <c r="D42" s="7">
        <f>K41</f>
        <v>0</v>
      </c>
      <c r="E42" s="7">
        <f>C42*i</f>
        <v>0</v>
      </c>
      <c r="F42" s="7">
        <f>IF(N42="Amortissement", F42-D42, 0)</f>
        <v>0</v>
      </c>
      <c r="G42" s="7">
        <f>IF(34&lt;=DiffN, IF(DiffMode="Total (capitalisation)", 0, D42), PMTnom)</f>
        <v>0</v>
      </c>
      <c r="H42" s="7">
        <f>IF(AssType="Sur capital initial (%)", AssTau/12*PNom, IF(AssType="Sur CRD (%)", AssTau/12*C42, IF(AssType="Montant fixe/mois", AssFixe, 0)))</f>
        <v>0</v>
      </c>
      <c r="I42" s="7">
        <f>FraisRec</f>
        <v>0</v>
      </c>
      <c r="J42" s="7">
        <f>F42+G42+H42</f>
        <v>0</v>
      </c>
      <c r="K42" s="7">
        <f>-(I42+L42)</f>
        <v>0</v>
      </c>
      <c r="L42" s="7">
        <f>IF(N42="Différé total", C42+D42, IF(N42="Intérêts seuls", C42, C42-E42))</f>
        <v>0</v>
      </c>
      <c r="M42" s="7">
        <f>IF(34=Nmois, FVballon, 0)</f>
        <v>0</v>
      </c>
      <c r="N42">
        <f>IF(34&lt;=DiffN, IF(DiffMode="Total (capitalisation)","Différé total","Intérêts seuls"), "Amortissement")</f>
        <v>0</v>
      </c>
    </row>
    <row r="43" spans="2:14">
      <c r="B43" s="4">
        <v>35</v>
      </c>
      <c r="C43" s="6">
        <f>EDATE(Date0,35)</f>
        <v>0</v>
      </c>
      <c r="D43" s="7">
        <f>K42</f>
        <v>0</v>
      </c>
      <c r="E43" s="7">
        <f>C43*i</f>
        <v>0</v>
      </c>
      <c r="F43" s="7">
        <f>IF(N43="Amortissement", F43-D43, 0)</f>
        <v>0</v>
      </c>
      <c r="G43" s="7">
        <f>IF(35&lt;=DiffN, IF(DiffMode="Total (capitalisation)", 0, D43), PMTnom)</f>
        <v>0</v>
      </c>
      <c r="H43" s="7">
        <f>IF(AssType="Sur capital initial (%)", AssTau/12*PNom, IF(AssType="Sur CRD (%)", AssTau/12*C43, IF(AssType="Montant fixe/mois", AssFixe, 0)))</f>
        <v>0</v>
      </c>
      <c r="I43" s="7">
        <f>FraisRec</f>
        <v>0</v>
      </c>
      <c r="J43" s="7">
        <f>F43+G43+H43</f>
        <v>0</v>
      </c>
      <c r="K43" s="7">
        <f>-(I43+L43)</f>
        <v>0</v>
      </c>
      <c r="L43" s="7">
        <f>IF(N43="Différé total", C43+D43, IF(N43="Intérêts seuls", C43, C43-E43))</f>
        <v>0</v>
      </c>
      <c r="M43" s="7">
        <f>IF(35=Nmois, FVballon, 0)</f>
        <v>0</v>
      </c>
      <c r="N43">
        <f>IF(35&lt;=DiffN, IF(DiffMode="Total (capitalisation)","Différé total","Intérêts seuls"), "Amortissement")</f>
        <v>0</v>
      </c>
    </row>
    <row r="44" spans="2:14">
      <c r="B44" s="11">
        <v>36</v>
      </c>
      <c r="C44" s="6">
        <f>EDATE(Date0,36)</f>
        <v>0</v>
      </c>
      <c r="D44" s="7">
        <f>K43</f>
        <v>0</v>
      </c>
      <c r="E44" s="7">
        <f>C44*i</f>
        <v>0</v>
      </c>
      <c r="F44" s="7">
        <f>IF(N44="Amortissement", F44-D44, 0)</f>
        <v>0</v>
      </c>
      <c r="G44" s="7">
        <f>IF(36&lt;=DiffN, IF(DiffMode="Total (capitalisation)", 0, D44), PMTnom)</f>
        <v>0</v>
      </c>
      <c r="H44" s="7">
        <f>IF(AssType="Sur capital initial (%)", AssTau/12*PNom, IF(AssType="Sur CRD (%)", AssTau/12*C44, IF(AssType="Montant fixe/mois", AssFixe, 0)))</f>
        <v>0</v>
      </c>
      <c r="I44" s="7">
        <f>FraisRec</f>
        <v>0</v>
      </c>
      <c r="J44" s="7">
        <f>F44+G44+H44</f>
        <v>0</v>
      </c>
      <c r="K44" s="7">
        <f>-(I44+L44)</f>
        <v>0</v>
      </c>
      <c r="L44" s="7">
        <f>IF(N44="Différé total", C44+D44, IF(N44="Intérêts seuls", C44, C44-E44))</f>
        <v>0</v>
      </c>
      <c r="M44" s="7">
        <f>IF(36=Nmois, FVballon, 0)</f>
        <v>0</v>
      </c>
      <c r="N44">
        <f>IF(36&lt;=DiffN, IF(DiffMode="Total (capitalisation)","Différé total","Intérêts seuls"), "Amortissement")</f>
        <v>0</v>
      </c>
    </row>
    <row r="45" spans="2:14">
      <c r="B45" s="4">
        <v>37</v>
      </c>
      <c r="C45" s="6">
        <f>EDATE(Date0,37)</f>
        <v>0</v>
      </c>
      <c r="D45" s="7">
        <f>K44</f>
        <v>0</v>
      </c>
      <c r="E45" s="7">
        <f>C45*i</f>
        <v>0</v>
      </c>
      <c r="F45" s="7">
        <f>IF(N45="Amortissement", F45-D45, 0)</f>
        <v>0</v>
      </c>
      <c r="G45" s="7">
        <f>IF(37&lt;=DiffN, IF(DiffMode="Total (capitalisation)", 0, D45), PMTnom)</f>
        <v>0</v>
      </c>
      <c r="H45" s="7">
        <f>IF(AssType="Sur capital initial (%)", AssTau/12*PNom, IF(AssType="Sur CRD (%)", AssTau/12*C45, IF(AssType="Montant fixe/mois", AssFixe, 0)))</f>
        <v>0</v>
      </c>
      <c r="I45" s="7">
        <f>FraisRec</f>
        <v>0</v>
      </c>
      <c r="J45" s="7">
        <f>F45+G45+H45</f>
        <v>0</v>
      </c>
      <c r="K45" s="7">
        <f>-(I45+L45)</f>
        <v>0</v>
      </c>
      <c r="L45" s="7">
        <f>IF(N45="Différé total", C45+D45, IF(N45="Intérêts seuls", C45, C45-E45))</f>
        <v>0</v>
      </c>
      <c r="M45" s="7">
        <f>IF(37=Nmois, FVballon, 0)</f>
        <v>0</v>
      </c>
      <c r="N45">
        <f>IF(37&lt;=DiffN, IF(DiffMode="Total (capitalisation)","Différé total","Intérêts seuls"), "Amortissement")</f>
        <v>0</v>
      </c>
    </row>
    <row r="46" spans="2:14">
      <c r="B46" s="11">
        <v>38</v>
      </c>
      <c r="C46" s="6">
        <f>EDATE(Date0,38)</f>
        <v>0</v>
      </c>
      <c r="D46" s="7">
        <f>K45</f>
        <v>0</v>
      </c>
      <c r="E46" s="7">
        <f>C46*i</f>
        <v>0</v>
      </c>
      <c r="F46" s="7">
        <f>IF(N46="Amortissement", F46-D46, 0)</f>
        <v>0</v>
      </c>
      <c r="G46" s="7">
        <f>IF(38&lt;=DiffN, IF(DiffMode="Total (capitalisation)", 0, D46), PMTnom)</f>
        <v>0</v>
      </c>
      <c r="H46" s="7">
        <f>IF(AssType="Sur capital initial (%)", AssTau/12*PNom, IF(AssType="Sur CRD (%)", AssTau/12*C46, IF(AssType="Montant fixe/mois", AssFixe, 0)))</f>
        <v>0</v>
      </c>
      <c r="I46" s="7">
        <f>FraisRec</f>
        <v>0</v>
      </c>
      <c r="J46" s="7">
        <f>F46+G46+H46</f>
        <v>0</v>
      </c>
      <c r="K46" s="7">
        <f>-(I46+L46)</f>
        <v>0</v>
      </c>
      <c r="L46" s="7">
        <f>IF(N46="Différé total", C46+D46, IF(N46="Intérêts seuls", C46, C46-E46))</f>
        <v>0</v>
      </c>
      <c r="M46" s="7">
        <f>IF(38=Nmois, FVballon, 0)</f>
        <v>0</v>
      </c>
      <c r="N46">
        <f>IF(38&lt;=DiffN, IF(DiffMode="Total (capitalisation)","Différé total","Intérêts seuls"), "Amortissement")</f>
        <v>0</v>
      </c>
    </row>
    <row r="47" spans="2:14">
      <c r="B47" s="4">
        <v>39</v>
      </c>
      <c r="C47" s="6">
        <f>EDATE(Date0,39)</f>
        <v>0</v>
      </c>
      <c r="D47" s="7">
        <f>K46</f>
        <v>0</v>
      </c>
      <c r="E47" s="7">
        <f>C47*i</f>
        <v>0</v>
      </c>
      <c r="F47" s="7">
        <f>IF(N47="Amortissement", F47-D47, 0)</f>
        <v>0</v>
      </c>
      <c r="G47" s="7">
        <f>IF(39&lt;=DiffN, IF(DiffMode="Total (capitalisation)", 0, D47), PMTnom)</f>
        <v>0</v>
      </c>
      <c r="H47" s="7">
        <f>IF(AssType="Sur capital initial (%)", AssTau/12*PNom, IF(AssType="Sur CRD (%)", AssTau/12*C47, IF(AssType="Montant fixe/mois", AssFixe, 0)))</f>
        <v>0</v>
      </c>
      <c r="I47" s="7">
        <f>FraisRec</f>
        <v>0</v>
      </c>
      <c r="J47" s="7">
        <f>F47+G47+H47</f>
        <v>0</v>
      </c>
      <c r="K47" s="7">
        <f>-(I47+L47)</f>
        <v>0</v>
      </c>
      <c r="L47" s="7">
        <f>IF(N47="Différé total", C47+D47, IF(N47="Intérêts seuls", C47, C47-E47))</f>
        <v>0</v>
      </c>
      <c r="M47" s="7">
        <f>IF(39=Nmois, FVballon, 0)</f>
        <v>0</v>
      </c>
      <c r="N47">
        <f>IF(39&lt;=DiffN, IF(DiffMode="Total (capitalisation)","Différé total","Intérêts seuls"), "Amortissement")</f>
        <v>0</v>
      </c>
    </row>
    <row r="48" spans="2:14">
      <c r="B48" s="11">
        <v>40</v>
      </c>
      <c r="C48" s="6">
        <f>EDATE(Date0,40)</f>
        <v>0</v>
      </c>
      <c r="D48" s="7">
        <f>K47</f>
        <v>0</v>
      </c>
      <c r="E48" s="7">
        <f>C48*i</f>
        <v>0</v>
      </c>
      <c r="F48" s="7">
        <f>IF(N48="Amortissement", F48-D48, 0)</f>
        <v>0</v>
      </c>
      <c r="G48" s="7">
        <f>IF(40&lt;=DiffN, IF(DiffMode="Total (capitalisation)", 0, D48), PMTnom)</f>
        <v>0</v>
      </c>
      <c r="H48" s="7">
        <f>IF(AssType="Sur capital initial (%)", AssTau/12*PNom, IF(AssType="Sur CRD (%)", AssTau/12*C48, IF(AssType="Montant fixe/mois", AssFixe, 0)))</f>
        <v>0</v>
      </c>
      <c r="I48" s="7">
        <f>FraisRec</f>
        <v>0</v>
      </c>
      <c r="J48" s="7">
        <f>F48+G48+H48</f>
        <v>0</v>
      </c>
      <c r="K48" s="7">
        <f>-(I48+L48)</f>
        <v>0</v>
      </c>
      <c r="L48" s="7">
        <f>IF(N48="Différé total", C48+D48, IF(N48="Intérêts seuls", C48, C48-E48))</f>
        <v>0</v>
      </c>
      <c r="M48" s="7">
        <f>IF(40=Nmois, FVballon, 0)</f>
        <v>0</v>
      </c>
      <c r="N48">
        <f>IF(40&lt;=DiffN, IF(DiffMode="Total (capitalisation)","Différé total","Intérêts seuls"), "Amortissement")</f>
        <v>0</v>
      </c>
    </row>
    <row r="49" spans="2:14">
      <c r="B49" s="4">
        <v>41</v>
      </c>
      <c r="C49" s="6">
        <f>EDATE(Date0,41)</f>
        <v>0</v>
      </c>
      <c r="D49" s="7">
        <f>K48</f>
        <v>0</v>
      </c>
      <c r="E49" s="7">
        <f>C49*i</f>
        <v>0</v>
      </c>
      <c r="F49" s="7">
        <f>IF(N49="Amortissement", F49-D49, 0)</f>
        <v>0</v>
      </c>
      <c r="G49" s="7">
        <f>IF(41&lt;=DiffN, IF(DiffMode="Total (capitalisation)", 0, D49), PMTnom)</f>
        <v>0</v>
      </c>
      <c r="H49" s="7">
        <f>IF(AssType="Sur capital initial (%)", AssTau/12*PNom, IF(AssType="Sur CRD (%)", AssTau/12*C49, IF(AssType="Montant fixe/mois", AssFixe, 0)))</f>
        <v>0</v>
      </c>
      <c r="I49" s="7">
        <f>FraisRec</f>
        <v>0</v>
      </c>
      <c r="J49" s="7">
        <f>F49+G49+H49</f>
        <v>0</v>
      </c>
      <c r="K49" s="7">
        <f>-(I49+L49)</f>
        <v>0</v>
      </c>
      <c r="L49" s="7">
        <f>IF(N49="Différé total", C49+D49, IF(N49="Intérêts seuls", C49, C49-E49))</f>
        <v>0</v>
      </c>
      <c r="M49" s="7">
        <f>IF(41=Nmois, FVballon, 0)</f>
        <v>0</v>
      </c>
      <c r="N49">
        <f>IF(41&lt;=DiffN, IF(DiffMode="Total (capitalisation)","Différé total","Intérêts seuls"), "Amortissement")</f>
        <v>0</v>
      </c>
    </row>
    <row r="50" spans="2:14">
      <c r="B50" s="11">
        <v>42</v>
      </c>
      <c r="C50" s="6">
        <f>EDATE(Date0,42)</f>
        <v>0</v>
      </c>
      <c r="D50" s="7">
        <f>K49</f>
        <v>0</v>
      </c>
      <c r="E50" s="7">
        <f>C50*i</f>
        <v>0</v>
      </c>
      <c r="F50" s="7">
        <f>IF(N50="Amortissement", F50-D50, 0)</f>
        <v>0</v>
      </c>
      <c r="G50" s="7">
        <f>IF(42&lt;=DiffN, IF(DiffMode="Total (capitalisation)", 0, D50), PMTnom)</f>
        <v>0</v>
      </c>
      <c r="H50" s="7">
        <f>IF(AssType="Sur capital initial (%)", AssTau/12*PNom, IF(AssType="Sur CRD (%)", AssTau/12*C50, IF(AssType="Montant fixe/mois", AssFixe, 0)))</f>
        <v>0</v>
      </c>
      <c r="I50" s="7">
        <f>FraisRec</f>
        <v>0</v>
      </c>
      <c r="J50" s="7">
        <f>F50+G50+H50</f>
        <v>0</v>
      </c>
      <c r="K50" s="7">
        <f>-(I50+L50)</f>
        <v>0</v>
      </c>
      <c r="L50" s="7">
        <f>IF(N50="Différé total", C50+D50, IF(N50="Intérêts seuls", C50, C50-E50))</f>
        <v>0</v>
      </c>
      <c r="M50" s="7">
        <f>IF(42=Nmois, FVballon, 0)</f>
        <v>0</v>
      </c>
      <c r="N50">
        <f>IF(42&lt;=DiffN, IF(DiffMode="Total (capitalisation)","Différé total","Intérêts seuls"), "Amortissement")</f>
        <v>0</v>
      </c>
    </row>
    <row r="51" spans="2:14">
      <c r="B51" s="4">
        <v>43</v>
      </c>
      <c r="C51" s="6">
        <f>EDATE(Date0,43)</f>
        <v>0</v>
      </c>
      <c r="D51" s="7">
        <f>K50</f>
        <v>0</v>
      </c>
      <c r="E51" s="7">
        <f>C51*i</f>
        <v>0</v>
      </c>
      <c r="F51" s="7">
        <f>IF(N51="Amortissement", F51-D51, 0)</f>
        <v>0</v>
      </c>
      <c r="G51" s="7">
        <f>IF(43&lt;=DiffN, IF(DiffMode="Total (capitalisation)", 0, D51), PMTnom)</f>
        <v>0</v>
      </c>
      <c r="H51" s="7">
        <f>IF(AssType="Sur capital initial (%)", AssTau/12*PNom, IF(AssType="Sur CRD (%)", AssTau/12*C51, IF(AssType="Montant fixe/mois", AssFixe, 0)))</f>
        <v>0</v>
      </c>
      <c r="I51" s="7">
        <f>FraisRec</f>
        <v>0</v>
      </c>
      <c r="J51" s="7">
        <f>F51+G51+H51</f>
        <v>0</v>
      </c>
      <c r="K51" s="7">
        <f>-(I51+L51)</f>
        <v>0</v>
      </c>
      <c r="L51" s="7">
        <f>IF(N51="Différé total", C51+D51, IF(N51="Intérêts seuls", C51, C51-E51))</f>
        <v>0</v>
      </c>
      <c r="M51" s="7">
        <f>IF(43=Nmois, FVballon, 0)</f>
        <v>0</v>
      </c>
      <c r="N51">
        <f>IF(43&lt;=DiffN, IF(DiffMode="Total (capitalisation)","Différé total","Intérêts seuls"), "Amortissement")</f>
        <v>0</v>
      </c>
    </row>
    <row r="52" spans="2:14">
      <c r="B52" s="11">
        <v>44</v>
      </c>
      <c r="C52" s="6">
        <f>EDATE(Date0,44)</f>
        <v>0</v>
      </c>
      <c r="D52" s="7">
        <f>K51</f>
        <v>0</v>
      </c>
      <c r="E52" s="7">
        <f>C52*i</f>
        <v>0</v>
      </c>
      <c r="F52" s="7">
        <f>IF(N52="Amortissement", F52-D52, 0)</f>
        <v>0</v>
      </c>
      <c r="G52" s="7">
        <f>IF(44&lt;=DiffN, IF(DiffMode="Total (capitalisation)", 0, D52), PMTnom)</f>
        <v>0</v>
      </c>
      <c r="H52" s="7">
        <f>IF(AssType="Sur capital initial (%)", AssTau/12*PNom, IF(AssType="Sur CRD (%)", AssTau/12*C52, IF(AssType="Montant fixe/mois", AssFixe, 0)))</f>
        <v>0</v>
      </c>
      <c r="I52" s="7">
        <f>FraisRec</f>
        <v>0</v>
      </c>
      <c r="J52" s="7">
        <f>F52+G52+H52</f>
        <v>0</v>
      </c>
      <c r="K52" s="7">
        <f>-(I52+L52)</f>
        <v>0</v>
      </c>
      <c r="L52" s="7">
        <f>IF(N52="Différé total", C52+D52, IF(N52="Intérêts seuls", C52, C52-E52))</f>
        <v>0</v>
      </c>
      <c r="M52" s="7">
        <f>IF(44=Nmois, FVballon, 0)</f>
        <v>0</v>
      </c>
      <c r="N52">
        <f>IF(44&lt;=DiffN, IF(DiffMode="Total (capitalisation)","Différé total","Intérêts seuls"), "Amortissement")</f>
        <v>0</v>
      </c>
    </row>
    <row r="53" spans="2:14">
      <c r="B53" s="4">
        <v>45</v>
      </c>
      <c r="C53" s="6">
        <f>EDATE(Date0,45)</f>
        <v>0</v>
      </c>
      <c r="D53" s="7">
        <f>K52</f>
        <v>0</v>
      </c>
      <c r="E53" s="7">
        <f>C53*i</f>
        <v>0</v>
      </c>
      <c r="F53" s="7">
        <f>IF(N53="Amortissement", F53-D53, 0)</f>
        <v>0</v>
      </c>
      <c r="G53" s="7">
        <f>IF(45&lt;=DiffN, IF(DiffMode="Total (capitalisation)", 0, D53), PMTnom)</f>
        <v>0</v>
      </c>
      <c r="H53" s="7">
        <f>IF(AssType="Sur capital initial (%)", AssTau/12*PNom, IF(AssType="Sur CRD (%)", AssTau/12*C53, IF(AssType="Montant fixe/mois", AssFixe, 0)))</f>
        <v>0</v>
      </c>
      <c r="I53" s="7">
        <f>FraisRec</f>
        <v>0</v>
      </c>
      <c r="J53" s="7">
        <f>F53+G53+H53</f>
        <v>0</v>
      </c>
      <c r="K53" s="7">
        <f>-(I53+L53)</f>
        <v>0</v>
      </c>
      <c r="L53" s="7">
        <f>IF(N53="Différé total", C53+D53, IF(N53="Intérêts seuls", C53, C53-E53))</f>
        <v>0</v>
      </c>
      <c r="M53" s="7">
        <f>IF(45=Nmois, FVballon, 0)</f>
        <v>0</v>
      </c>
      <c r="N53">
        <f>IF(45&lt;=DiffN, IF(DiffMode="Total (capitalisation)","Différé total","Intérêts seuls"), "Amortissement")</f>
        <v>0</v>
      </c>
    </row>
    <row r="54" spans="2:14">
      <c r="B54" s="11">
        <v>46</v>
      </c>
      <c r="C54" s="6">
        <f>EDATE(Date0,46)</f>
        <v>0</v>
      </c>
      <c r="D54" s="7">
        <f>K53</f>
        <v>0</v>
      </c>
      <c r="E54" s="7">
        <f>C54*i</f>
        <v>0</v>
      </c>
      <c r="F54" s="7">
        <f>IF(N54="Amortissement", F54-D54, 0)</f>
        <v>0</v>
      </c>
      <c r="G54" s="7">
        <f>IF(46&lt;=DiffN, IF(DiffMode="Total (capitalisation)", 0, D54), PMTnom)</f>
        <v>0</v>
      </c>
      <c r="H54" s="7">
        <f>IF(AssType="Sur capital initial (%)", AssTau/12*PNom, IF(AssType="Sur CRD (%)", AssTau/12*C54, IF(AssType="Montant fixe/mois", AssFixe, 0)))</f>
        <v>0</v>
      </c>
      <c r="I54" s="7">
        <f>FraisRec</f>
        <v>0</v>
      </c>
      <c r="J54" s="7">
        <f>F54+G54+H54</f>
        <v>0</v>
      </c>
      <c r="K54" s="7">
        <f>-(I54+L54)</f>
        <v>0</v>
      </c>
      <c r="L54" s="7">
        <f>IF(N54="Différé total", C54+D54, IF(N54="Intérêts seuls", C54, C54-E54))</f>
        <v>0</v>
      </c>
      <c r="M54" s="7">
        <f>IF(46=Nmois, FVballon, 0)</f>
        <v>0</v>
      </c>
      <c r="N54">
        <f>IF(46&lt;=DiffN, IF(DiffMode="Total (capitalisation)","Différé total","Intérêts seuls"), "Amortissement")</f>
        <v>0</v>
      </c>
    </row>
    <row r="55" spans="2:14">
      <c r="B55" s="4">
        <v>47</v>
      </c>
      <c r="C55" s="6">
        <f>EDATE(Date0,47)</f>
        <v>0</v>
      </c>
      <c r="D55" s="7">
        <f>K54</f>
        <v>0</v>
      </c>
      <c r="E55" s="7">
        <f>C55*i</f>
        <v>0</v>
      </c>
      <c r="F55" s="7">
        <f>IF(N55="Amortissement", F55-D55, 0)</f>
        <v>0</v>
      </c>
      <c r="G55" s="7">
        <f>IF(47&lt;=DiffN, IF(DiffMode="Total (capitalisation)", 0, D55), PMTnom)</f>
        <v>0</v>
      </c>
      <c r="H55" s="7">
        <f>IF(AssType="Sur capital initial (%)", AssTau/12*PNom, IF(AssType="Sur CRD (%)", AssTau/12*C55, IF(AssType="Montant fixe/mois", AssFixe, 0)))</f>
        <v>0</v>
      </c>
      <c r="I55" s="7">
        <f>FraisRec</f>
        <v>0</v>
      </c>
      <c r="J55" s="7">
        <f>F55+G55+H55</f>
        <v>0</v>
      </c>
      <c r="K55" s="7">
        <f>-(I55+L55)</f>
        <v>0</v>
      </c>
      <c r="L55" s="7">
        <f>IF(N55="Différé total", C55+D55, IF(N55="Intérêts seuls", C55, C55-E55))</f>
        <v>0</v>
      </c>
      <c r="M55" s="7">
        <f>IF(47=Nmois, FVballon, 0)</f>
        <v>0</v>
      </c>
      <c r="N55">
        <f>IF(47&lt;=DiffN, IF(DiffMode="Total (capitalisation)","Différé total","Intérêts seuls"), "Amortissement")</f>
        <v>0</v>
      </c>
    </row>
    <row r="56" spans="2:14">
      <c r="B56" s="11">
        <v>48</v>
      </c>
      <c r="C56" s="6">
        <f>EDATE(Date0,48)</f>
        <v>0</v>
      </c>
      <c r="D56" s="7">
        <f>K55</f>
        <v>0</v>
      </c>
      <c r="E56" s="7">
        <f>C56*i</f>
        <v>0</v>
      </c>
      <c r="F56" s="7">
        <f>IF(N56="Amortissement", F56-D56, 0)</f>
        <v>0</v>
      </c>
      <c r="G56" s="7">
        <f>IF(48&lt;=DiffN, IF(DiffMode="Total (capitalisation)", 0, D56), PMTnom)</f>
        <v>0</v>
      </c>
      <c r="H56" s="7">
        <f>IF(AssType="Sur capital initial (%)", AssTau/12*PNom, IF(AssType="Sur CRD (%)", AssTau/12*C56, IF(AssType="Montant fixe/mois", AssFixe, 0)))</f>
        <v>0</v>
      </c>
      <c r="I56" s="7">
        <f>FraisRec</f>
        <v>0</v>
      </c>
      <c r="J56" s="7">
        <f>F56+G56+H56</f>
        <v>0</v>
      </c>
      <c r="K56" s="7">
        <f>-(I56+L56)</f>
        <v>0</v>
      </c>
      <c r="L56" s="7">
        <f>IF(N56="Différé total", C56+D56, IF(N56="Intérêts seuls", C56, C56-E56))</f>
        <v>0</v>
      </c>
      <c r="M56" s="7">
        <f>IF(48=Nmois, FVballon, 0)</f>
        <v>0</v>
      </c>
      <c r="N56">
        <f>IF(48&lt;=DiffN, IF(DiffMode="Total (capitalisation)","Différé total","Intérêts seuls"), "Amortissement")</f>
        <v>0</v>
      </c>
    </row>
    <row r="57" spans="2:14">
      <c r="B57" s="4">
        <v>49</v>
      </c>
      <c r="C57" s="6">
        <f>EDATE(Date0,49)</f>
        <v>0</v>
      </c>
      <c r="D57" s="7">
        <f>K56</f>
        <v>0</v>
      </c>
      <c r="E57" s="7">
        <f>C57*i</f>
        <v>0</v>
      </c>
      <c r="F57" s="7">
        <f>IF(N57="Amortissement", F57-D57, 0)</f>
        <v>0</v>
      </c>
      <c r="G57" s="7">
        <f>IF(49&lt;=DiffN, IF(DiffMode="Total (capitalisation)", 0, D57), PMTnom)</f>
        <v>0</v>
      </c>
      <c r="H57" s="7">
        <f>IF(AssType="Sur capital initial (%)", AssTau/12*PNom, IF(AssType="Sur CRD (%)", AssTau/12*C57, IF(AssType="Montant fixe/mois", AssFixe, 0)))</f>
        <v>0</v>
      </c>
      <c r="I57" s="7">
        <f>FraisRec</f>
        <v>0</v>
      </c>
      <c r="J57" s="7">
        <f>F57+G57+H57</f>
        <v>0</v>
      </c>
      <c r="K57" s="7">
        <f>-(I57+L57)</f>
        <v>0</v>
      </c>
      <c r="L57" s="7">
        <f>IF(N57="Différé total", C57+D57, IF(N57="Intérêts seuls", C57, C57-E57))</f>
        <v>0</v>
      </c>
      <c r="M57" s="7">
        <f>IF(49=Nmois, FVballon, 0)</f>
        <v>0</v>
      </c>
      <c r="N57">
        <f>IF(49&lt;=DiffN, IF(DiffMode="Total (capitalisation)","Différé total","Intérêts seuls"), "Amortissement")</f>
        <v>0</v>
      </c>
    </row>
    <row r="58" spans="2:14">
      <c r="B58" s="11">
        <v>50</v>
      </c>
      <c r="C58" s="6">
        <f>EDATE(Date0,50)</f>
        <v>0</v>
      </c>
      <c r="D58" s="7">
        <f>K57</f>
        <v>0</v>
      </c>
      <c r="E58" s="7">
        <f>C58*i</f>
        <v>0</v>
      </c>
      <c r="F58" s="7">
        <f>IF(N58="Amortissement", F58-D58, 0)</f>
        <v>0</v>
      </c>
      <c r="G58" s="7">
        <f>IF(50&lt;=DiffN, IF(DiffMode="Total (capitalisation)", 0, D58), PMTnom)</f>
        <v>0</v>
      </c>
      <c r="H58" s="7">
        <f>IF(AssType="Sur capital initial (%)", AssTau/12*PNom, IF(AssType="Sur CRD (%)", AssTau/12*C58, IF(AssType="Montant fixe/mois", AssFixe, 0)))</f>
        <v>0</v>
      </c>
      <c r="I58" s="7">
        <f>FraisRec</f>
        <v>0</v>
      </c>
      <c r="J58" s="7">
        <f>F58+G58+H58</f>
        <v>0</v>
      </c>
      <c r="K58" s="7">
        <f>-(I58+L58)</f>
        <v>0</v>
      </c>
      <c r="L58" s="7">
        <f>IF(N58="Différé total", C58+D58, IF(N58="Intérêts seuls", C58, C58-E58))</f>
        <v>0</v>
      </c>
      <c r="M58" s="7">
        <f>IF(50=Nmois, FVballon, 0)</f>
        <v>0</v>
      </c>
      <c r="N58">
        <f>IF(50&lt;=DiffN, IF(DiffMode="Total (capitalisation)","Différé total","Intérêts seuls"), "Amortissement")</f>
        <v>0</v>
      </c>
    </row>
    <row r="59" spans="2:14">
      <c r="B59" s="4">
        <v>51</v>
      </c>
      <c r="C59" s="6">
        <f>EDATE(Date0,51)</f>
        <v>0</v>
      </c>
      <c r="D59" s="7">
        <f>K58</f>
        <v>0</v>
      </c>
      <c r="E59" s="7">
        <f>C59*i</f>
        <v>0</v>
      </c>
      <c r="F59" s="7">
        <f>IF(N59="Amortissement", F59-D59, 0)</f>
        <v>0</v>
      </c>
      <c r="G59" s="7">
        <f>IF(51&lt;=DiffN, IF(DiffMode="Total (capitalisation)", 0, D59), PMTnom)</f>
        <v>0</v>
      </c>
      <c r="H59" s="7">
        <f>IF(AssType="Sur capital initial (%)", AssTau/12*PNom, IF(AssType="Sur CRD (%)", AssTau/12*C59, IF(AssType="Montant fixe/mois", AssFixe, 0)))</f>
        <v>0</v>
      </c>
      <c r="I59" s="7">
        <f>FraisRec</f>
        <v>0</v>
      </c>
      <c r="J59" s="7">
        <f>F59+G59+H59</f>
        <v>0</v>
      </c>
      <c r="K59" s="7">
        <f>-(I59+L59)</f>
        <v>0</v>
      </c>
      <c r="L59" s="7">
        <f>IF(N59="Différé total", C59+D59, IF(N59="Intérêts seuls", C59, C59-E59))</f>
        <v>0</v>
      </c>
      <c r="M59" s="7">
        <f>IF(51=Nmois, FVballon, 0)</f>
        <v>0</v>
      </c>
      <c r="N59">
        <f>IF(51&lt;=DiffN, IF(DiffMode="Total (capitalisation)","Différé total","Intérêts seuls"), "Amortissement")</f>
        <v>0</v>
      </c>
    </row>
    <row r="60" spans="2:14">
      <c r="B60" s="11">
        <v>52</v>
      </c>
      <c r="C60" s="6">
        <f>EDATE(Date0,52)</f>
        <v>0</v>
      </c>
      <c r="D60" s="7">
        <f>K59</f>
        <v>0</v>
      </c>
      <c r="E60" s="7">
        <f>C60*i</f>
        <v>0</v>
      </c>
      <c r="F60" s="7">
        <f>IF(N60="Amortissement", F60-D60, 0)</f>
        <v>0</v>
      </c>
      <c r="G60" s="7">
        <f>IF(52&lt;=DiffN, IF(DiffMode="Total (capitalisation)", 0, D60), PMTnom)</f>
        <v>0</v>
      </c>
      <c r="H60" s="7">
        <f>IF(AssType="Sur capital initial (%)", AssTau/12*PNom, IF(AssType="Sur CRD (%)", AssTau/12*C60, IF(AssType="Montant fixe/mois", AssFixe, 0)))</f>
        <v>0</v>
      </c>
      <c r="I60" s="7">
        <f>FraisRec</f>
        <v>0</v>
      </c>
      <c r="J60" s="7">
        <f>F60+G60+H60</f>
        <v>0</v>
      </c>
      <c r="K60" s="7">
        <f>-(I60+L60)</f>
        <v>0</v>
      </c>
      <c r="L60" s="7">
        <f>IF(N60="Différé total", C60+D60, IF(N60="Intérêts seuls", C60, C60-E60))</f>
        <v>0</v>
      </c>
      <c r="M60" s="7">
        <f>IF(52=Nmois, FVballon, 0)</f>
        <v>0</v>
      </c>
      <c r="N60">
        <f>IF(52&lt;=DiffN, IF(DiffMode="Total (capitalisation)","Différé total","Intérêts seuls"), "Amortissement")</f>
        <v>0</v>
      </c>
    </row>
    <row r="61" spans="2:14">
      <c r="B61" s="4">
        <v>53</v>
      </c>
      <c r="C61" s="6">
        <f>EDATE(Date0,53)</f>
        <v>0</v>
      </c>
      <c r="D61" s="7">
        <f>K60</f>
        <v>0</v>
      </c>
      <c r="E61" s="7">
        <f>C61*i</f>
        <v>0</v>
      </c>
      <c r="F61" s="7">
        <f>IF(N61="Amortissement", F61-D61, 0)</f>
        <v>0</v>
      </c>
      <c r="G61" s="7">
        <f>IF(53&lt;=DiffN, IF(DiffMode="Total (capitalisation)", 0, D61), PMTnom)</f>
        <v>0</v>
      </c>
      <c r="H61" s="7">
        <f>IF(AssType="Sur capital initial (%)", AssTau/12*PNom, IF(AssType="Sur CRD (%)", AssTau/12*C61, IF(AssType="Montant fixe/mois", AssFixe, 0)))</f>
        <v>0</v>
      </c>
      <c r="I61" s="7">
        <f>FraisRec</f>
        <v>0</v>
      </c>
      <c r="J61" s="7">
        <f>F61+G61+H61</f>
        <v>0</v>
      </c>
      <c r="K61" s="7">
        <f>-(I61+L61)</f>
        <v>0</v>
      </c>
      <c r="L61" s="7">
        <f>IF(N61="Différé total", C61+D61, IF(N61="Intérêts seuls", C61, C61-E61))</f>
        <v>0</v>
      </c>
      <c r="M61" s="7">
        <f>IF(53=Nmois, FVballon, 0)</f>
        <v>0</v>
      </c>
      <c r="N61">
        <f>IF(53&lt;=DiffN, IF(DiffMode="Total (capitalisation)","Différé total","Intérêts seuls"), "Amortissement")</f>
        <v>0</v>
      </c>
    </row>
    <row r="62" spans="2:14">
      <c r="B62" s="11">
        <v>54</v>
      </c>
      <c r="C62" s="6">
        <f>EDATE(Date0,54)</f>
        <v>0</v>
      </c>
      <c r="D62" s="7">
        <f>K61</f>
        <v>0</v>
      </c>
      <c r="E62" s="7">
        <f>C62*i</f>
        <v>0</v>
      </c>
      <c r="F62" s="7">
        <f>IF(N62="Amortissement", F62-D62, 0)</f>
        <v>0</v>
      </c>
      <c r="G62" s="7">
        <f>IF(54&lt;=DiffN, IF(DiffMode="Total (capitalisation)", 0, D62), PMTnom)</f>
        <v>0</v>
      </c>
      <c r="H62" s="7">
        <f>IF(AssType="Sur capital initial (%)", AssTau/12*PNom, IF(AssType="Sur CRD (%)", AssTau/12*C62, IF(AssType="Montant fixe/mois", AssFixe, 0)))</f>
        <v>0</v>
      </c>
      <c r="I62" s="7">
        <f>FraisRec</f>
        <v>0</v>
      </c>
      <c r="J62" s="7">
        <f>F62+G62+H62</f>
        <v>0</v>
      </c>
      <c r="K62" s="7">
        <f>-(I62+L62)</f>
        <v>0</v>
      </c>
      <c r="L62" s="7">
        <f>IF(N62="Différé total", C62+D62, IF(N62="Intérêts seuls", C62, C62-E62))</f>
        <v>0</v>
      </c>
      <c r="M62" s="7">
        <f>IF(54=Nmois, FVballon, 0)</f>
        <v>0</v>
      </c>
      <c r="N62">
        <f>IF(54&lt;=DiffN, IF(DiffMode="Total (capitalisation)","Différé total","Intérêts seuls"), "Amortissement")</f>
        <v>0</v>
      </c>
    </row>
    <row r="63" spans="2:14">
      <c r="B63" s="4">
        <v>55</v>
      </c>
      <c r="C63" s="6">
        <f>EDATE(Date0,55)</f>
        <v>0</v>
      </c>
      <c r="D63" s="7">
        <f>K62</f>
        <v>0</v>
      </c>
      <c r="E63" s="7">
        <f>C63*i</f>
        <v>0</v>
      </c>
      <c r="F63" s="7">
        <f>IF(N63="Amortissement", F63-D63, 0)</f>
        <v>0</v>
      </c>
      <c r="G63" s="7">
        <f>IF(55&lt;=DiffN, IF(DiffMode="Total (capitalisation)", 0, D63), PMTnom)</f>
        <v>0</v>
      </c>
      <c r="H63" s="7">
        <f>IF(AssType="Sur capital initial (%)", AssTau/12*PNom, IF(AssType="Sur CRD (%)", AssTau/12*C63, IF(AssType="Montant fixe/mois", AssFixe, 0)))</f>
        <v>0</v>
      </c>
      <c r="I63" s="7">
        <f>FraisRec</f>
        <v>0</v>
      </c>
      <c r="J63" s="7">
        <f>F63+G63+H63</f>
        <v>0</v>
      </c>
      <c r="K63" s="7">
        <f>-(I63+L63)</f>
        <v>0</v>
      </c>
      <c r="L63" s="7">
        <f>IF(N63="Différé total", C63+D63, IF(N63="Intérêts seuls", C63, C63-E63))</f>
        <v>0</v>
      </c>
      <c r="M63" s="7">
        <f>IF(55=Nmois, FVballon, 0)</f>
        <v>0</v>
      </c>
      <c r="N63">
        <f>IF(55&lt;=DiffN, IF(DiffMode="Total (capitalisation)","Différé total","Intérêts seuls"), "Amortissement")</f>
        <v>0</v>
      </c>
    </row>
    <row r="64" spans="2:14">
      <c r="B64" s="11">
        <v>56</v>
      </c>
      <c r="C64" s="6">
        <f>EDATE(Date0,56)</f>
        <v>0</v>
      </c>
      <c r="D64" s="7">
        <f>K63</f>
        <v>0</v>
      </c>
      <c r="E64" s="7">
        <f>C64*i</f>
        <v>0</v>
      </c>
      <c r="F64" s="7">
        <f>IF(N64="Amortissement", F64-D64, 0)</f>
        <v>0</v>
      </c>
      <c r="G64" s="7">
        <f>IF(56&lt;=DiffN, IF(DiffMode="Total (capitalisation)", 0, D64), PMTnom)</f>
        <v>0</v>
      </c>
      <c r="H64" s="7">
        <f>IF(AssType="Sur capital initial (%)", AssTau/12*PNom, IF(AssType="Sur CRD (%)", AssTau/12*C64, IF(AssType="Montant fixe/mois", AssFixe, 0)))</f>
        <v>0</v>
      </c>
      <c r="I64" s="7">
        <f>FraisRec</f>
        <v>0</v>
      </c>
      <c r="J64" s="7">
        <f>F64+G64+H64</f>
        <v>0</v>
      </c>
      <c r="K64" s="7">
        <f>-(I64+L64)</f>
        <v>0</v>
      </c>
      <c r="L64" s="7">
        <f>IF(N64="Différé total", C64+D64, IF(N64="Intérêts seuls", C64, C64-E64))</f>
        <v>0</v>
      </c>
      <c r="M64" s="7">
        <f>IF(56=Nmois, FVballon, 0)</f>
        <v>0</v>
      </c>
      <c r="N64">
        <f>IF(56&lt;=DiffN, IF(DiffMode="Total (capitalisation)","Différé total","Intérêts seuls"), "Amortissement")</f>
        <v>0</v>
      </c>
    </row>
    <row r="65" spans="2:14">
      <c r="B65" s="4">
        <v>57</v>
      </c>
      <c r="C65" s="6">
        <f>EDATE(Date0,57)</f>
        <v>0</v>
      </c>
      <c r="D65" s="7">
        <f>K64</f>
        <v>0</v>
      </c>
      <c r="E65" s="7">
        <f>C65*i</f>
        <v>0</v>
      </c>
      <c r="F65" s="7">
        <f>IF(N65="Amortissement", F65-D65, 0)</f>
        <v>0</v>
      </c>
      <c r="G65" s="7">
        <f>IF(57&lt;=DiffN, IF(DiffMode="Total (capitalisation)", 0, D65), PMTnom)</f>
        <v>0</v>
      </c>
      <c r="H65" s="7">
        <f>IF(AssType="Sur capital initial (%)", AssTau/12*PNom, IF(AssType="Sur CRD (%)", AssTau/12*C65, IF(AssType="Montant fixe/mois", AssFixe, 0)))</f>
        <v>0</v>
      </c>
      <c r="I65" s="7">
        <f>FraisRec</f>
        <v>0</v>
      </c>
      <c r="J65" s="7">
        <f>F65+G65+H65</f>
        <v>0</v>
      </c>
      <c r="K65" s="7">
        <f>-(I65+L65)</f>
        <v>0</v>
      </c>
      <c r="L65" s="7">
        <f>IF(N65="Différé total", C65+D65, IF(N65="Intérêts seuls", C65, C65-E65))</f>
        <v>0</v>
      </c>
      <c r="M65" s="7">
        <f>IF(57=Nmois, FVballon, 0)</f>
        <v>0</v>
      </c>
      <c r="N65">
        <f>IF(57&lt;=DiffN, IF(DiffMode="Total (capitalisation)","Différé total","Intérêts seuls"), "Amortissement")</f>
        <v>0</v>
      </c>
    </row>
    <row r="66" spans="2:14">
      <c r="B66" s="11">
        <v>58</v>
      </c>
      <c r="C66" s="6">
        <f>EDATE(Date0,58)</f>
        <v>0</v>
      </c>
      <c r="D66" s="7">
        <f>K65</f>
        <v>0</v>
      </c>
      <c r="E66" s="7">
        <f>C66*i</f>
        <v>0</v>
      </c>
      <c r="F66" s="7">
        <f>IF(N66="Amortissement", F66-D66, 0)</f>
        <v>0</v>
      </c>
      <c r="G66" s="7">
        <f>IF(58&lt;=DiffN, IF(DiffMode="Total (capitalisation)", 0, D66), PMTnom)</f>
        <v>0</v>
      </c>
      <c r="H66" s="7">
        <f>IF(AssType="Sur capital initial (%)", AssTau/12*PNom, IF(AssType="Sur CRD (%)", AssTau/12*C66, IF(AssType="Montant fixe/mois", AssFixe, 0)))</f>
        <v>0</v>
      </c>
      <c r="I66" s="7">
        <f>FraisRec</f>
        <v>0</v>
      </c>
      <c r="J66" s="7">
        <f>F66+G66+H66</f>
        <v>0</v>
      </c>
      <c r="K66" s="7">
        <f>-(I66+L66)</f>
        <v>0</v>
      </c>
      <c r="L66" s="7">
        <f>IF(N66="Différé total", C66+D66, IF(N66="Intérêts seuls", C66, C66-E66))</f>
        <v>0</v>
      </c>
      <c r="M66" s="7">
        <f>IF(58=Nmois, FVballon, 0)</f>
        <v>0</v>
      </c>
      <c r="N66">
        <f>IF(58&lt;=DiffN, IF(DiffMode="Total (capitalisation)","Différé total","Intérêts seuls"), "Amortissement")</f>
        <v>0</v>
      </c>
    </row>
    <row r="67" spans="2:14">
      <c r="B67" s="4">
        <v>59</v>
      </c>
      <c r="C67" s="6">
        <f>EDATE(Date0,59)</f>
        <v>0</v>
      </c>
      <c r="D67" s="7">
        <f>K66</f>
        <v>0</v>
      </c>
      <c r="E67" s="7">
        <f>C67*i</f>
        <v>0</v>
      </c>
      <c r="F67" s="7">
        <f>IF(N67="Amortissement", F67-D67, 0)</f>
        <v>0</v>
      </c>
      <c r="G67" s="7">
        <f>IF(59&lt;=DiffN, IF(DiffMode="Total (capitalisation)", 0, D67), PMTnom)</f>
        <v>0</v>
      </c>
      <c r="H67" s="7">
        <f>IF(AssType="Sur capital initial (%)", AssTau/12*PNom, IF(AssType="Sur CRD (%)", AssTau/12*C67, IF(AssType="Montant fixe/mois", AssFixe, 0)))</f>
        <v>0</v>
      </c>
      <c r="I67" s="7">
        <f>FraisRec</f>
        <v>0</v>
      </c>
      <c r="J67" s="7">
        <f>F67+G67+H67</f>
        <v>0</v>
      </c>
      <c r="K67" s="7">
        <f>-(I67+L67)</f>
        <v>0</v>
      </c>
      <c r="L67" s="7">
        <f>IF(N67="Différé total", C67+D67, IF(N67="Intérêts seuls", C67, C67-E67))</f>
        <v>0</v>
      </c>
      <c r="M67" s="7">
        <f>IF(59=Nmois, FVballon, 0)</f>
        <v>0</v>
      </c>
      <c r="N67">
        <f>IF(59&lt;=DiffN, IF(DiffMode="Total (capitalisation)","Différé total","Intérêts seuls"), "Amortissement")</f>
        <v>0</v>
      </c>
    </row>
    <row r="68" spans="2:14">
      <c r="B68" s="11">
        <v>60</v>
      </c>
      <c r="C68" s="6">
        <f>EDATE(Date0,60)</f>
        <v>0</v>
      </c>
      <c r="D68" s="7">
        <f>K67</f>
        <v>0</v>
      </c>
      <c r="E68" s="7">
        <f>C68*i</f>
        <v>0</v>
      </c>
      <c r="F68" s="7">
        <f>IF(N68="Amortissement", F68-D68, 0)</f>
        <v>0</v>
      </c>
      <c r="G68" s="7">
        <f>IF(60&lt;=DiffN, IF(DiffMode="Total (capitalisation)", 0, D68), PMTnom)</f>
        <v>0</v>
      </c>
      <c r="H68" s="7">
        <f>IF(AssType="Sur capital initial (%)", AssTau/12*PNom, IF(AssType="Sur CRD (%)", AssTau/12*C68, IF(AssType="Montant fixe/mois", AssFixe, 0)))</f>
        <v>0</v>
      </c>
      <c r="I68" s="7">
        <f>FraisRec</f>
        <v>0</v>
      </c>
      <c r="J68" s="7">
        <f>F68+G68+H68</f>
        <v>0</v>
      </c>
      <c r="K68" s="7">
        <f>-(I68+L68)</f>
        <v>0</v>
      </c>
      <c r="L68" s="7">
        <f>IF(N68="Différé total", C68+D68, IF(N68="Intérêts seuls", C68, C68-E68))</f>
        <v>0</v>
      </c>
      <c r="M68" s="7">
        <f>IF(60=Nmois, FVballon, 0)</f>
        <v>0</v>
      </c>
      <c r="N68">
        <f>IF(60&lt;=DiffN, IF(DiffMode="Total (capitalisation)","Différé total","Intérêts seuls"), "Amortissement")</f>
        <v>0</v>
      </c>
    </row>
    <row r="69" spans="2:14">
      <c r="B69" s="4">
        <v>61</v>
      </c>
      <c r="C69" s="6">
        <f>EDATE(Date0,61)</f>
        <v>0</v>
      </c>
      <c r="D69" s="7">
        <f>K68</f>
        <v>0</v>
      </c>
      <c r="E69" s="7">
        <f>C69*i</f>
        <v>0</v>
      </c>
      <c r="F69" s="7">
        <f>IF(N69="Amortissement", F69-D69, 0)</f>
        <v>0</v>
      </c>
      <c r="G69" s="7">
        <f>IF(61&lt;=DiffN, IF(DiffMode="Total (capitalisation)", 0, D69), PMTnom)</f>
        <v>0</v>
      </c>
      <c r="H69" s="7">
        <f>IF(AssType="Sur capital initial (%)", AssTau/12*PNom, IF(AssType="Sur CRD (%)", AssTau/12*C69, IF(AssType="Montant fixe/mois", AssFixe, 0)))</f>
        <v>0</v>
      </c>
      <c r="I69" s="7">
        <f>FraisRec</f>
        <v>0</v>
      </c>
      <c r="J69" s="7">
        <f>F69+G69+H69</f>
        <v>0</v>
      </c>
      <c r="K69" s="7">
        <f>-(I69+L69)</f>
        <v>0</v>
      </c>
      <c r="L69" s="7">
        <f>IF(N69="Différé total", C69+D69, IF(N69="Intérêts seuls", C69, C69-E69))</f>
        <v>0</v>
      </c>
      <c r="M69" s="7">
        <f>IF(61=Nmois, FVballon, 0)</f>
        <v>0</v>
      </c>
      <c r="N69">
        <f>IF(61&lt;=DiffN, IF(DiffMode="Total (capitalisation)","Différé total","Intérêts seuls"), "Amortissement")</f>
        <v>0</v>
      </c>
    </row>
    <row r="70" spans="2:14">
      <c r="B70" s="11">
        <v>62</v>
      </c>
      <c r="C70" s="6">
        <f>EDATE(Date0,62)</f>
        <v>0</v>
      </c>
      <c r="D70" s="7">
        <f>K69</f>
        <v>0</v>
      </c>
      <c r="E70" s="7">
        <f>C70*i</f>
        <v>0</v>
      </c>
      <c r="F70" s="7">
        <f>IF(N70="Amortissement", F70-D70, 0)</f>
        <v>0</v>
      </c>
      <c r="G70" s="7">
        <f>IF(62&lt;=DiffN, IF(DiffMode="Total (capitalisation)", 0, D70), PMTnom)</f>
        <v>0</v>
      </c>
      <c r="H70" s="7">
        <f>IF(AssType="Sur capital initial (%)", AssTau/12*PNom, IF(AssType="Sur CRD (%)", AssTau/12*C70, IF(AssType="Montant fixe/mois", AssFixe, 0)))</f>
        <v>0</v>
      </c>
      <c r="I70" s="7">
        <f>FraisRec</f>
        <v>0</v>
      </c>
      <c r="J70" s="7">
        <f>F70+G70+H70</f>
        <v>0</v>
      </c>
      <c r="K70" s="7">
        <f>-(I70+L70)</f>
        <v>0</v>
      </c>
      <c r="L70" s="7">
        <f>IF(N70="Différé total", C70+D70, IF(N70="Intérêts seuls", C70, C70-E70))</f>
        <v>0</v>
      </c>
      <c r="M70" s="7">
        <f>IF(62=Nmois, FVballon, 0)</f>
        <v>0</v>
      </c>
      <c r="N70">
        <f>IF(62&lt;=DiffN, IF(DiffMode="Total (capitalisation)","Différé total","Intérêts seuls"), "Amortissement")</f>
        <v>0</v>
      </c>
    </row>
    <row r="71" spans="2:14">
      <c r="B71" s="4">
        <v>63</v>
      </c>
      <c r="C71" s="6">
        <f>EDATE(Date0,63)</f>
        <v>0</v>
      </c>
      <c r="D71" s="7">
        <f>K70</f>
        <v>0</v>
      </c>
      <c r="E71" s="7">
        <f>C71*i</f>
        <v>0</v>
      </c>
      <c r="F71" s="7">
        <f>IF(N71="Amortissement", F71-D71, 0)</f>
        <v>0</v>
      </c>
      <c r="G71" s="7">
        <f>IF(63&lt;=DiffN, IF(DiffMode="Total (capitalisation)", 0, D71), PMTnom)</f>
        <v>0</v>
      </c>
      <c r="H71" s="7">
        <f>IF(AssType="Sur capital initial (%)", AssTau/12*PNom, IF(AssType="Sur CRD (%)", AssTau/12*C71, IF(AssType="Montant fixe/mois", AssFixe, 0)))</f>
        <v>0</v>
      </c>
      <c r="I71" s="7">
        <f>FraisRec</f>
        <v>0</v>
      </c>
      <c r="J71" s="7">
        <f>F71+G71+H71</f>
        <v>0</v>
      </c>
      <c r="K71" s="7">
        <f>-(I71+L71)</f>
        <v>0</v>
      </c>
      <c r="L71" s="7">
        <f>IF(N71="Différé total", C71+D71, IF(N71="Intérêts seuls", C71, C71-E71))</f>
        <v>0</v>
      </c>
      <c r="M71" s="7">
        <f>IF(63=Nmois, FVballon, 0)</f>
        <v>0</v>
      </c>
      <c r="N71">
        <f>IF(63&lt;=DiffN, IF(DiffMode="Total (capitalisation)","Différé total","Intérêts seuls"), "Amortissement")</f>
        <v>0</v>
      </c>
    </row>
    <row r="72" spans="2:14">
      <c r="B72" s="11">
        <v>64</v>
      </c>
      <c r="C72" s="6">
        <f>EDATE(Date0,64)</f>
        <v>0</v>
      </c>
      <c r="D72" s="7">
        <f>K71</f>
        <v>0</v>
      </c>
      <c r="E72" s="7">
        <f>C72*i</f>
        <v>0</v>
      </c>
      <c r="F72" s="7">
        <f>IF(N72="Amortissement", F72-D72, 0)</f>
        <v>0</v>
      </c>
      <c r="G72" s="7">
        <f>IF(64&lt;=DiffN, IF(DiffMode="Total (capitalisation)", 0, D72), PMTnom)</f>
        <v>0</v>
      </c>
      <c r="H72" s="7">
        <f>IF(AssType="Sur capital initial (%)", AssTau/12*PNom, IF(AssType="Sur CRD (%)", AssTau/12*C72, IF(AssType="Montant fixe/mois", AssFixe, 0)))</f>
        <v>0</v>
      </c>
      <c r="I72" s="7">
        <f>FraisRec</f>
        <v>0</v>
      </c>
      <c r="J72" s="7">
        <f>F72+G72+H72</f>
        <v>0</v>
      </c>
      <c r="K72" s="7">
        <f>-(I72+L72)</f>
        <v>0</v>
      </c>
      <c r="L72" s="7">
        <f>IF(N72="Différé total", C72+D72, IF(N72="Intérêts seuls", C72, C72-E72))</f>
        <v>0</v>
      </c>
      <c r="M72" s="7">
        <f>IF(64=Nmois, FVballon, 0)</f>
        <v>0</v>
      </c>
      <c r="N72">
        <f>IF(64&lt;=DiffN, IF(DiffMode="Total (capitalisation)","Différé total","Intérêts seuls"), "Amortissement")</f>
        <v>0</v>
      </c>
    </row>
    <row r="73" spans="2:14">
      <c r="B73" s="4">
        <v>65</v>
      </c>
      <c r="C73" s="6">
        <f>EDATE(Date0,65)</f>
        <v>0</v>
      </c>
      <c r="D73" s="7">
        <f>K72</f>
        <v>0</v>
      </c>
      <c r="E73" s="7">
        <f>C73*i</f>
        <v>0</v>
      </c>
      <c r="F73" s="7">
        <f>IF(N73="Amortissement", F73-D73, 0)</f>
        <v>0</v>
      </c>
      <c r="G73" s="7">
        <f>IF(65&lt;=DiffN, IF(DiffMode="Total (capitalisation)", 0, D73), PMTnom)</f>
        <v>0</v>
      </c>
      <c r="H73" s="7">
        <f>IF(AssType="Sur capital initial (%)", AssTau/12*PNom, IF(AssType="Sur CRD (%)", AssTau/12*C73, IF(AssType="Montant fixe/mois", AssFixe, 0)))</f>
        <v>0</v>
      </c>
      <c r="I73" s="7">
        <f>FraisRec</f>
        <v>0</v>
      </c>
      <c r="J73" s="7">
        <f>F73+G73+H73</f>
        <v>0</v>
      </c>
      <c r="K73" s="7">
        <f>-(I73+L73)</f>
        <v>0</v>
      </c>
      <c r="L73" s="7">
        <f>IF(N73="Différé total", C73+D73, IF(N73="Intérêts seuls", C73, C73-E73))</f>
        <v>0</v>
      </c>
      <c r="M73" s="7">
        <f>IF(65=Nmois, FVballon, 0)</f>
        <v>0</v>
      </c>
      <c r="N73">
        <f>IF(65&lt;=DiffN, IF(DiffMode="Total (capitalisation)","Différé total","Intérêts seuls"), "Amortissement")</f>
        <v>0</v>
      </c>
    </row>
    <row r="74" spans="2:14">
      <c r="B74" s="11">
        <v>66</v>
      </c>
      <c r="C74" s="6">
        <f>EDATE(Date0,66)</f>
        <v>0</v>
      </c>
      <c r="D74" s="7">
        <f>K73</f>
        <v>0</v>
      </c>
      <c r="E74" s="7">
        <f>C74*i</f>
        <v>0</v>
      </c>
      <c r="F74" s="7">
        <f>IF(N74="Amortissement", F74-D74, 0)</f>
        <v>0</v>
      </c>
      <c r="G74" s="7">
        <f>IF(66&lt;=DiffN, IF(DiffMode="Total (capitalisation)", 0, D74), PMTnom)</f>
        <v>0</v>
      </c>
      <c r="H74" s="7">
        <f>IF(AssType="Sur capital initial (%)", AssTau/12*PNom, IF(AssType="Sur CRD (%)", AssTau/12*C74, IF(AssType="Montant fixe/mois", AssFixe, 0)))</f>
        <v>0</v>
      </c>
      <c r="I74" s="7">
        <f>FraisRec</f>
        <v>0</v>
      </c>
      <c r="J74" s="7">
        <f>F74+G74+H74</f>
        <v>0</v>
      </c>
      <c r="K74" s="7">
        <f>-(I74+L74)</f>
        <v>0</v>
      </c>
      <c r="L74" s="7">
        <f>IF(N74="Différé total", C74+D74, IF(N74="Intérêts seuls", C74, C74-E74))</f>
        <v>0</v>
      </c>
      <c r="M74" s="7">
        <f>IF(66=Nmois, FVballon, 0)</f>
        <v>0</v>
      </c>
      <c r="N74">
        <f>IF(66&lt;=DiffN, IF(DiffMode="Total (capitalisation)","Différé total","Intérêts seuls"), "Amortissement")</f>
        <v>0</v>
      </c>
    </row>
    <row r="75" spans="2:14">
      <c r="B75" s="4">
        <v>67</v>
      </c>
      <c r="C75" s="6">
        <f>EDATE(Date0,67)</f>
        <v>0</v>
      </c>
      <c r="D75" s="7">
        <f>K74</f>
        <v>0</v>
      </c>
      <c r="E75" s="7">
        <f>C75*i</f>
        <v>0</v>
      </c>
      <c r="F75" s="7">
        <f>IF(N75="Amortissement", F75-D75, 0)</f>
        <v>0</v>
      </c>
      <c r="G75" s="7">
        <f>IF(67&lt;=DiffN, IF(DiffMode="Total (capitalisation)", 0, D75), PMTnom)</f>
        <v>0</v>
      </c>
      <c r="H75" s="7">
        <f>IF(AssType="Sur capital initial (%)", AssTau/12*PNom, IF(AssType="Sur CRD (%)", AssTau/12*C75, IF(AssType="Montant fixe/mois", AssFixe, 0)))</f>
        <v>0</v>
      </c>
      <c r="I75" s="7">
        <f>FraisRec</f>
        <v>0</v>
      </c>
      <c r="J75" s="7">
        <f>F75+G75+H75</f>
        <v>0</v>
      </c>
      <c r="K75" s="7">
        <f>-(I75+L75)</f>
        <v>0</v>
      </c>
      <c r="L75" s="7">
        <f>IF(N75="Différé total", C75+D75, IF(N75="Intérêts seuls", C75, C75-E75))</f>
        <v>0</v>
      </c>
      <c r="M75" s="7">
        <f>IF(67=Nmois, FVballon, 0)</f>
        <v>0</v>
      </c>
      <c r="N75">
        <f>IF(67&lt;=DiffN, IF(DiffMode="Total (capitalisation)","Différé total","Intérêts seuls"), "Amortissement")</f>
        <v>0</v>
      </c>
    </row>
    <row r="76" spans="2:14">
      <c r="B76" s="11">
        <v>68</v>
      </c>
      <c r="C76" s="6">
        <f>EDATE(Date0,68)</f>
        <v>0</v>
      </c>
      <c r="D76" s="7">
        <f>K75</f>
        <v>0</v>
      </c>
      <c r="E76" s="7">
        <f>C76*i</f>
        <v>0</v>
      </c>
      <c r="F76" s="7">
        <f>IF(N76="Amortissement", F76-D76, 0)</f>
        <v>0</v>
      </c>
      <c r="G76" s="7">
        <f>IF(68&lt;=DiffN, IF(DiffMode="Total (capitalisation)", 0, D76), PMTnom)</f>
        <v>0</v>
      </c>
      <c r="H76" s="7">
        <f>IF(AssType="Sur capital initial (%)", AssTau/12*PNom, IF(AssType="Sur CRD (%)", AssTau/12*C76, IF(AssType="Montant fixe/mois", AssFixe, 0)))</f>
        <v>0</v>
      </c>
      <c r="I76" s="7">
        <f>FraisRec</f>
        <v>0</v>
      </c>
      <c r="J76" s="7">
        <f>F76+G76+H76</f>
        <v>0</v>
      </c>
      <c r="K76" s="7">
        <f>-(I76+L76)</f>
        <v>0</v>
      </c>
      <c r="L76" s="7">
        <f>IF(N76="Différé total", C76+D76, IF(N76="Intérêts seuls", C76, C76-E76))</f>
        <v>0</v>
      </c>
      <c r="M76" s="7">
        <f>IF(68=Nmois, FVballon, 0)</f>
        <v>0</v>
      </c>
      <c r="N76">
        <f>IF(68&lt;=DiffN, IF(DiffMode="Total (capitalisation)","Différé total","Intérêts seuls"), "Amortissement")</f>
        <v>0</v>
      </c>
    </row>
    <row r="77" spans="2:14">
      <c r="B77" s="4">
        <v>69</v>
      </c>
      <c r="C77" s="6">
        <f>EDATE(Date0,69)</f>
        <v>0</v>
      </c>
      <c r="D77" s="7">
        <f>K76</f>
        <v>0</v>
      </c>
      <c r="E77" s="7">
        <f>C77*i</f>
        <v>0</v>
      </c>
      <c r="F77" s="7">
        <f>IF(N77="Amortissement", F77-D77, 0)</f>
        <v>0</v>
      </c>
      <c r="G77" s="7">
        <f>IF(69&lt;=DiffN, IF(DiffMode="Total (capitalisation)", 0, D77), PMTnom)</f>
        <v>0</v>
      </c>
      <c r="H77" s="7">
        <f>IF(AssType="Sur capital initial (%)", AssTau/12*PNom, IF(AssType="Sur CRD (%)", AssTau/12*C77, IF(AssType="Montant fixe/mois", AssFixe, 0)))</f>
        <v>0</v>
      </c>
      <c r="I77" s="7">
        <f>FraisRec</f>
        <v>0</v>
      </c>
      <c r="J77" s="7">
        <f>F77+G77+H77</f>
        <v>0</v>
      </c>
      <c r="K77" s="7">
        <f>-(I77+L77)</f>
        <v>0</v>
      </c>
      <c r="L77" s="7">
        <f>IF(N77="Différé total", C77+D77, IF(N77="Intérêts seuls", C77, C77-E77))</f>
        <v>0</v>
      </c>
      <c r="M77" s="7">
        <f>IF(69=Nmois, FVballon, 0)</f>
        <v>0</v>
      </c>
      <c r="N77">
        <f>IF(69&lt;=DiffN, IF(DiffMode="Total (capitalisation)","Différé total","Intérêts seuls"), "Amortissement")</f>
        <v>0</v>
      </c>
    </row>
    <row r="78" spans="2:14">
      <c r="B78" s="11">
        <v>70</v>
      </c>
      <c r="C78" s="6">
        <f>EDATE(Date0,70)</f>
        <v>0</v>
      </c>
      <c r="D78" s="7">
        <f>K77</f>
        <v>0</v>
      </c>
      <c r="E78" s="7">
        <f>C78*i</f>
        <v>0</v>
      </c>
      <c r="F78" s="7">
        <f>IF(N78="Amortissement", F78-D78, 0)</f>
        <v>0</v>
      </c>
      <c r="G78" s="7">
        <f>IF(70&lt;=DiffN, IF(DiffMode="Total (capitalisation)", 0, D78), PMTnom)</f>
        <v>0</v>
      </c>
      <c r="H78" s="7">
        <f>IF(AssType="Sur capital initial (%)", AssTau/12*PNom, IF(AssType="Sur CRD (%)", AssTau/12*C78, IF(AssType="Montant fixe/mois", AssFixe, 0)))</f>
        <v>0</v>
      </c>
      <c r="I78" s="7">
        <f>FraisRec</f>
        <v>0</v>
      </c>
      <c r="J78" s="7">
        <f>F78+G78+H78</f>
        <v>0</v>
      </c>
      <c r="K78" s="7">
        <f>-(I78+L78)</f>
        <v>0</v>
      </c>
      <c r="L78" s="7">
        <f>IF(N78="Différé total", C78+D78, IF(N78="Intérêts seuls", C78, C78-E78))</f>
        <v>0</v>
      </c>
      <c r="M78" s="7">
        <f>IF(70=Nmois, FVballon, 0)</f>
        <v>0</v>
      </c>
      <c r="N78">
        <f>IF(70&lt;=DiffN, IF(DiffMode="Total (capitalisation)","Différé total","Intérêts seuls"), "Amortissement")</f>
        <v>0</v>
      </c>
    </row>
    <row r="79" spans="2:14">
      <c r="B79" s="4">
        <v>71</v>
      </c>
      <c r="C79" s="6">
        <f>EDATE(Date0,71)</f>
        <v>0</v>
      </c>
      <c r="D79" s="7">
        <f>K78</f>
        <v>0</v>
      </c>
      <c r="E79" s="7">
        <f>C79*i</f>
        <v>0</v>
      </c>
      <c r="F79" s="7">
        <f>IF(N79="Amortissement", F79-D79, 0)</f>
        <v>0</v>
      </c>
      <c r="G79" s="7">
        <f>IF(71&lt;=DiffN, IF(DiffMode="Total (capitalisation)", 0, D79), PMTnom)</f>
        <v>0</v>
      </c>
      <c r="H79" s="7">
        <f>IF(AssType="Sur capital initial (%)", AssTau/12*PNom, IF(AssType="Sur CRD (%)", AssTau/12*C79, IF(AssType="Montant fixe/mois", AssFixe, 0)))</f>
        <v>0</v>
      </c>
      <c r="I79" s="7">
        <f>FraisRec</f>
        <v>0</v>
      </c>
      <c r="J79" s="7">
        <f>F79+G79+H79</f>
        <v>0</v>
      </c>
      <c r="K79" s="7">
        <f>-(I79+L79)</f>
        <v>0</v>
      </c>
      <c r="L79" s="7">
        <f>IF(N79="Différé total", C79+D79, IF(N79="Intérêts seuls", C79, C79-E79))</f>
        <v>0</v>
      </c>
      <c r="M79" s="7">
        <f>IF(71=Nmois, FVballon, 0)</f>
        <v>0</v>
      </c>
      <c r="N79">
        <f>IF(71&lt;=DiffN, IF(DiffMode="Total (capitalisation)","Différé total","Intérêts seuls"), "Amortissement")</f>
        <v>0</v>
      </c>
    </row>
    <row r="80" spans="2:14">
      <c r="B80" s="11">
        <v>72</v>
      </c>
      <c r="C80" s="6">
        <f>EDATE(Date0,72)</f>
        <v>0</v>
      </c>
      <c r="D80" s="7">
        <f>K79</f>
        <v>0</v>
      </c>
      <c r="E80" s="7">
        <f>C80*i</f>
        <v>0</v>
      </c>
      <c r="F80" s="7">
        <f>IF(N80="Amortissement", F80-D80, 0)</f>
        <v>0</v>
      </c>
      <c r="G80" s="7">
        <f>IF(72&lt;=DiffN, IF(DiffMode="Total (capitalisation)", 0, D80), PMTnom)</f>
        <v>0</v>
      </c>
      <c r="H80" s="7">
        <f>IF(AssType="Sur capital initial (%)", AssTau/12*PNom, IF(AssType="Sur CRD (%)", AssTau/12*C80, IF(AssType="Montant fixe/mois", AssFixe, 0)))</f>
        <v>0</v>
      </c>
      <c r="I80" s="7">
        <f>FraisRec</f>
        <v>0</v>
      </c>
      <c r="J80" s="7">
        <f>F80+G80+H80</f>
        <v>0</v>
      </c>
      <c r="K80" s="7">
        <f>-(I80+L80)</f>
        <v>0</v>
      </c>
      <c r="L80" s="7">
        <f>IF(N80="Différé total", C80+D80, IF(N80="Intérêts seuls", C80, C80-E80))</f>
        <v>0</v>
      </c>
      <c r="M80" s="7">
        <f>IF(72=Nmois, FVballon, 0)</f>
        <v>0</v>
      </c>
      <c r="N80">
        <f>IF(72&lt;=DiffN, IF(DiffMode="Total (capitalisation)","Différé total","Intérêts seuls"), "Amortissement")</f>
        <v>0</v>
      </c>
    </row>
    <row r="81" spans="2:14">
      <c r="B81" s="4">
        <v>73</v>
      </c>
      <c r="C81" s="6">
        <f>EDATE(Date0,73)</f>
        <v>0</v>
      </c>
      <c r="D81" s="7">
        <f>K80</f>
        <v>0</v>
      </c>
      <c r="E81" s="7">
        <f>C81*i</f>
        <v>0</v>
      </c>
      <c r="F81" s="7">
        <f>IF(N81="Amortissement", F81-D81, 0)</f>
        <v>0</v>
      </c>
      <c r="G81" s="7">
        <f>IF(73&lt;=DiffN, IF(DiffMode="Total (capitalisation)", 0, D81), PMTnom)</f>
        <v>0</v>
      </c>
      <c r="H81" s="7">
        <f>IF(AssType="Sur capital initial (%)", AssTau/12*PNom, IF(AssType="Sur CRD (%)", AssTau/12*C81, IF(AssType="Montant fixe/mois", AssFixe, 0)))</f>
        <v>0</v>
      </c>
      <c r="I81" s="7">
        <f>FraisRec</f>
        <v>0</v>
      </c>
      <c r="J81" s="7">
        <f>F81+G81+H81</f>
        <v>0</v>
      </c>
      <c r="K81" s="7">
        <f>-(I81+L81)</f>
        <v>0</v>
      </c>
      <c r="L81" s="7">
        <f>IF(N81="Différé total", C81+D81, IF(N81="Intérêts seuls", C81, C81-E81))</f>
        <v>0</v>
      </c>
      <c r="M81" s="7">
        <f>IF(73=Nmois, FVballon, 0)</f>
        <v>0</v>
      </c>
      <c r="N81">
        <f>IF(73&lt;=DiffN, IF(DiffMode="Total (capitalisation)","Différé total","Intérêts seuls"), "Amortissement")</f>
        <v>0</v>
      </c>
    </row>
    <row r="82" spans="2:14">
      <c r="B82" s="11">
        <v>74</v>
      </c>
      <c r="C82" s="6">
        <f>EDATE(Date0,74)</f>
        <v>0</v>
      </c>
      <c r="D82" s="7">
        <f>K81</f>
        <v>0</v>
      </c>
      <c r="E82" s="7">
        <f>C82*i</f>
        <v>0</v>
      </c>
      <c r="F82" s="7">
        <f>IF(N82="Amortissement", F82-D82, 0)</f>
        <v>0</v>
      </c>
      <c r="G82" s="7">
        <f>IF(74&lt;=DiffN, IF(DiffMode="Total (capitalisation)", 0, D82), PMTnom)</f>
        <v>0</v>
      </c>
      <c r="H82" s="7">
        <f>IF(AssType="Sur capital initial (%)", AssTau/12*PNom, IF(AssType="Sur CRD (%)", AssTau/12*C82, IF(AssType="Montant fixe/mois", AssFixe, 0)))</f>
        <v>0</v>
      </c>
      <c r="I82" s="7">
        <f>FraisRec</f>
        <v>0</v>
      </c>
      <c r="J82" s="7">
        <f>F82+G82+H82</f>
        <v>0</v>
      </c>
      <c r="K82" s="7">
        <f>-(I82+L82)</f>
        <v>0</v>
      </c>
      <c r="L82" s="7">
        <f>IF(N82="Différé total", C82+D82, IF(N82="Intérêts seuls", C82, C82-E82))</f>
        <v>0</v>
      </c>
      <c r="M82" s="7">
        <f>IF(74=Nmois, FVballon, 0)</f>
        <v>0</v>
      </c>
      <c r="N82">
        <f>IF(74&lt;=DiffN, IF(DiffMode="Total (capitalisation)","Différé total","Intérêts seuls"), "Amortissement")</f>
        <v>0</v>
      </c>
    </row>
    <row r="83" spans="2:14">
      <c r="B83" s="4">
        <v>75</v>
      </c>
      <c r="C83" s="6">
        <f>EDATE(Date0,75)</f>
        <v>0</v>
      </c>
      <c r="D83" s="7">
        <f>K82</f>
        <v>0</v>
      </c>
      <c r="E83" s="7">
        <f>C83*i</f>
        <v>0</v>
      </c>
      <c r="F83" s="7">
        <f>IF(N83="Amortissement", F83-D83, 0)</f>
        <v>0</v>
      </c>
      <c r="G83" s="7">
        <f>IF(75&lt;=DiffN, IF(DiffMode="Total (capitalisation)", 0, D83), PMTnom)</f>
        <v>0</v>
      </c>
      <c r="H83" s="7">
        <f>IF(AssType="Sur capital initial (%)", AssTau/12*PNom, IF(AssType="Sur CRD (%)", AssTau/12*C83, IF(AssType="Montant fixe/mois", AssFixe, 0)))</f>
        <v>0</v>
      </c>
      <c r="I83" s="7">
        <f>FraisRec</f>
        <v>0</v>
      </c>
      <c r="J83" s="7">
        <f>F83+G83+H83</f>
        <v>0</v>
      </c>
      <c r="K83" s="7">
        <f>-(I83+L83)</f>
        <v>0</v>
      </c>
      <c r="L83" s="7">
        <f>IF(N83="Différé total", C83+D83, IF(N83="Intérêts seuls", C83, C83-E83))</f>
        <v>0</v>
      </c>
      <c r="M83" s="7">
        <f>IF(75=Nmois, FVballon, 0)</f>
        <v>0</v>
      </c>
      <c r="N83">
        <f>IF(75&lt;=DiffN, IF(DiffMode="Total (capitalisation)","Différé total","Intérêts seuls"), "Amortissement")</f>
        <v>0</v>
      </c>
    </row>
    <row r="84" spans="2:14">
      <c r="B84" s="11">
        <v>76</v>
      </c>
      <c r="C84" s="6">
        <f>EDATE(Date0,76)</f>
        <v>0</v>
      </c>
      <c r="D84" s="7">
        <f>K83</f>
        <v>0</v>
      </c>
      <c r="E84" s="7">
        <f>C84*i</f>
        <v>0</v>
      </c>
      <c r="F84" s="7">
        <f>IF(N84="Amortissement", F84-D84, 0)</f>
        <v>0</v>
      </c>
      <c r="G84" s="7">
        <f>IF(76&lt;=DiffN, IF(DiffMode="Total (capitalisation)", 0, D84), PMTnom)</f>
        <v>0</v>
      </c>
      <c r="H84" s="7">
        <f>IF(AssType="Sur capital initial (%)", AssTau/12*PNom, IF(AssType="Sur CRD (%)", AssTau/12*C84, IF(AssType="Montant fixe/mois", AssFixe, 0)))</f>
        <v>0</v>
      </c>
      <c r="I84" s="7">
        <f>FraisRec</f>
        <v>0</v>
      </c>
      <c r="J84" s="7">
        <f>F84+G84+H84</f>
        <v>0</v>
      </c>
      <c r="K84" s="7">
        <f>-(I84+L84)</f>
        <v>0</v>
      </c>
      <c r="L84" s="7">
        <f>IF(N84="Différé total", C84+D84, IF(N84="Intérêts seuls", C84, C84-E84))</f>
        <v>0</v>
      </c>
      <c r="M84" s="7">
        <f>IF(76=Nmois, FVballon, 0)</f>
        <v>0</v>
      </c>
      <c r="N84">
        <f>IF(76&lt;=DiffN, IF(DiffMode="Total (capitalisation)","Différé total","Intérêts seuls"), "Amortissement")</f>
        <v>0</v>
      </c>
    </row>
    <row r="85" spans="2:14">
      <c r="B85" s="4">
        <v>77</v>
      </c>
      <c r="C85" s="6">
        <f>EDATE(Date0,77)</f>
        <v>0</v>
      </c>
      <c r="D85" s="7">
        <f>K84</f>
        <v>0</v>
      </c>
      <c r="E85" s="7">
        <f>C85*i</f>
        <v>0</v>
      </c>
      <c r="F85" s="7">
        <f>IF(N85="Amortissement", F85-D85, 0)</f>
        <v>0</v>
      </c>
      <c r="G85" s="7">
        <f>IF(77&lt;=DiffN, IF(DiffMode="Total (capitalisation)", 0, D85), PMTnom)</f>
        <v>0</v>
      </c>
      <c r="H85" s="7">
        <f>IF(AssType="Sur capital initial (%)", AssTau/12*PNom, IF(AssType="Sur CRD (%)", AssTau/12*C85, IF(AssType="Montant fixe/mois", AssFixe, 0)))</f>
        <v>0</v>
      </c>
      <c r="I85" s="7">
        <f>FraisRec</f>
        <v>0</v>
      </c>
      <c r="J85" s="7">
        <f>F85+G85+H85</f>
        <v>0</v>
      </c>
      <c r="K85" s="7">
        <f>-(I85+L85)</f>
        <v>0</v>
      </c>
      <c r="L85" s="7">
        <f>IF(N85="Différé total", C85+D85, IF(N85="Intérêts seuls", C85, C85-E85))</f>
        <v>0</v>
      </c>
      <c r="M85" s="7">
        <f>IF(77=Nmois, FVballon, 0)</f>
        <v>0</v>
      </c>
      <c r="N85">
        <f>IF(77&lt;=DiffN, IF(DiffMode="Total (capitalisation)","Différé total","Intérêts seuls"), "Amortissement")</f>
        <v>0</v>
      </c>
    </row>
    <row r="86" spans="2:14">
      <c r="B86" s="11">
        <v>78</v>
      </c>
      <c r="C86" s="6">
        <f>EDATE(Date0,78)</f>
        <v>0</v>
      </c>
      <c r="D86" s="7">
        <f>K85</f>
        <v>0</v>
      </c>
      <c r="E86" s="7">
        <f>C86*i</f>
        <v>0</v>
      </c>
      <c r="F86" s="7">
        <f>IF(N86="Amortissement", F86-D86, 0)</f>
        <v>0</v>
      </c>
      <c r="G86" s="7">
        <f>IF(78&lt;=DiffN, IF(DiffMode="Total (capitalisation)", 0, D86), PMTnom)</f>
        <v>0</v>
      </c>
      <c r="H86" s="7">
        <f>IF(AssType="Sur capital initial (%)", AssTau/12*PNom, IF(AssType="Sur CRD (%)", AssTau/12*C86, IF(AssType="Montant fixe/mois", AssFixe, 0)))</f>
        <v>0</v>
      </c>
      <c r="I86" s="7">
        <f>FraisRec</f>
        <v>0</v>
      </c>
      <c r="J86" s="7">
        <f>F86+G86+H86</f>
        <v>0</v>
      </c>
      <c r="K86" s="7">
        <f>-(I86+L86)</f>
        <v>0</v>
      </c>
      <c r="L86" s="7">
        <f>IF(N86="Différé total", C86+D86, IF(N86="Intérêts seuls", C86, C86-E86))</f>
        <v>0</v>
      </c>
      <c r="M86" s="7">
        <f>IF(78=Nmois, FVballon, 0)</f>
        <v>0</v>
      </c>
      <c r="N86">
        <f>IF(78&lt;=DiffN, IF(DiffMode="Total (capitalisation)","Différé total","Intérêts seuls"), "Amortissement")</f>
        <v>0</v>
      </c>
    </row>
    <row r="87" spans="2:14">
      <c r="B87" s="4">
        <v>79</v>
      </c>
      <c r="C87" s="6">
        <f>EDATE(Date0,79)</f>
        <v>0</v>
      </c>
      <c r="D87" s="7">
        <f>K86</f>
        <v>0</v>
      </c>
      <c r="E87" s="7">
        <f>C87*i</f>
        <v>0</v>
      </c>
      <c r="F87" s="7">
        <f>IF(N87="Amortissement", F87-D87, 0)</f>
        <v>0</v>
      </c>
      <c r="G87" s="7">
        <f>IF(79&lt;=DiffN, IF(DiffMode="Total (capitalisation)", 0, D87), PMTnom)</f>
        <v>0</v>
      </c>
      <c r="H87" s="7">
        <f>IF(AssType="Sur capital initial (%)", AssTau/12*PNom, IF(AssType="Sur CRD (%)", AssTau/12*C87, IF(AssType="Montant fixe/mois", AssFixe, 0)))</f>
        <v>0</v>
      </c>
      <c r="I87" s="7">
        <f>FraisRec</f>
        <v>0</v>
      </c>
      <c r="J87" s="7">
        <f>F87+G87+H87</f>
        <v>0</v>
      </c>
      <c r="K87" s="7">
        <f>-(I87+L87)</f>
        <v>0</v>
      </c>
      <c r="L87" s="7">
        <f>IF(N87="Différé total", C87+D87, IF(N87="Intérêts seuls", C87, C87-E87))</f>
        <v>0</v>
      </c>
      <c r="M87" s="7">
        <f>IF(79=Nmois, FVballon, 0)</f>
        <v>0</v>
      </c>
      <c r="N87">
        <f>IF(79&lt;=DiffN, IF(DiffMode="Total (capitalisation)","Différé total","Intérêts seuls"), "Amortissement")</f>
        <v>0</v>
      </c>
    </row>
    <row r="88" spans="2:14">
      <c r="B88" s="11">
        <v>80</v>
      </c>
      <c r="C88" s="6">
        <f>EDATE(Date0,80)</f>
        <v>0</v>
      </c>
      <c r="D88" s="7">
        <f>K87</f>
        <v>0</v>
      </c>
      <c r="E88" s="7">
        <f>C88*i</f>
        <v>0</v>
      </c>
      <c r="F88" s="7">
        <f>IF(N88="Amortissement", F88-D88, 0)</f>
        <v>0</v>
      </c>
      <c r="G88" s="7">
        <f>IF(80&lt;=DiffN, IF(DiffMode="Total (capitalisation)", 0, D88), PMTnom)</f>
        <v>0</v>
      </c>
      <c r="H88" s="7">
        <f>IF(AssType="Sur capital initial (%)", AssTau/12*PNom, IF(AssType="Sur CRD (%)", AssTau/12*C88, IF(AssType="Montant fixe/mois", AssFixe, 0)))</f>
        <v>0</v>
      </c>
      <c r="I88" s="7">
        <f>FraisRec</f>
        <v>0</v>
      </c>
      <c r="J88" s="7">
        <f>F88+G88+H88</f>
        <v>0</v>
      </c>
      <c r="K88" s="7">
        <f>-(I88+L88)</f>
        <v>0</v>
      </c>
      <c r="L88" s="7">
        <f>IF(N88="Différé total", C88+D88, IF(N88="Intérêts seuls", C88, C88-E88))</f>
        <v>0</v>
      </c>
      <c r="M88" s="7">
        <f>IF(80=Nmois, FVballon, 0)</f>
        <v>0</v>
      </c>
      <c r="N88">
        <f>IF(80&lt;=DiffN, IF(DiffMode="Total (capitalisation)","Différé total","Intérêts seuls"), "Amortissement")</f>
        <v>0</v>
      </c>
    </row>
    <row r="89" spans="2:14">
      <c r="B89" s="4">
        <v>81</v>
      </c>
      <c r="C89" s="6">
        <f>EDATE(Date0,81)</f>
        <v>0</v>
      </c>
      <c r="D89" s="7">
        <f>K88</f>
        <v>0</v>
      </c>
      <c r="E89" s="7">
        <f>C89*i</f>
        <v>0</v>
      </c>
      <c r="F89" s="7">
        <f>IF(N89="Amortissement", F89-D89, 0)</f>
        <v>0</v>
      </c>
      <c r="G89" s="7">
        <f>IF(81&lt;=DiffN, IF(DiffMode="Total (capitalisation)", 0, D89), PMTnom)</f>
        <v>0</v>
      </c>
      <c r="H89" s="7">
        <f>IF(AssType="Sur capital initial (%)", AssTau/12*PNom, IF(AssType="Sur CRD (%)", AssTau/12*C89, IF(AssType="Montant fixe/mois", AssFixe, 0)))</f>
        <v>0</v>
      </c>
      <c r="I89" s="7">
        <f>FraisRec</f>
        <v>0</v>
      </c>
      <c r="J89" s="7">
        <f>F89+G89+H89</f>
        <v>0</v>
      </c>
      <c r="K89" s="7">
        <f>-(I89+L89)</f>
        <v>0</v>
      </c>
      <c r="L89" s="7">
        <f>IF(N89="Différé total", C89+D89, IF(N89="Intérêts seuls", C89, C89-E89))</f>
        <v>0</v>
      </c>
      <c r="M89" s="7">
        <f>IF(81=Nmois, FVballon, 0)</f>
        <v>0</v>
      </c>
      <c r="N89">
        <f>IF(81&lt;=DiffN, IF(DiffMode="Total (capitalisation)","Différé total","Intérêts seuls"), "Amortissement")</f>
        <v>0</v>
      </c>
    </row>
    <row r="90" spans="2:14">
      <c r="B90" s="11">
        <v>82</v>
      </c>
      <c r="C90" s="6">
        <f>EDATE(Date0,82)</f>
        <v>0</v>
      </c>
      <c r="D90" s="7">
        <f>K89</f>
        <v>0</v>
      </c>
      <c r="E90" s="7">
        <f>C90*i</f>
        <v>0</v>
      </c>
      <c r="F90" s="7">
        <f>IF(N90="Amortissement", F90-D90, 0)</f>
        <v>0</v>
      </c>
      <c r="G90" s="7">
        <f>IF(82&lt;=DiffN, IF(DiffMode="Total (capitalisation)", 0, D90), PMTnom)</f>
        <v>0</v>
      </c>
      <c r="H90" s="7">
        <f>IF(AssType="Sur capital initial (%)", AssTau/12*PNom, IF(AssType="Sur CRD (%)", AssTau/12*C90, IF(AssType="Montant fixe/mois", AssFixe, 0)))</f>
        <v>0</v>
      </c>
      <c r="I90" s="7">
        <f>FraisRec</f>
        <v>0</v>
      </c>
      <c r="J90" s="7">
        <f>F90+G90+H90</f>
        <v>0</v>
      </c>
      <c r="K90" s="7">
        <f>-(I90+L90)</f>
        <v>0</v>
      </c>
      <c r="L90" s="7">
        <f>IF(N90="Différé total", C90+D90, IF(N90="Intérêts seuls", C90, C90-E90))</f>
        <v>0</v>
      </c>
      <c r="M90" s="7">
        <f>IF(82=Nmois, FVballon, 0)</f>
        <v>0</v>
      </c>
      <c r="N90">
        <f>IF(82&lt;=DiffN, IF(DiffMode="Total (capitalisation)","Différé total","Intérêts seuls"), "Amortissement")</f>
        <v>0</v>
      </c>
    </row>
    <row r="91" spans="2:14">
      <c r="B91" s="4">
        <v>83</v>
      </c>
      <c r="C91" s="6">
        <f>EDATE(Date0,83)</f>
        <v>0</v>
      </c>
      <c r="D91" s="7">
        <f>K90</f>
        <v>0</v>
      </c>
      <c r="E91" s="7">
        <f>C91*i</f>
        <v>0</v>
      </c>
      <c r="F91" s="7">
        <f>IF(N91="Amortissement", F91-D91, 0)</f>
        <v>0</v>
      </c>
      <c r="G91" s="7">
        <f>IF(83&lt;=DiffN, IF(DiffMode="Total (capitalisation)", 0, D91), PMTnom)</f>
        <v>0</v>
      </c>
      <c r="H91" s="7">
        <f>IF(AssType="Sur capital initial (%)", AssTau/12*PNom, IF(AssType="Sur CRD (%)", AssTau/12*C91, IF(AssType="Montant fixe/mois", AssFixe, 0)))</f>
        <v>0</v>
      </c>
      <c r="I91" s="7">
        <f>FraisRec</f>
        <v>0</v>
      </c>
      <c r="J91" s="7">
        <f>F91+G91+H91</f>
        <v>0</v>
      </c>
      <c r="K91" s="7">
        <f>-(I91+L91)</f>
        <v>0</v>
      </c>
      <c r="L91" s="7">
        <f>IF(N91="Différé total", C91+D91, IF(N91="Intérêts seuls", C91, C91-E91))</f>
        <v>0</v>
      </c>
      <c r="M91" s="7">
        <f>IF(83=Nmois, FVballon, 0)</f>
        <v>0</v>
      </c>
      <c r="N91">
        <f>IF(83&lt;=DiffN, IF(DiffMode="Total (capitalisation)","Différé total","Intérêts seuls"), "Amortissement")</f>
        <v>0</v>
      </c>
    </row>
    <row r="92" spans="2:14">
      <c r="B92" s="11">
        <v>84</v>
      </c>
      <c r="C92" s="6">
        <f>EDATE(Date0,84)</f>
        <v>0</v>
      </c>
      <c r="D92" s="7">
        <f>K91</f>
        <v>0</v>
      </c>
      <c r="E92" s="7">
        <f>C92*i</f>
        <v>0</v>
      </c>
      <c r="F92" s="7">
        <f>IF(N92="Amortissement", F92-D92, 0)</f>
        <v>0</v>
      </c>
      <c r="G92" s="7">
        <f>IF(84&lt;=DiffN, IF(DiffMode="Total (capitalisation)", 0, D92), PMTnom)</f>
        <v>0</v>
      </c>
      <c r="H92" s="7">
        <f>IF(AssType="Sur capital initial (%)", AssTau/12*PNom, IF(AssType="Sur CRD (%)", AssTau/12*C92, IF(AssType="Montant fixe/mois", AssFixe, 0)))</f>
        <v>0</v>
      </c>
      <c r="I92" s="7">
        <f>FraisRec</f>
        <v>0</v>
      </c>
      <c r="J92" s="7">
        <f>F92+G92+H92</f>
        <v>0</v>
      </c>
      <c r="K92" s="7">
        <f>-(I92+L92)</f>
        <v>0</v>
      </c>
      <c r="L92" s="7">
        <f>IF(N92="Différé total", C92+D92, IF(N92="Intérêts seuls", C92, C92-E92))</f>
        <v>0</v>
      </c>
      <c r="M92" s="7">
        <f>IF(84=Nmois, FVballon, 0)</f>
        <v>0</v>
      </c>
      <c r="N92">
        <f>IF(84&lt;=DiffN, IF(DiffMode="Total (capitalisation)","Différé total","Intérêts seuls"), "Amortissement")</f>
        <v>0</v>
      </c>
    </row>
    <row r="93" spans="2:14">
      <c r="B93" s="4">
        <v>85</v>
      </c>
      <c r="C93" s="6">
        <f>EDATE(Date0,85)</f>
        <v>0</v>
      </c>
      <c r="D93" s="7">
        <f>K92</f>
        <v>0</v>
      </c>
      <c r="E93" s="7">
        <f>C93*i</f>
        <v>0</v>
      </c>
      <c r="F93" s="7">
        <f>IF(N93="Amortissement", F93-D93, 0)</f>
        <v>0</v>
      </c>
      <c r="G93" s="7">
        <f>IF(85&lt;=DiffN, IF(DiffMode="Total (capitalisation)", 0, D93), PMTnom)</f>
        <v>0</v>
      </c>
      <c r="H93" s="7">
        <f>IF(AssType="Sur capital initial (%)", AssTau/12*PNom, IF(AssType="Sur CRD (%)", AssTau/12*C93, IF(AssType="Montant fixe/mois", AssFixe, 0)))</f>
        <v>0</v>
      </c>
      <c r="I93" s="7">
        <f>FraisRec</f>
        <v>0</v>
      </c>
      <c r="J93" s="7">
        <f>F93+G93+H93</f>
        <v>0</v>
      </c>
      <c r="K93" s="7">
        <f>-(I93+L93)</f>
        <v>0</v>
      </c>
      <c r="L93" s="7">
        <f>IF(N93="Différé total", C93+D93, IF(N93="Intérêts seuls", C93, C93-E93))</f>
        <v>0</v>
      </c>
      <c r="M93" s="7">
        <f>IF(85=Nmois, FVballon, 0)</f>
        <v>0</v>
      </c>
      <c r="N93">
        <f>IF(85&lt;=DiffN, IF(DiffMode="Total (capitalisation)","Différé total","Intérêts seuls"), "Amortissement")</f>
        <v>0</v>
      </c>
    </row>
    <row r="94" spans="2:14">
      <c r="B94" s="11">
        <v>86</v>
      </c>
      <c r="C94" s="6">
        <f>EDATE(Date0,86)</f>
        <v>0</v>
      </c>
      <c r="D94" s="7">
        <f>K93</f>
        <v>0</v>
      </c>
      <c r="E94" s="7">
        <f>C94*i</f>
        <v>0</v>
      </c>
      <c r="F94" s="7">
        <f>IF(N94="Amortissement", F94-D94, 0)</f>
        <v>0</v>
      </c>
      <c r="G94" s="7">
        <f>IF(86&lt;=DiffN, IF(DiffMode="Total (capitalisation)", 0, D94), PMTnom)</f>
        <v>0</v>
      </c>
      <c r="H94" s="7">
        <f>IF(AssType="Sur capital initial (%)", AssTau/12*PNom, IF(AssType="Sur CRD (%)", AssTau/12*C94, IF(AssType="Montant fixe/mois", AssFixe, 0)))</f>
        <v>0</v>
      </c>
      <c r="I94" s="7">
        <f>FraisRec</f>
        <v>0</v>
      </c>
      <c r="J94" s="7">
        <f>F94+G94+H94</f>
        <v>0</v>
      </c>
      <c r="K94" s="7">
        <f>-(I94+L94)</f>
        <v>0</v>
      </c>
      <c r="L94" s="7">
        <f>IF(N94="Différé total", C94+D94, IF(N94="Intérêts seuls", C94, C94-E94))</f>
        <v>0</v>
      </c>
      <c r="M94" s="7">
        <f>IF(86=Nmois, FVballon, 0)</f>
        <v>0</v>
      </c>
      <c r="N94">
        <f>IF(86&lt;=DiffN, IF(DiffMode="Total (capitalisation)","Différé total","Intérêts seuls"), "Amortissement")</f>
        <v>0</v>
      </c>
    </row>
    <row r="95" spans="2:14">
      <c r="B95" s="4">
        <v>87</v>
      </c>
      <c r="C95" s="6">
        <f>EDATE(Date0,87)</f>
        <v>0</v>
      </c>
      <c r="D95" s="7">
        <f>K94</f>
        <v>0</v>
      </c>
      <c r="E95" s="7">
        <f>C95*i</f>
        <v>0</v>
      </c>
      <c r="F95" s="7">
        <f>IF(N95="Amortissement", F95-D95, 0)</f>
        <v>0</v>
      </c>
      <c r="G95" s="7">
        <f>IF(87&lt;=DiffN, IF(DiffMode="Total (capitalisation)", 0, D95), PMTnom)</f>
        <v>0</v>
      </c>
      <c r="H95" s="7">
        <f>IF(AssType="Sur capital initial (%)", AssTau/12*PNom, IF(AssType="Sur CRD (%)", AssTau/12*C95, IF(AssType="Montant fixe/mois", AssFixe, 0)))</f>
        <v>0</v>
      </c>
      <c r="I95" s="7">
        <f>FraisRec</f>
        <v>0</v>
      </c>
      <c r="J95" s="7">
        <f>F95+G95+H95</f>
        <v>0</v>
      </c>
      <c r="K95" s="7">
        <f>-(I95+L95)</f>
        <v>0</v>
      </c>
      <c r="L95" s="7">
        <f>IF(N95="Différé total", C95+D95, IF(N95="Intérêts seuls", C95, C95-E95))</f>
        <v>0</v>
      </c>
      <c r="M95" s="7">
        <f>IF(87=Nmois, FVballon, 0)</f>
        <v>0</v>
      </c>
      <c r="N95">
        <f>IF(87&lt;=DiffN, IF(DiffMode="Total (capitalisation)","Différé total","Intérêts seuls"), "Amortissement")</f>
        <v>0</v>
      </c>
    </row>
    <row r="96" spans="2:14">
      <c r="B96" s="11">
        <v>88</v>
      </c>
      <c r="C96" s="6">
        <f>EDATE(Date0,88)</f>
        <v>0</v>
      </c>
      <c r="D96" s="7">
        <f>K95</f>
        <v>0</v>
      </c>
      <c r="E96" s="7">
        <f>C96*i</f>
        <v>0</v>
      </c>
      <c r="F96" s="7">
        <f>IF(N96="Amortissement", F96-D96, 0)</f>
        <v>0</v>
      </c>
      <c r="G96" s="7">
        <f>IF(88&lt;=DiffN, IF(DiffMode="Total (capitalisation)", 0, D96), PMTnom)</f>
        <v>0</v>
      </c>
      <c r="H96" s="7">
        <f>IF(AssType="Sur capital initial (%)", AssTau/12*PNom, IF(AssType="Sur CRD (%)", AssTau/12*C96, IF(AssType="Montant fixe/mois", AssFixe, 0)))</f>
        <v>0</v>
      </c>
      <c r="I96" s="7">
        <f>FraisRec</f>
        <v>0</v>
      </c>
      <c r="J96" s="7">
        <f>F96+G96+H96</f>
        <v>0</v>
      </c>
      <c r="K96" s="7">
        <f>-(I96+L96)</f>
        <v>0</v>
      </c>
      <c r="L96" s="7">
        <f>IF(N96="Différé total", C96+D96, IF(N96="Intérêts seuls", C96, C96-E96))</f>
        <v>0</v>
      </c>
      <c r="M96" s="7">
        <f>IF(88=Nmois, FVballon, 0)</f>
        <v>0</v>
      </c>
      <c r="N96">
        <f>IF(88&lt;=DiffN, IF(DiffMode="Total (capitalisation)","Différé total","Intérêts seuls"), "Amortissement")</f>
        <v>0</v>
      </c>
    </row>
    <row r="97" spans="2:14">
      <c r="B97" s="4">
        <v>89</v>
      </c>
      <c r="C97" s="6">
        <f>EDATE(Date0,89)</f>
        <v>0</v>
      </c>
      <c r="D97" s="7">
        <f>K96</f>
        <v>0</v>
      </c>
      <c r="E97" s="7">
        <f>C97*i</f>
        <v>0</v>
      </c>
      <c r="F97" s="7">
        <f>IF(N97="Amortissement", F97-D97, 0)</f>
        <v>0</v>
      </c>
      <c r="G97" s="7">
        <f>IF(89&lt;=DiffN, IF(DiffMode="Total (capitalisation)", 0, D97), PMTnom)</f>
        <v>0</v>
      </c>
      <c r="H97" s="7">
        <f>IF(AssType="Sur capital initial (%)", AssTau/12*PNom, IF(AssType="Sur CRD (%)", AssTau/12*C97, IF(AssType="Montant fixe/mois", AssFixe, 0)))</f>
        <v>0</v>
      </c>
      <c r="I97" s="7">
        <f>FraisRec</f>
        <v>0</v>
      </c>
      <c r="J97" s="7">
        <f>F97+G97+H97</f>
        <v>0</v>
      </c>
      <c r="K97" s="7">
        <f>-(I97+L97)</f>
        <v>0</v>
      </c>
      <c r="L97" s="7">
        <f>IF(N97="Différé total", C97+D97, IF(N97="Intérêts seuls", C97, C97-E97))</f>
        <v>0</v>
      </c>
      <c r="M97" s="7">
        <f>IF(89=Nmois, FVballon, 0)</f>
        <v>0</v>
      </c>
      <c r="N97">
        <f>IF(89&lt;=DiffN, IF(DiffMode="Total (capitalisation)","Différé total","Intérêts seuls"), "Amortissement")</f>
        <v>0</v>
      </c>
    </row>
    <row r="98" spans="2:14">
      <c r="B98" s="11">
        <v>90</v>
      </c>
      <c r="C98" s="6">
        <f>EDATE(Date0,90)</f>
        <v>0</v>
      </c>
      <c r="D98" s="7">
        <f>K97</f>
        <v>0</v>
      </c>
      <c r="E98" s="7">
        <f>C98*i</f>
        <v>0</v>
      </c>
      <c r="F98" s="7">
        <f>IF(N98="Amortissement", F98-D98, 0)</f>
        <v>0</v>
      </c>
      <c r="G98" s="7">
        <f>IF(90&lt;=DiffN, IF(DiffMode="Total (capitalisation)", 0, D98), PMTnom)</f>
        <v>0</v>
      </c>
      <c r="H98" s="7">
        <f>IF(AssType="Sur capital initial (%)", AssTau/12*PNom, IF(AssType="Sur CRD (%)", AssTau/12*C98, IF(AssType="Montant fixe/mois", AssFixe, 0)))</f>
        <v>0</v>
      </c>
      <c r="I98" s="7">
        <f>FraisRec</f>
        <v>0</v>
      </c>
      <c r="J98" s="7">
        <f>F98+G98+H98</f>
        <v>0</v>
      </c>
      <c r="K98" s="7">
        <f>-(I98+L98)</f>
        <v>0</v>
      </c>
      <c r="L98" s="7">
        <f>IF(N98="Différé total", C98+D98, IF(N98="Intérêts seuls", C98, C98-E98))</f>
        <v>0</v>
      </c>
      <c r="M98" s="7">
        <f>IF(90=Nmois, FVballon, 0)</f>
        <v>0</v>
      </c>
      <c r="N98">
        <f>IF(90&lt;=DiffN, IF(DiffMode="Total (capitalisation)","Différé total","Intérêts seuls"), "Amortissement")</f>
        <v>0</v>
      </c>
    </row>
    <row r="99" spans="2:14">
      <c r="B99" s="4">
        <v>91</v>
      </c>
      <c r="C99" s="6">
        <f>EDATE(Date0,91)</f>
        <v>0</v>
      </c>
      <c r="D99" s="7">
        <f>K98</f>
        <v>0</v>
      </c>
      <c r="E99" s="7">
        <f>C99*i</f>
        <v>0</v>
      </c>
      <c r="F99" s="7">
        <f>IF(N99="Amortissement", F99-D99, 0)</f>
        <v>0</v>
      </c>
      <c r="G99" s="7">
        <f>IF(91&lt;=DiffN, IF(DiffMode="Total (capitalisation)", 0, D99), PMTnom)</f>
        <v>0</v>
      </c>
      <c r="H99" s="7">
        <f>IF(AssType="Sur capital initial (%)", AssTau/12*PNom, IF(AssType="Sur CRD (%)", AssTau/12*C99, IF(AssType="Montant fixe/mois", AssFixe, 0)))</f>
        <v>0</v>
      </c>
      <c r="I99" s="7">
        <f>FraisRec</f>
        <v>0</v>
      </c>
      <c r="J99" s="7">
        <f>F99+G99+H99</f>
        <v>0</v>
      </c>
      <c r="K99" s="7">
        <f>-(I99+L99)</f>
        <v>0</v>
      </c>
      <c r="L99" s="7">
        <f>IF(N99="Différé total", C99+D99, IF(N99="Intérêts seuls", C99, C99-E99))</f>
        <v>0</v>
      </c>
      <c r="M99" s="7">
        <f>IF(91=Nmois, FVballon, 0)</f>
        <v>0</v>
      </c>
      <c r="N99">
        <f>IF(91&lt;=DiffN, IF(DiffMode="Total (capitalisation)","Différé total","Intérêts seuls"), "Amortissement")</f>
        <v>0</v>
      </c>
    </row>
    <row r="100" spans="2:14">
      <c r="B100" s="11">
        <v>92</v>
      </c>
      <c r="C100" s="6">
        <f>EDATE(Date0,92)</f>
        <v>0</v>
      </c>
      <c r="D100" s="7">
        <f>K99</f>
        <v>0</v>
      </c>
      <c r="E100" s="7">
        <f>C100*i</f>
        <v>0</v>
      </c>
      <c r="F100" s="7">
        <f>IF(N100="Amortissement", F100-D100, 0)</f>
        <v>0</v>
      </c>
      <c r="G100" s="7">
        <f>IF(92&lt;=DiffN, IF(DiffMode="Total (capitalisation)", 0, D100), PMTnom)</f>
        <v>0</v>
      </c>
      <c r="H100" s="7">
        <f>IF(AssType="Sur capital initial (%)", AssTau/12*PNom, IF(AssType="Sur CRD (%)", AssTau/12*C100, IF(AssType="Montant fixe/mois", AssFixe, 0)))</f>
        <v>0</v>
      </c>
      <c r="I100" s="7">
        <f>FraisRec</f>
        <v>0</v>
      </c>
      <c r="J100" s="7">
        <f>F100+G100+H100</f>
        <v>0</v>
      </c>
      <c r="K100" s="7">
        <f>-(I100+L100)</f>
        <v>0</v>
      </c>
      <c r="L100" s="7">
        <f>IF(N100="Différé total", C100+D100, IF(N100="Intérêts seuls", C100, C100-E100))</f>
        <v>0</v>
      </c>
      <c r="M100" s="7">
        <f>IF(92=Nmois, FVballon, 0)</f>
        <v>0</v>
      </c>
      <c r="N100">
        <f>IF(92&lt;=DiffN, IF(DiffMode="Total (capitalisation)","Différé total","Intérêts seuls"), "Amortissement")</f>
        <v>0</v>
      </c>
    </row>
    <row r="101" spans="2:14">
      <c r="B101" s="4">
        <v>93</v>
      </c>
      <c r="C101" s="6">
        <f>EDATE(Date0,93)</f>
        <v>0</v>
      </c>
      <c r="D101" s="7">
        <f>K100</f>
        <v>0</v>
      </c>
      <c r="E101" s="7">
        <f>C101*i</f>
        <v>0</v>
      </c>
      <c r="F101" s="7">
        <f>IF(N101="Amortissement", F101-D101, 0)</f>
        <v>0</v>
      </c>
      <c r="G101" s="7">
        <f>IF(93&lt;=DiffN, IF(DiffMode="Total (capitalisation)", 0, D101), PMTnom)</f>
        <v>0</v>
      </c>
      <c r="H101" s="7">
        <f>IF(AssType="Sur capital initial (%)", AssTau/12*PNom, IF(AssType="Sur CRD (%)", AssTau/12*C101, IF(AssType="Montant fixe/mois", AssFixe, 0)))</f>
        <v>0</v>
      </c>
      <c r="I101" s="7">
        <f>FraisRec</f>
        <v>0</v>
      </c>
      <c r="J101" s="7">
        <f>F101+G101+H101</f>
        <v>0</v>
      </c>
      <c r="K101" s="7">
        <f>-(I101+L101)</f>
        <v>0</v>
      </c>
      <c r="L101" s="7">
        <f>IF(N101="Différé total", C101+D101, IF(N101="Intérêts seuls", C101, C101-E101))</f>
        <v>0</v>
      </c>
      <c r="M101" s="7">
        <f>IF(93=Nmois, FVballon, 0)</f>
        <v>0</v>
      </c>
      <c r="N101">
        <f>IF(93&lt;=DiffN, IF(DiffMode="Total (capitalisation)","Différé total","Intérêts seuls"), "Amortissement")</f>
        <v>0</v>
      </c>
    </row>
    <row r="102" spans="2:14">
      <c r="B102" s="11">
        <v>94</v>
      </c>
      <c r="C102" s="6">
        <f>EDATE(Date0,94)</f>
        <v>0</v>
      </c>
      <c r="D102" s="7">
        <f>K101</f>
        <v>0</v>
      </c>
      <c r="E102" s="7">
        <f>C102*i</f>
        <v>0</v>
      </c>
      <c r="F102" s="7">
        <f>IF(N102="Amortissement", F102-D102, 0)</f>
        <v>0</v>
      </c>
      <c r="G102" s="7">
        <f>IF(94&lt;=DiffN, IF(DiffMode="Total (capitalisation)", 0, D102), PMTnom)</f>
        <v>0</v>
      </c>
      <c r="H102" s="7">
        <f>IF(AssType="Sur capital initial (%)", AssTau/12*PNom, IF(AssType="Sur CRD (%)", AssTau/12*C102, IF(AssType="Montant fixe/mois", AssFixe, 0)))</f>
        <v>0</v>
      </c>
      <c r="I102" s="7">
        <f>FraisRec</f>
        <v>0</v>
      </c>
      <c r="J102" s="7">
        <f>F102+G102+H102</f>
        <v>0</v>
      </c>
      <c r="K102" s="7">
        <f>-(I102+L102)</f>
        <v>0</v>
      </c>
      <c r="L102" s="7">
        <f>IF(N102="Différé total", C102+D102, IF(N102="Intérêts seuls", C102, C102-E102))</f>
        <v>0</v>
      </c>
      <c r="M102" s="7">
        <f>IF(94=Nmois, FVballon, 0)</f>
        <v>0</v>
      </c>
      <c r="N102">
        <f>IF(94&lt;=DiffN, IF(DiffMode="Total (capitalisation)","Différé total","Intérêts seuls"), "Amortissement")</f>
        <v>0</v>
      </c>
    </row>
    <row r="103" spans="2:14">
      <c r="B103" s="4">
        <v>95</v>
      </c>
      <c r="C103" s="6">
        <f>EDATE(Date0,95)</f>
        <v>0</v>
      </c>
      <c r="D103" s="7">
        <f>K102</f>
        <v>0</v>
      </c>
      <c r="E103" s="7">
        <f>C103*i</f>
        <v>0</v>
      </c>
      <c r="F103" s="7">
        <f>IF(N103="Amortissement", F103-D103, 0)</f>
        <v>0</v>
      </c>
      <c r="G103" s="7">
        <f>IF(95&lt;=DiffN, IF(DiffMode="Total (capitalisation)", 0, D103), PMTnom)</f>
        <v>0</v>
      </c>
      <c r="H103" s="7">
        <f>IF(AssType="Sur capital initial (%)", AssTau/12*PNom, IF(AssType="Sur CRD (%)", AssTau/12*C103, IF(AssType="Montant fixe/mois", AssFixe, 0)))</f>
        <v>0</v>
      </c>
      <c r="I103" s="7">
        <f>FraisRec</f>
        <v>0</v>
      </c>
      <c r="J103" s="7">
        <f>F103+G103+H103</f>
        <v>0</v>
      </c>
      <c r="K103" s="7">
        <f>-(I103+L103)</f>
        <v>0</v>
      </c>
      <c r="L103" s="7">
        <f>IF(N103="Différé total", C103+D103, IF(N103="Intérêts seuls", C103, C103-E103))</f>
        <v>0</v>
      </c>
      <c r="M103" s="7">
        <f>IF(95=Nmois, FVballon, 0)</f>
        <v>0</v>
      </c>
      <c r="N103">
        <f>IF(95&lt;=DiffN, IF(DiffMode="Total (capitalisation)","Différé total","Intérêts seuls"), "Amortissement")</f>
        <v>0</v>
      </c>
    </row>
    <row r="104" spans="2:14">
      <c r="B104" s="11">
        <v>96</v>
      </c>
      <c r="C104" s="6">
        <f>EDATE(Date0,96)</f>
        <v>0</v>
      </c>
      <c r="D104" s="7">
        <f>K103</f>
        <v>0</v>
      </c>
      <c r="E104" s="7">
        <f>C104*i</f>
        <v>0</v>
      </c>
      <c r="F104" s="7">
        <f>IF(N104="Amortissement", F104-D104, 0)</f>
        <v>0</v>
      </c>
      <c r="G104" s="7">
        <f>IF(96&lt;=DiffN, IF(DiffMode="Total (capitalisation)", 0, D104), PMTnom)</f>
        <v>0</v>
      </c>
      <c r="H104" s="7">
        <f>IF(AssType="Sur capital initial (%)", AssTau/12*PNom, IF(AssType="Sur CRD (%)", AssTau/12*C104, IF(AssType="Montant fixe/mois", AssFixe, 0)))</f>
        <v>0</v>
      </c>
      <c r="I104" s="7">
        <f>FraisRec</f>
        <v>0</v>
      </c>
      <c r="J104" s="7">
        <f>F104+G104+H104</f>
        <v>0</v>
      </c>
      <c r="K104" s="7">
        <f>-(I104+L104)</f>
        <v>0</v>
      </c>
      <c r="L104" s="7">
        <f>IF(N104="Différé total", C104+D104, IF(N104="Intérêts seuls", C104, C104-E104))</f>
        <v>0</v>
      </c>
      <c r="M104" s="7">
        <f>IF(96=Nmois, FVballon, 0)</f>
        <v>0</v>
      </c>
      <c r="N104">
        <f>IF(96&lt;=DiffN, IF(DiffMode="Total (capitalisation)","Différé total","Intérêts seuls"), "Amortissement")</f>
        <v>0</v>
      </c>
    </row>
    <row r="105" spans="2:14">
      <c r="B105" s="4">
        <v>97</v>
      </c>
      <c r="C105" s="6">
        <f>EDATE(Date0,97)</f>
        <v>0</v>
      </c>
      <c r="D105" s="7">
        <f>K104</f>
        <v>0</v>
      </c>
      <c r="E105" s="7">
        <f>C105*i</f>
        <v>0</v>
      </c>
      <c r="F105" s="7">
        <f>IF(N105="Amortissement", F105-D105, 0)</f>
        <v>0</v>
      </c>
      <c r="G105" s="7">
        <f>IF(97&lt;=DiffN, IF(DiffMode="Total (capitalisation)", 0, D105), PMTnom)</f>
        <v>0</v>
      </c>
      <c r="H105" s="7">
        <f>IF(AssType="Sur capital initial (%)", AssTau/12*PNom, IF(AssType="Sur CRD (%)", AssTau/12*C105, IF(AssType="Montant fixe/mois", AssFixe, 0)))</f>
        <v>0</v>
      </c>
      <c r="I105" s="7">
        <f>FraisRec</f>
        <v>0</v>
      </c>
      <c r="J105" s="7">
        <f>F105+G105+H105</f>
        <v>0</v>
      </c>
      <c r="K105" s="7">
        <f>-(I105+L105)</f>
        <v>0</v>
      </c>
      <c r="L105" s="7">
        <f>IF(N105="Différé total", C105+D105, IF(N105="Intérêts seuls", C105, C105-E105))</f>
        <v>0</v>
      </c>
      <c r="M105" s="7">
        <f>IF(97=Nmois, FVballon, 0)</f>
        <v>0</v>
      </c>
      <c r="N105">
        <f>IF(97&lt;=DiffN, IF(DiffMode="Total (capitalisation)","Différé total","Intérêts seuls"), "Amortissement")</f>
        <v>0</v>
      </c>
    </row>
    <row r="106" spans="2:14">
      <c r="B106" s="11">
        <v>98</v>
      </c>
      <c r="C106" s="6">
        <f>EDATE(Date0,98)</f>
        <v>0</v>
      </c>
      <c r="D106" s="7">
        <f>K105</f>
        <v>0</v>
      </c>
      <c r="E106" s="7">
        <f>C106*i</f>
        <v>0</v>
      </c>
      <c r="F106" s="7">
        <f>IF(N106="Amortissement", F106-D106, 0)</f>
        <v>0</v>
      </c>
      <c r="G106" s="7">
        <f>IF(98&lt;=DiffN, IF(DiffMode="Total (capitalisation)", 0, D106), PMTnom)</f>
        <v>0</v>
      </c>
      <c r="H106" s="7">
        <f>IF(AssType="Sur capital initial (%)", AssTau/12*PNom, IF(AssType="Sur CRD (%)", AssTau/12*C106, IF(AssType="Montant fixe/mois", AssFixe, 0)))</f>
        <v>0</v>
      </c>
      <c r="I106" s="7">
        <f>FraisRec</f>
        <v>0</v>
      </c>
      <c r="J106" s="7">
        <f>F106+G106+H106</f>
        <v>0</v>
      </c>
      <c r="K106" s="7">
        <f>-(I106+L106)</f>
        <v>0</v>
      </c>
      <c r="L106" s="7">
        <f>IF(N106="Différé total", C106+D106, IF(N106="Intérêts seuls", C106, C106-E106))</f>
        <v>0</v>
      </c>
      <c r="M106" s="7">
        <f>IF(98=Nmois, FVballon, 0)</f>
        <v>0</v>
      </c>
      <c r="N106">
        <f>IF(98&lt;=DiffN, IF(DiffMode="Total (capitalisation)","Différé total","Intérêts seuls"), "Amortissement")</f>
        <v>0</v>
      </c>
    </row>
    <row r="107" spans="2:14">
      <c r="B107" s="4">
        <v>99</v>
      </c>
      <c r="C107" s="6">
        <f>EDATE(Date0,99)</f>
        <v>0</v>
      </c>
      <c r="D107" s="7">
        <f>K106</f>
        <v>0</v>
      </c>
      <c r="E107" s="7">
        <f>C107*i</f>
        <v>0</v>
      </c>
      <c r="F107" s="7">
        <f>IF(N107="Amortissement", F107-D107, 0)</f>
        <v>0</v>
      </c>
      <c r="G107" s="7">
        <f>IF(99&lt;=DiffN, IF(DiffMode="Total (capitalisation)", 0, D107), PMTnom)</f>
        <v>0</v>
      </c>
      <c r="H107" s="7">
        <f>IF(AssType="Sur capital initial (%)", AssTau/12*PNom, IF(AssType="Sur CRD (%)", AssTau/12*C107, IF(AssType="Montant fixe/mois", AssFixe, 0)))</f>
        <v>0</v>
      </c>
      <c r="I107" s="7">
        <f>FraisRec</f>
        <v>0</v>
      </c>
      <c r="J107" s="7">
        <f>F107+G107+H107</f>
        <v>0</v>
      </c>
      <c r="K107" s="7">
        <f>-(I107+L107)</f>
        <v>0</v>
      </c>
      <c r="L107" s="7">
        <f>IF(N107="Différé total", C107+D107, IF(N107="Intérêts seuls", C107, C107-E107))</f>
        <v>0</v>
      </c>
      <c r="M107" s="7">
        <f>IF(99=Nmois, FVballon, 0)</f>
        <v>0</v>
      </c>
      <c r="N107">
        <f>IF(99&lt;=DiffN, IF(DiffMode="Total (capitalisation)","Différé total","Intérêts seuls"), "Amortissement")</f>
        <v>0</v>
      </c>
    </row>
    <row r="108" spans="2:14">
      <c r="B108" s="11">
        <v>100</v>
      </c>
      <c r="C108" s="6">
        <f>EDATE(Date0,100)</f>
        <v>0</v>
      </c>
      <c r="D108" s="7">
        <f>K107</f>
        <v>0</v>
      </c>
      <c r="E108" s="7">
        <f>C108*i</f>
        <v>0</v>
      </c>
      <c r="F108" s="7">
        <f>IF(N108="Amortissement", F108-D108, 0)</f>
        <v>0</v>
      </c>
      <c r="G108" s="7">
        <f>IF(100&lt;=DiffN, IF(DiffMode="Total (capitalisation)", 0, D108), PMTnom)</f>
        <v>0</v>
      </c>
      <c r="H108" s="7">
        <f>IF(AssType="Sur capital initial (%)", AssTau/12*PNom, IF(AssType="Sur CRD (%)", AssTau/12*C108, IF(AssType="Montant fixe/mois", AssFixe, 0)))</f>
        <v>0</v>
      </c>
      <c r="I108" s="7">
        <f>FraisRec</f>
        <v>0</v>
      </c>
      <c r="J108" s="7">
        <f>F108+G108+H108</f>
        <v>0</v>
      </c>
      <c r="K108" s="7">
        <f>-(I108+L108)</f>
        <v>0</v>
      </c>
      <c r="L108" s="7">
        <f>IF(N108="Différé total", C108+D108, IF(N108="Intérêts seuls", C108, C108-E108))</f>
        <v>0</v>
      </c>
      <c r="M108" s="7">
        <f>IF(100=Nmois, FVballon, 0)</f>
        <v>0</v>
      </c>
      <c r="N108">
        <f>IF(100&lt;=DiffN, IF(DiffMode="Total (capitalisation)","Différé total","Intérêts seuls"), "Amortissement")</f>
        <v>0</v>
      </c>
    </row>
    <row r="109" spans="2:14">
      <c r="B109" s="4">
        <v>101</v>
      </c>
      <c r="C109" s="6">
        <f>EDATE(Date0,101)</f>
        <v>0</v>
      </c>
      <c r="D109" s="7">
        <f>K108</f>
        <v>0</v>
      </c>
      <c r="E109" s="7">
        <f>C109*i</f>
        <v>0</v>
      </c>
      <c r="F109" s="7">
        <f>IF(N109="Amortissement", F109-D109, 0)</f>
        <v>0</v>
      </c>
      <c r="G109" s="7">
        <f>IF(101&lt;=DiffN, IF(DiffMode="Total (capitalisation)", 0, D109), PMTnom)</f>
        <v>0</v>
      </c>
      <c r="H109" s="7">
        <f>IF(AssType="Sur capital initial (%)", AssTau/12*PNom, IF(AssType="Sur CRD (%)", AssTau/12*C109, IF(AssType="Montant fixe/mois", AssFixe, 0)))</f>
        <v>0</v>
      </c>
      <c r="I109" s="7">
        <f>FraisRec</f>
        <v>0</v>
      </c>
      <c r="J109" s="7">
        <f>F109+G109+H109</f>
        <v>0</v>
      </c>
      <c r="K109" s="7">
        <f>-(I109+L109)</f>
        <v>0</v>
      </c>
      <c r="L109" s="7">
        <f>IF(N109="Différé total", C109+D109, IF(N109="Intérêts seuls", C109, C109-E109))</f>
        <v>0</v>
      </c>
      <c r="M109" s="7">
        <f>IF(101=Nmois, FVballon, 0)</f>
        <v>0</v>
      </c>
      <c r="N109">
        <f>IF(101&lt;=DiffN, IF(DiffMode="Total (capitalisation)","Différé total","Intérêts seuls"), "Amortissement")</f>
        <v>0</v>
      </c>
    </row>
    <row r="110" spans="2:14">
      <c r="B110" s="11">
        <v>102</v>
      </c>
      <c r="C110" s="6">
        <f>EDATE(Date0,102)</f>
        <v>0</v>
      </c>
      <c r="D110" s="7">
        <f>K109</f>
        <v>0</v>
      </c>
      <c r="E110" s="7">
        <f>C110*i</f>
        <v>0</v>
      </c>
      <c r="F110" s="7">
        <f>IF(N110="Amortissement", F110-D110, 0)</f>
        <v>0</v>
      </c>
      <c r="G110" s="7">
        <f>IF(102&lt;=DiffN, IF(DiffMode="Total (capitalisation)", 0, D110), PMTnom)</f>
        <v>0</v>
      </c>
      <c r="H110" s="7">
        <f>IF(AssType="Sur capital initial (%)", AssTau/12*PNom, IF(AssType="Sur CRD (%)", AssTau/12*C110, IF(AssType="Montant fixe/mois", AssFixe, 0)))</f>
        <v>0</v>
      </c>
      <c r="I110" s="7">
        <f>FraisRec</f>
        <v>0</v>
      </c>
      <c r="J110" s="7">
        <f>F110+G110+H110</f>
        <v>0</v>
      </c>
      <c r="K110" s="7">
        <f>-(I110+L110)</f>
        <v>0</v>
      </c>
      <c r="L110" s="7">
        <f>IF(N110="Différé total", C110+D110, IF(N110="Intérêts seuls", C110, C110-E110))</f>
        <v>0</v>
      </c>
      <c r="M110" s="7">
        <f>IF(102=Nmois, FVballon, 0)</f>
        <v>0</v>
      </c>
      <c r="N110">
        <f>IF(102&lt;=DiffN, IF(DiffMode="Total (capitalisation)","Différé total","Intérêts seuls"), "Amortissement")</f>
        <v>0</v>
      </c>
    </row>
    <row r="111" spans="2:14">
      <c r="B111" s="4">
        <v>103</v>
      </c>
      <c r="C111" s="6">
        <f>EDATE(Date0,103)</f>
        <v>0</v>
      </c>
      <c r="D111" s="7">
        <f>K110</f>
        <v>0</v>
      </c>
      <c r="E111" s="7">
        <f>C111*i</f>
        <v>0</v>
      </c>
      <c r="F111" s="7">
        <f>IF(N111="Amortissement", F111-D111, 0)</f>
        <v>0</v>
      </c>
      <c r="G111" s="7">
        <f>IF(103&lt;=DiffN, IF(DiffMode="Total (capitalisation)", 0, D111), PMTnom)</f>
        <v>0</v>
      </c>
      <c r="H111" s="7">
        <f>IF(AssType="Sur capital initial (%)", AssTau/12*PNom, IF(AssType="Sur CRD (%)", AssTau/12*C111, IF(AssType="Montant fixe/mois", AssFixe, 0)))</f>
        <v>0</v>
      </c>
      <c r="I111" s="7">
        <f>FraisRec</f>
        <v>0</v>
      </c>
      <c r="J111" s="7">
        <f>F111+G111+H111</f>
        <v>0</v>
      </c>
      <c r="K111" s="7">
        <f>-(I111+L111)</f>
        <v>0</v>
      </c>
      <c r="L111" s="7">
        <f>IF(N111="Différé total", C111+D111, IF(N111="Intérêts seuls", C111, C111-E111))</f>
        <v>0</v>
      </c>
      <c r="M111" s="7">
        <f>IF(103=Nmois, FVballon, 0)</f>
        <v>0</v>
      </c>
      <c r="N111">
        <f>IF(103&lt;=DiffN, IF(DiffMode="Total (capitalisation)","Différé total","Intérêts seuls"), "Amortissement")</f>
        <v>0</v>
      </c>
    </row>
    <row r="112" spans="2:14">
      <c r="B112" s="11">
        <v>104</v>
      </c>
      <c r="C112" s="6">
        <f>EDATE(Date0,104)</f>
        <v>0</v>
      </c>
      <c r="D112" s="7">
        <f>K111</f>
        <v>0</v>
      </c>
      <c r="E112" s="7">
        <f>C112*i</f>
        <v>0</v>
      </c>
      <c r="F112" s="7">
        <f>IF(N112="Amortissement", F112-D112, 0)</f>
        <v>0</v>
      </c>
      <c r="G112" s="7">
        <f>IF(104&lt;=DiffN, IF(DiffMode="Total (capitalisation)", 0, D112), PMTnom)</f>
        <v>0</v>
      </c>
      <c r="H112" s="7">
        <f>IF(AssType="Sur capital initial (%)", AssTau/12*PNom, IF(AssType="Sur CRD (%)", AssTau/12*C112, IF(AssType="Montant fixe/mois", AssFixe, 0)))</f>
        <v>0</v>
      </c>
      <c r="I112" s="7">
        <f>FraisRec</f>
        <v>0</v>
      </c>
      <c r="J112" s="7">
        <f>F112+G112+H112</f>
        <v>0</v>
      </c>
      <c r="K112" s="7">
        <f>-(I112+L112)</f>
        <v>0</v>
      </c>
      <c r="L112" s="7">
        <f>IF(N112="Différé total", C112+D112, IF(N112="Intérêts seuls", C112, C112-E112))</f>
        <v>0</v>
      </c>
      <c r="M112" s="7">
        <f>IF(104=Nmois, FVballon, 0)</f>
        <v>0</v>
      </c>
      <c r="N112">
        <f>IF(104&lt;=DiffN, IF(DiffMode="Total (capitalisation)","Différé total","Intérêts seuls"), "Amortissement")</f>
        <v>0</v>
      </c>
    </row>
    <row r="113" spans="2:14">
      <c r="B113" s="4">
        <v>105</v>
      </c>
      <c r="C113" s="6">
        <f>EDATE(Date0,105)</f>
        <v>0</v>
      </c>
      <c r="D113" s="7">
        <f>K112</f>
        <v>0</v>
      </c>
      <c r="E113" s="7">
        <f>C113*i</f>
        <v>0</v>
      </c>
      <c r="F113" s="7">
        <f>IF(N113="Amortissement", F113-D113, 0)</f>
        <v>0</v>
      </c>
      <c r="G113" s="7">
        <f>IF(105&lt;=DiffN, IF(DiffMode="Total (capitalisation)", 0, D113), PMTnom)</f>
        <v>0</v>
      </c>
      <c r="H113" s="7">
        <f>IF(AssType="Sur capital initial (%)", AssTau/12*PNom, IF(AssType="Sur CRD (%)", AssTau/12*C113, IF(AssType="Montant fixe/mois", AssFixe, 0)))</f>
        <v>0</v>
      </c>
      <c r="I113" s="7">
        <f>FraisRec</f>
        <v>0</v>
      </c>
      <c r="J113" s="7">
        <f>F113+G113+H113</f>
        <v>0</v>
      </c>
      <c r="K113" s="7">
        <f>-(I113+L113)</f>
        <v>0</v>
      </c>
      <c r="L113" s="7">
        <f>IF(N113="Différé total", C113+D113, IF(N113="Intérêts seuls", C113, C113-E113))</f>
        <v>0</v>
      </c>
      <c r="M113" s="7">
        <f>IF(105=Nmois, FVballon, 0)</f>
        <v>0</v>
      </c>
      <c r="N113">
        <f>IF(105&lt;=DiffN, IF(DiffMode="Total (capitalisation)","Différé total","Intérêts seuls"), "Amortissement")</f>
        <v>0</v>
      </c>
    </row>
    <row r="114" spans="2:14">
      <c r="B114" s="11">
        <v>106</v>
      </c>
      <c r="C114" s="6">
        <f>EDATE(Date0,106)</f>
        <v>0</v>
      </c>
      <c r="D114" s="7">
        <f>K113</f>
        <v>0</v>
      </c>
      <c r="E114" s="7">
        <f>C114*i</f>
        <v>0</v>
      </c>
      <c r="F114" s="7">
        <f>IF(N114="Amortissement", F114-D114, 0)</f>
        <v>0</v>
      </c>
      <c r="G114" s="7">
        <f>IF(106&lt;=DiffN, IF(DiffMode="Total (capitalisation)", 0, D114), PMTnom)</f>
        <v>0</v>
      </c>
      <c r="H114" s="7">
        <f>IF(AssType="Sur capital initial (%)", AssTau/12*PNom, IF(AssType="Sur CRD (%)", AssTau/12*C114, IF(AssType="Montant fixe/mois", AssFixe, 0)))</f>
        <v>0</v>
      </c>
      <c r="I114" s="7">
        <f>FraisRec</f>
        <v>0</v>
      </c>
      <c r="J114" s="7">
        <f>F114+G114+H114</f>
        <v>0</v>
      </c>
      <c r="K114" s="7">
        <f>-(I114+L114)</f>
        <v>0</v>
      </c>
      <c r="L114" s="7">
        <f>IF(N114="Différé total", C114+D114, IF(N114="Intérêts seuls", C114, C114-E114))</f>
        <v>0</v>
      </c>
      <c r="M114" s="7">
        <f>IF(106=Nmois, FVballon, 0)</f>
        <v>0</v>
      </c>
      <c r="N114">
        <f>IF(106&lt;=DiffN, IF(DiffMode="Total (capitalisation)","Différé total","Intérêts seuls"), "Amortissement")</f>
        <v>0</v>
      </c>
    </row>
    <row r="115" spans="2:14">
      <c r="B115" s="4">
        <v>107</v>
      </c>
      <c r="C115" s="6">
        <f>EDATE(Date0,107)</f>
        <v>0</v>
      </c>
      <c r="D115" s="7">
        <f>K114</f>
        <v>0</v>
      </c>
      <c r="E115" s="7">
        <f>C115*i</f>
        <v>0</v>
      </c>
      <c r="F115" s="7">
        <f>IF(N115="Amortissement", F115-D115, 0)</f>
        <v>0</v>
      </c>
      <c r="G115" s="7">
        <f>IF(107&lt;=DiffN, IF(DiffMode="Total (capitalisation)", 0, D115), PMTnom)</f>
        <v>0</v>
      </c>
      <c r="H115" s="7">
        <f>IF(AssType="Sur capital initial (%)", AssTau/12*PNom, IF(AssType="Sur CRD (%)", AssTau/12*C115, IF(AssType="Montant fixe/mois", AssFixe, 0)))</f>
        <v>0</v>
      </c>
      <c r="I115" s="7">
        <f>FraisRec</f>
        <v>0</v>
      </c>
      <c r="J115" s="7">
        <f>F115+G115+H115</f>
        <v>0</v>
      </c>
      <c r="K115" s="7">
        <f>-(I115+L115)</f>
        <v>0</v>
      </c>
      <c r="L115" s="7">
        <f>IF(N115="Différé total", C115+D115, IF(N115="Intérêts seuls", C115, C115-E115))</f>
        <v>0</v>
      </c>
      <c r="M115" s="7">
        <f>IF(107=Nmois, FVballon, 0)</f>
        <v>0</v>
      </c>
      <c r="N115">
        <f>IF(107&lt;=DiffN, IF(DiffMode="Total (capitalisation)","Différé total","Intérêts seuls"), "Amortissement")</f>
        <v>0</v>
      </c>
    </row>
    <row r="116" spans="2:14">
      <c r="B116" s="11">
        <v>108</v>
      </c>
      <c r="C116" s="6">
        <f>EDATE(Date0,108)</f>
        <v>0</v>
      </c>
      <c r="D116" s="7">
        <f>K115</f>
        <v>0</v>
      </c>
      <c r="E116" s="7">
        <f>C116*i</f>
        <v>0</v>
      </c>
      <c r="F116" s="7">
        <f>IF(N116="Amortissement", F116-D116, 0)</f>
        <v>0</v>
      </c>
      <c r="G116" s="7">
        <f>IF(108&lt;=DiffN, IF(DiffMode="Total (capitalisation)", 0, D116), PMTnom)</f>
        <v>0</v>
      </c>
      <c r="H116" s="7">
        <f>IF(AssType="Sur capital initial (%)", AssTau/12*PNom, IF(AssType="Sur CRD (%)", AssTau/12*C116, IF(AssType="Montant fixe/mois", AssFixe, 0)))</f>
        <v>0</v>
      </c>
      <c r="I116" s="7">
        <f>FraisRec</f>
        <v>0</v>
      </c>
      <c r="J116" s="7">
        <f>F116+G116+H116</f>
        <v>0</v>
      </c>
      <c r="K116" s="7">
        <f>-(I116+L116)</f>
        <v>0</v>
      </c>
      <c r="L116" s="7">
        <f>IF(N116="Différé total", C116+D116, IF(N116="Intérêts seuls", C116, C116-E116))</f>
        <v>0</v>
      </c>
      <c r="M116" s="7">
        <f>IF(108=Nmois, FVballon, 0)</f>
        <v>0</v>
      </c>
      <c r="N116">
        <f>IF(108&lt;=DiffN, IF(DiffMode="Total (capitalisation)","Différé total","Intérêts seuls"), "Amortissement")</f>
        <v>0</v>
      </c>
    </row>
    <row r="117" spans="2:14">
      <c r="B117" s="4">
        <v>109</v>
      </c>
      <c r="C117" s="6">
        <f>EDATE(Date0,109)</f>
        <v>0</v>
      </c>
      <c r="D117" s="7">
        <f>K116</f>
        <v>0</v>
      </c>
      <c r="E117" s="7">
        <f>C117*i</f>
        <v>0</v>
      </c>
      <c r="F117" s="7">
        <f>IF(N117="Amortissement", F117-D117, 0)</f>
        <v>0</v>
      </c>
      <c r="G117" s="7">
        <f>IF(109&lt;=DiffN, IF(DiffMode="Total (capitalisation)", 0, D117), PMTnom)</f>
        <v>0</v>
      </c>
      <c r="H117" s="7">
        <f>IF(AssType="Sur capital initial (%)", AssTau/12*PNom, IF(AssType="Sur CRD (%)", AssTau/12*C117, IF(AssType="Montant fixe/mois", AssFixe, 0)))</f>
        <v>0</v>
      </c>
      <c r="I117" s="7">
        <f>FraisRec</f>
        <v>0</v>
      </c>
      <c r="J117" s="7">
        <f>F117+G117+H117</f>
        <v>0</v>
      </c>
      <c r="K117" s="7">
        <f>-(I117+L117)</f>
        <v>0</v>
      </c>
      <c r="L117" s="7">
        <f>IF(N117="Différé total", C117+D117, IF(N117="Intérêts seuls", C117, C117-E117))</f>
        <v>0</v>
      </c>
      <c r="M117" s="7">
        <f>IF(109=Nmois, FVballon, 0)</f>
        <v>0</v>
      </c>
      <c r="N117">
        <f>IF(109&lt;=DiffN, IF(DiffMode="Total (capitalisation)","Différé total","Intérêts seuls"), "Amortissement")</f>
        <v>0</v>
      </c>
    </row>
    <row r="118" spans="2:14">
      <c r="B118" s="11">
        <v>110</v>
      </c>
      <c r="C118" s="6">
        <f>EDATE(Date0,110)</f>
        <v>0</v>
      </c>
      <c r="D118" s="7">
        <f>K117</f>
        <v>0</v>
      </c>
      <c r="E118" s="7">
        <f>C118*i</f>
        <v>0</v>
      </c>
      <c r="F118" s="7">
        <f>IF(N118="Amortissement", F118-D118, 0)</f>
        <v>0</v>
      </c>
      <c r="G118" s="7">
        <f>IF(110&lt;=DiffN, IF(DiffMode="Total (capitalisation)", 0, D118), PMTnom)</f>
        <v>0</v>
      </c>
      <c r="H118" s="7">
        <f>IF(AssType="Sur capital initial (%)", AssTau/12*PNom, IF(AssType="Sur CRD (%)", AssTau/12*C118, IF(AssType="Montant fixe/mois", AssFixe, 0)))</f>
        <v>0</v>
      </c>
      <c r="I118" s="7">
        <f>FraisRec</f>
        <v>0</v>
      </c>
      <c r="J118" s="7">
        <f>F118+G118+H118</f>
        <v>0</v>
      </c>
      <c r="K118" s="7">
        <f>-(I118+L118)</f>
        <v>0</v>
      </c>
      <c r="L118" s="7">
        <f>IF(N118="Différé total", C118+D118, IF(N118="Intérêts seuls", C118, C118-E118))</f>
        <v>0</v>
      </c>
      <c r="M118" s="7">
        <f>IF(110=Nmois, FVballon, 0)</f>
        <v>0</v>
      </c>
      <c r="N118">
        <f>IF(110&lt;=DiffN, IF(DiffMode="Total (capitalisation)","Différé total","Intérêts seuls"), "Amortissement")</f>
        <v>0</v>
      </c>
    </row>
    <row r="119" spans="2:14">
      <c r="B119" s="4">
        <v>111</v>
      </c>
      <c r="C119" s="6">
        <f>EDATE(Date0,111)</f>
        <v>0</v>
      </c>
      <c r="D119" s="7">
        <f>K118</f>
        <v>0</v>
      </c>
      <c r="E119" s="7">
        <f>C119*i</f>
        <v>0</v>
      </c>
      <c r="F119" s="7">
        <f>IF(N119="Amortissement", F119-D119, 0)</f>
        <v>0</v>
      </c>
      <c r="G119" s="7">
        <f>IF(111&lt;=DiffN, IF(DiffMode="Total (capitalisation)", 0, D119), PMTnom)</f>
        <v>0</v>
      </c>
      <c r="H119" s="7">
        <f>IF(AssType="Sur capital initial (%)", AssTau/12*PNom, IF(AssType="Sur CRD (%)", AssTau/12*C119, IF(AssType="Montant fixe/mois", AssFixe, 0)))</f>
        <v>0</v>
      </c>
      <c r="I119" s="7">
        <f>FraisRec</f>
        <v>0</v>
      </c>
      <c r="J119" s="7">
        <f>F119+G119+H119</f>
        <v>0</v>
      </c>
      <c r="K119" s="7">
        <f>-(I119+L119)</f>
        <v>0</v>
      </c>
      <c r="L119" s="7">
        <f>IF(N119="Différé total", C119+D119, IF(N119="Intérêts seuls", C119, C119-E119))</f>
        <v>0</v>
      </c>
      <c r="M119" s="7">
        <f>IF(111=Nmois, FVballon, 0)</f>
        <v>0</v>
      </c>
      <c r="N119">
        <f>IF(111&lt;=DiffN, IF(DiffMode="Total (capitalisation)","Différé total","Intérêts seuls"), "Amortissement")</f>
        <v>0</v>
      </c>
    </row>
    <row r="120" spans="2:14">
      <c r="B120" s="11">
        <v>112</v>
      </c>
      <c r="C120" s="6">
        <f>EDATE(Date0,112)</f>
        <v>0</v>
      </c>
      <c r="D120" s="7">
        <f>K119</f>
        <v>0</v>
      </c>
      <c r="E120" s="7">
        <f>C120*i</f>
        <v>0</v>
      </c>
      <c r="F120" s="7">
        <f>IF(N120="Amortissement", F120-D120, 0)</f>
        <v>0</v>
      </c>
      <c r="G120" s="7">
        <f>IF(112&lt;=DiffN, IF(DiffMode="Total (capitalisation)", 0, D120), PMTnom)</f>
        <v>0</v>
      </c>
      <c r="H120" s="7">
        <f>IF(AssType="Sur capital initial (%)", AssTau/12*PNom, IF(AssType="Sur CRD (%)", AssTau/12*C120, IF(AssType="Montant fixe/mois", AssFixe, 0)))</f>
        <v>0</v>
      </c>
      <c r="I120" s="7">
        <f>FraisRec</f>
        <v>0</v>
      </c>
      <c r="J120" s="7">
        <f>F120+G120+H120</f>
        <v>0</v>
      </c>
      <c r="K120" s="7">
        <f>-(I120+L120)</f>
        <v>0</v>
      </c>
      <c r="L120" s="7">
        <f>IF(N120="Différé total", C120+D120, IF(N120="Intérêts seuls", C120, C120-E120))</f>
        <v>0</v>
      </c>
      <c r="M120" s="7">
        <f>IF(112=Nmois, FVballon, 0)</f>
        <v>0</v>
      </c>
      <c r="N120">
        <f>IF(112&lt;=DiffN, IF(DiffMode="Total (capitalisation)","Différé total","Intérêts seuls"), "Amortissement")</f>
        <v>0</v>
      </c>
    </row>
    <row r="121" spans="2:14">
      <c r="B121" s="4">
        <v>113</v>
      </c>
      <c r="C121" s="6">
        <f>EDATE(Date0,113)</f>
        <v>0</v>
      </c>
      <c r="D121" s="7">
        <f>K120</f>
        <v>0</v>
      </c>
      <c r="E121" s="7">
        <f>C121*i</f>
        <v>0</v>
      </c>
      <c r="F121" s="7">
        <f>IF(N121="Amortissement", F121-D121, 0)</f>
        <v>0</v>
      </c>
      <c r="G121" s="7">
        <f>IF(113&lt;=DiffN, IF(DiffMode="Total (capitalisation)", 0, D121), PMTnom)</f>
        <v>0</v>
      </c>
      <c r="H121" s="7">
        <f>IF(AssType="Sur capital initial (%)", AssTau/12*PNom, IF(AssType="Sur CRD (%)", AssTau/12*C121, IF(AssType="Montant fixe/mois", AssFixe, 0)))</f>
        <v>0</v>
      </c>
      <c r="I121" s="7">
        <f>FraisRec</f>
        <v>0</v>
      </c>
      <c r="J121" s="7">
        <f>F121+G121+H121</f>
        <v>0</v>
      </c>
      <c r="K121" s="7">
        <f>-(I121+L121)</f>
        <v>0</v>
      </c>
      <c r="L121" s="7">
        <f>IF(N121="Différé total", C121+D121, IF(N121="Intérêts seuls", C121, C121-E121))</f>
        <v>0</v>
      </c>
      <c r="M121" s="7">
        <f>IF(113=Nmois, FVballon, 0)</f>
        <v>0</v>
      </c>
      <c r="N121">
        <f>IF(113&lt;=DiffN, IF(DiffMode="Total (capitalisation)","Différé total","Intérêts seuls"), "Amortissement")</f>
        <v>0</v>
      </c>
    </row>
    <row r="122" spans="2:14">
      <c r="B122" s="11">
        <v>114</v>
      </c>
      <c r="C122" s="6">
        <f>EDATE(Date0,114)</f>
        <v>0</v>
      </c>
      <c r="D122" s="7">
        <f>K121</f>
        <v>0</v>
      </c>
      <c r="E122" s="7">
        <f>C122*i</f>
        <v>0</v>
      </c>
      <c r="F122" s="7">
        <f>IF(N122="Amortissement", F122-D122, 0)</f>
        <v>0</v>
      </c>
      <c r="G122" s="7">
        <f>IF(114&lt;=DiffN, IF(DiffMode="Total (capitalisation)", 0, D122), PMTnom)</f>
        <v>0</v>
      </c>
      <c r="H122" s="7">
        <f>IF(AssType="Sur capital initial (%)", AssTau/12*PNom, IF(AssType="Sur CRD (%)", AssTau/12*C122, IF(AssType="Montant fixe/mois", AssFixe, 0)))</f>
        <v>0</v>
      </c>
      <c r="I122" s="7">
        <f>FraisRec</f>
        <v>0</v>
      </c>
      <c r="J122" s="7">
        <f>F122+G122+H122</f>
        <v>0</v>
      </c>
      <c r="K122" s="7">
        <f>-(I122+L122)</f>
        <v>0</v>
      </c>
      <c r="L122" s="7">
        <f>IF(N122="Différé total", C122+D122, IF(N122="Intérêts seuls", C122, C122-E122))</f>
        <v>0</v>
      </c>
      <c r="M122" s="7">
        <f>IF(114=Nmois, FVballon, 0)</f>
        <v>0</v>
      </c>
      <c r="N122">
        <f>IF(114&lt;=DiffN, IF(DiffMode="Total (capitalisation)","Différé total","Intérêts seuls"), "Amortissement")</f>
        <v>0</v>
      </c>
    </row>
    <row r="123" spans="2:14">
      <c r="B123" s="4">
        <v>115</v>
      </c>
      <c r="C123" s="6">
        <f>EDATE(Date0,115)</f>
        <v>0</v>
      </c>
      <c r="D123" s="7">
        <f>K122</f>
        <v>0</v>
      </c>
      <c r="E123" s="7">
        <f>C123*i</f>
        <v>0</v>
      </c>
      <c r="F123" s="7">
        <f>IF(N123="Amortissement", F123-D123, 0)</f>
        <v>0</v>
      </c>
      <c r="G123" s="7">
        <f>IF(115&lt;=DiffN, IF(DiffMode="Total (capitalisation)", 0, D123), PMTnom)</f>
        <v>0</v>
      </c>
      <c r="H123" s="7">
        <f>IF(AssType="Sur capital initial (%)", AssTau/12*PNom, IF(AssType="Sur CRD (%)", AssTau/12*C123, IF(AssType="Montant fixe/mois", AssFixe, 0)))</f>
        <v>0</v>
      </c>
      <c r="I123" s="7">
        <f>FraisRec</f>
        <v>0</v>
      </c>
      <c r="J123" s="7">
        <f>F123+G123+H123</f>
        <v>0</v>
      </c>
      <c r="K123" s="7">
        <f>-(I123+L123)</f>
        <v>0</v>
      </c>
      <c r="L123" s="7">
        <f>IF(N123="Différé total", C123+D123, IF(N123="Intérêts seuls", C123, C123-E123))</f>
        <v>0</v>
      </c>
      <c r="M123" s="7">
        <f>IF(115=Nmois, FVballon, 0)</f>
        <v>0</v>
      </c>
      <c r="N123">
        <f>IF(115&lt;=DiffN, IF(DiffMode="Total (capitalisation)","Différé total","Intérêts seuls"), "Amortissement")</f>
        <v>0</v>
      </c>
    </row>
    <row r="124" spans="2:14">
      <c r="B124" s="11">
        <v>116</v>
      </c>
      <c r="C124" s="6">
        <f>EDATE(Date0,116)</f>
        <v>0</v>
      </c>
      <c r="D124" s="7">
        <f>K123</f>
        <v>0</v>
      </c>
      <c r="E124" s="7">
        <f>C124*i</f>
        <v>0</v>
      </c>
      <c r="F124" s="7">
        <f>IF(N124="Amortissement", F124-D124, 0)</f>
        <v>0</v>
      </c>
      <c r="G124" s="7">
        <f>IF(116&lt;=DiffN, IF(DiffMode="Total (capitalisation)", 0, D124), PMTnom)</f>
        <v>0</v>
      </c>
      <c r="H124" s="7">
        <f>IF(AssType="Sur capital initial (%)", AssTau/12*PNom, IF(AssType="Sur CRD (%)", AssTau/12*C124, IF(AssType="Montant fixe/mois", AssFixe, 0)))</f>
        <v>0</v>
      </c>
      <c r="I124" s="7">
        <f>FraisRec</f>
        <v>0</v>
      </c>
      <c r="J124" s="7">
        <f>F124+G124+H124</f>
        <v>0</v>
      </c>
      <c r="K124" s="7">
        <f>-(I124+L124)</f>
        <v>0</v>
      </c>
      <c r="L124" s="7">
        <f>IF(N124="Différé total", C124+D124, IF(N124="Intérêts seuls", C124, C124-E124))</f>
        <v>0</v>
      </c>
      <c r="M124" s="7">
        <f>IF(116=Nmois, FVballon, 0)</f>
        <v>0</v>
      </c>
      <c r="N124">
        <f>IF(116&lt;=DiffN, IF(DiffMode="Total (capitalisation)","Différé total","Intérêts seuls"), "Amortissement")</f>
        <v>0</v>
      </c>
    </row>
    <row r="125" spans="2:14">
      <c r="B125" s="4">
        <v>117</v>
      </c>
      <c r="C125" s="6">
        <f>EDATE(Date0,117)</f>
        <v>0</v>
      </c>
      <c r="D125" s="7">
        <f>K124</f>
        <v>0</v>
      </c>
      <c r="E125" s="7">
        <f>C125*i</f>
        <v>0</v>
      </c>
      <c r="F125" s="7">
        <f>IF(N125="Amortissement", F125-D125, 0)</f>
        <v>0</v>
      </c>
      <c r="G125" s="7">
        <f>IF(117&lt;=DiffN, IF(DiffMode="Total (capitalisation)", 0, D125), PMTnom)</f>
        <v>0</v>
      </c>
      <c r="H125" s="7">
        <f>IF(AssType="Sur capital initial (%)", AssTau/12*PNom, IF(AssType="Sur CRD (%)", AssTau/12*C125, IF(AssType="Montant fixe/mois", AssFixe, 0)))</f>
        <v>0</v>
      </c>
      <c r="I125" s="7">
        <f>FraisRec</f>
        <v>0</v>
      </c>
      <c r="J125" s="7">
        <f>F125+G125+H125</f>
        <v>0</v>
      </c>
      <c r="K125" s="7">
        <f>-(I125+L125)</f>
        <v>0</v>
      </c>
      <c r="L125" s="7">
        <f>IF(N125="Différé total", C125+D125, IF(N125="Intérêts seuls", C125, C125-E125))</f>
        <v>0</v>
      </c>
      <c r="M125" s="7">
        <f>IF(117=Nmois, FVballon, 0)</f>
        <v>0</v>
      </c>
      <c r="N125">
        <f>IF(117&lt;=DiffN, IF(DiffMode="Total (capitalisation)","Différé total","Intérêts seuls"), "Amortissement")</f>
        <v>0</v>
      </c>
    </row>
    <row r="126" spans="2:14">
      <c r="B126" s="11">
        <v>118</v>
      </c>
      <c r="C126" s="6">
        <f>EDATE(Date0,118)</f>
        <v>0</v>
      </c>
      <c r="D126" s="7">
        <f>K125</f>
        <v>0</v>
      </c>
      <c r="E126" s="7">
        <f>C126*i</f>
        <v>0</v>
      </c>
      <c r="F126" s="7">
        <f>IF(N126="Amortissement", F126-D126, 0)</f>
        <v>0</v>
      </c>
      <c r="G126" s="7">
        <f>IF(118&lt;=DiffN, IF(DiffMode="Total (capitalisation)", 0, D126), PMTnom)</f>
        <v>0</v>
      </c>
      <c r="H126" s="7">
        <f>IF(AssType="Sur capital initial (%)", AssTau/12*PNom, IF(AssType="Sur CRD (%)", AssTau/12*C126, IF(AssType="Montant fixe/mois", AssFixe, 0)))</f>
        <v>0</v>
      </c>
      <c r="I126" s="7">
        <f>FraisRec</f>
        <v>0</v>
      </c>
      <c r="J126" s="7">
        <f>F126+G126+H126</f>
        <v>0</v>
      </c>
      <c r="K126" s="7">
        <f>-(I126+L126)</f>
        <v>0</v>
      </c>
      <c r="L126" s="7">
        <f>IF(N126="Différé total", C126+D126, IF(N126="Intérêts seuls", C126, C126-E126))</f>
        <v>0</v>
      </c>
      <c r="M126" s="7">
        <f>IF(118=Nmois, FVballon, 0)</f>
        <v>0</v>
      </c>
      <c r="N126">
        <f>IF(118&lt;=DiffN, IF(DiffMode="Total (capitalisation)","Différé total","Intérêts seuls"), "Amortissement")</f>
        <v>0</v>
      </c>
    </row>
    <row r="127" spans="2:14">
      <c r="B127" s="4">
        <v>119</v>
      </c>
      <c r="C127" s="6">
        <f>EDATE(Date0,119)</f>
        <v>0</v>
      </c>
      <c r="D127" s="7">
        <f>K126</f>
        <v>0</v>
      </c>
      <c r="E127" s="7">
        <f>C127*i</f>
        <v>0</v>
      </c>
      <c r="F127" s="7">
        <f>IF(N127="Amortissement", F127-D127, 0)</f>
        <v>0</v>
      </c>
      <c r="G127" s="7">
        <f>IF(119&lt;=DiffN, IF(DiffMode="Total (capitalisation)", 0, D127), PMTnom)</f>
        <v>0</v>
      </c>
      <c r="H127" s="7">
        <f>IF(AssType="Sur capital initial (%)", AssTau/12*PNom, IF(AssType="Sur CRD (%)", AssTau/12*C127, IF(AssType="Montant fixe/mois", AssFixe, 0)))</f>
        <v>0</v>
      </c>
      <c r="I127" s="7">
        <f>FraisRec</f>
        <v>0</v>
      </c>
      <c r="J127" s="7">
        <f>F127+G127+H127</f>
        <v>0</v>
      </c>
      <c r="K127" s="7">
        <f>-(I127+L127)</f>
        <v>0</v>
      </c>
      <c r="L127" s="7">
        <f>IF(N127="Différé total", C127+D127, IF(N127="Intérêts seuls", C127, C127-E127))</f>
        <v>0</v>
      </c>
      <c r="M127" s="7">
        <f>IF(119=Nmois, FVballon, 0)</f>
        <v>0</v>
      </c>
      <c r="N127">
        <f>IF(119&lt;=DiffN, IF(DiffMode="Total (capitalisation)","Différé total","Intérêts seuls"), "Amortissement")</f>
        <v>0</v>
      </c>
    </row>
    <row r="128" spans="2:14">
      <c r="B128" s="11">
        <v>120</v>
      </c>
      <c r="C128" s="6">
        <f>EDATE(Date0,120)</f>
        <v>0</v>
      </c>
      <c r="D128" s="7">
        <f>K127</f>
        <v>0</v>
      </c>
      <c r="E128" s="7">
        <f>C128*i</f>
        <v>0</v>
      </c>
      <c r="F128" s="7">
        <f>IF(N128="Amortissement", F128-D128, 0)</f>
        <v>0</v>
      </c>
      <c r="G128" s="7">
        <f>IF(120&lt;=DiffN, IF(DiffMode="Total (capitalisation)", 0, D128), PMTnom)</f>
        <v>0</v>
      </c>
      <c r="H128" s="7">
        <f>IF(AssType="Sur capital initial (%)", AssTau/12*PNom, IF(AssType="Sur CRD (%)", AssTau/12*C128, IF(AssType="Montant fixe/mois", AssFixe, 0)))</f>
        <v>0</v>
      </c>
      <c r="I128" s="7">
        <f>FraisRec</f>
        <v>0</v>
      </c>
      <c r="J128" s="7">
        <f>F128+G128+H128</f>
        <v>0</v>
      </c>
      <c r="K128" s="7">
        <f>-(I128+L128)</f>
        <v>0</v>
      </c>
      <c r="L128" s="7">
        <f>IF(N128="Différé total", C128+D128, IF(N128="Intérêts seuls", C128, C128-E128))</f>
        <v>0</v>
      </c>
      <c r="M128" s="7">
        <f>IF(120=Nmois, FVballon, 0)</f>
        <v>0</v>
      </c>
      <c r="N128">
        <f>IF(120&lt;=DiffN, IF(DiffMode="Total (capitalisation)","Différé total","Intérêts seuls"), "Amortissement")</f>
        <v>0</v>
      </c>
    </row>
    <row r="129" spans="2:14">
      <c r="B129" s="4">
        <v>121</v>
      </c>
      <c r="C129" s="6">
        <f>EDATE(Date0,121)</f>
        <v>0</v>
      </c>
      <c r="D129" s="7">
        <f>K128</f>
        <v>0</v>
      </c>
      <c r="E129" s="7">
        <f>C129*i</f>
        <v>0</v>
      </c>
      <c r="F129" s="7">
        <f>IF(N129="Amortissement", F129-D129, 0)</f>
        <v>0</v>
      </c>
      <c r="G129" s="7">
        <f>IF(121&lt;=DiffN, IF(DiffMode="Total (capitalisation)", 0, D129), PMTnom)</f>
        <v>0</v>
      </c>
      <c r="H129" s="7">
        <f>IF(AssType="Sur capital initial (%)", AssTau/12*PNom, IF(AssType="Sur CRD (%)", AssTau/12*C129, IF(AssType="Montant fixe/mois", AssFixe, 0)))</f>
        <v>0</v>
      </c>
      <c r="I129" s="7">
        <f>FraisRec</f>
        <v>0</v>
      </c>
      <c r="J129" s="7">
        <f>F129+G129+H129</f>
        <v>0</v>
      </c>
      <c r="K129" s="7">
        <f>-(I129+L129)</f>
        <v>0</v>
      </c>
      <c r="L129" s="7">
        <f>IF(N129="Différé total", C129+D129, IF(N129="Intérêts seuls", C129, C129-E129))</f>
        <v>0</v>
      </c>
      <c r="M129" s="7">
        <f>IF(121=Nmois, FVballon, 0)</f>
        <v>0</v>
      </c>
      <c r="N129">
        <f>IF(121&lt;=DiffN, IF(DiffMode="Total (capitalisation)","Différé total","Intérêts seuls"), "Amortissement")</f>
        <v>0</v>
      </c>
    </row>
    <row r="130" spans="2:14">
      <c r="B130" s="11">
        <v>122</v>
      </c>
      <c r="C130" s="6">
        <f>EDATE(Date0,122)</f>
        <v>0</v>
      </c>
      <c r="D130" s="7">
        <f>K129</f>
        <v>0</v>
      </c>
      <c r="E130" s="7">
        <f>C130*i</f>
        <v>0</v>
      </c>
      <c r="F130" s="7">
        <f>IF(N130="Amortissement", F130-D130, 0)</f>
        <v>0</v>
      </c>
      <c r="G130" s="7">
        <f>IF(122&lt;=DiffN, IF(DiffMode="Total (capitalisation)", 0, D130), PMTnom)</f>
        <v>0</v>
      </c>
      <c r="H130" s="7">
        <f>IF(AssType="Sur capital initial (%)", AssTau/12*PNom, IF(AssType="Sur CRD (%)", AssTau/12*C130, IF(AssType="Montant fixe/mois", AssFixe, 0)))</f>
        <v>0</v>
      </c>
      <c r="I130" s="7">
        <f>FraisRec</f>
        <v>0</v>
      </c>
      <c r="J130" s="7">
        <f>F130+G130+H130</f>
        <v>0</v>
      </c>
      <c r="K130" s="7">
        <f>-(I130+L130)</f>
        <v>0</v>
      </c>
      <c r="L130" s="7">
        <f>IF(N130="Différé total", C130+D130, IF(N130="Intérêts seuls", C130, C130-E130))</f>
        <v>0</v>
      </c>
      <c r="M130" s="7">
        <f>IF(122=Nmois, FVballon, 0)</f>
        <v>0</v>
      </c>
      <c r="N130">
        <f>IF(122&lt;=DiffN, IF(DiffMode="Total (capitalisation)","Différé total","Intérêts seuls"), "Amortissement")</f>
        <v>0</v>
      </c>
    </row>
    <row r="131" spans="2:14">
      <c r="B131" s="4">
        <v>123</v>
      </c>
      <c r="C131" s="6">
        <f>EDATE(Date0,123)</f>
        <v>0</v>
      </c>
      <c r="D131" s="7">
        <f>K130</f>
        <v>0</v>
      </c>
      <c r="E131" s="7">
        <f>C131*i</f>
        <v>0</v>
      </c>
      <c r="F131" s="7">
        <f>IF(N131="Amortissement", F131-D131, 0)</f>
        <v>0</v>
      </c>
      <c r="G131" s="7">
        <f>IF(123&lt;=DiffN, IF(DiffMode="Total (capitalisation)", 0, D131), PMTnom)</f>
        <v>0</v>
      </c>
      <c r="H131" s="7">
        <f>IF(AssType="Sur capital initial (%)", AssTau/12*PNom, IF(AssType="Sur CRD (%)", AssTau/12*C131, IF(AssType="Montant fixe/mois", AssFixe, 0)))</f>
        <v>0</v>
      </c>
      <c r="I131" s="7">
        <f>FraisRec</f>
        <v>0</v>
      </c>
      <c r="J131" s="7">
        <f>F131+G131+H131</f>
        <v>0</v>
      </c>
      <c r="K131" s="7">
        <f>-(I131+L131)</f>
        <v>0</v>
      </c>
      <c r="L131" s="7">
        <f>IF(N131="Différé total", C131+D131, IF(N131="Intérêts seuls", C131, C131-E131))</f>
        <v>0</v>
      </c>
      <c r="M131" s="7">
        <f>IF(123=Nmois, FVballon, 0)</f>
        <v>0</v>
      </c>
      <c r="N131">
        <f>IF(123&lt;=DiffN, IF(DiffMode="Total (capitalisation)","Différé total","Intérêts seuls"), "Amortissement")</f>
        <v>0</v>
      </c>
    </row>
    <row r="132" spans="2:14">
      <c r="B132" s="11">
        <v>124</v>
      </c>
      <c r="C132" s="6">
        <f>EDATE(Date0,124)</f>
        <v>0</v>
      </c>
      <c r="D132" s="7">
        <f>K131</f>
        <v>0</v>
      </c>
      <c r="E132" s="7">
        <f>C132*i</f>
        <v>0</v>
      </c>
      <c r="F132" s="7">
        <f>IF(N132="Amortissement", F132-D132, 0)</f>
        <v>0</v>
      </c>
      <c r="G132" s="7">
        <f>IF(124&lt;=DiffN, IF(DiffMode="Total (capitalisation)", 0, D132), PMTnom)</f>
        <v>0</v>
      </c>
      <c r="H132" s="7">
        <f>IF(AssType="Sur capital initial (%)", AssTau/12*PNom, IF(AssType="Sur CRD (%)", AssTau/12*C132, IF(AssType="Montant fixe/mois", AssFixe, 0)))</f>
        <v>0</v>
      </c>
      <c r="I132" s="7">
        <f>FraisRec</f>
        <v>0</v>
      </c>
      <c r="J132" s="7">
        <f>F132+G132+H132</f>
        <v>0</v>
      </c>
      <c r="K132" s="7">
        <f>-(I132+L132)</f>
        <v>0</v>
      </c>
      <c r="L132" s="7">
        <f>IF(N132="Différé total", C132+D132, IF(N132="Intérêts seuls", C132, C132-E132))</f>
        <v>0</v>
      </c>
      <c r="M132" s="7">
        <f>IF(124=Nmois, FVballon, 0)</f>
        <v>0</v>
      </c>
      <c r="N132">
        <f>IF(124&lt;=DiffN, IF(DiffMode="Total (capitalisation)","Différé total","Intérêts seuls"), "Amortissement")</f>
        <v>0</v>
      </c>
    </row>
    <row r="133" spans="2:14">
      <c r="B133" s="4">
        <v>125</v>
      </c>
      <c r="C133" s="6">
        <f>EDATE(Date0,125)</f>
        <v>0</v>
      </c>
      <c r="D133" s="7">
        <f>K132</f>
        <v>0</v>
      </c>
      <c r="E133" s="7">
        <f>C133*i</f>
        <v>0</v>
      </c>
      <c r="F133" s="7">
        <f>IF(N133="Amortissement", F133-D133, 0)</f>
        <v>0</v>
      </c>
      <c r="G133" s="7">
        <f>IF(125&lt;=DiffN, IF(DiffMode="Total (capitalisation)", 0, D133), PMTnom)</f>
        <v>0</v>
      </c>
      <c r="H133" s="7">
        <f>IF(AssType="Sur capital initial (%)", AssTau/12*PNom, IF(AssType="Sur CRD (%)", AssTau/12*C133, IF(AssType="Montant fixe/mois", AssFixe, 0)))</f>
        <v>0</v>
      </c>
      <c r="I133" s="7">
        <f>FraisRec</f>
        <v>0</v>
      </c>
      <c r="J133" s="7">
        <f>F133+G133+H133</f>
        <v>0</v>
      </c>
      <c r="K133" s="7">
        <f>-(I133+L133)</f>
        <v>0</v>
      </c>
      <c r="L133" s="7">
        <f>IF(N133="Différé total", C133+D133, IF(N133="Intérêts seuls", C133, C133-E133))</f>
        <v>0</v>
      </c>
      <c r="M133" s="7">
        <f>IF(125=Nmois, FVballon, 0)</f>
        <v>0</v>
      </c>
      <c r="N133">
        <f>IF(125&lt;=DiffN, IF(DiffMode="Total (capitalisation)","Différé total","Intérêts seuls"), "Amortissement")</f>
        <v>0</v>
      </c>
    </row>
    <row r="134" spans="2:14">
      <c r="B134" s="11">
        <v>126</v>
      </c>
      <c r="C134" s="6">
        <f>EDATE(Date0,126)</f>
        <v>0</v>
      </c>
      <c r="D134" s="7">
        <f>K133</f>
        <v>0</v>
      </c>
      <c r="E134" s="7">
        <f>C134*i</f>
        <v>0</v>
      </c>
      <c r="F134" s="7">
        <f>IF(N134="Amortissement", F134-D134, 0)</f>
        <v>0</v>
      </c>
      <c r="G134" s="7">
        <f>IF(126&lt;=DiffN, IF(DiffMode="Total (capitalisation)", 0, D134), PMTnom)</f>
        <v>0</v>
      </c>
      <c r="H134" s="7">
        <f>IF(AssType="Sur capital initial (%)", AssTau/12*PNom, IF(AssType="Sur CRD (%)", AssTau/12*C134, IF(AssType="Montant fixe/mois", AssFixe, 0)))</f>
        <v>0</v>
      </c>
      <c r="I134" s="7">
        <f>FraisRec</f>
        <v>0</v>
      </c>
      <c r="J134" s="7">
        <f>F134+G134+H134</f>
        <v>0</v>
      </c>
      <c r="K134" s="7">
        <f>-(I134+L134)</f>
        <v>0</v>
      </c>
      <c r="L134" s="7">
        <f>IF(N134="Différé total", C134+D134, IF(N134="Intérêts seuls", C134, C134-E134))</f>
        <v>0</v>
      </c>
      <c r="M134" s="7">
        <f>IF(126=Nmois, FVballon, 0)</f>
        <v>0</v>
      </c>
      <c r="N134">
        <f>IF(126&lt;=DiffN, IF(DiffMode="Total (capitalisation)","Différé total","Intérêts seuls"), "Amortissement")</f>
        <v>0</v>
      </c>
    </row>
    <row r="135" spans="2:14">
      <c r="B135" s="4">
        <v>127</v>
      </c>
      <c r="C135" s="6">
        <f>EDATE(Date0,127)</f>
        <v>0</v>
      </c>
      <c r="D135" s="7">
        <f>K134</f>
        <v>0</v>
      </c>
      <c r="E135" s="7">
        <f>C135*i</f>
        <v>0</v>
      </c>
      <c r="F135" s="7">
        <f>IF(N135="Amortissement", F135-D135, 0)</f>
        <v>0</v>
      </c>
      <c r="G135" s="7">
        <f>IF(127&lt;=DiffN, IF(DiffMode="Total (capitalisation)", 0, D135), PMTnom)</f>
        <v>0</v>
      </c>
      <c r="H135" s="7">
        <f>IF(AssType="Sur capital initial (%)", AssTau/12*PNom, IF(AssType="Sur CRD (%)", AssTau/12*C135, IF(AssType="Montant fixe/mois", AssFixe, 0)))</f>
        <v>0</v>
      </c>
      <c r="I135" s="7">
        <f>FraisRec</f>
        <v>0</v>
      </c>
      <c r="J135" s="7">
        <f>F135+G135+H135</f>
        <v>0</v>
      </c>
      <c r="K135" s="7">
        <f>-(I135+L135)</f>
        <v>0</v>
      </c>
      <c r="L135" s="7">
        <f>IF(N135="Différé total", C135+D135, IF(N135="Intérêts seuls", C135, C135-E135))</f>
        <v>0</v>
      </c>
      <c r="M135" s="7">
        <f>IF(127=Nmois, FVballon, 0)</f>
        <v>0</v>
      </c>
      <c r="N135">
        <f>IF(127&lt;=DiffN, IF(DiffMode="Total (capitalisation)","Différé total","Intérêts seuls"), "Amortissement")</f>
        <v>0</v>
      </c>
    </row>
    <row r="136" spans="2:14">
      <c r="B136" s="11">
        <v>128</v>
      </c>
      <c r="C136" s="6">
        <f>EDATE(Date0,128)</f>
        <v>0</v>
      </c>
      <c r="D136" s="7">
        <f>K135</f>
        <v>0</v>
      </c>
      <c r="E136" s="7">
        <f>C136*i</f>
        <v>0</v>
      </c>
      <c r="F136" s="7">
        <f>IF(N136="Amortissement", F136-D136, 0)</f>
        <v>0</v>
      </c>
      <c r="G136" s="7">
        <f>IF(128&lt;=DiffN, IF(DiffMode="Total (capitalisation)", 0, D136), PMTnom)</f>
        <v>0</v>
      </c>
      <c r="H136" s="7">
        <f>IF(AssType="Sur capital initial (%)", AssTau/12*PNom, IF(AssType="Sur CRD (%)", AssTau/12*C136, IF(AssType="Montant fixe/mois", AssFixe, 0)))</f>
        <v>0</v>
      </c>
      <c r="I136" s="7">
        <f>FraisRec</f>
        <v>0</v>
      </c>
      <c r="J136" s="7">
        <f>F136+G136+H136</f>
        <v>0</v>
      </c>
      <c r="K136" s="7">
        <f>-(I136+L136)</f>
        <v>0</v>
      </c>
      <c r="L136" s="7">
        <f>IF(N136="Différé total", C136+D136, IF(N136="Intérêts seuls", C136, C136-E136))</f>
        <v>0</v>
      </c>
      <c r="M136" s="7">
        <f>IF(128=Nmois, FVballon, 0)</f>
        <v>0</v>
      </c>
      <c r="N136">
        <f>IF(128&lt;=DiffN, IF(DiffMode="Total (capitalisation)","Différé total","Intérêts seuls"), "Amortissement")</f>
        <v>0</v>
      </c>
    </row>
    <row r="137" spans="2:14">
      <c r="B137" s="4">
        <v>129</v>
      </c>
      <c r="C137" s="6">
        <f>EDATE(Date0,129)</f>
        <v>0</v>
      </c>
      <c r="D137" s="7">
        <f>K136</f>
        <v>0</v>
      </c>
      <c r="E137" s="7">
        <f>C137*i</f>
        <v>0</v>
      </c>
      <c r="F137" s="7">
        <f>IF(N137="Amortissement", F137-D137, 0)</f>
        <v>0</v>
      </c>
      <c r="G137" s="7">
        <f>IF(129&lt;=DiffN, IF(DiffMode="Total (capitalisation)", 0, D137), PMTnom)</f>
        <v>0</v>
      </c>
      <c r="H137" s="7">
        <f>IF(AssType="Sur capital initial (%)", AssTau/12*PNom, IF(AssType="Sur CRD (%)", AssTau/12*C137, IF(AssType="Montant fixe/mois", AssFixe, 0)))</f>
        <v>0</v>
      </c>
      <c r="I137" s="7">
        <f>FraisRec</f>
        <v>0</v>
      </c>
      <c r="J137" s="7">
        <f>F137+G137+H137</f>
        <v>0</v>
      </c>
      <c r="K137" s="7">
        <f>-(I137+L137)</f>
        <v>0</v>
      </c>
      <c r="L137" s="7">
        <f>IF(N137="Différé total", C137+D137, IF(N137="Intérêts seuls", C137, C137-E137))</f>
        <v>0</v>
      </c>
      <c r="M137" s="7">
        <f>IF(129=Nmois, FVballon, 0)</f>
        <v>0</v>
      </c>
      <c r="N137">
        <f>IF(129&lt;=DiffN, IF(DiffMode="Total (capitalisation)","Différé total","Intérêts seuls"), "Amortissement")</f>
        <v>0</v>
      </c>
    </row>
    <row r="138" spans="2:14">
      <c r="B138" s="11">
        <v>130</v>
      </c>
      <c r="C138" s="6">
        <f>EDATE(Date0,130)</f>
        <v>0</v>
      </c>
      <c r="D138" s="7">
        <f>K137</f>
        <v>0</v>
      </c>
      <c r="E138" s="7">
        <f>C138*i</f>
        <v>0</v>
      </c>
      <c r="F138" s="7">
        <f>IF(N138="Amortissement", F138-D138, 0)</f>
        <v>0</v>
      </c>
      <c r="G138" s="7">
        <f>IF(130&lt;=DiffN, IF(DiffMode="Total (capitalisation)", 0, D138), PMTnom)</f>
        <v>0</v>
      </c>
      <c r="H138" s="7">
        <f>IF(AssType="Sur capital initial (%)", AssTau/12*PNom, IF(AssType="Sur CRD (%)", AssTau/12*C138, IF(AssType="Montant fixe/mois", AssFixe, 0)))</f>
        <v>0</v>
      </c>
      <c r="I138" s="7">
        <f>FraisRec</f>
        <v>0</v>
      </c>
      <c r="J138" s="7">
        <f>F138+G138+H138</f>
        <v>0</v>
      </c>
      <c r="K138" s="7">
        <f>-(I138+L138)</f>
        <v>0</v>
      </c>
      <c r="L138" s="7">
        <f>IF(N138="Différé total", C138+D138, IF(N138="Intérêts seuls", C138, C138-E138))</f>
        <v>0</v>
      </c>
      <c r="M138" s="7">
        <f>IF(130=Nmois, FVballon, 0)</f>
        <v>0</v>
      </c>
      <c r="N138">
        <f>IF(130&lt;=DiffN, IF(DiffMode="Total (capitalisation)","Différé total","Intérêts seuls"), "Amortissement")</f>
        <v>0</v>
      </c>
    </row>
    <row r="139" spans="2:14">
      <c r="B139" s="4">
        <v>131</v>
      </c>
      <c r="C139" s="6">
        <f>EDATE(Date0,131)</f>
        <v>0</v>
      </c>
      <c r="D139" s="7">
        <f>K138</f>
        <v>0</v>
      </c>
      <c r="E139" s="7">
        <f>C139*i</f>
        <v>0</v>
      </c>
      <c r="F139" s="7">
        <f>IF(N139="Amortissement", F139-D139, 0)</f>
        <v>0</v>
      </c>
      <c r="G139" s="7">
        <f>IF(131&lt;=DiffN, IF(DiffMode="Total (capitalisation)", 0, D139), PMTnom)</f>
        <v>0</v>
      </c>
      <c r="H139" s="7">
        <f>IF(AssType="Sur capital initial (%)", AssTau/12*PNom, IF(AssType="Sur CRD (%)", AssTau/12*C139, IF(AssType="Montant fixe/mois", AssFixe, 0)))</f>
        <v>0</v>
      </c>
      <c r="I139" s="7">
        <f>FraisRec</f>
        <v>0</v>
      </c>
      <c r="J139" s="7">
        <f>F139+G139+H139</f>
        <v>0</v>
      </c>
      <c r="K139" s="7">
        <f>-(I139+L139)</f>
        <v>0</v>
      </c>
      <c r="L139" s="7">
        <f>IF(N139="Différé total", C139+D139, IF(N139="Intérêts seuls", C139, C139-E139))</f>
        <v>0</v>
      </c>
      <c r="M139" s="7">
        <f>IF(131=Nmois, FVballon, 0)</f>
        <v>0</v>
      </c>
      <c r="N139">
        <f>IF(131&lt;=DiffN, IF(DiffMode="Total (capitalisation)","Différé total","Intérêts seuls"), "Amortissement")</f>
        <v>0</v>
      </c>
    </row>
    <row r="140" spans="2:14">
      <c r="B140" s="11">
        <v>132</v>
      </c>
      <c r="C140" s="6">
        <f>EDATE(Date0,132)</f>
        <v>0</v>
      </c>
      <c r="D140" s="7">
        <f>K139</f>
        <v>0</v>
      </c>
      <c r="E140" s="7">
        <f>C140*i</f>
        <v>0</v>
      </c>
      <c r="F140" s="7">
        <f>IF(N140="Amortissement", F140-D140, 0)</f>
        <v>0</v>
      </c>
      <c r="G140" s="7">
        <f>IF(132&lt;=DiffN, IF(DiffMode="Total (capitalisation)", 0, D140), PMTnom)</f>
        <v>0</v>
      </c>
      <c r="H140" s="7">
        <f>IF(AssType="Sur capital initial (%)", AssTau/12*PNom, IF(AssType="Sur CRD (%)", AssTau/12*C140, IF(AssType="Montant fixe/mois", AssFixe, 0)))</f>
        <v>0</v>
      </c>
      <c r="I140" s="7">
        <f>FraisRec</f>
        <v>0</v>
      </c>
      <c r="J140" s="7">
        <f>F140+G140+H140</f>
        <v>0</v>
      </c>
      <c r="K140" s="7">
        <f>-(I140+L140)</f>
        <v>0</v>
      </c>
      <c r="L140" s="7">
        <f>IF(N140="Différé total", C140+D140, IF(N140="Intérêts seuls", C140, C140-E140))</f>
        <v>0</v>
      </c>
      <c r="M140" s="7">
        <f>IF(132=Nmois, FVballon, 0)</f>
        <v>0</v>
      </c>
      <c r="N140">
        <f>IF(132&lt;=DiffN, IF(DiffMode="Total (capitalisation)","Différé total","Intérêts seuls"), "Amortissement")</f>
        <v>0</v>
      </c>
    </row>
    <row r="141" spans="2:14">
      <c r="B141" s="4">
        <v>133</v>
      </c>
      <c r="C141" s="6">
        <f>EDATE(Date0,133)</f>
        <v>0</v>
      </c>
      <c r="D141" s="7">
        <f>K140</f>
        <v>0</v>
      </c>
      <c r="E141" s="7">
        <f>C141*i</f>
        <v>0</v>
      </c>
      <c r="F141" s="7">
        <f>IF(N141="Amortissement", F141-D141, 0)</f>
        <v>0</v>
      </c>
      <c r="G141" s="7">
        <f>IF(133&lt;=DiffN, IF(DiffMode="Total (capitalisation)", 0, D141), PMTnom)</f>
        <v>0</v>
      </c>
      <c r="H141" s="7">
        <f>IF(AssType="Sur capital initial (%)", AssTau/12*PNom, IF(AssType="Sur CRD (%)", AssTau/12*C141, IF(AssType="Montant fixe/mois", AssFixe, 0)))</f>
        <v>0</v>
      </c>
      <c r="I141" s="7">
        <f>FraisRec</f>
        <v>0</v>
      </c>
      <c r="J141" s="7">
        <f>F141+G141+H141</f>
        <v>0</v>
      </c>
      <c r="K141" s="7">
        <f>-(I141+L141)</f>
        <v>0</v>
      </c>
      <c r="L141" s="7">
        <f>IF(N141="Différé total", C141+D141, IF(N141="Intérêts seuls", C141, C141-E141))</f>
        <v>0</v>
      </c>
      <c r="M141" s="7">
        <f>IF(133=Nmois, FVballon, 0)</f>
        <v>0</v>
      </c>
      <c r="N141">
        <f>IF(133&lt;=DiffN, IF(DiffMode="Total (capitalisation)","Différé total","Intérêts seuls"), "Amortissement")</f>
        <v>0</v>
      </c>
    </row>
    <row r="142" spans="2:14">
      <c r="B142" s="11">
        <v>134</v>
      </c>
      <c r="C142" s="6">
        <f>EDATE(Date0,134)</f>
        <v>0</v>
      </c>
      <c r="D142" s="7">
        <f>K141</f>
        <v>0</v>
      </c>
      <c r="E142" s="7">
        <f>C142*i</f>
        <v>0</v>
      </c>
      <c r="F142" s="7">
        <f>IF(N142="Amortissement", F142-D142, 0)</f>
        <v>0</v>
      </c>
      <c r="G142" s="7">
        <f>IF(134&lt;=DiffN, IF(DiffMode="Total (capitalisation)", 0, D142), PMTnom)</f>
        <v>0</v>
      </c>
      <c r="H142" s="7">
        <f>IF(AssType="Sur capital initial (%)", AssTau/12*PNom, IF(AssType="Sur CRD (%)", AssTau/12*C142, IF(AssType="Montant fixe/mois", AssFixe, 0)))</f>
        <v>0</v>
      </c>
      <c r="I142" s="7">
        <f>FraisRec</f>
        <v>0</v>
      </c>
      <c r="J142" s="7">
        <f>F142+G142+H142</f>
        <v>0</v>
      </c>
      <c r="K142" s="7">
        <f>-(I142+L142)</f>
        <v>0</v>
      </c>
      <c r="L142" s="7">
        <f>IF(N142="Différé total", C142+D142, IF(N142="Intérêts seuls", C142, C142-E142))</f>
        <v>0</v>
      </c>
      <c r="M142" s="7">
        <f>IF(134=Nmois, FVballon, 0)</f>
        <v>0</v>
      </c>
      <c r="N142">
        <f>IF(134&lt;=DiffN, IF(DiffMode="Total (capitalisation)","Différé total","Intérêts seuls"), "Amortissement")</f>
        <v>0</v>
      </c>
    </row>
    <row r="143" spans="2:14">
      <c r="B143" s="4">
        <v>135</v>
      </c>
      <c r="C143" s="6">
        <f>EDATE(Date0,135)</f>
        <v>0</v>
      </c>
      <c r="D143" s="7">
        <f>K142</f>
        <v>0</v>
      </c>
      <c r="E143" s="7">
        <f>C143*i</f>
        <v>0</v>
      </c>
      <c r="F143" s="7">
        <f>IF(N143="Amortissement", F143-D143, 0)</f>
        <v>0</v>
      </c>
      <c r="G143" s="7">
        <f>IF(135&lt;=DiffN, IF(DiffMode="Total (capitalisation)", 0, D143), PMTnom)</f>
        <v>0</v>
      </c>
      <c r="H143" s="7">
        <f>IF(AssType="Sur capital initial (%)", AssTau/12*PNom, IF(AssType="Sur CRD (%)", AssTau/12*C143, IF(AssType="Montant fixe/mois", AssFixe, 0)))</f>
        <v>0</v>
      </c>
      <c r="I143" s="7">
        <f>FraisRec</f>
        <v>0</v>
      </c>
      <c r="J143" s="7">
        <f>F143+G143+H143</f>
        <v>0</v>
      </c>
      <c r="K143" s="7">
        <f>-(I143+L143)</f>
        <v>0</v>
      </c>
      <c r="L143" s="7">
        <f>IF(N143="Différé total", C143+D143, IF(N143="Intérêts seuls", C143, C143-E143))</f>
        <v>0</v>
      </c>
      <c r="M143" s="7">
        <f>IF(135=Nmois, FVballon, 0)</f>
        <v>0</v>
      </c>
      <c r="N143">
        <f>IF(135&lt;=DiffN, IF(DiffMode="Total (capitalisation)","Différé total","Intérêts seuls"), "Amortissement")</f>
        <v>0</v>
      </c>
    </row>
    <row r="144" spans="2:14">
      <c r="B144" s="11">
        <v>136</v>
      </c>
      <c r="C144" s="6">
        <f>EDATE(Date0,136)</f>
        <v>0</v>
      </c>
      <c r="D144" s="7">
        <f>K143</f>
        <v>0</v>
      </c>
      <c r="E144" s="7">
        <f>C144*i</f>
        <v>0</v>
      </c>
      <c r="F144" s="7">
        <f>IF(N144="Amortissement", F144-D144, 0)</f>
        <v>0</v>
      </c>
      <c r="G144" s="7">
        <f>IF(136&lt;=DiffN, IF(DiffMode="Total (capitalisation)", 0, D144), PMTnom)</f>
        <v>0</v>
      </c>
      <c r="H144" s="7">
        <f>IF(AssType="Sur capital initial (%)", AssTau/12*PNom, IF(AssType="Sur CRD (%)", AssTau/12*C144, IF(AssType="Montant fixe/mois", AssFixe, 0)))</f>
        <v>0</v>
      </c>
      <c r="I144" s="7">
        <f>FraisRec</f>
        <v>0</v>
      </c>
      <c r="J144" s="7">
        <f>F144+G144+H144</f>
        <v>0</v>
      </c>
      <c r="K144" s="7">
        <f>-(I144+L144)</f>
        <v>0</v>
      </c>
      <c r="L144" s="7">
        <f>IF(N144="Différé total", C144+D144, IF(N144="Intérêts seuls", C144, C144-E144))</f>
        <v>0</v>
      </c>
      <c r="M144" s="7">
        <f>IF(136=Nmois, FVballon, 0)</f>
        <v>0</v>
      </c>
      <c r="N144">
        <f>IF(136&lt;=DiffN, IF(DiffMode="Total (capitalisation)","Différé total","Intérêts seuls"), "Amortissement")</f>
        <v>0</v>
      </c>
    </row>
    <row r="145" spans="2:14">
      <c r="B145" s="4">
        <v>137</v>
      </c>
      <c r="C145" s="6">
        <f>EDATE(Date0,137)</f>
        <v>0</v>
      </c>
      <c r="D145" s="7">
        <f>K144</f>
        <v>0</v>
      </c>
      <c r="E145" s="7">
        <f>C145*i</f>
        <v>0</v>
      </c>
      <c r="F145" s="7">
        <f>IF(N145="Amortissement", F145-D145, 0)</f>
        <v>0</v>
      </c>
      <c r="G145" s="7">
        <f>IF(137&lt;=DiffN, IF(DiffMode="Total (capitalisation)", 0, D145), PMTnom)</f>
        <v>0</v>
      </c>
      <c r="H145" s="7">
        <f>IF(AssType="Sur capital initial (%)", AssTau/12*PNom, IF(AssType="Sur CRD (%)", AssTau/12*C145, IF(AssType="Montant fixe/mois", AssFixe, 0)))</f>
        <v>0</v>
      </c>
      <c r="I145" s="7">
        <f>FraisRec</f>
        <v>0</v>
      </c>
      <c r="J145" s="7">
        <f>F145+G145+H145</f>
        <v>0</v>
      </c>
      <c r="K145" s="7">
        <f>-(I145+L145)</f>
        <v>0</v>
      </c>
      <c r="L145" s="7">
        <f>IF(N145="Différé total", C145+D145, IF(N145="Intérêts seuls", C145, C145-E145))</f>
        <v>0</v>
      </c>
      <c r="M145" s="7">
        <f>IF(137=Nmois, FVballon, 0)</f>
        <v>0</v>
      </c>
      <c r="N145">
        <f>IF(137&lt;=DiffN, IF(DiffMode="Total (capitalisation)","Différé total","Intérêts seuls"), "Amortissement")</f>
        <v>0</v>
      </c>
    </row>
    <row r="146" spans="2:14">
      <c r="B146" s="11">
        <v>138</v>
      </c>
      <c r="C146" s="6">
        <f>EDATE(Date0,138)</f>
        <v>0</v>
      </c>
      <c r="D146" s="7">
        <f>K145</f>
        <v>0</v>
      </c>
      <c r="E146" s="7">
        <f>C146*i</f>
        <v>0</v>
      </c>
      <c r="F146" s="7">
        <f>IF(N146="Amortissement", F146-D146, 0)</f>
        <v>0</v>
      </c>
      <c r="G146" s="7">
        <f>IF(138&lt;=DiffN, IF(DiffMode="Total (capitalisation)", 0, D146), PMTnom)</f>
        <v>0</v>
      </c>
      <c r="H146" s="7">
        <f>IF(AssType="Sur capital initial (%)", AssTau/12*PNom, IF(AssType="Sur CRD (%)", AssTau/12*C146, IF(AssType="Montant fixe/mois", AssFixe, 0)))</f>
        <v>0</v>
      </c>
      <c r="I146" s="7">
        <f>FraisRec</f>
        <v>0</v>
      </c>
      <c r="J146" s="7">
        <f>F146+G146+H146</f>
        <v>0</v>
      </c>
      <c r="K146" s="7">
        <f>-(I146+L146)</f>
        <v>0</v>
      </c>
      <c r="L146" s="7">
        <f>IF(N146="Différé total", C146+D146, IF(N146="Intérêts seuls", C146, C146-E146))</f>
        <v>0</v>
      </c>
      <c r="M146" s="7">
        <f>IF(138=Nmois, FVballon, 0)</f>
        <v>0</v>
      </c>
      <c r="N146">
        <f>IF(138&lt;=DiffN, IF(DiffMode="Total (capitalisation)","Différé total","Intérêts seuls"), "Amortissement")</f>
        <v>0</v>
      </c>
    </row>
    <row r="147" spans="2:14">
      <c r="B147" s="4">
        <v>139</v>
      </c>
      <c r="C147" s="6">
        <f>EDATE(Date0,139)</f>
        <v>0</v>
      </c>
      <c r="D147" s="7">
        <f>K146</f>
        <v>0</v>
      </c>
      <c r="E147" s="7">
        <f>C147*i</f>
        <v>0</v>
      </c>
      <c r="F147" s="7">
        <f>IF(N147="Amortissement", F147-D147, 0)</f>
        <v>0</v>
      </c>
      <c r="G147" s="7">
        <f>IF(139&lt;=DiffN, IF(DiffMode="Total (capitalisation)", 0, D147), PMTnom)</f>
        <v>0</v>
      </c>
      <c r="H147" s="7">
        <f>IF(AssType="Sur capital initial (%)", AssTau/12*PNom, IF(AssType="Sur CRD (%)", AssTau/12*C147, IF(AssType="Montant fixe/mois", AssFixe, 0)))</f>
        <v>0</v>
      </c>
      <c r="I147" s="7">
        <f>FraisRec</f>
        <v>0</v>
      </c>
      <c r="J147" s="7">
        <f>F147+G147+H147</f>
        <v>0</v>
      </c>
      <c r="K147" s="7">
        <f>-(I147+L147)</f>
        <v>0</v>
      </c>
      <c r="L147" s="7">
        <f>IF(N147="Différé total", C147+D147, IF(N147="Intérêts seuls", C147, C147-E147))</f>
        <v>0</v>
      </c>
      <c r="M147" s="7">
        <f>IF(139=Nmois, FVballon, 0)</f>
        <v>0</v>
      </c>
      <c r="N147">
        <f>IF(139&lt;=DiffN, IF(DiffMode="Total (capitalisation)","Différé total","Intérêts seuls"), "Amortissement")</f>
        <v>0</v>
      </c>
    </row>
    <row r="148" spans="2:14">
      <c r="B148" s="11">
        <v>140</v>
      </c>
      <c r="C148" s="6">
        <f>EDATE(Date0,140)</f>
        <v>0</v>
      </c>
      <c r="D148" s="7">
        <f>K147</f>
        <v>0</v>
      </c>
      <c r="E148" s="7">
        <f>C148*i</f>
        <v>0</v>
      </c>
      <c r="F148" s="7">
        <f>IF(N148="Amortissement", F148-D148, 0)</f>
        <v>0</v>
      </c>
      <c r="G148" s="7">
        <f>IF(140&lt;=DiffN, IF(DiffMode="Total (capitalisation)", 0, D148), PMTnom)</f>
        <v>0</v>
      </c>
      <c r="H148" s="7">
        <f>IF(AssType="Sur capital initial (%)", AssTau/12*PNom, IF(AssType="Sur CRD (%)", AssTau/12*C148, IF(AssType="Montant fixe/mois", AssFixe, 0)))</f>
        <v>0</v>
      </c>
      <c r="I148" s="7">
        <f>FraisRec</f>
        <v>0</v>
      </c>
      <c r="J148" s="7">
        <f>F148+G148+H148</f>
        <v>0</v>
      </c>
      <c r="K148" s="7">
        <f>-(I148+L148)</f>
        <v>0</v>
      </c>
      <c r="L148" s="7">
        <f>IF(N148="Différé total", C148+D148, IF(N148="Intérêts seuls", C148, C148-E148))</f>
        <v>0</v>
      </c>
      <c r="M148" s="7">
        <f>IF(140=Nmois, FVballon, 0)</f>
        <v>0</v>
      </c>
      <c r="N148">
        <f>IF(140&lt;=DiffN, IF(DiffMode="Total (capitalisation)","Différé total","Intérêts seuls"), "Amortissement")</f>
        <v>0</v>
      </c>
    </row>
    <row r="149" spans="2:14">
      <c r="B149" s="4">
        <v>141</v>
      </c>
      <c r="C149" s="6">
        <f>EDATE(Date0,141)</f>
        <v>0</v>
      </c>
      <c r="D149" s="7">
        <f>K148</f>
        <v>0</v>
      </c>
      <c r="E149" s="7">
        <f>C149*i</f>
        <v>0</v>
      </c>
      <c r="F149" s="7">
        <f>IF(N149="Amortissement", F149-D149, 0)</f>
        <v>0</v>
      </c>
      <c r="G149" s="7">
        <f>IF(141&lt;=DiffN, IF(DiffMode="Total (capitalisation)", 0, D149), PMTnom)</f>
        <v>0</v>
      </c>
      <c r="H149" s="7">
        <f>IF(AssType="Sur capital initial (%)", AssTau/12*PNom, IF(AssType="Sur CRD (%)", AssTau/12*C149, IF(AssType="Montant fixe/mois", AssFixe, 0)))</f>
        <v>0</v>
      </c>
      <c r="I149" s="7">
        <f>FraisRec</f>
        <v>0</v>
      </c>
      <c r="J149" s="7">
        <f>F149+G149+H149</f>
        <v>0</v>
      </c>
      <c r="K149" s="7">
        <f>-(I149+L149)</f>
        <v>0</v>
      </c>
      <c r="L149" s="7">
        <f>IF(N149="Différé total", C149+D149, IF(N149="Intérêts seuls", C149, C149-E149))</f>
        <v>0</v>
      </c>
      <c r="M149" s="7">
        <f>IF(141=Nmois, FVballon, 0)</f>
        <v>0</v>
      </c>
      <c r="N149">
        <f>IF(141&lt;=DiffN, IF(DiffMode="Total (capitalisation)","Différé total","Intérêts seuls"), "Amortissement")</f>
        <v>0</v>
      </c>
    </row>
    <row r="150" spans="2:14">
      <c r="B150" s="11">
        <v>142</v>
      </c>
      <c r="C150" s="6">
        <f>EDATE(Date0,142)</f>
        <v>0</v>
      </c>
      <c r="D150" s="7">
        <f>K149</f>
        <v>0</v>
      </c>
      <c r="E150" s="7">
        <f>C150*i</f>
        <v>0</v>
      </c>
      <c r="F150" s="7">
        <f>IF(N150="Amortissement", F150-D150, 0)</f>
        <v>0</v>
      </c>
      <c r="G150" s="7">
        <f>IF(142&lt;=DiffN, IF(DiffMode="Total (capitalisation)", 0, D150), PMTnom)</f>
        <v>0</v>
      </c>
      <c r="H150" s="7">
        <f>IF(AssType="Sur capital initial (%)", AssTau/12*PNom, IF(AssType="Sur CRD (%)", AssTau/12*C150, IF(AssType="Montant fixe/mois", AssFixe, 0)))</f>
        <v>0</v>
      </c>
      <c r="I150" s="7">
        <f>FraisRec</f>
        <v>0</v>
      </c>
      <c r="J150" s="7">
        <f>F150+G150+H150</f>
        <v>0</v>
      </c>
      <c r="K150" s="7">
        <f>-(I150+L150)</f>
        <v>0</v>
      </c>
      <c r="L150" s="7">
        <f>IF(N150="Différé total", C150+D150, IF(N150="Intérêts seuls", C150, C150-E150))</f>
        <v>0</v>
      </c>
      <c r="M150" s="7">
        <f>IF(142=Nmois, FVballon, 0)</f>
        <v>0</v>
      </c>
      <c r="N150">
        <f>IF(142&lt;=DiffN, IF(DiffMode="Total (capitalisation)","Différé total","Intérêts seuls"), "Amortissement")</f>
        <v>0</v>
      </c>
    </row>
    <row r="151" spans="2:14">
      <c r="B151" s="4">
        <v>143</v>
      </c>
      <c r="C151" s="6">
        <f>EDATE(Date0,143)</f>
        <v>0</v>
      </c>
      <c r="D151" s="7">
        <f>K150</f>
        <v>0</v>
      </c>
      <c r="E151" s="7">
        <f>C151*i</f>
        <v>0</v>
      </c>
      <c r="F151" s="7">
        <f>IF(N151="Amortissement", F151-D151, 0)</f>
        <v>0</v>
      </c>
      <c r="G151" s="7">
        <f>IF(143&lt;=DiffN, IF(DiffMode="Total (capitalisation)", 0, D151), PMTnom)</f>
        <v>0</v>
      </c>
      <c r="H151" s="7">
        <f>IF(AssType="Sur capital initial (%)", AssTau/12*PNom, IF(AssType="Sur CRD (%)", AssTau/12*C151, IF(AssType="Montant fixe/mois", AssFixe, 0)))</f>
        <v>0</v>
      </c>
      <c r="I151" s="7">
        <f>FraisRec</f>
        <v>0</v>
      </c>
      <c r="J151" s="7">
        <f>F151+G151+H151</f>
        <v>0</v>
      </c>
      <c r="K151" s="7">
        <f>-(I151+L151)</f>
        <v>0</v>
      </c>
      <c r="L151" s="7">
        <f>IF(N151="Différé total", C151+D151, IF(N151="Intérêts seuls", C151, C151-E151))</f>
        <v>0</v>
      </c>
      <c r="M151" s="7">
        <f>IF(143=Nmois, FVballon, 0)</f>
        <v>0</v>
      </c>
      <c r="N151">
        <f>IF(143&lt;=DiffN, IF(DiffMode="Total (capitalisation)","Différé total","Intérêts seuls"), "Amortissement")</f>
        <v>0</v>
      </c>
    </row>
    <row r="152" spans="2:14">
      <c r="B152" s="11">
        <v>144</v>
      </c>
      <c r="C152" s="6">
        <f>EDATE(Date0,144)</f>
        <v>0</v>
      </c>
      <c r="D152" s="7">
        <f>K151</f>
        <v>0</v>
      </c>
      <c r="E152" s="7">
        <f>C152*i</f>
        <v>0</v>
      </c>
      <c r="F152" s="7">
        <f>IF(N152="Amortissement", F152-D152, 0)</f>
        <v>0</v>
      </c>
      <c r="G152" s="7">
        <f>IF(144&lt;=DiffN, IF(DiffMode="Total (capitalisation)", 0, D152), PMTnom)</f>
        <v>0</v>
      </c>
      <c r="H152" s="7">
        <f>IF(AssType="Sur capital initial (%)", AssTau/12*PNom, IF(AssType="Sur CRD (%)", AssTau/12*C152, IF(AssType="Montant fixe/mois", AssFixe, 0)))</f>
        <v>0</v>
      </c>
      <c r="I152" s="7">
        <f>FraisRec</f>
        <v>0</v>
      </c>
      <c r="J152" s="7">
        <f>F152+G152+H152</f>
        <v>0</v>
      </c>
      <c r="K152" s="7">
        <f>-(I152+L152)</f>
        <v>0</v>
      </c>
      <c r="L152" s="7">
        <f>IF(N152="Différé total", C152+D152, IF(N152="Intérêts seuls", C152, C152-E152))</f>
        <v>0</v>
      </c>
      <c r="M152" s="7">
        <f>IF(144=Nmois, FVballon, 0)</f>
        <v>0</v>
      </c>
      <c r="N152">
        <f>IF(144&lt;=DiffN, IF(DiffMode="Total (capitalisation)","Différé total","Intérêts seuls"), "Amortissement")</f>
        <v>0</v>
      </c>
    </row>
    <row r="153" spans="2:14">
      <c r="B153" s="4">
        <v>145</v>
      </c>
      <c r="C153" s="6">
        <f>EDATE(Date0,145)</f>
        <v>0</v>
      </c>
      <c r="D153" s="7">
        <f>K152</f>
        <v>0</v>
      </c>
      <c r="E153" s="7">
        <f>C153*i</f>
        <v>0</v>
      </c>
      <c r="F153" s="7">
        <f>IF(N153="Amortissement", F153-D153, 0)</f>
        <v>0</v>
      </c>
      <c r="G153" s="7">
        <f>IF(145&lt;=DiffN, IF(DiffMode="Total (capitalisation)", 0, D153), PMTnom)</f>
        <v>0</v>
      </c>
      <c r="H153" s="7">
        <f>IF(AssType="Sur capital initial (%)", AssTau/12*PNom, IF(AssType="Sur CRD (%)", AssTau/12*C153, IF(AssType="Montant fixe/mois", AssFixe, 0)))</f>
        <v>0</v>
      </c>
      <c r="I153" s="7">
        <f>FraisRec</f>
        <v>0</v>
      </c>
      <c r="J153" s="7">
        <f>F153+G153+H153</f>
        <v>0</v>
      </c>
      <c r="K153" s="7">
        <f>-(I153+L153)</f>
        <v>0</v>
      </c>
      <c r="L153" s="7">
        <f>IF(N153="Différé total", C153+D153, IF(N153="Intérêts seuls", C153, C153-E153))</f>
        <v>0</v>
      </c>
      <c r="M153" s="7">
        <f>IF(145=Nmois, FVballon, 0)</f>
        <v>0</v>
      </c>
      <c r="N153">
        <f>IF(145&lt;=DiffN, IF(DiffMode="Total (capitalisation)","Différé total","Intérêts seuls"), "Amortissement")</f>
        <v>0</v>
      </c>
    </row>
    <row r="154" spans="2:14">
      <c r="B154" s="11">
        <v>146</v>
      </c>
      <c r="C154" s="6">
        <f>EDATE(Date0,146)</f>
        <v>0</v>
      </c>
      <c r="D154" s="7">
        <f>K153</f>
        <v>0</v>
      </c>
      <c r="E154" s="7">
        <f>C154*i</f>
        <v>0</v>
      </c>
      <c r="F154" s="7">
        <f>IF(N154="Amortissement", F154-D154, 0)</f>
        <v>0</v>
      </c>
      <c r="G154" s="7">
        <f>IF(146&lt;=DiffN, IF(DiffMode="Total (capitalisation)", 0, D154), PMTnom)</f>
        <v>0</v>
      </c>
      <c r="H154" s="7">
        <f>IF(AssType="Sur capital initial (%)", AssTau/12*PNom, IF(AssType="Sur CRD (%)", AssTau/12*C154, IF(AssType="Montant fixe/mois", AssFixe, 0)))</f>
        <v>0</v>
      </c>
      <c r="I154" s="7">
        <f>FraisRec</f>
        <v>0</v>
      </c>
      <c r="J154" s="7">
        <f>F154+G154+H154</f>
        <v>0</v>
      </c>
      <c r="K154" s="7">
        <f>-(I154+L154)</f>
        <v>0</v>
      </c>
      <c r="L154" s="7">
        <f>IF(N154="Différé total", C154+D154, IF(N154="Intérêts seuls", C154, C154-E154))</f>
        <v>0</v>
      </c>
      <c r="M154" s="7">
        <f>IF(146=Nmois, FVballon, 0)</f>
        <v>0</v>
      </c>
      <c r="N154">
        <f>IF(146&lt;=DiffN, IF(DiffMode="Total (capitalisation)","Différé total","Intérêts seuls"), "Amortissement")</f>
        <v>0</v>
      </c>
    </row>
    <row r="155" spans="2:14">
      <c r="B155" s="4">
        <v>147</v>
      </c>
      <c r="C155" s="6">
        <f>EDATE(Date0,147)</f>
        <v>0</v>
      </c>
      <c r="D155" s="7">
        <f>K154</f>
        <v>0</v>
      </c>
      <c r="E155" s="7">
        <f>C155*i</f>
        <v>0</v>
      </c>
      <c r="F155" s="7">
        <f>IF(N155="Amortissement", F155-D155, 0)</f>
        <v>0</v>
      </c>
      <c r="G155" s="7">
        <f>IF(147&lt;=DiffN, IF(DiffMode="Total (capitalisation)", 0, D155), PMTnom)</f>
        <v>0</v>
      </c>
      <c r="H155" s="7">
        <f>IF(AssType="Sur capital initial (%)", AssTau/12*PNom, IF(AssType="Sur CRD (%)", AssTau/12*C155, IF(AssType="Montant fixe/mois", AssFixe, 0)))</f>
        <v>0</v>
      </c>
      <c r="I155" s="7">
        <f>FraisRec</f>
        <v>0</v>
      </c>
      <c r="J155" s="7">
        <f>F155+G155+H155</f>
        <v>0</v>
      </c>
      <c r="K155" s="7">
        <f>-(I155+L155)</f>
        <v>0</v>
      </c>
      <c r="L155" s="7">
        <f>IF(N155="Différé total", C155+D155, IF(N155="Intérêts seuls", C155, C155-E155))</f>
        <v>0</v>
      </c>
      <c r="M155" s="7">
        <f>IF(147=Nmois, FVballon, 0)</f>
        <v>0</v>
      </c>
      <c r="N155">
        <f>IF(147&lt;=DiffN, IF(DiffMode="Total (capitalisation)","Différé total","Intérêts seuls"), "Amortissement")</f>
        <v>0</v>
      </c>
    </row>
    <row r="156" spans="2:14">
      <c r="B156" s="11">
        <v>148</v>
      </c>
      <c r="C156" s="6">
        <f>EDATE(Date0,148)</f>
        <v>0</v>
      </c>
      <c r="D156" s="7">
        <f>K155</f>
        <v>0</v>
      </c>
      <c r="E156" s="7">
        <f>C156*i</f>
        <v>0</v>
      </c>
      <c r="F156" s="7">
        <f>IF(N156="Amortissement", F156-D156, 0)</f>
        <v>0</v>
      </c>
      <c r="G156" s="7">
        <f>IF(148&lt;=DiffN, IF(DiffMode="Total (capitalisation)", 0, D156), PMTnom)</f>
        <v>0</v>
      </c>
      <c r="H156" s="7">
        <f>IF(AssType="Sur capital initial (%)", AssTau/12*PNom, IF(AssType="Sur CRD (%)", AssTau/12*C156, IF(AssType="Montant fixe/mois", AssFixe, 0)))</f>
        <v>0</v>
      </c>
      <c r="I156" s="7">
        <f>FraisRec</f>
        <v>0</v>
      </c>
      <c r="J156" s="7">
        <f>F156+G156+H156</f>
        <v>0</v>
      </c>
      <c r="K156" s="7">
        <f>-(I156+L156)</f>
        <v>0</v>
      </c>
      <c r="L156" s="7">
        <f>IF(N156="Différé total", C156+D156, IF(N156="Intérêts seuls", C156, C156-E156))</f>
        <v>0</v>
      </c>
      <c r="M156" s="7">
        <f>IF(148=Nmois, FVballon, 0)</f>
        <v>0</v>
      </c>
      <c r="N156">
        <f>IF(148&lt;=DiffN, IF(DiffMode="Total (capitalisation)","Différé total","Intérêts seuls"), "Amortissement")</f>
        <v>0</v>
      </c>
    </row>
    <row r="157" spans="2:14">
      <c r="B157" s="4">
        <v>149</v>
      </c>
      <c r="C157" s="6">
        <f>EDATE(Date0,149)</f>
        <v>0</v>
      </c>
      <c r="D157" s="7">
        <f>K156</f>
        <v>0</v>
      </c>
      <c r="E157" s="7">
        <f>C157*i</f>
        <v>0</v>
      </c>
      <c r="F157" s="7">
        <f>IF(N157="Amortissement", F157-D157, 0)</f>
        <v>0</v>
      </c>
      <c r="G157" s="7">
        <f>IF(149&lt;=DiffN, IF(DiffMode="Total (capitalisation)", 0, D157), PMTnom)</f>
        <v>0</v>
      </c>
      <c r="H157" s="7">
        <f>IF(AssType="Sur capital initial (%)", AssTau/12*PNom, IF(AssType="Sur CRD (%)", AssTau/12*C157, IF(AssType="Montant fixe/mois", AssFixe, 0)))</f>
        <v>0</v>
      </c>
      <c r="I157" s="7">
        <f>FraisRec</f>
        <v>0</v>
      </c>
      <c r="J157" s="7">
        <f>F157+G157+H157</f>
        <v>0</v>
      </c>
      <c r="K157" s="7">
        <f>-(I157+L157)</f>
        <v>0</v>
      </c>
      <c r="L157" s="7">
        <f>IF(N157="Différé total", C157+D157, IF(N157="Intérêts seuls", C157, C157-E157))</f>
        <v>0</v>
      </c>
      <c r="M157" s="7">
        <f>IF(149=Nmois, FVballon, 0)</f>
        <v>0</v>
      </c>
      <c r="N157">
        <f>IF(149&lt;=DiffN, IF(DiffMode="Total (capitalisation)","Différé total","Intérêts seuls"), "Amortissement")</f>
        <v>0</v>
      </c>
    </row>
    <row r="158" spans="2:14">
      <c r="B158" s="11">
        <v>150</v>
      </c>
      <c r="C158" s="6">
        <f>EDATE(Date0,150)</f>
        <v>0</v>
      </c>
      <c r="D158" s="7">
        <f>K157</f>
        <v>0</v>
      </c>
      <c r="E158" s="7">
        <f>C158*i</f>
        <v>0</v>
      </c>
      <c r="F158" s="7">
        <f>IF(N158="Amortissement", F158-D158, 0)</f>
        <v>0</v>
      </c>
      <c r="G158" s="7">
        <f>IF(150&lt;=DiffN, IF(DiffMode="Total (capitalisation)", 0, D158), PMTnom)</f>
        <v>0</v>
      </c>
      <c r="H158" s="7">
        <f>IF(AssType="Sur capital initial (%)", AssTau/12*PNom, IF(AssType="Sur CRD (%)", AssTau/12*C158, IF(AssType="Montant fixe/mois", AssFixe, 0)))</f>
        <v>0</v>
      </c>
      <c r="I158" s="7">
        <f>FraisRec</f>
        <v>0</v>
      </c>
      <c r="J158" s="7">
        <f>F158+G158+H158</f>
        <v>0</v>
      </c>
      <c r="K158" s="7">
        <f>-(I158+L158)</f>
        <v>0</v>
      </c>
      <c r="L158" s="7">
        <f>IF(N158="Différé total", C158+D158, IF(N158="Intérêts seuls", C158, C158-E158))</f>
        <v>0</v>
      </c>
      <c r="M158" s="7">
        <f>IF(150=Nmois, FVballon, 0)</f>
        <v>0</v>
      </c>
      <c r="N158">
        <f>IF(150&lt;=DiffN, IF(DiffMode="Total (capitalisation)","Différé total","Intérêts seuls"), "Amortissement")</f>
        <v>0</v>
      </c>
    </row>
    <row r="159" spans="2:14">
      <c r="B159" s="4">
        <v>151</v>
      </c>
      <c r="C159" s="6">
        <f>EDATE(Date0,151)</f>
        <v>0</v>
      </c>
      <c r="D159" s="7">
        <f>K158</f>
        <v>0</v>
      </c>
      <c r="E159" s="7">
        <f>C159*i</f>
        <v>0</v>
      </c>
      <c r="F159" s="7">
        <f>IF(N159="Amortissement", F159-D159, 0)</f>
        <v>0</v>
      </c>
      <c r="G159" s="7">
        <f>IF(151&lt;=DiffN, IF(DiffMode="Total (capitalisation)", 0, D159), PMTnom)</f>
        <v>0</v>
      </c>
      <c r="H159" s="7">
        <f>IF(AssType="Sur capital initial (%)", AssTau/12*PNom, IF(AssType="Sur CRD (%)", AssTau/12*C159, IF(AssType="Montant fixe/mois", AssFixe, 0)))</f>
        <v>0</v>
      </c>
      <c r="I159" s="7">
        <f>FraisRec</f>
        <v>0</v>
      </c>
      <c r="J159" s="7">
        <f>F159+G159+H159</f>
        <v>0</v>
      </c>
      <c r="K159" s="7">
        <f>-(I159+L159)</f>
        <v>0</v>
      </c>
      <c r="L159" s="7">
        <f>IF(N159="Différé total", C159+D159, IF(N159="Intérêts seuls", C159, C159-E159))</f>
        <v>0</v>
      </c>
      <c r="M159" s="7">
        <f>IF(151=Nmois, FVballon, 0)</f>
        <v>0</v>
      </c>
      <c r="N159">
        <f>IF(151&lt;=DiffN, IF(DiffMode="Total (capitalisation)","Différé total","Intérêts seuls"), "Amortissement")</f>
        <v>0</v>
      </c>
    </row>
    <row r="160" spans="2:14">
      <c r="B160" s="11">
        <v>152</v>
      </c>
      <c r="C160" s="6">
        <f>EDATE(Date0,152)</f>
        <v>0</v>
      </c>
      <c r="D160" s="7">
        <f>K159</f>
        <v>0</v>
      </c>
      <c r="E160" s="7">
        <f>C160*i</f>
        <v>0</v>
      </c>
      <c r="F160" s="7">
        <f>IF(N160="Amortissement", F160-D160, 0)</f>
        <v>0</v>
      </c>
      <c r="G160" s="7">
        <f>IF(152&lt;=DiffN, IF(DiffMode="Total (capitalisation)", 0, D160), PMTnom)</f>
        <v>0</v>
      </c>
      <c r="H160" s="7">
        <f>IF(AssType="Sur capital initial (%)", AssTau/12*PNom, IF(AssType="Sur CRD (%)", AssTau/12*C160, IF(AssType="Montant fixe/mois", AssFixe, 0)))</f>
        <v>0</v>
      </c>
      <c r="I160" s="7">
        <f>FraisRec</f>
        <v>0</v>
      </c>
      <c r="J160" s="7">
        <f>F160+G160+H160</f>
        <v>0</v>
      </c>
      <c r="K160" s="7">
        <f>-(I160+L160)</f>
        <v>0</v>
      </c>
      <c r="L160" s="7">
        <f>IF(N160="Différé total", C160+D160, IF(N160="Intérêts seuls", C160, C160-E160))</f>
        <v>0</v>
      </c>
      <c r="M160" s="7">
        <f>IF(152=Nmois, FVballon, 0)</f>
        <v>0</v>
      </c>
      <c r="N160">
        <f>IF(152&lt;=DiffN, IF(DiffMode="Total (capitalisation)","Différé total","Intérêts seuls"), "Amortissement")</f>
        <v>0</v>
      </c>
    </row>
    <row r="161" spans="2:14">
      <c r="B161" s="4">
        <v>153</v>
      </c>
      <c r="C161" s="6">
        <f>EDATE(Date0,153)</f>
        <v>0</v>
      </c>
      <c r="D161" s="7">
        <f>K160</f>
        <v>0</v>
      </c>
      <c r="E161" s="7">
        <f>C161*i</f>
        <v>0</v>
      </c>
      <c r="F161" s="7">
        <f>IF(N161="Amortissement", F161-D161, 0)</f>
        <v>0</v>
      </c>
      <c r="G161" s="7">
        <f>IF(153&lt;=DiffN, IF(DiffMode="Total (capitalisation)", 0, D161), PMTnom)</f>
        <v>0</v>
      </c>
      <c r="H161" s="7">
        <f>IF(AssType="Sur capital initial (%)", AssTau/12*PNom, IF(AssType="Sur CRD (%)", AssTau/12*C161, IF(AssType="Montant fixe/mois", AssFixe, 0)))</f>
        <v>0</v>
      </c>
      <c r="I161" s="7">
        <f>FraisRec</f>
        <v>0</v>
      </c>
      <c r="J161" s="7">
        <f>F161+G161+H161</f>
        <v>0</v>
      </c>
      <c r="K161" s="7">
        <f>-(I161+L161)</f>
        <v>0</v>
      </c>
      <c r="L161" s="7">
        <f>IF(N161="Différé total", C161+D161, IF(N161="Intérêts seuls", C161, C161-E161))</f>
        <v>0</v>
      </c>
      <c r="M161" s="7">
        <f>IF(153=Nmois, FVballon, 0)</f>
        <v>0</v>
      </c>
      <c r="N161">
        <f>IF(153&lt;=DiffN, IF(DiffMode="Total (capitalisation)","Différé total","Intérêts seuls"), "Amortissement")</f>
        <v>0</v>
      </c>
    </row>
    <row r="162" spans="2:14">
      <c r="B162" s="11">
        <v>154</v>
      </c>
      <c r="C162" s="6">
        <f>EDATE(Date0,154)</f>
        <v>0</v>
      </c>
      <c r="D162" s="7">
        <f>K161</f>
        <v>0</v>
      </c>
      <c r="E162" s="7">
        <f>C162*i</f>
        <v>0</v>
      </c>
      <c r="F162" s="7">
        <f>IF(N162="Amortissement", F162-D162, 0)</f>
        <v>0</v>
      </c>
      <c r="G162" s="7">
        <f>IF(154&lt;=DiffN, IF(DiffMode="Total (capitalisation)", 0, D162), PMTnom)</f>
        <v>0</v>
      </c>
      <c r="H162" s="7">
        <f>IF(AssType="Sur capital initial (%)", AssTau/12*PNom, IF(AssType="Sur CRD (%)", AssTau/12*C162, IF(AssType="Montant fixe/mois", AssFixe, 0)))</f>
        <v>0</v>
      </c>
      <c r="I162" s="7">
        <f>FraisRec</f>
        <v>0</v>
      </c>
      <c r="J162" s="7">
        <f>F162+G162+H162</f>
        <v>0</v>
      </c>
      <c r="K162" s="7">
        <f>-(I162+L162)</f>
        <v>0</v>
      </c>
      <c r="L162" s="7">
        <f>IF(N162="Différé total", C162+D162, IF(N162="Intérêts seuls", C162, C162-E162))</f>
        <v>0</v>
      </c>
      <c r="M162" s="7">
        <f>IF(154=Nmois, FVballon, 0)</f>
        <v>0</v>
      </c>
      <c r="N162">
        <f>IF(154&lt;=DiffN, IF(DiffMode="Total (capitalisation)","Différé total","Intérêts seuls"), "Amortissement")</f>
        <v>0</v>
      </c>
    </row>
    <row r="163" spans="2:14">
      <c r="B163" s="4">
        <v>155</v>
      </c>
      <c r="C163" s="6">
        <f>EDATE(Date0,155)</f>
        <v>0</v>
      </c>
      <c r="D163" s="7">
        <f>K162</f>
        <v>0</v>
      </c>
      <c r="E163" s="7">
        <f>C163*i</f>
        <v>0</v>
      </c>
      <c r="F163" s="7">
        <f>IF(N163="Amortissement", F163-D163, 0)</f>
        <v>0</v>
      </c>
      <c r="G163" s="7">
        <f>IF(155&lt;=DiffN, IF(DiffMode="Total (capitalisation)", 0, D163), PMTnom)</f>
        <v>0</v>
      </c>
      <c r="H163" s="7">
        <f>IF(AssType="Sur capital initial (%)", AssTau/12*PNom, IF(AssType="Sur CRD (%)", AssTau/12*C163, IF(AssType="Montant fixe/mois", AssFixe, 0)))</f>
        <v>0</v>
      </c>
      <c r="I163" s="7">
        <f>FraisRec</f>
        <v>0</v>
      </c>
      <c r="J163" s="7">
        <f>F163+G163+H163</f>
        <v>0</v>
      </c>
      <c r="K163" s="7">
        <f>-(I163+L163)</f>
        <v>0</v>
      </c>
      <c r="L163" s="7">
        <f>IF(N163="Différé total", C163+D163, IF(N163="Intérêts seuls", C163, C163-E163))</f>
        <v>0</v>
      </c>
      <c r="M163" s="7">
        <f>IF(155=Nmois, FVballon, 0)</f>
        <v>0</v>
      </c>
      <c r="N163">
        <f>IF(155&lt;=DiffN, IF(DiffMode="Total (capitalisation)","Différé total","Intérêts seuls"), "Amortissement")</f>
        <v>0</v>
      </c>
    </row>
    <row r="164" spans="2:14">
      <c r="B164" s="11">
        <v>156</v>
      </c>
      <c r="C164" s="6">
        <f>EDATE(Date0,156)</f>
        <v>0</v>
      </c>
      <c r="D164" s="7">
        <f>K163</f>
        <v>0</v>
      </c>
      <c r="E164" s="7">
        <f>C164*i</f>
        <v>0</v>
      </c>
      <c r="F164" s="7">
        <f>IF(N164="Amortissement", F164-D164, 0)</f>
        <v>0</v>
      </c>
      <c r="G164" s="7">
        <f>IF(156&lt;=DiffN, IF(DiffMode="Total (capitalisation)", 0, D164), PMTnom)</f>
        <v>0</v>
      </c>
      <c r="H164" s="7">
        <f>IF(AssType="Sur capital initial (%)", AssTau/12*PNom, IF(AssType="Sur CRD (%)", AssTau/12*C164, IF(AssType="Montant fixe/mois", AssFixe, 0)))</f>
        <v>0</v>
      </c>
      <c r="I164" s="7">
        <f>FraisRec</f>
        <v>0</v>
      </c>
      <c r="J164" s="7">
        <f>F164+G164+H164</f>
        <v>0</v>
      </c>
      <c r="K164" s="7">
        <f>-(I164+L164)</f>
        <v>0</v>
      </c>
      <c r="L164" s="7">
        <f>IF(N164="Différé total", C164+D164, IF(N164="Intérêts seuls", C164, C164-E164))</f>
        <v>0</v>
      </c>
      <c r="M164" s="7">
        <f>IF(156=Nmois, FVballon, 0)</f>
        <v>0</v>
      </c>
      <c r="N164">
        <f>IF(156&lt;=DiffN, IF(DiffMode="Total (capitalisation)","Différé total","Intérêts seuls"), "Amortissement")</f>
        <v>0</v>
      </c>
    </row>
    <row r="165" spans="2:14">
      <c r="B165" s="4">
        <v>157</v>
      </c>
      <c r="C165" s="6">
        <f>EDATE(Date0,157)</f>
        <v>0</v>
      </c>
      <c r="D165" s="7">
        <f>K164</f>
        <v>0</v>
      </c>
      <c r="E165" s="7">
        <f>C165*i</f>
        <v>0</v>
      </c>
      <c r="F165" s="7">
        <f>IF(N165="Amortissement", F165-D165, 0)</f>
        <v>0</v>
      </c>
      <c r="G165" s="7">
        <f>IF(157&lt;=DiffN, IF(DiffMode="Total (capitalisation)", 0, D165), PMTnom)</f>
        <v>0</v>
      </c>
      <c r="H165" s="7">
        <f>IF(AssType="Sur capital initial (%)", AssTau/12*PNom, IF(AssType="Sur CRD (%)", AssTau/12*C165, IF(AssType="Montant fixe/mois", AssFixe, 0)))</f>
        <v>0</v>
      </c>
      <c r="I165" s="7">
        <f>FraisRec</f>
        <v>0</v>
      </c>
      <c r="J165" s="7">
        <f>F165+G165+H165</f>
        <v>0</v>
      </c>
      <c r="K165" s="7">
        <f>-(I165+L165)</f>
        <v>0</v>
      </c>
      <c r="L165" s="7">
        <f>IF(N165="Différé total", C165+D165, IF(N165="Intérêts seuls", C165, C165-E165))</f>
        <v>0</v>
      </c>
      <c r="M165" s="7">
        <f>IF(157=Nmois, FVballon, 0)</f>
        <v>0</v>
      </c>
      <c r="N165">
        <f>IF(157&lt;=DiffN, IF(DiffMode="Total (capitalisation)","Différé total","Intérêts seuls"), "Amortissement")</f>
        <v>0</v>
      </c>
    </row>
    <row r="166" spans="2:14">
      <c r="B166" s="11">
        <v>158</v>
      </c>
      <c r="C166" s="6">
        <f>EDATE(Date0,158)</f>
        <v>0</v>
      </c>
      <c r="D166" s="7">
        <f>K165</f>
        <v>0</v>
      </c>
      <c r="E166" s="7">
        <f>C166*i</f>
        <v>0</v>
      </c>
      <c r="F166" s="7">
        <f>IF(N166="Amortissement", F166-D166, 0)</f>
        <v>0</v>
      </c>
      <c r="G166" s="7">
        <f>IF(158&lt;=DiffN, IF(DiffMode="Total (capitalisation)", 0, D166), PMTnom)</f>
        <v>0</v>
      </c>
      <c r="H166" s="7">
        <f>IF(AssType="Sur capital initial (%)", AssTau/12*PNom, IF(AssType="Sur CRD (%)", AssTau/12*C166, IF(AssType="Montant fixe/mois", AssFixe, 0)))</f>
        <v>0</v>
      </c>
      <c r="I166" s="7">
        <f>FraisRec</f>
        <v>0</v>
      </c>
      <c r="J166" s="7">
        <f>F166+G166+H166</f>
        <v>0</v>
      </c>
      <c r="K166" s="7">
        <f>-(I166+L166)</f>
        <v>0</v>
      </c>
      <c r="L166" s="7">
        <f>IF(N166="Différé total", C166+D166, IF(N166="Intérêts seuls", C166, C166-E166))</f>
        <v>0</v>
      </c>
      <c r="M166" s="7">
        <f>IF(158=Nmois, FVballon, 0)</f>
        <v>0</v>
      </c>
      <c r="N166">
        <f>IF(158&lt;=DiffN, IF(DiffMode="Total (capitalisation)","Différé total","Intérêts seuls"), "Amortissement")</f>
        <v>0</v>
      </c>
    </row>
    <row r="167" spans="2:14">
      <c r="B167" s="4">
        <v>159</v>
      </c>
      <c r="C167" s="6">
        <f>EDATE(Date0,159)</f>
        <v>0</v>
      </c>
      <c r="D167" s="7">
        <f>K166</f>
        <v>0</v>
      </c>
      <c r="E167" s="7">
        <f>C167*i</f>
        <v>0</v>
      </c>
      <c r="F167" s="7">
        <f>IF(N167="Amortissement", F167-D167, 0)</f>
        <v>0</v>
      </c>
      <c r="G167" s="7">
        <f>IF(159&lt;=DiffN, IF(DiffMode="Total (capitalisation)", 0, D167), PMTnom)</f>
        <v>0</v>
      </c>
      <c r="H167" s="7">
        <f>IF(AssType="Sur capital initial (%)", AssTau/12*PNom, IF(AssType="Sur CRD (%)", AssTau/12*C167, IF(AssType="Montant fixe/mois", AssFixe, 0)))</f>
        <v>0</v>
      </c>
      <c r="I167" s="7">
        <f>FraisRec</f>
        <v>0</v>
      </c>
      <c r="J167" s="7">
        <f>F167+G167+H167</f>
        <v>0</v>
      </c>
      <c r="K167" s="7">
        <f>-(I167+L167)</f>
        <v>0</v>
      </c>
      <c r="L167" s="7">
        <f>IF(N167="Différé total", C167+D167, IF(N167="Intérêts seuls", C167, C167-E167))</f>
        <v>0</v>
      </c>
      <c r="M167" s="7">
        <f>IF(159=Nmois, FVballon, 0)</f>
        <v>0</v>
      </c>
      <c r="N167">
        <f>IF(159&lt;=DiffN, IF(DiffMode="Total (capitalisation)","Différé total","Intérêts seuls"), "Amortissement")</f>
        <v>0</v>
      </c>
    </row>
    <row r="168" spans="2:14">
      <c r="B168" s="11">
        <v>160</v>
      </c>
      <c r="C168" s="6">
        <f>EDATE(Date0,160)</f>
        <v>0</v>
      </c>
      <c r="D168" s="7">
        <f>K167</f>
        <v>0</v>
      </c>
      <c r="E168" s="7">
        <f>C168*i</f>
        <v>0</v>
      </c>
      <c r="F168" s="7">
        <f>IF(N168="Amortissement", F168-D168, 0)</f>
        <v>0</v>
      </c>
      <c r="G168" s="7">
        <f>IF(160&lt;=DiffN, IF(DiffMode="Total (capitalisation)", 0, D168), PMTnom)</f>
        <v>0</v>
      </c>
      <c r="H168" s="7">
        <f>IF(AssType="Sur capital initial (%)", AssTau/12*PNom, IF(AssType="Sur CRD (%)", AssTau/12*C168, IF(AssType="Montant fixe/mois", AssFixe, 0)))</f>
        <v>0</v>
      </c>
      <c r="I168" s="7">
        <f>FraisRec</f>
        <v>0</v>
      </c>
      <c r="J168" s="7">
        <f>F168+G168+H168</f>
        <v>0</v>
      </c>
      <c r="K168" s="7">
        <f>-(I168+L168)</f>
        <v>0</v>
      </c>
      <c r="L168" s="7">
        <f>IF(N168="Différé total", C168+D168, IF(N168="Intérêts seuls", C168, C168-E168))</f>
        <v>0</v>
      </c>
      <c r="M168" s="7">
        <f>IF(160=Nmois, FVballon, 0)</f>
        <v>0</v>
      </c>
      <c r="N168">
        <f>IF(160&lt;=DiffN, IF(DiffMode="Total (capitalisation)","Différé total","Intérêts seuls"), "Amortissement")</f>
        <v>0</v>
      </c>
    </row>
    <row r="169" spans="2:14">
      <c r="B169" s="4">
        <v>161</v>
      </c>
      <c r="C169" s="6">
        <f>EDATE(Date0,161)</f>
        <v>0</v>
      </c>
      <c r="D169" s="7">
        <f>K168</f>
        <v>0</v>
      </c>
      <c r="E169" s="7">
        <f>C169*i</f>
        <v>0</v>
      </c>
      <c r="F169" s="7">
        <f>IF(N169="Amortissement", F169-D169, 0)</f>
        <v>0</v>
      </c>
      <c r="G169" s="7">
        <f>IF(161&lt;=DiffN, IF(DiffMode="Total (capitalisation)", 0, D169), PMTnom)</f>
        <v>0</v>
      </c>
      <c r="H169" s="7">
        <f>IF(AssType="Sur capital initial (%)", AssTau/12*PNom, IF(AssType="Sur CRD (%)", AssTau/12*C169, IF(AssType="Montant fixe/mois", AssFixe, 0)))</f>
        <v>0</v>
      </c>
      <c r="I169" s="7">
        <f>FraisRec</f>
        <v>0</v>
      </c>
      <c r="J169" s="7">
        <f>F169+G169+H169</f>
        <v>0</v>
      </c>
      <c r="K169" s="7">
        <f>-(I169+L169)</f>
        <v>0</v>
      </c>
      <c r="L169" s="7">
        <f>IF(N169="Différé total", C169+D169, IF(N169="Intérêts seuls", C169, C169-E169))</f>
        <v>0</v>
      </c>
      <c r="M169" s="7">
        <f>IF(161=Nmois, FVballon, 0)</f>
        <v>0</v>
      </c>
      <c r="N169">
        <f>IF(161&lt;=DiffN, IF(DiffMode="Total (capitalisation)","Différé total","Intérêts seuls"), "Amortissement")</f>
        <v>0</v>
      </c>
    </row>
    <row r="170" spans="2:14">
      <c r="B170" s="11">
        <v>162</v>
      </c>
      <c r="C170" s="6">
        <f>EDATE(Date0,162)</f>
        <v>0</v>
      </c>
      <c r="D170" s="7">
        <f>K169</f>
        <v>0</v>
      </c>
      <c r="E170" s="7">
        <f>C170*i</f>
        <v>0</v>
      </c>
      <c r="F170" s="7">
        <f>IF(N170="Amortissement", F170-D170, 0)</f>
        <v>0</v>
      </c>
      <c r="G170" s="7">
        <f>IF(162&lt;=DiffN, IF(DiffMode="Total (capitalisation)", 0, D170), PMTnom)</f>
        <v>0</v>
      </c>
      <c r="H170" s="7">
        <f>IF(AssType="Sur capital initial (%)", AssTau/12*PNom, IF(AssType="Sur CRD (%)", AssTau/12*C170, IF(AssType="Montant fixe/mois", AssFixe, 0)))</f>
        <v>0</v>
      </c>
      <c r="I170" s="7">
        <f>FraisRec</f>
        <v>0</v>
      </c>
      <c r="J170" s="7">
        <f>F170+G170+H170</f>
        <v>0</v>
      </c>
      <c r="K170" s="7">
        <f>-(I170+L170)</f>
        <v>0</v>
      </c>
      <c r="L170" s="7">
        <f>IF(N170="Différé total", C170+D170, IF(N170="Intérêts seuls", C170, C170-E170))</f>
        <v>0</v>
      </c>
      <c r="M170" s="7">
        <f>IF(162=Nmois, FVballon, 0)</f>
        <v>0</v>
      </c>
      <c r="N170">
        <f>IF(162&lt;=DiffN, IF(DiffMode="Total (capitalisation)","Différé total","Intérêts seuls"), "Amortissement")</f>
        <v>0</v>
      </c>
    </row>
    <row r="171" spans="2:14">
      <c r="B171" s="4">
        <v>163</v>
      </c>
      <c r="C171" s="6">
        <f>EDATE(Date0,163)</f>
        <v>0</v>
      </c>
      <c r="D171" s="7">
        <f>K170</f>
        <v>0</v>
      </c>
      <c r="E171" s="7">
        <f>C171*i</f>
        <v>0</v>
      </c>
      <c r="F171" s="7">
        <f>IF(N171="Amortissement", F171-D171, 0)</f>
        <v>0</v>
      </c>
      <c r="G171" s="7">
        <f>IF(163&lt;=DiffN, IF(DiffMode="Total (capitalisation)", 0, D171), PMTnom)</f>
        <v>0</v>
      </c>
      <c r="H171" s="7">
        <f>IF(AssType="Sur capital initial (%)", AssTau/12*PNom, IF(AssType="Sur CRD (%)", AssTau/12*C171, IF(AssType="Montant fixe/mois", AssFixe, 0)))</f>
        <v>0</v>
      </c>
      <c r="I171" s="7">
        <f>FraisRec</f>
        <v>0</v>
      </c>
      <c r="J171" s="7">
        <f>F171+G171+H171</f>
        <v>0</v>
      </c>
      <c r="K171" s="7">
        <f>-(I171+L171)</f>
        <v>0</v>
      </c>
      <c r="L171" s="7">
        <f>IF(N171="Différé total", C171+D171, IF(N171="Intérêts seuls", C171, C171-E171))</f>
        <v>0</v>
      </c>
      <c r="M171" s="7">
        <f>IF(163=Nmois, FVballon, 0)</f>
        <v>0</v>
      </c>
      <c r="N171">
        <f>IF(163&lt;=DiffN, IF(DiffMode="Total (capitalisation)","Différé total","Intérêts seuls"), "Amortissement")</f>
        <v>0</v>
      </c>
    </row>
    <row r="172" spans="2:14">
      <c r="B172" s="11">
        <v>164</v>
      </c>
      <c r="C172" s="6">
        <f>EDATE(Date0,164)</f>
        <v>0</v>
      </c>
      <c r="D172" s="7">
        <f>K171</f>
        <v>0</v>
      </c>
      <c r="E172" s="7">
        <f>C172*i</f>
        <v>0</v>
      </c>
      <c r="F172" s="7">
        <f>IF(N172="Amortissement", F172-D172, 0)</f>
        <v>0</v>
      </c>
      <c r="G172" s="7">
        <f>IF(164&lt;=DiffN, IF(DiffMode="Total (capitalisation)", 0, D172), PMTnom)</f>
        <v>0</v>
      </c>
      <c r="H172" s="7">
        <f>IF(AssType="Sur capital initial (%)", AssTau/12*PNom, IF(AssType="Sur CRD (%)", AssTau/12*C172, IF(AssType="Montant fixe/mois", AssFixe, 0)))</f>
        <v>0</v>
      </c>
      <c r="I172" s="7">
        <f>FraisRec</f>
        <v>0</v>
      </c>
      <c r="J172" s="7">
        <f>F172+G172+H172</f>
        <v>0</v>
      </c>
      <c r="K172" s="7">
        <f>-(I172+L172)</f>
        <v>0</v>
      </c>
      <c r="L172" s="7">
        <f>IF(N172="Différé total", C172+D172, IF(N172="Intérêts seuls", C172, C172-E172))</f>
        <v>0</v>
      </c>
      <c r="M172" s="7">
        <f>IF(164=Nmois, FVballon, 0)</f>
        <v>0</v>
      </c>
      <c r="N172">
        <f>IF(164&lt;=DiffN, IF(DiffMode="Total (capitalisation)","Différé total","Intérêts seuls"), "Amortissement")</f>
        <v>0</v>
      </c>
    </row>
    <row r="173" spans="2:14">
      <c r="B173" s="4">
        <v>165</v>
      </c>
      <c r="C173" s="6">
        <f>EDATE(Date0,165)</f>
        <v>0</v>
      </c>
      <c r="D173" s="7">
        <f>K172</f>
        <v>0</v>
      </c>
      <c r="E173" s="7">
        <f>C173*i</f>
        <v>0</v>
      </c>
      <c r="F173" s="7">
        <f>IF(N173="Amortissement", F173-D173, 0)</f>
        <v>0</v>
      </c>
      <c r="G173" s="7">
        <f>IF(165&lt;=DiffN, IF(DiffMode="Total (capitalisation)", 0, D173), PMTnom)</f>
        <v>0</v>
      </c>
      <c r="H173" s="7">
        <f>IF(AssType="Sur capital initial (%)", AssTau/12*PNom, IF(AssType="Sur CRD (%)", AssTau/12*C173, IF(AssType="Montant fixe/mois", AssFixe, 0)))</f>
        <v>0</v>
      </c>
      <c r="I173" s="7">
        <f>FraisRec</f>
        <v>0</v>
      </c>
      <c r="J173" s="7">
        <f>F173+G173+H173</f>
        <v>0</v>
      </c>
      <c r="K173" s="7">
        <f>-(I173+L173)</f>
        <v>0</v>
      </c>
      <c r="L173" s="7">
        <f>IF(N173="Différé total", C173+D173, IF(N173="Intérêts seuls", C173, C173-E173))</f>
        <v>0</v>
      </c>
      <c r="M173" s="7">
        <f>IF(165=Nmois, FVballon, 0)</f>
        <v>0</v>
      </c>
      <c r="N173">
        <f>IF(165&lt;=DiffN, IF(DiffMode="Total (capitalisation)","Différé total","Intérêts seuls"), "Amortissement")</f>
        <v>0</v>
      </c>
    </row>
    <row r="174" spans="2:14">
      <c r="B174" s="11">
        <v>166</v>
      </c>
      <c r="C174" s="6">
        <f>EDATE(Date0,166)</f>
        <v>0</v>
      </c>
      <c r="D174" s="7">
        <f>K173</f>
        <v>0</v>
      </c>
      <c r="E174" s="7">
        <f>C174*i</f>
        <v>0</v>
      </c>
      <c r="F174" s="7">
        <f>IF(N174="Amortissement", F174-D174, 0)</f>
        <v>0</v>
      </c>
      <c r="G174" s="7">
        <f>IF(166&lt;=DiffN, IF(DiffMode="Total (capitalisation)", 0, D174), PMTnom)</f>
        <v>0</v>
      </c>
      <c r="H174" s="7">
        <f>IF(AssType="Sur capital initial (%)", AssTau/12*PNom, IF(AssType="Sur CRD (%)", AssTau/12*C174, IF(AssType="Montant fixe/mois", AssFixe, 0)))</f>
        <v>0</v>
      </c>
      <c r="I174" s="7">
        <f>FraisRec</f>
        <v>0</v>
      </c>
      <c r="J174" s="7">
        <f>F174+G174+H174</f>
        <v>0</v>
      </c>
      <c r="K174" s="7">
        <f>-(I174+L174)</f>
        <v>0</v>
      </c>
      <c r="L174" s="7">
        <f>IF(N174="Différé total", C174+D174, IF(N174="Intérêts seuls", C174, C174-E174))</f>
        <v>0</v>
      </c>
      <c r="M174" s="7">
        <f>IF(166=Nmois, FVballon, 0)</f>
        <v>0</v>
      </c>
      <c r="N174">
        <f>IF(166&lt;=DiffN, IF(DiffMode="Total (capitalisation)","Différé total","Intérêts seuls"), "Amortissement")</f>
        <v>0</v>
      </c>
    </row>
    <row r="175" spans="2:14">
      <c r="B175" s="4">
        <v>167</v>
      </c>
      <c r="C175" s="6">
        <f>EDATE(Date0,167)</f>
        <v>0</v>
      </c>
      <c r="D175" s="7">
        <f>K174</f>
        <v>0</v>
      </c>
      <c r="E175" s="7">
        <f>C175*i</f>
        <v>0</v>
      </c>
      <c r="F175" s="7">
        <f>IF(N175="Amortissement", F175-D175, 0)</f>
        <v>0</v>
      </c>
      <c r="G175" s="7">
        <f>IF(167&lt;=DiffN, IF(DiffMode="Total (capitalisation)", 0, D175), PMTnom)</f>
        <v>0</v>
      </c>
      <c r="H175" s="7">
        <f>IF(AssType="Sur capital initial (%)", AssTau/12*PNom, IF(AssType="Sur CRD (%)", AssTau/12*C175, IF(AssType="Montant fixe/mois", AssFixe, 0)))</f>
        <v>0</v>
      </c>
      <c r="I175" s="7">
        <f>FraisRec</f>
        <v>0</v>
      </c>
      <c r="J175" s="7">
        <f>F175+G175+H175</f>
        <v>0</v>
      </c>
      <c r="K175" s="7">
        <f>-(I175+L175)</f>
        <v>0</v>
      </c>
      <c r="L175" s="7">
        <f>IF(N175="Différé total", C175+D175, IF(N175="Intérêts seuls", C175, C175-E175))</f>
        <v>0</v>
      </c>
      <c r="M175" s="7">
        <f>IF(167=Nmois, FVballon, 0)</f>
        <v>0</v>
      </c>
      <c r="N175">
        <f>IF(167&lt;=DiffN, IF(DiffMode="Total (capitalisation)","Différé total","Intérêts seuls"), "Amortissement")</f>
        <v>0</v>
      </c>
    </row>
    <row r="176" spans="2:14">
      <c r="B176" s="11">
        <v>168</v>
      </c>
      <c r="C176" s="6">
        <f>EDATE(Date0,168)</f>
        <v>0</v>
      </c>
      <c r="D176" s="7">
        <f>K175</f>
        <v>0</v>
      </c>
      <c r="E176" s="7">
        <f>C176*i</f>
        <v>0</v>
      </c>
      <c r="F176" s="7">
        <f>IF(N176="Amortissement", F176-D176, 0)</f>
        <v>0</v>
      </c>
      <c r="G176" s="7">
        <f>IF(168&lt;=DiffN, IF(DiffMode="Total (capitalisation)", 0, D176), PMTnom)</f>
        <v>0</v>
      </c>
      <c r="H176" s="7">
        <f>IF(AssType="Sur capital initial (%)", AssTau/12*PNom, IF(AssType="Sur CRD (%)", AssTau/12*C176, IF(AssType="Montant fixe/mois", AssFixe, 0)))</f>
        <v>0</v>
      </c>
      <c r="I176" s="7">
        <f>FraisRec</f>
        <v>0</v>
      </c>
      <c r="J176" s="7">
        <f>F176+G176+H176</f>
        <v>0</v>
      </c>
      <c r="K176" s="7">
        <f>-(I176+L176)</f>
        <v>0</v>
      </c>
      <c r="L176" s="7">
        <f>IF(N176="Différé total", C176+D176, IF(N176="Intérêts seuls", C176, C176-E176))</f>
        <v>0</v>
      </c>
      <c r="M176" s="7">
        <f>IF(168=Nmois, FVballon, 0)</f>
        <v>0</v>
      </c>
      <c r="N176">
        <f>IF(168&lt;=DiffN, IF(DiffMode="Total (capitalisation)","Différé total","Intérêts seuls"), "Amortissement")</f>
        <v>0</v>
      </c>
    </row>
    <row r="177" spans="2:14">
      <c r="B177" s="4">
        <v>169</v>
      </c>
      <c r="C177" s="6">
        <f>EDATE(Date0,169)</f>
        <v>0</v>
      </c>
      <c r="D177" s="7">
        <f>K176</f>
        <v>0</v>
      </c>
      <c r="E177" s="7">
        <f>C177*i</f>
        <v>0</v>
      </c>
      <c r="F177" s="7">
        <f>IF(N177="Amortissement", F177-D177, 0)</f>
        <v>0</v>
      </c>
      <c r="G177" s="7">
        <f>IF(169&lt;=DiffN, IF(DiffMode="Total (capitalisation)", 0, D177), PMTnom)</f>
        <v>0</v>
      </c>
      <c r="H177" s="7">
        <f>IF(AssType="Sur capital initial (%)", AssTau/12*PNom, IF(AssType="Sur CRD (%)", AssTau/12*C177, IF(AssType="Montant fixe/mois", AssFixe, 0)))</f>
        <v>0</v>
      </c>
      <c r="I177" s="7">
        <f>FraisRec</f>
        <v>0</v>
      </c>
      <c r="J177" s="7">
        <f>F177+G177+H177</f>
        <v>0</v>
      </c>
      <c r="K177" s="7">
        <f>-(I177+L177)</f>
        <v>0</v>
      </c>
      <c r="L177" s="7">
        <f>IF(N177="Différé total", C177+D177, IF(N177="Intérêts seuls", C177, C177-E177))</f>
        <v>0</v>
      </c>
      <c r="M177" s="7">
        <f>IF(169=Nmois, FVballon, 0)</f>
        <v>0</v>
      </c>
      <c r="N177">
        <f>IF(169&lt;=DiffN, IF(DiffMode="Total (capitalisation)","Différé total","Intérêts seuls"), "Amortissement")</f>
        <v>0</v>
      </c>
    </row>
    <row r="178" spans="2:14">
      <c r="B178" s="11">
        <v>170</v>
      </c>
      <c r="C178" s="6">
        <f>EDATE(Date0,170)</f>
        <v>0</v>
      </c>
      <c r="D178" s="7">
        <f>K177</f>
        <v>0</v>
      </c>
      <c r="E178" s="7">
        <f>C178*i</f>
        <v>0</v>
      </c>
      <c r="F178" s="7">
        <f>IF(N178="Amortissement", F178-D178, 0)</f>
        <v>0</v>
      </c>
      <c r="G178" s="7">
        <f>IF(170&lt;=DiffN, IF(DiffMode="Total (capitalisation)", 0, D178), PMTnom)</f>
        <v>0</v>
      </c>
      <c r="H178" s="7">
        <f>IF(AssType="Sur capital initial (%)", AssTau/12*PNom, IF(AssType="Sur CRD (%)", AssTau/12*C178, IF(AssType="Montant fixe/mois", AssFixe, 0)))</f>
        <v>0</v>
      </c>
      <c r="I178" s="7">
        <f>FraisRec</f>
        <v>0</v>
      </c>
      <c r="J178" s="7">
        <f>F178+G178+H178</f>
        <v>0</v>
      </c>
      <c r="K178" s="7">
        <f>-(I178+L178)</f>
        <v>0</v>
      </c>
      <c r="L178" s="7">
        <f>IF(N178="Différé total", C178+D178, IF(N178="Intérêts seuls", C178, C178-E178))</f>
        <v>0</v>
      </c>
      <c r="M178" s="7">
        <f>IF(170=Nmois, FVballon, 0)</f>
        <v>0</v>
      </c>
      <c r="N178">
        <f>IF(170&lt;=DiffN, IF(DiffMode="Total (capitalisation)","Différé total","Intérêts seuls"), "Amortissement")</f>
        <v>0</v>
      </c>
    </row>
    <row r="179" spans="2:14">
      <c r="B179" s="4">
        <v>171</v>
      </c>
      <c r="C179" s="6">
        <f>EDATE(Date0,171)</f>
        <v>0</v>
      </c>
      <c r="D179" s="7">
        <f>K178</f>
        <v>0</v>
      </c>
      <c r="E179" s="7">
        <f>C179*i</f>
        <v>0</v>
      </c>
      <c r="F179" s="7">
        <f>IF(N179="Amortissement", F179-D179, 0)</f>
        <v>0</v>
      </c>
      <c r="G179" s="7">
        <f>IF(171&lt;=DiffN, IF(DiffMode="Total (capitalisation)", 0, D179), PMTnom)</f>
        <v>0</v>
      </c>
      <c r="H179" s="7">
        <f>IF(AssType="Sur capital initial (%)", AssTau/12*PNom, IF(AssType="Sur CRD (%)", AssTau/12*C179, IF(AssType="Montant fixe/mois", AssFixe, 0)))</f>
        <v>0</v>
      </c>
      <c r="I179" s="7">
        <f>FraisRec</f>
        <v>0</v>
      </c>
      <c r="J179" s="7">
        <f>F179+G179+H179</f>
        <v>0</v>
      </c>
      <c r="K179" s="7">
        <f>-(I179+L179)</f>
        <v>0</v>
      </c>
      <c r="L179" s="7">
        <f>IF(N179="Différé total", C179+D179, IF(N179="Intérêts seuls", C179, C179-E179))</f>
        <v>0</v>
      </c>
      <c r="M179" s="7">
        <f>IF(171=Nmois, FVballon, 0)</f>
        <v>0</v>
      </c>
      <c r="N179">
        <f>IF(171&lt;=DiffN, IF(DiffMode="Total (capitalisation)","Différé total","Intérêts seuls"), "Amortissement")</f>
        <v>0</v>
      </c>
    </row>
    <row r="180" spans="2:14">
      <c r="B180" s="11">
        <v>172</v>
      </c>
      <c r="C180" s="6">
        <f>EDATE(Date0,172)</f>
        <v>0</v>
      </c>
      <c r="D180" s="7">
        <f>K179</f>
        <v>0</v>
      </c>
      <c r="E180" s="7">
        <f>C180*i</f>
        <v>0</v>
      </c>
      <c r="F180" s="7">
        <f>IF(N180="Amortissement", F180-D180, 0)</f>
        <v>0</v>
      </c>
      <c r="G180" s="7">
        <f>IF(172&lt;=DiffN, IF(DiffMode="Total (capitalisation)", 0, D180), PMTnom)</f>
        <v>0</v>
      </c>
      <c r="H180" s="7">
        <f>IF(AssType="Sur capital initial (%)", AssTau/12*PNom, IF(AssType="Sur CRD (%)", AssTau/12*C180, IF(AssType="Montant fixe/mois", AssFixe, 0)))</f>
        <v>0</v>
      </c>
      <c r="I180" s="7">
        <f>FraisRec</f>
        <v>0</v>
      </c>
      <c r="J180" s="7">
        <f>F180+G180+H180</f>
        <v>0</v>
      </c>
      <c r="K180" s="7">
        <f>-(I180+L180)</f>
        <v>0</v>
      </c>
      <c r="L180" s="7">
        <f>IF(N180="Différé total", C180+D180, IF(N180="Intérêts seuls", C180, C180-E180))</f>
        <v>0</v>
      </c>
      <c r="M180" s="7">
        <f>IF(172=Nmois, FVballon, 0)</f>
        <v>0</v>
      </c>
      <c r="N180">
        <f>IF(172&lt;=DiffN, IF(DiffMode="Total (capitalisation)","Différé total","Intérêts seuls"), "Amortissement")</f>
        <v>0</v>
      </c>
    </row>
    <row r="181" spans="2:14">
      <c r="B181" s="4">
        <v>173</v>
      </c>
      <c r="C181" s="6">
        <f>EDATE(Date0,173)</f>
        <v>0</v>
      </c>
      <c r="D181" s="7">
        <f>K180</f>
        <v>0</v>
      </c>
      <c r="E181" s="7">
        <f>C181*i</f>
        <v>0</v>
      </c>
      <c r="F181" s="7">
        <f>IF(N181="Amortissement", F181-D181, 0)</f>
        <v>0</v>
      </c>
      <c r="G181" s="7">
        <f>IF(173&lt;=DiffN, IF(DiffMode="Total (capitalisation)", 0, D181), PMTnom)</f>
        <v>0</v>
      </c>
      <c r="H181" s="7">
        <f>IF(AssType="Sur capital initial (%)", AssTau/12*PNom, IF(AssType="Sur CRD (%)", AssTau/12*C181, IF(AssType="Montant fixe/mois", AssFixe, 0)))</f>
        <v>0</v>
      </c>
      <c r="I181" s="7">
        <f>FraisRec</f>
        <v>0</v>
      </c>
      <c r="J181" s="7">
        <f>F181+G181+H181</f>
        <v>0</v>
      </c>
      <c r="K181" s="7">
        <f>-(I181+L181)</f>
        <v>0</v>
      </c>
      <c r="L181" s="7">
        <f>IF(N181="Différé total", C181+D181, IF(N181="Intérêts seuls", C181, C181-E181))</f>
        <v>0</v>
      </c>
      <c r="M181" s="7">
        <f>IF(173=Nmois, FVballon, 0)</f>
        <v>0</v>
      </c>
      <c r="N181">
        <f>IF(173&lt;=DiffN, IF(DiffMode="Total (capitalisation)","Différé total","Intérêts seuls"), "Amortissement")</f>
        <v>0</v>
      </c>
    </row>
    <row r="182" spans="2:14">
      <c r="B182" s="11">
        <v>174</v>
      </c>
      <c r="C182" s="6">
        <f>EDATE(Date0,174)</f>
        <v>0</v>
      </c>
      <c r="D182" s="7">
        <f>K181</f>
        <v>0</v>
      </c>
      <c r="E182" s="7">
        <f>C182*i</f>
        <v>0</v>
      </c>
      <c r="F182" s="7">
        <f>IF(N182="Amortissement", F182-D182, 0)</f>
        <v>0</v>
      </c>
      <c r="G182" s="7">
        <f>IF(174&lt;=DiffN, IF(DiffMode="Total (capitalisation)", 0, D182), PMTnom)</f>
        <v>0</v>
      </c>
      <c r="H182" s="7">
        <f>IF(AssType="Sur capital initial (%)", AssTau/12*PNom, IF(AssType="Sur CRD (%)", AssTau/12*C182, IF(AssType="Montant fixe/mois", AssFixe, 0)))</f>
        <v>0</v>
      </c>
      <c r="I182" s="7">
        <f>FraisRec</f>
        <v>0</v>
      </c>
      <c r="J182" s="7">
        <f>F182+G182+H182</f>
        <v>0</v>
      </c>
      <c r="K182" s="7">
        <f>-(I182+L182)</f>
        <v>0</v>
      </c>
      <c r="L182" s="7">
        <f>IF(N182="Différé total", C182+D182, IF(N182="Intérêts seuls", C182, C182-E182))</f>
        <v>0</v>
      </c>
      <c r="M182" s="7">
        <f>IF(174=Nmois, FVballon, 0)</f>
        <v>0</v>
      </c>
      <c r="N182">
        <f>IF(174&lt;=DiffN, IF(DiffMode="Total (capitalisation)","Différé total","Intérêts seuls"), "Amortissement")</f>
        <v>0</v>
      </c>
    </row>
    <row r="183" spans="2:14">
      <c r="B183" s="4">
        <v>175</v>
      </c>
      <c r="C183" s="6">
        <f>EDATE(Date0,175)</f>
        <v>0</v>
      </c>
      <c r="D183" s="7">
        <f>K182</f>
        <v>0</v>
      </c>
      <c r="E183" s="7">
        <f>C183*i</f>
        <v>0</v>
      </c>
      <c r="F183" s="7">
        <f>IF(N183="Amortissement", F183-D183, 0)</f>
        <v>0</v>
      </c>
      <c r="G183" s="7">
        <f>IF(175&lt;=DiffN, IF(DiffMode="Total (capitalisation)", 0, D183), PMTnom)</f>
        <v>0</v>
      </c>
      <c r="H183" s="7">
        <f>IF(AssType="Sur capital initial (%)", AssTau/12*PNom, IF(AssType="Sur CRD (%)", AssTau/12*C183, IF(AssType="Montant fixe/mois", AssFixe, 0)))</f>
        <v>0</v>
      </c>
      <c r="I183" s="7">
        <f>FraisRec</f>
        <v>0</v>
      </c>
      <c r="J183" s="7">
        <f>F183+G183+H183</f>
        <v>0</v>
      </c>
      <c r="K183" s="7">
        <f>-(I183+L183)</f>
        <v>0</v>
      </c>
      <c r="L183" s="7">
        <f>IF(N183="Différé total", C183+D183, IF(N183="Intérêts seuls", C183, C183-E183))</f>
        <v>0</v>
      </c>
      <c r="M183" s="7">
        <f>IF(175=Nmois, FVballon, 0)</f>
        <v>0</v>
      </c>
      <c r="N183">
        <f>IF(175&lt;=DiffN, IF(DiffMode="Total (capitalisation)","Différé total","Intérêts seuls"), "Amortissement")</f>
        <v>0</v>
      </c>
    </row>
    <row r="184" spans="2:14">
      <c r="B184" s="11">
        <v>176</v>
      </c>
      <c r="C184" s="6">
        <f>EDATE(Date0,176)</f>
        <v>0</v>
      </c>
      <c r="D184" s="7">
        <f>K183</f>
        <v>0</v>
      </c>
      <c r="E184" s="7">
        <f>C184*i</f>
        <v>0</v>
      </c>
      <c r="F184" s="7">
        <f>IF(N184="Amortissement", F184-D184, 0)</f>
        <v>0</v>
      </c>
      <c r="G184" s="7">
        <f>IF(176&lt;=DiffN, IF(DiffMode="Total (capitalisation)", 0, D184), PMTnom)</f>
        <v>0</v>
      </c>
      <c r="H184" s="7">
        <f>IF(AssType="Sur capital initial (%)", AssTau/12*PNom, IF(AssType="Sur CRD (%)", AssTau/12*C184, IF(AssType="Montant fixe/mois", AssFixe, 0)))</f>
        <v>0</v>
      </c>
      <c r="I184" s="7">
        <f>FraisRec</f>
        <v>0</v>
      </c>
      <c r="J184" s="7">
        <f>F184+G184+H184</f>
        <v>0</v>
      </c>
      <c r="K184" s="7">
        <f>-(I184+L184)</f>
        <v>0</v>
      </c>
      <c r="L184" s="7">
        <f>IF(N184="Différé total", C184+D184, IF(N184="Intérêts seuls", C184, C184-E184))</f>
        <v>0</v>
      </c>
      <c r="M184" s="7">
        <f>IF(176=Nmois, FVballon, 0)</f>
        <v>0</v>
      </c>
      <c r="N184">
        <f>IF(176&lt;=DiffN, IF(DiffMode="Total (capitalisation)","Différé total","Intérêts seuls"), "Amortissement")</f>
        <v>0</v>
      </c>
    </row>
    <row r="185" spans="2:14">
      <c r="B185" s="4">
        <v>177</v>
      </c>
      <c r="C185" s="6">
        <f>EDATE(Date0,177)</f>
        <v>0</v>
      </c>
      <c r="D185" s="7">
        <f>K184</f>
        <v>0</v>
      </c>
      <c r="E185" s="7">
        <f>C185*i</f>
        <v>0</v>
      </c>
      <c r="F185" s="7">
        <f>IF(N185="Amortissement", F185-D185, 0)</f>
        <v>0</v>
      </c>
      <c r="G185" s="7">
        <f>IF(177&lt;=DiffN, IF(DiffMode="Total (capitalisation)", 0, D185), PMTnom)</f>
        <v>0</v>
      </c>
      <c r="H185" s="7">
        <f>IF(AssType="Sur capital initial (%)", AssTau/12*PNom, IF(AssType="Sur CRD (%)", AssTau/12*C185, IF(AssType="Montant fixe/mois", AssFixe, 0)))</f>
        <v>0</v>
      </c>
      <c r="I185" s="7">
        <f>FraisRec</f>
        <v>0</v>
      </c>
      <c r="J185" s="7">
        <f>F185+G185+H185</f>
        <v>0</v>
      </c>
      <c r="K185" s="7">
        <f>-(I185+L185)</f>
        <v>0</v>
      </c>
      <c r="L185" s="7">
        <f>IF(N185="Différé total", C185+D185, IF(N185="Intérêts seuls", C185, C185-E185))</f>
        <v>0</v>
      </c>
      <c r="M185" s="7">
        <f>IF(177=Nmois, FVballon, 0)</f>
        <v>0</v>
      </c>
      <c r="N185">
        <f>IF(177&lt;=DiffN, IF(DiffMode="Total (capitalisation)","Différé total","Intérêts seuls"), "Amortissement")</f>
        <v>0</v>
      </c>
    </row>
    <row r="186" spans="2:14">
      <c r="B186" s="11">
        <v>178</v>
      </c>
      <c r="C186" s="6">
        <f>EDATE(Date0,178)</f>
        <v>0</v>
      </c>
      <c r="D186" s="7">
        <f>K185</f>
        <v>0</v>
      </c>
      <c r="E186" s="7">
        <f>C186*i</f>
        <v>0</v>
      </c>
      <c r="F186" s="7">
        <f>IF(N186="Amortissement", F186-D186, 0)</f>
        <v>0</v>
      </c>
      <c r="G186" s="7">
        <f>IF(178&lt;=DiffN, IF(DiffMode="Total (capitalisation)", 0, D186), PMTnom)</f>
        <v>0</v>
      </c>
      <c r="H186" s="7">
        <f>IF(AssType="Sur capital initial (%)", AssTau/12*PNom, IF(AssType="Sur CRD (%)", AssTau/12*C186, IF(AssType="Montant fixe/mois", AssFixe, 0)))</f>
        <v>0</v>
      </c>
      <c r="I186" s="7">
        <f>FraisRec</f>
        <v>0</v>
      </c>
      <c r="J186" s="7">
        <f>F186+G186+H186</f>
        <v>0</v>
      </c>
      <c r="K186" s="7">
        <f>-(I186+L186)</f>
        <v>0</v>
      </c>
      <c r="L186" s="7">
        <f>IF(N186="Différé total", C186+D186, IF(N186="Intérêts seuls", C186, C186-E186))</f>
        <v>0</v>
      </c>
      <c r="M186" s="7">
        <f>IF(178=Nmois, FVballon, 0)</f>
        <v>0</v>
      </c>
      <c r="N186">
        <f>IF(178&lt;=DiffN, IF(DiffMode="Total (capitalisation)","Différé total","Intérêts seuls"), "Amortissement")</f>
        <v>0</v>
      </c>
    </row>
    <row r="187" spans="2:14">
      <c r="B187" s="4">
        <v>179</v>
      </c>
      <c r="C187" s="6">
        <f>EDATE(Date0,179)</f>
        <v>0</v>
      </c>
      <c r="D187" s="7">
        <f>K186</f>
        <v>0</v>
      </c>
      <c r="E187" s="7">
        <f>C187*i</f>
        <v>0</v>
      </c>
      <c r="F187" s="7">
        <f>IF(N187="Amortissement", F187-D187, 0)</f>
        <v>0</v>
      </c>
      <c r="G187" s="7">
        <f>IF(179&lt;=DiffN, IF(DiffMode="Total (capitalisation)", 0, D187), PMTnom)</f>
        <v>0</v>
      </c>
      <c r="H187" s="7">
        <f>IF(AssType="Sur capital initial (%)", AssTau/12*PNom, IF(AssType="Sur CRD (%)", AssTau/12*C187, IF(AssType="Montant fixe/mois", AssFixe, 0)))</f>
        <v>0</v>
      </c>
      <c r="I187" s="7">
        <f>FraisRec</f>
        <v>0</v>
      </c>
      <c r="J187" s="7">
        <f>F187+G187+H187</f>
        <v>0</v>
      </c>
      <c r="K187" s="7">
        <f>-(I187+L187)</f>
        <v>0</v>
      </c>
      <c r="L187" s="7">
        <f>IF(N187="Différé total", C187+D187, IF(N187="Intérêts seuls", C187, C187-E187))</f>
        <v>0</v>
      </c>
      <c r="M187" s="7">
        <f>IF(179=Nmois, FVballon, 0)</f>
        <v>0</v>
      </c>
      <c r="N187">
        <f>IF(179&lt;=DiffN, IF(DiffMode="Total (capitalisation)","Différé total","Intérêts seuls"), "Amortissement")</f>
        <v>0</v>
      </c>
    </row>
    <row r="188" spans="2:14">
      <c r="B188" s="11">
        <v>180</v>
      </c>
      <c r="C188" s="6">
        <f>EDATE(Date0,180)</f>
        <v>0</v>
      </c>
      <c r="D188" s="7">
        <f>K187</f>
        <v>0</v>
      </c>
      <c r="E188" s="7">
        <f>C188*i</f>
        <v>0</v>
      </c>
      <c r="F188" s="7">
        <f>IF(N188="Amortissement", F188-D188, 0)</f>
        <v>0</v>
      </c>
      <c r="G188" s="7">
        <f>IF(180&lt;=DiffN, IF(DiffMode="Total (capitalisation)", 0, D188), PMTnom)</f>
        <v>0</v>
      </c>
      <c r="H188" s="7">
        <f>IF(AssType="Sur capital initial (%)", AssTau/12*PNom, IF(AssType="Sur CRD (%)", AssTau/12*C188, IF(AssType="Montant fixe/mois", AssFixe, 0)))</f>
        <v>0</v>
      </c>
      <c r="I188" s="7">
        <f>FraisRec</f>
        <v>0</v>
      </c>
      <c r="J188" s="7">
        <f>F188+G188+H188</f>
        <v>0</v>
      </c>
      <c r="K188" s="7">
        <f>-(I188+L188)</f>
        <v>0</v>
      </c>
      <c r="L188" s="7">
        <f>IF(N188="Différé total", C188+D188, IF(N188="Intérêts seuls", C188, C188-E188))</f>
        <v>0</v>
      </c>
      <c r="M188" s="7">
        <f>IF(180=Nmois, FVballon, 0)</f>
        <v>0</v>
      </c>
      <c r="N188">
        <f>IF(180&lt;=DiffN, IF(DiffMode="Total (capitalisation)","Différé total","Intérêts seuls"), "Amortissement")</f>
        <v>0</v>
      </c>
    </row>
    <row r="189" spans="2:14">
      <c r="B189" s="4">
        <v>181</v>
      </c>
      <c r="C189" s="6">
        <f>EDATE(Date0,181)</f>
        <v>0</v>
      </c>
      <c r="D189" s="7">
        <f>K188</f>
        <v>0</v>
      </c>
      <c r="E189" s="7">
        <f>C189*i</f>
        <v>0</v>
      </c>
      <c r="F189" s="7">
        <f>IF(N189="Amortissement", F189-D189, 0)</f>
        <v>0</v>
      </c>
      <c r="G189" s="7">
        <f>IF(181&lt;=DiffN, IF(DiffMode="Total (capitalisation)", 0, D189), PMTnom)</f>
        <v>0</v>
      </c>
      <c r="H189" s="7">
        <f>IF(AssType="Sur capital initial (%)", AssTau/12*PNom, IF(AssType="Sur CRD (%)", AssTau/12*C189, IF(AssType="Montant fixe/mois", AssFixe, 0)))</f>
        <v>0</v>
      </c>
      <c r="I189" s="7">
        <f>FraisRec</f>
        <v>0</v>
      </c>
      <c r="J189" s="7">
        <f>F189+G189+H189</f>
        <v>0</v>
      </c>
      <c r="K189" s="7">
        <f>-(I189+L189)</f>
        <v>0</v>
      </c>
      <c r="L189" s="7">
        <f>IF(N189="Différé total", C189+D189, IF(N189="Intérêts seuls", C189, C189-E189))</f>
        <v>0</v>
      </c>
      <c r="M189" s="7">
        <f>IF(181=Nmois, FVballon, 0)</f>
        <v>0</v>
      </c>
      <c r="N189">
        <f>IF(181&lt;=DiffN, IF(DiffMode="Total (capitalisation)","Différé total","Intérêts seuls"), "Amortissement")</f>
        <v>0</v>
      </c>
    </row>
    <row r="190" spans="2:14">
      <c r="B190" s="11">
        <v>182</v>
      </c>
      <c r="C190" s="6">
        <f>EDATE(Date0,182)</f>
        <v>0</v>
      </c>
      <c r="D190" s="7">
        <f>K189</f>
        <v>0</v>
      </c>
      <c r="E190" s="7">
        <f>C190*i</f>
        <v>0</v>
      </c>
      <c r="F190" s="7">
        <f>IF(N190="Amortissement", F190-D190, 0)</f>
        <v>0</v>
      </c>
      <c r="G190" s="7">
        <f>IF(182&lt;=DiffN, IF(DiffMode="Total (capitalisation)", 0, D190), PMTnom)</f>
        <v>0</v>
      </c>
      <c r="H190" s="7">
        <f>IF(AssType="Sur capital initial (%)", AssTau/12*PNom, IF(AssType="Sur CRD (%)", AssTau/12*C190, IF(AssType="Montant fixe/mois", AssFixe, 0)))</f>
        <v>0</v>
      </c>
      <c r="I190" s="7">
        <f>FraisRec</f>
        <v>0</v>
      </c>
      <c r="J190" s="7">
        <f>F190+G190+H190</f>
        <v>0</v>
      </c>
      <c r="K190" s="7">
        <f>-(I190+L190)</f>
        <v>0</v>
      </c>
      <c r="L190" s="7">
        <f>IF(N190="Différé total", C190+D190, IF(N190="Intérêts seuls", C190, C190-E190))</f>
        <v>0</v>
      </c>
      <c r="M190" s="7">
        <f>IF(182=Nmois, FVballon, 0)</f>
        <v>0</v>
      </c>
      <c r="N190">
        <f>IF(182&lt;=DiffN, IF(DiffMode="Total (capitalisation)","Différé total","Intérêts seuls"), "Amortissement")</f>
        <v>0</v>
      </c>
    </row>
    <row r="191" spans="2:14">
      <c r="B191" s="4">
        <v>183</v>
      </c>
      <c r="C191" s="6">
        <f>EDATE(Date0,183)</f>
        <v>0</v>
      </c>
      <c r="D191" s="7">
        <f>K190</f>
        <v>0</v>
      </c>
      <c r="E191" s="7">
        <f>C191*i</f>
        <v>0</v>
      </c>
      <c r="F191" s="7">
        <f>IF(N191="Amortissement", F191-D191, 0)</f>
        <v>0</v>
      </c>
      <c r="G191" s="7">
        <f>IF(183&lt;=DiffN, IF(DiffMode="Total (capitalisation)", 0, D191), PMTnom)</f>
        <v>0</v>
      </c>
      <c r="H191" s="7">
        <f>IF(AssType="Sur capital initial (%)", AssTau/12*PNom, IF(AssType="Sur CRD (%)", AssTau/12*C191, IF(AssType="Montant fixe/mois", AssFixe, 0)))</f>
        <v>0</v>
      </c>
      <c r="I191" s="7">
        <f>FraisRec</f>
        <v>0</v>
      </c>
      <c r="J191" s="7">
        <f>F191+G191+H191</f>
        <v>0</v>
      </c>
      <c r="K191" s="7">
        <f>-(I191+L191)</f>
        <v>0</v>
      </c>
      <c r="L191" s="7">
        <f>IF(N191="Différé total", C191+D191, IF(N191="Intérêts seuls", C191, C191-E191))</f>
        <v>0</v>
      </c>
      <c r="M191" s="7">
        <f>IF(183=Nmois, FVballon, 0)</f>
        <v>0</v>
      </c>
      <c r="N191">
        <f>IF(183&lt;=DiffN, IF(DiffMode="Total (capitalisation)","Différé total","Intérêts seuls"), "Amortissement")</f>
        <v>0</v>
      </c>
    </row>
    <row r="192" spans="2:14">
      <c r="B192" s="11">
        <v>184</v>
      </c>
      <c r="C192" s="6">
        <f>EDATE(Date0,184)</f>
        <v>0</v>
      </c>
      <c r="D192" s="7">
        <f>K191</f>
        <v>0</v>
      </c>
      <c r="E192" s="7">
        <f>C192*i</f>
        <v>0</v>
      </c>
      <c r="F192" s="7">
        <f>IF(N192="Amortissement", F192-D192, 0)</f>
        <v>0</v>
      </c>
      <c r="G192" s="7">
        <f>IF(184&lt;=DiffN, IF(DiffMode="Total (capitalisation)", 0, D192), PMTnom)</f>
        <v>0</v>
      </c>
      <c r="H192" s="7">
        <f>IF(AssType="Sur capital initial (%)", AssTau/12*PNom, IF(AssType="Sur CRD (%)", AssTau/12*C192, IF(AssType="Montant fixe/mois", AssFixe, 0)))</f>
        <v>0</v>
      </c>
      <c r="I192" s="7">
        <f>FraisRec</f>
        <v>0</v>
      </c>
      <c r="J192" s="7">
        <f>F192+G192+H192</f>
        <v>0</v>
      </c>
      <c r="K192" s="7">
        <f>-(I192+L192)</f>
        <v>0</v>
      </c>
      <c r="L192" s="7">
        <f>IF(N192="Différé total", C192+D192, IF(N192="Intérêts seuls", C192, C192-E192))</f>
        <v>0</v>
      </c>
      <c r="M192" s="7">
        <f>IF(184=Nmois, FVballon, 0)</f>
        <v>0</v>
      </c>
      <c r="N192">
        <f>IF(184&lt;=DiffN, IF(DiffMode="Total (capitalisation)","Différé total","Intérêts seuls"), "Amortissement")</f>
        <v>0</v>
      </c>
    </row>
    <row r="193" spans="2:14">
      <c r="B193" s="4">
        <v>185</v>
      </c>
      <c r="C193" s="6">
        <f>EDATE(Date0,185)</f>
        <v>0</v>
      </c>
      <c r="D193" s="7">
        <f>K192</f>
        <v>0</v>
      </c>
      <c r="E193" s="7">
        <f>C193*i</f>
        <v>0</v>
      </c>
      <c r="F193" s="7">
        <f>IF(N193="Amortissement", F193-D193, 0)</f>
        <v>0</v>
      </c>
      <c r="G193" s="7">
        <f>IF(185&lt;=DiffN, IF(DiffMode="Total (capitalisation)", 0, D193), PMTnom)</f>
        <v>0</v>
      </c>
      <c r="H193" s="7">
        <f>IF(AssType="Sur capital initial (%)", AssTau/12*PNom, IF(AssType="Sur CRD (%)", AssTau/12*C193, IF(AssType="Montant fixe/mois", AssFixe, 0)))</f>
        <v>0</v>
      </c>
      <c r="I193" s="7">
        <f>FraisRec</f>
        <v>0</v>
      </c>
      <c r="J193" s="7">
        <f>F193+G193+H193</f>
        <v>0</v>
      </c>
      <c r="K193" s="7">
        <f>-(I193+L193)</f>
        <v>0</v>
      </c>
      <c r="L193" s="7">
        <f>IF(N193="Différé total", C193+D193, IF(N193="Intérêts seuls", C193, C193-E193))</f>
        <v>0</v>
      </c>
      <c r="M193" s="7">
        <f>IF(185=Nmois, FVballon, 0)</f>
        <v>0</v>
      </c>
      <c r="N193">
        <f>IF(185&lt;=DiffN, IF(DiffMode="Total (capitalisation)","Différé total","Intérêts seuls"), "Amortissement")</f>
        <v>0</v>
      </c>
    </row>
    <row r="194" spans="2:14">
      <c r="B194" s="11">
        <v>186</v>
      </c>
      <c r="C194" s="6">
        <f>EDATE(Date0,186)</f>
        <v>0</v>
      </c>
      <c r="D194" s="7">
        <f>K193</f>
        <v>0</v>
      </c>
      <c r="E194" s="7">
        <f>C194*i</f>
        <v>0</v>
      </c>
      <c r="F194" s="7">
        <f>IF(N194="Amortissement", F194-D194, 0)</f>
        <v>0</v>
      </c>
      <c r="G194" s="7">
        <f>IF(186&lt;=DiffN, IF(DiffMode="Total (capitalisation)", 0, D194), PMTnom)</f>
        <v>0</v>
      </c>
      <c r="H194" s="7">
        <f>IF(AssType="Sur capital initial (%)", AssTau/12*PNom, IF(AssType="Sur CRD (%)", AssTau/12*C194, IF(AssType="Montant fixe/mois", AssFixe, 0)))</f>
        <v>0</v>
      </c>
      <c r="I194" s="7">
        <f>FraisRec</f>
        <v>0</v>
      </c>
      <c r="J194" s="7">
        <f>F194+G194+H194</f>
        <v>0</v>
      </c>
      <c r="K194" s="7">
        <f>-(I194+L194)</f>
        <v>0</v>
      </c>
      <c r="L194" s="7">
        <f>IF(N194="Différé total", C194+D194, IF(N194="Intérêts seuls", C194, C194-E194))</f>
        <v>0</v>
      </c>
      <c r="M194" s="7">
        <f>IF(186=Nmois, FVballon, 0)</f>
        <v>0</v>
      </c>
      <c r="N194">
        <f>IF(186&lt;=DiffN, IF(DiffMode="Total (capitalisation)","Différé total","Intérêts seuls"), "Amortissement")</f>
        <v>0</v>
      </c>
    </row>
    <row r="195" spans="2:14">
      <c r="B195" s="4">
        <v>187</v>
      </c>
      <c r="C195" s="6">
        <f>EDATE(Date0,187)</f>
        <v>0</v>
      </c>
      <c r="D195" s="7">
        <f>K194</f>
        <v>0</v>
      </c>
      <c r="E195" s="7">
        <f>C195*i</f>
        <v>0</v>
      </c>
      <c r="F195" s="7">
        <f>IF(N195="Amortissement", F195-D195, 0)</f>
        <v>0</v>
      </c>
      <c r="G195" s="7">
        <f>IF(187&lt;=DiffN, IF(DiffMode="Total (capitalisation)", 0, D195), PMTnom)</f>
        <v>0</v>
      </c>
      <c r="H195" s="7">
        <f>IF(AssType="Sur capital initial (%)", AssTau/12*PNom, IF(AssType="Sur CRD (%)", AssTau/12*C195, IF(AssType="Montant fixe/mois", AssFixe, 0)))</f>
        <v>0</v>
      </c>
      <c r="I195" s="7">
        <f>FraisRec</f>
        <v>0</v>
      </c>
      <c r="J195" s="7">
        <f>F195+G195+H195</f>
        <v>0</v>
      </c>
      <c r="K195" s="7">
        <f>-(I195+L195)</f>
        <v>0</v>
      </c>
      <c r="L195" s="7">
        <f>IF(N195="Différé total", C195+D195, IF(N195="Intérêts seuls", C195, C195-E195))</f>
        <v>0</v>
      </c>
      <c r="M195" s="7">
        <f>IF(187=Nmois, FVballon, 0)</f>
        <v>0</v>
      </c>
      <c r="N195">
        <f>IF(187&lt;=DiffN, IF(DiffMode="Total (capitalisation)","Différé total","Intérêts seuls"), "Amortissement")</f>
        <v>0</v>
      </c>
    </row>
    <row r="196" spans="2:14">
      <c r="B196" s="11">
        <v>188</v>
      </c>
      <c r="C196" s="6">
        <f>EDATE(Date0,188)</f>
        <v>0</v>
      </c>
      <c r="D196" s="7">
        <f>K195</f>
        <v>0</v>
      </c>
      <c r="E196" s="7">
        <f>C196*i</f>
        <v>0</v>
      </c>
      <c r="F196" s="7">
        <f>IF(N196="Amortissement", F196-D196, 0)</f>
        <v>0</v>
      </c>
      <c r="G196" s="7">
        <f>IF(188&lt;=DiffN, IF(DiffMode="Total (capitalisation)", 0, D196), PMTnom)</f>
        <v>0</v>
      </c>
      <c r="H196" s="7">
        <f>IF(AssType="Sur capital initial (%)", AssTau/12*PNom, IF(AssType="Sur CRD (%)", AssTau/12*C196, IF(AssType="Montant fixe/mois", AssFixe, 0)))</f>
        <v>0</v>
      </c>
      <c r="I196" s="7">
        <f>FraisRec</f>
        <v>0</v>
      </c>
      <c r="J196" s="7">
        <f>F196+G196+H196</f>
        <v>0</v>
      </c>
      <c r="K196" s="7">
        <f>-(I196+L196)</f>
        <v>0</v>
      </c>
      <c r="L196" s="7">
        <f>IF(N196="Différé total", C196+D196, IF(N196="Intérêts seuls", C196, C196-E196))</f>
        <v>0</v>
      </c>
      <c r="M196" s="7">
        <f>IF(188=Nmois, FVballon, 0)</f>
        <v>0</v>
      </c>
      <c r="N196">
        <f>IF(188&lt;=DiffN, IF(DiffMode="Total (capitalisation)","Différé total","Intérêts seuls"), "Amortissement")</f>
        <v>0</v>
      </c>
    </row>
    <row r="197" spans="2:14">
      <c r="B197" s="4">
        <v>189</v>
      </c>
      <c r="C197" s="6">
        <f>EDATE(Date0,189)</f>
        <v>0</v>
      </c>
      <c r="D197" s="7">
        <f>K196</f>
        <v>0</v>
      </c>
      <c r="E197" s="7">
        <f>C197*i</f>
        <v>0</v>
      </c>
      <c r="F197" s="7">
        <f>IF(N197="Amortissement", F197-D197, 0)</f>
        <v>0</v>
      </c>
      <c r="G197" s="7">
        <f>IF(189&lt;=DiffN, IF(DiffMode="Total (capitalisation)", 0, D197), PMTnom)</f>
        <v>0</v>
      </c>
      <c r="H197" s="7">
        <f>IF(AssType="Sur capital initial (%)", AssTau/12*PNom, IF(AssType="Sur CRD (%)", AssTau/12*C197, IF(AssType="Montant fixe/mois", AssFixe, 0)))</f>
        <v>0</v>
      </c>
      <c r="I197" s="7">
        <f>FraisRec</f>
        <v>0</v>
      </c>
      <c r="J197" s="7">
        <f>F197+G197+H197</f>
        <v>0</v>
      </c>
      <c r="K197" s="7">
        <f>-(I197+L197)</f>
        <v>0</v>
      </c>
      <c r="L197" s="7">
        <f>IF(N197="Différé total", C197+D197, IF(N197="Intérêts seuls", C197, C197-E197))</f>
        <v>0</v>
      </c>
      <c r="M197" s="7">
        <f>IF(189=Nmois, FVballon, 0)</f>
        <v>0</v>
      </c>
      <c r="N197">
        <f>IF(189&lt;=DiffN, IF(DiffMode="Total (capitalisation)","Différé total","Intérêts seuls"), "Amortissement")</f>
        <v>0</v>
      </c>
    </row>
    <row r="198" spans="2:14">
      <c r="B198" s="11">
        <v>190</v>
      </c>
      <c r="C198" s="6">
        <f>EDATE(Date0,190)</f>
        <v>0</v>
      </c>
      <c r="D198" s="7">
        <f>K197</f>
        <v>0</v>
      </c>
      <c r="E198" s="7">
        <f>C198*i</f>
        <v>0</v>
      </c>
      <c r="F198" s="7">
        <f>IF(N198="Amortissement", F198-D198, 0)</f>
        <v>0</v>
      </c>
      <c r="G198" s="7">
        <f>IF(190&lt;=DiffN, IF(DiffMode="Total (capitalisation)", 0, D198), PMTnom)</f>
        <v>0</v>
      </c>
      <c r="H198" s="7">
        <f>IF(AssType="Sur capital initial (%)", AssTau/12*PNom, IF(AssType="Sur CRD (%)", AssTau/12*C198, IF(AssType="Montant fixe/mois", AssFixe, 0)))</f>
        <v>0</v>
      </c>
      <c r="I198" s="7">
        <f>FraisRec</f>
        <v>0</v>
      </c>
      <c r="J198" s="7">
        <f>F198+G198+H198</f>
        <v>0</v>
      </c>
      <c r="K198" s="7">
        <f>-(I198+L198)</f>
        <v>0</v>
      </c>
      <c r="L198" s="7">
        <f>IF(N198="Différé total", C198+D198, IF(N198="Intérêts seuls", C198, C198-E198))</f>
        <v>0</v>
      </c>
      <c r="M198" s="7">
        <f>IF(190=Nmois, FVballon, 0)</f>
        <v>0</v>
      </c>
      <c r="N198">
        <f>IF(190&lt;=DiffN, IF(DiffMode="Total (capitalisation)","Différé total","Intérêts seuls"), "Amortissement")</f>
        <v>0</v>
      </c>
    </row>
    <row r="199" spans="2:14">
      <c r="B199" s="4">
        <v>191</v>
      </c>
      <c r="C199" s="6">
        <f>EDATE(Date0,191)</f>
        <v>0</v>
      </c>
      <c r="D199" s="7">
        <f>K198</f>
        <v>0</v>
      </c>
      <c r="E199" s="7">
        <f>C199*i</f>
        <v>0</v>
      </c>
      <c r="F199" s="7">
        <f>IF(N199="Amortissement", F199-D199, 0)</f>
        <v>0</v>
      </c>
      <c r="G199" s="7">
        <f>IF(191&lt;=DiffN, IF(DiffMode="Total (capitalisation)", 0, D199), PMTnom)</f>
        <v>0</v>
      </c>
      <c r="H199" s="7">
        <f>IF(AssType="Sur capital initial (%)", AssTau/12*PNom, IF(AssType="Sur CRD (%)", AssTau/12*C199, IF(AssType="Montant fixe/mois", AssFixe, 0)))</f>
        <v>0</v>
      </c>
      <c r="I199" s="7">
        <f>FraisRec</f>
        <v>0</v>
      </c>
      <c r="J199" s="7">
        <f>F199+G199+H199</f>
        <v>0</v>
      </c>
      <c r="K199" s="7">
        <f>-(I199+L199)</f>
        <v>0</v>
      </c>
      <c r="L199" s="7">
        <f>IF(N199="Différé total", C199+D199, IF(N199="Intérêts seuls", C199, C199-E199))</f>
        <v>0</v>
      </c>
      <c r="M199" s="7">
        <f>IF(191=Nmois, FVballon, 0)</f>
        <v>0</v>
      </c>
      <c r="N199">
        <f>IF(191&lt;=DiffN, IF(DiffMode="Total (capitalisation)","Différé total","Intérêts seuls"), "Amortissement")</f>
        <v>0</v>
      </c>
    </row>
    <row r="200" spans="2:14">
      <c r="B200" s="11">
        <v>192</v>
      </c>
      <c r="C200" s="6">
        <f>EDATE(Date0,192)</f>
        <v>0</v>
      </c>
      <c r="D200" s="7">
        <f>K199</f>
        <v>0</v>
      </c>
      <c r="E200" s="7">
        <f>C200*i</f>
        <v>0</v>
      </c>
      <c r="F200" s="7">
        <f>IF(N200="Amortissement", F200-D200, 0)</f>
        <v>0</v>
      </c>
      <c r="G200" s="7">
        <f>IF(192&lt;=DiffN, IF(DiffMode="Total (capitalisation)", 0, D200), PMTnom)</f>
        <v>0</v>
      </c>
      <c r="H200" s="7">
        <f>IF(AssType="Sur capital initial (%)", AssTau/12*PNom, IF(AssType="Sur CRD (%)", AssTau/12*C200, IF(AssType="Montant fixe/mois", AssFixe, 0)))</f>
        <v>0</v>
      </c>
      <c r="I200" s="7">
        <f>FraisRec</f>
        <v>0</v>
      </c>
      <c r="J200" s="7">
        <f>F200+G200+H200</f>
        <v>0</v>
      </c>
      <c r="K200" s="7">
        <f>-(I200+L200)</f>
        <v>0</v>
      </c>
      <c r="L200" s="7">
        <f>IF(N200="Différé total", C200+D200, IF(N200="Intérêts seuls", C200, C200-E200))</f>
        <v>0</v>
      </c>
      <c r="M200" s="7">
        <f>IF(192=Nmois, FVballon, 0)</f>
        <v>0</v>
      </c>
      <c r="N200">
        <f>IF(192&lt;=DiffN, IF(DiffMode="Total (capitalisation)","Différé total","Intérêts seuls"), "Amortissement")</f>
        <v>0</v>
      </c>
    </row>
    <row r="201" spans="2:14">
      <c r="B201" s="4">
        <v>193</v>
      </c>
      <c r="C201" s="6">
        <f>EDATE(Date0,193)</f>
        <v>0</v>
      </c>
      <c r="D201" s="7">
        <f>K200</f>
        <v>0</v>
      </c>
      <c r="E201" s="7">
        <f>C201*i</f>
        <v>0</v>
      </c>
      <c r="F201" s="7">
        <f>IF(N201="Amortissement", F201-D201, 0)</f>
        <v>0</v>
      </c>
      <c r="G201" s="7">
        <f>IF(193&lt;=DiffN, IF(DiffMode="Total (capitalisation)", 0, D201), PMTnom)</f>
        <v>0</v>
      </c>
      <c r="H201" s="7">
        <f>IF(AssType="Sur capital initial (%)", AssTau/12*PNom, IF(AssType="Sur CRD (%)", AssTau/12*C201, IF(AssType="Montant fixe/mois", AssFixe, 0)))</f>
        <v>0</v>
      </c>
      <c r="I201" s="7">
        <f>FraisRec</f>
        <v>0</v>
      </c>
      <c r="J201" s="7">
        <f>F201+G201+H201</f>
        <v>0</v>
      </c>
      <c r="K201" s="7">
        <f>-(I201+L201)</f>
        <v>0</v>
      </c>
      <c r="L201" s="7">
        <f>IF(N201="Différé total", C201+D201, IF(N201="Intérêts seuls", C201, C201-E201))</f>
        <v>0</v>
      </c>
      <c r="M201" s="7">
        <f>IF(193=Nmois, FVballon, 0)</f>
        <v>0</v>
      </c>
      <c r="N201">
        <f>IF(193&lt;=DiffN, IF(DiffMode="Total (capitalisation)","Différé total","Intérêts seuls"), "Amortissement")</f>
        <v>0</v>
      </c>
    </row>
    <row r="202" spans="2:14">
      <c r="B202" s="11">
        <v>194</v>
      </c>
      <c r="C202" s="6">
        <f>EDATE(Date0,194)</f>
        <v>0</v>
      </c>
      <c r="D202" s="7">
        <f>K201</f>
        <v>0</v>
      </c>
      <c r="E202" s="7">
        <f>C202*i</f>
        <v>0</v>
      </c>
      <c r="F202" s="7">
        <f>IF(N202="Amortissement", F202-D202, 0)</f>
        <v>0</v>
      </c>
      <c r="G202" s="7">
        <f>IF(194&lt;=DiffN, IF(DiffMode="Total (capitalisation)", 0, D202), PMTnom)</f>
        <v>0</v>
      </c>
      <c r="H202" s="7">
        <f>IF(AssType="Sur capital initial (%)", AssTau/12*PNom, IF(AssType="Sur CRD (%)", AssTau/12*C202, IF(AssType="Montant fixe/mois", AssFixe, 0)))</f>
        <v>0</v>
      </c>
      <c r="I202" s="7">
        <f>FraisRec</f>
        <v>0</v>
      </c>
      <c r="J202" s="7">
        <f>F202+G202+H202</f>
        <v>0</v>
      </c>
      <c r="K202" s="7">
        <f>-(I202+L202)</f>
        <v>0</v>
      </c>
      <c r="L202" s="7">
        <f>IF(N202="Différé total", C202+D202, IF(N202="Intérêts seuls", C202, C202-E202))</f>
        <v>0</v>
      </c>
      <c r="M202" s="7">
        <f>IF(194=Nmois, FVballon, 0)</f>
        <v>0</v>
      </c>
      <c r="N202">
        <f>IF(194&lt;=DiffN, IF(DiffMode="Total (capitalisation)","Différé total","Intérêts seuls"), "Amortissement")</f>
        <v>0</v>
      </c>
    </row>
    <row r="203" spans="2:14">
      <c r="B203" s="4">
        <v>195</v>
      </c>
      <c r="C203" s="6">
        <f>EDATE(Date0,195)</f>
        <v>0</v>
      </c>
      <c r="D203" s="7">
        <f>K202</f>
        <v>0</v>
      </c>
      <c r="E203" s="7">
        <f>C203*i</f>
        <v>0</v>
      </c>
      <c r="F203" s="7">
        <f>IF(N203="Amortissement", F203-D203, 0)</f>
        <v>0</v>
      </c>
      <c r="G203" s="7">
        <f>IF(195&lt;=DiffN, IF(DiffMode="Total (capitalisation)", 0, D203), PMTnom)</f>
        <v>0</v>
      </c>
      <c r="H203" s="7">
        <f>IF(AssType="Sur capital initial (%)", AssTau/12*PNom, IF(AssType="Sur CRD (%)", AssTau/12*C203, IF(AssType="Montant fixe/mois", AssFixe, 0)))</f>
        <v>0</v>
      </c>
      <c r="I203" s="7">
        <f>FraisRec</f>
        <v>0</v>
      </c>
      <c r="J203" s="7">
        <f>F203+G203+H203</f>
        <v>0</v>
      </c>
      <c r="K203" s="7">
        <f>-(I203+L203)</f>
        <v>0</v>
      </c>
      <c r="L203" s="7">
        <f>IF(N203="Différé total", C203+D203, IF(N203="Intérêts seuls", C203, C203-E203))</f>
        <v>0</v>
      </c>
      <c r="M203" s="7">
        <f>IF(195=Nmois, FVballon, 0)</f>
        <v>0</v>
      </c>
      <c r="N203">
        <f>IF(195&lt;=DiffN, IF(DiffMode="Total (capitalisation)","Différé total","Intérêts seuls"), "Amortissement")</f>
        <v>0</v>
      </c>
    </row>
    <row r="204" spans="2:14">
      <c r="B204" s="11">
        <v>196</v>
      </c>
      <c r="C204" s="6">
        <f>EDATE(Date0,196)</f>
        <v>0</v>
      </c>
      <c r="D204" s="7">
        <f>K203</f>
        <v>0</v>
      </c>
      <c r="E204" s="7">
        <f>C204*i</f>
        <v>0</v>
      </c>
      <c r="F204" s="7">
        <f>IF(N204="Amortissement", F204-D204, 0)</f>
        <v>0</v>
      </c>
      <c r="G204" s="7">
        <f>IF(196&lt;=DiffN, IF(DiffMode="Total (capitalisation)", 0, D204), PMTnom)</f>
        <v>0</v>
      </c>
      <c r="H204" s="7">
        <f>IF(AssType="Sur capital initial (%)", AssTau/12*PNom, IF(AssType="Sur CRD (%)", AssTau/12*C204, IF(AssType="Montant fixe/mois", AssFixe, 0)))</f>
        <v>0</v>
      </c>
      <c r="I204" s="7">
        <f>FraisRec</f>
        <v>0</v>
      </c>
      <c r="J204" s="7">
        <f>F204+G204+H204</f>
        <v>0</v>
      </c>
      <c r="K204" s="7">
        <f>-(I204+L204)</f>
        <v>0</v>
      </c>
      <c r="L204" s="7">
        <f>IF(N204="Différé total", C204+D204, IF(N204="Intérêts seuls", C204, C204-E204))</f>
        <v>0</v>
      </c>
      <c r="M204" s="7">
        <f>IF(196=Nmois, FVballon, 0)</f>
        <v>0</v>
      </c>
      <c r="N204">
        <f>IF(196&lt;=DiffN, IF(DiffMode="Total (capitalisation)","Différé total","Intérêts seuls"), "Amortissement")</f>
        <v>0</v>
      </c>
    </row>
    <row r="205" spans="2:14">
      <c r="B205" s="4">
        <v>197</v>
      </c>
      <c r="C205" s="6">
        <f>EDATE(Date0,197)</f>
        <v>0</v>
      </c>
      <c r="D205" s="7">
        <f>K204</f>
        <v>0</v>
      </c>
      <c r="E205" s="7">
        <f>C205*i</f>
        <v>0</v>
      </c>
      <c r="F205" s="7">
        <f>IF(N205="Amortissement", F205-D205, 0)</f>
        <v>0</v>
      </c>
      <c r="G205" s="7">
        <f>IF(197&lt;=DiffN, IF(DiffMode="Total (capitalisation)", 0, D205), PMTnom)</f>
        <v>0</v>
      </c>
      <c r="H205" s="7">
        <f>IF(AssType="Sur capital initial (%)", AssTau/12*PNom, IF(AssType="Sur CRD (%)", AssTau/12*C205, IF(AssType="Montant fixe/mois", AssFixe, 0)))</f>
        <v>0</v>
      </c>
      <c r="I205" s="7">
        <f>FraisRec</f>
        <v>0</v>
      </c>
      <c r="J205" s="7">
        <f>F205+G205+H205</f>
        <v>0</v>
      </c>
      <c r="K205" s="7">
        <f>-(I205+L205)</f>
        <v>0</v>
      </c>
      <c r="L205" s="7">
        <f>IF(N205="Différé total", C205+D205, IF(N205="Intérêts seuls", C205, C205-E205))</f>
        <v>0</v>
      </c>
      <c r="M205" s="7">
        <f>IF(197=Nmois, FVballon, 0)</f>
        <v>0</v>
      </c>
      <c r="N205">
        <f>IF(197&lt;=DiffN, IF(DiffMode="Total (capitalisation)","Différé total","Intérêts seuls"), "Amortissement")</f>
        <v>0</v>
      </c>
    </row>
    <row r="206" spans="2:14">
      <c r="B206" s="11">
        <v>198</v>
      </c>
      <c r="C206" s="6">
        <f>EDATE(Date0,198)</f>
        <v>0</v>
      </c>
      <c r="D206" s="7">
        <f>K205</f>
        <v>0</v>
      </c>
      <c r="E206" s="7">
        <f>C206*i</f>
        <v>0</v>
      </c>
      <c r="F206" s="7">
        <f>IF(N206="Amortissement", F206-D206, 0)</f>
        <v>0</v>
      </c>
      <c r="G206" s="7">
        <f>IF(198&lt;=DiffN, IF(DiffMode="Total (capitalisation)", 0, D206), PMTnom)</f>
        <v>0</v>
      </c>
      <c r="H206" s="7">
        <f>IF(AssType="Sur capital initial (%)", AssTau/12*PNom, IF(AssType="Sur CRD (%)", AssTau/12*C206, IF(AssType="Montant fixe/mois", AssFixe, 0)))</f>
        <v>0</v>
      </c>
      <c r="I206" s="7">
        <f>FraisRec</f>
        <v>0</v>
      </c>
      <c r="J206" s="7">
        <f>F206+G206+H206</f>
        <v>0</v>
      </c>
      <c r="K206" s="7">
        <f>-(I206+L206)</f>
        <v>0</v>
      </c>
      <c r="L206" s="7">
        <f>IF(N206="Différé total", C206+D206, IF(N206="Intérêts seuls", C206, C206-E206))</f>
        <v>0</v>
      </c>
      <c r="M206" s="7">
        <f>IF(198=Nmois, FVballon, 0)</f>
        <v>0</v>
      </c>
      <c r="N206">
        <f>IF(198&lt;=DiffN, IF(DiffMode="Total (capitalisation)","Différé total","Intérêts seuls"), "Amortissement")</f>
        <v>0</v>
      </c>
    </row>
    <row r="207" spans="2:14">
      <c r="B207" s="4">
        <v>199</v>
      </c>
      <c r="C207" s="6">
        <f>EDATE(Date0,199)</f>
        <v>0</v>
      </c>
      <c r="D207" s="7">
        <f>K206</f>
        <v>0</v>
      </c>
      <c r="E207" s="7">
        <f>C207*i</f>
        <v>0</v>
      </c>
      <c r="F207" s="7">
        <f>IF(N207="Amortissement", F207-D207, 0)</f>
        <v>0</v>
      </c>
      <c r="G207" s="7">
        <f>IF(199&lt;=DiffN, IF(DiffMode="Total (capitalisation)", 0, D207), PMTnom)</f>
        <v>0</v>
      </c>
      <c r="H207" s="7">
        <f>IF(AssType="Sur capital initial (%)", AssTau/12*PNom, IF(AssType="Sur CRD (%)", AssTau/12*C207, IF(AssType="Montant fixe/mois", AssFixe, 0)))</f>
        <v>0</v>
      </c>
      <c r="I207" s="7">
        <f>FraisRec</f>
        <v>0</v>
      </c>
      <c r="J207" s="7">
        <f>F207+G207+H207</f>
        <v>0</v>
      </c>
      <c r="K207" s="7">
        <f>-(I207+L207)</f>
        <v>0</v>
      </c>
      <c r="L207" s="7">
        <f>IF(N207="Différé total", C207+D207, IF(N207="Intérêts seuls", C207, C207-E207))</f>
        <v>0</v>
      </c>
      <c r="M207" s="7">
        <f>IF(199=Nmois, FVballon, 0)</f>
        <v>0</v>
      </c>
      <c r="N207">
        <f>IF(199&lt;=DiffN, IF(DiffMode="Total (capitalisation)","Différé total","Intérêts seuls"), "Amortissement")</f>
        <v>0</v>
      </c>
    </row>
    <row r="208" spans="2:14">
      <c r="B208" s="11">
        <v>200</v>
      </c>
      <c r="C208" s="6">
        <f>EDATE(Date0,200)</f>
        <v>0</v>
      </c>
      <c r="D208" s="7">
        <f>K207</f>
        <v>0</v>
      </c>
      <c r="E208" s="7">
        <f>C208*i</f>
        <v>0</v>
      </c>
      <c r="F208" s="7">
        <f>IF(N208="Amortissement", F208-D208, 0)</f>
        <v>0</v>
      </c>
      <c r="G208" s="7">
        <f>IF(200&lt;=DiffN, IF(DiffMode="Total (capitalisation)", 0, D208), PMTnom)</f>
        <v>0</v>
      </c>
      <c r="H208" s="7">
        <f>IF(AssType="Sur capital initial (%)", AssTau/12*PNom, IF(AssType="Sur CRD (%)", AssTau/12*C208, IF(AssType="Montant fixe/mois", AssFixe, 0)))</f>
        <v>0</v>
      </c>
      <c r="I208" s="7">
        <f>FraisRec</f>
        <v>0</v>
      </c>
      <c r="J208" s="7">
        <f>F208+G208+H208</f>
        <v>0</v>
      </c>
      <c r="K208" s="7">
        <f>-(I208+L208)</f>
        <v>0</v>
      </c>
      <c r="L208" s="7">
        <f>IF(N208="Différé total", C208+D208, IF(N208="Intérêts seuls", C208, C208-E208))</f>
        <v>0</v>
      </c>
      <c r="M208" s="7">
        <f>IF(200=Nmois, FVballon, 0)</f>
        <v>0</v>
      </c>
      <c r="N208">
        <f>IF(200&lt;=DiffN, IF(DiffMode="Total (capitalisation)","Différé total","Intérêts seuls"), "Amortissement")</f>
        <v>0</v>
      </c>
    </row>
    <row r="209" spans="2:14">
      <c r="B209" s="4">
        <v>201</v>
      </c>
      <c r="C209" s="6">
        <f>EDATE(Date0,201)</f>
        <v>0</v>
      </c>
      <c r="D209" s="7">
        <f>K208</f>
        <v>0</v>
      </c>
      <c r="E209" s="7">
        <f>C209*i</f>
        <v>0</v>
      </c>
      <c r="F209" s="7">
        <f>IF(N209="Amortissement", F209-D209, 0)</f>
        <v>0</v>
      </c>
      <c r="G209" s="7">
        <f>IF(201&lt;=DiffN, IF(DiffMode="Total (capitalisation)", 0, D209), PMTnom)</f>
        <v>0</v>
      </c>
      <c r="H209" s="7">
        <f>IF(AssType="Sur capital initial (%)", AssTau/12*PNom, IF(AssType="Sur CRD (%)", AssTau/12*C209, IF(AssType="Montant fixe/mois", AssFixe, 0)))</f>
        <v>0</v>
      </c>
      <c r="I209" s="7">
        <f>FraisRec</f>
        <v>0</v>
      </c>
      <c r="J209" s="7">
        <f>F209+G209+H209</f>
        <v>0</v>
      </c>
      <c r="K209" s="7">
        <f>-(I209+L209)</f>
        <v>0</v>
      </c>
      <c r="L209" s="7">
        <f>IF(N209="Différé total", C209+D209, IF(N209="Intérêts seuls", C209, C209-E209))</f>
        <v>0</v>
      </c>
      <c r="M209" s="7">
        <f>IF(201=Nmois, FVballon, 0)</f>
        <v>0</v>
      </c>
      <c r="N209">
        <f>IF(201&lt;=DiffN, IF(DiffMode="Total (capitalisation)","Différé total","Intérêts seuls"), "Amortissement")</f>
        <v>0</v>
      </c>
    </row>
    <row r="210" spans="2:14">
      <c r="B210" s="11">
        <v>202</v>
      </c>
      <c r="C210" s="6">
        <f>EDATE(Date0,202)</f>
        <v>0</v>
      </c>
      <c r="D210" s="7">
        <f>K209</f>
        <v>0</v>
      </c>
      <c r="E210" s="7">
        <f>C210*i</f>
        <v>0</v>
      </c>
      <c r="F210" s="7">
        <f>IF(N210="Amortissement", F210-D210, 0)</f>
        <v>0</v>
      </c>
      <c r="G210" s="7">
        <f>IF(202&lt;=DiffN, IF(DiffMode="Total (capitalisation)", 0, D210), PMTnom)</f>
        <v>0</v>
      </c>
      <c r="H210" s="7">
        <f>IF(AssType="Sur capital initial (%)", AssTau/12*PNom, IF(AssType="Sur CRD (%)", AssTau/12*C210, IF(AssType="Montant fixe/mois", AssFixe, 0)))</f>
        <v>0</v>
      </c>
      <c r="I210" s="7">
        <f>FraisRec</f>
        <v>0</v>
      </c>
      <c r="J210" s="7">
        <f>F210+G210+H210</f>
        <v>0</v>
      </c>
      <c r="K210" s="7">
        <f>-(I210+L210)</f>
        <v>0</v>
      </c>
      <c r="L210" s="7">
        <f>IF(N210="Différé total", C210+D210, IF(N210="Intérêts seuls", C210, C210-E210))</f>
        <v>0</v>
      </c>
      <c r="M210" s="7">
        <f>IF(202=Nmois, FVballon, 0)</f>
        <v>0</v>
      </c>
      <c r="N210">
        <f>IF(202&lt;=DiffN, IF(DiffMode="Total (capitalisation)","Différé total","Intérêts seuls"), "Amortissement")</f>
        <v>0</v>
      </c>
    </row>
    <row r="211" spans="2:14">
      <c r="B211" s="4">
        <v>203</v>
      </c>
      <c r="C211" s="6">
        <f>EDATE(Date0,203)</f>
        <v>0</v>
      </c>
      <c r="D211" s="7">
        <f>K210</f>
        <v>0</v>
      </c>
      <c r="E211" s="7">
        <f>C211*i</f>
        <v>0</v>
      </c>
      <c r="F211" s="7">
        <f>IF(N211="Amortissement", F211-D211, 0)</f>
        <v>0</v>
      </c>
      <c r="G211" s="7">
        <f>IF(203&lt;=DiffN, IF(DiffMode="Total (capitalisation)", 0, D211), PMTnom)</f>
        <v>0</v>
      </c>
      <c r="H211" s="7">
        <f>IF(AssType="Sur capital initial (%)", AssTau/12*PNom, IF(AssType="Sur CRD (%)", AssTau/12*C211, IF(AssType="Montant fixe/mois", AssFixe, 0)))</f>
        <v>0</v>
      </c>
      <c r="I211" s="7">
        <f>FraisRec</f>
        <v>0</v>
      </c>
      <c r="J211" s="7">
        <f>F211+G211+H211</f>
        <v>0</v>
      </c>
      <c r="K211" s="7">
        <f>-(I211+L211)</f>
        <v>0</v>
      </c>
      <c r="L211" s="7">
        <f>IF(N211="Différé total", C211+D211, IF(N211="Intérêts seuls", C211, C211-E211))</f>
        <v>0</v>
      </c>
      <c r="M211" s="7">
        <f>IF(203=Nmois, FVballon, 0)</f>
        <v>0</v>
      </c>
      <c r="N211">
        <f>IF(203&lt;=DiffN, IF(DiffMode="Total (capitalisation)","Différé total","Intérêts seuls"), "Amortissement")</f>
        <v>0</v>
      </c>
    </row>
    <row r="212" spans="2:14">
      <c r="B212" s="11">
        <v>204</v>
      </c>
      <c r="C212" s="6">
        <f>EDATE(Date0,204)</f>
        <v>0</v>
      </c>
      <c r="D212" s="7">
        <f>K211</f>
        <v>0</v>
      </c>
      <c r="E212" s="7">
        <f>C212*i</f>
        <v>0</v>
      </c>
      <c r="F212" s="7">
        <f>IF(N212="Amortissement", F212-D212, 0)</f>
        <v>0</v>
      </c>
      <c r="G212" s="7">
        <f>IF(204&lt;=DiffN, IF(DiffMode="Total (capitalisation)", 0, D212), PMTnom)</f>
        <v>0</v>
      </c>
      <c r="H212" s="7">
        <f>IF(AssType="Sur capital initial (%)", AssTau/12*PNom, IF(AssType="Sur CRD (%)", AssTau/12*C212, IF(AssType="Montant fixe/mois", AssFixe, 0)))</f>
        <v>0</v>
      </c>
      <c r="I212" s="7">
        <f>FraisRec</f>
        <v>0</v>
      </c>
      <c r="J212" s="7">
        <f>F212+G212+H212</f>
        <v>0</v>
      </c>
      <c r="K212" s="7">
        <f>-(I212+L212)</f>
        <v>0</v>
      </c>
      <c r="L212" s="7">
        <f>IF(N212="Différé total", C212+D212, IF(N212="Intérêts seuls", C212, C212-E212))</f>
        <v>0</v>
      </c>
      <c r="M212" s="7">
        <f>IF(204=Nmois, FVballon, 0)</f>
        <v>0</v>
      </c>
      <c r="N212">
        <f>IF(204&lt;=DiffN, IF(DiffMode="Total (capitalisation)","Différé total","Intérêts seuls"), "Amortissement")</f>
        <v>0</v>
      </c>
    </row>
    <row r="213" spans="2:14">
      <c r="B213" s="4">
        <v>205</v>
      </c>
      <c r="C213" s="6">
        <f>EDATE(Date0,205)</f>
        <v>0</v>
      </c>
      <c r="D213" s="7">
        <f>K212</f>
        <v>0</v>
      </c>
      <c r="E213" s="7">
        <f>C213*i</f>
        <v>0</v>
      </c>
      <c r="F213" s="7">
        <f>IF(N213="Amortissement", F213-D213, 0)</f>
        <v>0</v>
      </c>
      <c r="G213" s="7">
        <f>IF(205&lt;=DiffN, IF(DiffMode="Total (capitalisation)", 0, D213), PMTnom)</f>
        <v>0</v>
      </c>
      <c r="H213" s="7">
        <f>IF(AssType="Sur capital initial (%)", AssTau/12*PNom, IF(AssType="Sur CRD (%)", AssTau/12*C213, IF(AssType="Montant fixe/mois", AssFixe, 0)))</f>
        <v>0</v>
      </c>
      <c r="I213" s="7">
        <f>FraisRec</f>
        <v>0</v>
      </c>
      <c r="J213" s="7">
        <f>F213+G213+H213</f>
        <v>0</v>
      </c>
      <c r="K213" s="7">
        <f>-(I213+L213)</f>
        <v>0</v>
      </c>
      <c r="L213" s="7">
        <f>IF(N213="Différé total", C213+D213, IF(N213="Intérêts seuls", C213, C213-E213))</f>
        <v>0</v>
      </c>
      <c r="M213" s="7">
        <f>IF(205=Nmois, FVballon, 0)</f>
        <v>0</v>
      </c>
      <c r="N213">
        <f>IF(205&lt;=DiffN, IF(DiffMode="Total (capitalisation)","Différé total","Intérêts seuls"), "Amortissement")</f>
        <v>0</v>
      </c>
    </row>
    <row r="214" spans="2:14">
      <c r="B214" s="11">
        <v>206</v>
      </c>
      <c r="C214" s="6">
        <f>EDATE(Date0,206)</f>
        <v>0</v>
      </c>
      <c r="D214" s="7">
        <f>K213</f>
        <v>0</v>
      </c>
      <c r="E214" s="7">
        <f>C214*i</f>
        <v>0</v>
      </c>
      <c r="F214" s="7">
        <f>IF(N214="Amortissement", F214-D214, 0)</f>
        <v>0</v>
      </c>
      <c r="G214" s="7">
        <f>IF(206&lt;=DiffN, IF(DiffMode="Total (capitalisation)", 0, D214), PMTnom)</f>
        <v>0</v>
      </c>
      <c r="H214" s="7">
        <f>IF(AssType="Sur capital initial (%)", AssTau/12*PNom, IF(AssType="Sur CRD (%)", AssTau/12*C214, IF(AssType="Montant fixe/mois", AssFixe, 0)))</f>
        <v>0</v>
      </c>
      <c r="I214" s="7">
        <f>FraisRec</f>
        <v>0</v>
      </c>
      <c r="J214" s="7">
        <f>F214+G214+H214</f>
        <v>0</v>
      </c>
      <c r="K214" s="7">
        <f>-(I214+L214)</f>
        <v>0</v>
      </c>
      <c r="L214" s="7">
        <f>IF(N214="Différé total", C214+D214, IF(N214="Intérêts seuls", C214, C214-E214))</f>
        <v>0</v>
      </c>
      <c r="M214" s="7">
        <f>IF(206=Nmois, FVballon, 0)</f>
        <v>0</v>
      </c>
      <c r="N214">
        <f>IF(206&lt;=DiffN, IF(DiffMode="Total (capitalisation)","Différé total","Intérêts seuls"), "Amortissement")</f>
        <v>0</v>
      </c>
    </row>
    <row r="215" spans="2:14">
      <c r="B215" s="4">
        <v>207</v>
      </c>
      <c r="C215" s="6">
        <f>EDATE(Date0,207)</f>
        <v>0</v>
      </c>
      <c r="D215" s="7">
        <f>K214</f>
        <v>0</v>
      </c>
      <c r="E215" s="7">
        <f>C215*i</f>
        <v>0</v>
      </c>
      <c r="F215" s="7">
        <f>IF(N215="Amortissement", F215-D215, 0)</f>
        <v>0</v>
      </c>
      <c r="G215" s="7">
        <f>IF(207&lt;=DiffN, IF(DiffMode="Total (capitalisation)", 0, D215), PMTnom)</f>
        <v>0</v>
      </c>
      <c r="H215" s="7">
        <f>IF(AssType="Sur capital initial (%)", AssTau/12*PNom, IF(AssType="Sur CRD (%)", AssTau/12*C215, IF(AssType="Montant fixe/mois", AssFixe, 0)))</f>
        <v>0</v>
      </c>
      <c r="I215" s="7">
        <f>FraisRec</f>
        <v>0</v>
      </c>
      <c r="J215" s="7">
        <f>F215+G215+H215</f>
        <v>0</v>
      </c>
      <c r="K215" s="7">
        <f>-(I215+L215)</f>
        <v>0</v>
      </c>
      <c r="L215" s="7">
        <f>IF(N215="Différé total", C215+D215, IF(N215="Intérêts seuls", C215, C215-E215))</f>
        <v>0</v>
      </c>
      <c r="M215" s="7">
        <f>IF(207=Nmois, FVballon, 0)</f>
        <v>0</v>
      </c>
      <c r="N215">
        <f>IF(207&lt;=DiffN, IF(DiffMode="Total (capitalisation)","Différé total","Intérêts seuls"), "Amortissement")</f>
        <v>0</v>
      </c>
    </row>
    <row r="216" spans="2:14">
      <c r="B216" s="11">
        <v>208</v>
      </c>
      <c r="C216" s="6">
        <f>EDATE(Date0,208)</f>
        <v>0</v>
      </c>
      <c r="D216" s="7">
        <f>K215</f>
        <v>0</v>
      </c>
      <c r="E216" s="7">
        <f>C216*i</f>
        <v>0</v>
      </c>
      <c r="F216" s="7">
        <f>IF(N216="Amortissement", F216-D216, 0)</f>
        <v>0</v>
      </c>
      <c r="G216" s="7">
        <f>IF(208&lt;=DiffN, IF(DiffMode="Total (capitalisation)", 0, D216), PMTnom)</f>
        <v>0</v>
      </c>
      <c r="H216" s="7">
        <f>IF(AssType="Sur capital initial (%)", AssTau/12*PNom, IF(AssType="Sur CRD (%)", AssTau/12*C216, IF(AssType="Montant fixe/mois", AssFixe, 0)))</f>
        <v>0</v>
      </c>
      <c r="I216" s="7">
        <f>FraisRec</f>
        <v>0</v>
      </c>
      <c r="J216" s="7">
        <f>F216+G216+H216</f>
        <v>0</v>
      </c>
      <c r="K216" s="7">
        <f>-(I216+L216)</f>
        <v>0</v>
      </c>
      <c r="L216" s="7">
        <f>IF(N216="Différé total", C216+D216, IF(N216="Intérêts seuls", C216, C216-E216))</f>
        <v>0</v>
      </c>
      <c r="M216" s="7">
        <f>IF(208=Nmois, FVballon, 0)</f>
        <v>0</v>
      </c>
      <c r="N216">
        <f>IF(208&lt;=DiffN, IF(DiffMode="Total (capitalisation)","Différé total","Intérêts seuls"), "Amortissement")</f>
        <v>0</v>
      </c>
    </row>
    <row r="217" spans="2:14">
      <c r="B217" s="4">
        <v>209</v>
      </c>
      <c r="C217" s="6">
        <f>EDATE(Date0,209)</f>
        <v>0</v>
      </c>
      <c r="D217" s="7">
        <f>K216</f>
        <v>0</v>
      </c>
      <c r="E217" s="7">
        <f>C217*i</f>
        <v>0</v>
      </c>
      <c r="F217" s="7">
        <f>IF(N217="Amortissement", F217-D217, 0)</f>
        <v>0</v>
      </c>
      <c r="G217" s="7">
        <f>IF(209&lt;=DiffN, IF(DiffMode="Total (capitalisation)", 0, D217), PMTnom)</f>
        <v>0</v>
      </c>
      <c r="H217" s="7">
        <f>IF(AssType="Sur capital initial (%)", AssTau/12*PNom, IF(AssType="Sur CRD (%)", AssTau/12*C217, IF(AssType="Montant fixe/mois", AssFixe, 0)))</f>
        <v>0</v>
      </c>
      <c r="I217" s="7">
        <f>FraisRec</f>
        <v>0</v>
      </c>
      <c r="J217" s="7">
        <f>F217+G217+H217</f>
        <v>0</v>
      </c>
      <c r="K217" s="7">
        <f>-(I217+L217)</f>
        <v>0</v>
      </c>
      <c r="L217" s="7">
        <f>IF(N217="Différé total", C217+D217, IF(N217="Intérêts seuls", C217, C217-E217))</f>
        <v>0</v>
      </c>
      <c r="M217" s="7">
        <f>IF(209=Nmois, FVballon, 0)</f>
        <v>0</v>
      </c>
      <c r="N217">
        <f>IF(209&lt;=DiffN, IF(DiffMode="Total (capitalisation)","Différé total","Intérêts seuls"), "Amortissement")</f>
        <v>0</v>
      </c>
    </row>
    <row r="218" spans="2:14">
      <c r="B218" s="11">
        <v>210</v>
      </c>
      <c r="C218" s="6">
        <f>EDATE(Date0,210)</f>
        <v>0</v>
      </c>
      <c r="D218" s="7">
        <f>K217</f>
        <v>0</v>
      </c>
      <c r="E218" s="7">
        <f>C218*i</f>
        <v>0</v>
      </c>
      <c r="F218" s="7">
        <f>IF(N218="Amortissement", F218-D218, 0)</f>
        <v>0</v>
      </c>
      <c r="G218" s="7">
        <f>IF(210&lt;=DiffN, IF(DiffMode="Total (capitalisation)", 0, D218), PMTnom)</f>
        <v>0</v>
      </c>
      <c r="H218" s="7">
        <f>IF(AssType="Sur capital initial (%)", AssTau/12*PNom, IF(AssType="Sur CRD (%)", AssTau/12*C218, IF(AssType="Montant fixe/mois", AssFixe, 0)))</f>
        <v>0</v>
      </c>
      <c r="I218" s="7">
        <f>FraisRec</f>
        <v>0</v>
      </c>
      <c r="J218" s="7">
        <f>F218+G218+H218</f>
        <v>0</v>
      </c>
      <c r="K218" s="7">
        <f>-(I218+L218)</f>
        <v>0</v>
      </c>
      <c r="L218" s="7">
        <f>IF(N218="Différé total", C218+D218, IF(N218="Intérêts seuls", C218, C218-E218))</f>
        <v>0</v>
      </c>
      <c r="M218" s="7">
        <f>IF(210=Nmois, FVballon, 0)</f>
        <v>0</v>
      </c>
      <c r="N218">
        <f>IF(210&lt;=DiffN, IF(DiffMode="Total (capitalisation)","Différé total","Intérêts seuls"), "Amortissement")</f>
        <v>0</v>
      </c>
    </row>
    <row r="219" spans="2:14">
      <c r="B219" s="4">
        <v>211</v>
      </c>
      <c r="C219" s="6">
        <f>EDATE(Date0,211)</f>
        <v>0</v>
      </c>
      <c r="D219" s="7">
        <f>K218</f>
        <v>0</v>
      </c>
      <c r="E219" s="7">
        <f>C219*i</f>
        <v>0</v>
      </c>
      <c r="F219" s="7">
        <f>IF(N219="Amortissement", F219-D219, 0)</f>
        <v>0</v>
      </c>
      <c r="G219" s="7">
        <f>IF(211&lt;=DiffN, IF(DiffMode="Total (capitalisation)", 0, D219), PMTnom)</f>
        <v>0</v>
      </c>
      <c r="H219" s="7">
        <f>IF(AssType="Sur capital initial (%)", AssTau/12*PNom, IF(AssType="Sur CRD (%)", AssTau/12*C219, IF(AssType="Montant fixe/mois", AssFixe, 0)))</f>
        <v>0</v>
      </c>
      <c r="I219" s="7">
        <f>FraisRec</f>
        <v>0</v>
      </c>
      <c r="J219" s="7">
        <f>F219+G219+H219</f>
        <v>0</v>
      </c>
      <c r="K219" s="7">
        <f>-(I219+L219)</f>
        <v>0</v>
      </c>
      <c r="L219" s="7">
        <f>IF(N219="Différé total", C219+D219, IF(N219="Intérêts seuls", C219, C219-E219))</f>
        <v>0</v>
      </c>
      <c r="M219" s="7">
        <f>IF(211=Nmois, FVballon, 0)</f>
        <v>0</v>
      </c>
      <c r="N219">
        <f>IF(211&lt;=DiffN, IF(DiffMode="Total (capitalisation)","Différé total","Intérêts seuls"), "Amortissement")</f>
        <v>0</v>
      </c>
    </row>
    <row r="220" spans="2:14">
      <c r="B220" s="11">
        <v>212</v>
      </c>
      <c r="C220" s="6">
        <f>EDATE(Date0,212)</f>
        <v>0</v>
      </c>
      <c r="D220" s="7">
        <f>K219</f>
        <v>0</v>
      </c>
      <c r="E220" s="7">
        <f>C220*i</f>
        <v>0</v>
      </c>
      <c r="F220" s="7">
        <f>IF(N220="Amortissement", F220-D220, 0)</f>
        <v>0</v>
      </c>
      <c r="G220" s="7">
        <f>IF(212&lt;=DiffN, IF(DiffMode="Total (capitalisation)", 0, D220), PMTnom)</f>
        <v>0</v>
      </c>
      <c r="H220" s="7">
        <f>IF(AssType="Sur capital initial (%)", AssTau/12*PNom, IF(AssType="Sur CRD (%)", AssTau/12*C220, IF(AssType="Montant fixe/mois", AssFixe, 0)))</f>
        <v>0</v>
      </c>
      <c r="I220" s="7">
        <f>FraisRec</f>
        <v>0</v>
      </c>
      <c r="J220" s="7">
        <f>F220+G220+H220</f>
        <v>0</v>
      </c>
      <c r="K220" s="7">
        <f>-(I220+L220)</f>
        <v>0</v>
      </c>
      <c r="L220" s="7">
        <f>IF(N220="Différé total", C220+D220, IF(N220="Intérêts seuls", C220, C220-E220))</f>
        <v>0</v>
      </c>
      <c r="M220" s="7">
        <f>IF(212=Nmois, FVballon, 0)</f>
        <v>0</v>
      </c>
      <c r="N220">
        <f>IF(212&lt;=DiffN, IF(DiffMode="Total (capitalisation)","Différé total","Intérêts seuls"), "Amortissement")</f>
        <v>0</v>
      </c>
    </row>
    <row r="221" spans="2:14">
      <c r="B221" s="4">
        <v>213</v>
      </c>
      <c r="C221" s="6">
        <f>EDATE(Date0,213)</f>
        <v>0</v>
      </c>
      <c r="D221" s="7">
        <f>K220</f>
        <v>0</v>
      </c>
      <c r="E221" s="7">
        <f>C221*i</f>
        <v>0</v>
      </c>
      <c r="F221" s="7">
        <f>IF(N221="Amortissement", F221-D221, 0)</f>
        <v>0</v>
      </c>
      <c r="G221" s="7">
        <f>IF(213&lt;=DiffN, IF(DiffMode="Total (capitalisation)", 0, D221), PMTnom)</f>
        <v>0</v>
      </c>
      <c r="H221" s="7">
        <f>IF(AssType="Sur capital initial (%)", AssTau/12*PNom, IF(AssType="Sur CRD (%)", AssTau/12*C221, IF(AssType="Montant fixe/mois", AssFixe, 0)))</f>
        <v>0</v>
      </c>
      <c r="I221" s="7">
        <f>FraisRec</f>
        <v>0</v>
      </c>
      <c r="J221" s="7">
        <f>F221+G221+H221</f>
        <v>0</v>
      </c>
      <c r="K221" s="7">
        <f>-(I221+L221)</f>
        <v>0</v>
      </c>
      <c r="L221" s="7">
        <f>IF(N221="Différé total", C221+D221, IF(N221="Intérêts seuls", C221, C221-E221))</f>
        <v>0</v>
      </c>
      <c r="M221" s="7">
        <f>IF(213=Nmois, FVballon, 0)</f>
        <v>0</v>
      </c>
      <c r="N221">
        <f>IF(213&lt;=DiffN, IF(DiffMode="Total (capitalisation)","Différé total","Intérêts seuls"), "Amortissement")</f>
        <v>0</v>
      </c>
    </row>
    <row r="222" spans="2:14">
      <c r="B222" s="11">
        <v>214</v>
      </c>
      <c r="C222" s="6">
        <f>EDATE(Date0,214)</f>
        <v>0</v>
      </c>
      <c r="D222" s="7">
        <f>K221</f>
        <v>0</v>
      </c>
      <c r="E222" s="7">
        <f>C222*i</f>
        <v>0</v>
      </c>
      <c r="F222" s="7">
        <f>IF(N222="Amortissement", F222-D222, 0)</f>
        <v>0</v>
      </c>
      <c r="G222" s="7">
        <f>IF(214&lt;=DiffN, IF(DiffMode="Total (capitalisation)", 0, D222), PMTnom)</f>
        <v>0</v>
      </c>
      <c r="H222" s="7">
        <f>IF(AssType="Sur capital initial (%)", AssTau/12*PNom, IF(AssType="Sur CRD (%)", AssTau/12*C222, IF(AssType="Montant fixe/mois", AssFixe, 0)))</f>
        <v>0</v>
      </c>
      <c r="I222" s="7">
        <f>FraisRec</f>
        <v>0</v>
      </c>
      <c r="J222" s="7">
        <f>F222+G222+H222</f>
        <v>0</v>
      </c>
      <c r="K222" s="7">
        <f>-(I222+L222)</f>
        <v>0</v>
      </c>
      <c r="L222" s="7">
        <f>IF(N222="Différé total", C222+D222, IF(N222="Intérêts seuls", C222, C222-E222))</f>
        <v>0</v>
      </c>
      <c r="M222" s="7">
        <f>IF(214=Nmois, FVballon, 0)</f>
        <v>0</v>
      </c>
      <c r="N222">
        <f>IF(214&lt;=DiffN, IF(DiffMode="Total (capitalisation)","Différé total","Intérêts seuls"), "Amortissement")</f>
        <v>0</v>
      </c>
    </row>
    <row r="223" spans="2:14">
      <c r="B223" s="4">
        <v>215</v>
      </c>
      <c r="C223" s="6">
        <f>EDATE(Date0,215)</f>
        <v>0</v>
      </c>
      <c r="D223" s="7">
        <f>K222</f>
        <v>0</v>
      </c>
      <c r="E223" s="7">
        <f>C223*i</f>
        <v>0</v>
      </c>
      <c r="F223" s="7">
        <f>IF(N223="Amortissement", F223-D223, 0)</f>
        <v>0</v>
      </c>
      <c r="G223" s="7">
        <f>IF(215&lt;=DiffN, IF(DiffMode="Total (capitalisation)", 0, D223), PMTnom)</f>
        <v>0</v>
      </c>
      <c r="H223" s="7">
        <f>IF(AssType="Sur capital initial (%)", AssTau/12*PNom, IF(AssType="Sur CRD (%)", AssTau/12*C223, IF(AssType="Montant fixe/mois", AssFixe, 0)))</f>
        <v>0</v>
      </c>
      <c r="I223" s="7">
        <f>FraisRec</f>
        <v>0</v>
      </c>
      <c r="J223" s="7">
        <f>F223+G223+H223</f>
        <v>0</v>
      </c>
      <c r="K223" s="7">
        <f>-(I223+L223)</f>
        <v>0</v>
      </c>
      <c r="L223" s="7">
        <f>IF(N223="Différé total", C223+D223, IF(N223="Intérêts seuls", C223, C223-E223))</f>
        <v>0</v>
      </c>
      <c r="M223" s="7">
        <f>IF(215=Nmois, FVballon, 0)</f>
        <v>0</v>
      </c>
      <c r="N223">
        <f>IF(215&lt;=DiffN, IF(DiffMode="Total (capitalisation)","Différé total","Intérêts seuls"), "Amortissement")</f>
        <v>0</v>
      </c>
    </row>
    <row r="224" spans="2:14">
      <c r="B224" s="11">
        <v>216</v>
      </c>
      <c r="C224" s="6">
        <f>EDATE(Date0,216)</f>
        <v>0</v>
      </c>
      <c r="D224" s="7">
        <f>K223</f>
        <v>0</v>
      </c>
      <c r="E224" s="7">
        <f>C224*i</f>
        <v>0</v>
      </c>
      <c r="F224" s="7">
        <f>IF(N224="Amortissement", F224-D224, 0)</f>
        <v>0</v>
      </c>
      <c r="G224" s="7">
        <f>IF(216&lt;=DiffN, IF(DiffMode="Total (capitalisation)", 0, D224), PMTnom)</f>
        <v>0</v>
      </c>
      <c r="H224" s="7">
        <f>IF(AssType="Sur capital initial (%)", AssTau/12*PNom, IF(AssType="Sur CRD (%)", AssTau/12*C224, IF(AssType="Montant fixe/mois", AssFixe, 0)))</f>
        <v>0</v>
      </c>
      <c r="I224" s="7">
        <f>FraisRec</f>
        <v>0</v>
      </c>
      <c r="J224" s="7">
        <f>F224+G224+H224</f>
        <v>0</v>
      </c>
      <c r="K224" s="7">
        <f>-(I224+L224)</f>
        <v>0</v>
      </c>
      <c r="L224" s="7">
        <f>IF(N224="Différé total", C224+D224, IF(N224="Intérêts seuls", C224, C224-E224))</f>
        <v>0</v>
      </c>
      <c r="M224" s="7">
        <f>IF(216=Nmois, FVballon, 0)</f>
        <v>0</v>
      </c>
      <c r="N224">
        <f>IF(216&lt;=DiffN, IF(DiffMode="Total (capitalisation)","Différé total","Intérêts seuls"), "Amortissement")</f>
        <v>0</v>
      </c>
    </row>
    <row r="225" spans="2:14">
      <c r="B225" s="4">
        <v>217</v>
      </c>
      <c r="C225" s="6">
        <f>EDATE(Date0,217)</f>
        <v>0</v>
      </c>
      <c r="D225" s="7">
        <f>K224</f>
        <v>0</v>
      </c>
      <c r="E225" s="7">
        <f>C225*i</f>
        <v>0</v>
      </c>
      <c r="F225" s="7">
        <f>IF(N225="Amortissement", F225-D225, 0)</f>
        <v>0</v>
      </c>
      <c r="G225" s="7">
        <f>IF(217&lt;=DiffN, IF(DiffMode="Total (capitalisation)", 0, D225), PMTnom)</f>
        <v>0</v>
      </c>
      <c r="H225" s="7">
        <f>IF(AssType="Sur capital initial (%)", AssTau/12*PNom, IF(AssType="Sur CRD (%)", AssTau/12*C225, IF(AssType="Montant fixe/mois", AssFixe, 0)))</f>
        <v>0</v>
      </c>
      <c r="I225" s="7">
        <f>FraisRec</f>
        <v>0</v>
      </c>
      <c r="J225" s="7">
        <f>F225+G225+H225</f>
        <v>0</v>
      </c>
      <c r="K225" s="7">
        <f>-(I225+L225)</f>
        <v>0</v>
      </c>
      <c r="L225" s="7">
        <f>IF(N225="Différé total", C225+D225, IF(N225="Intérêts seuls", C225, C225-E225))</f>
        <v>0</v>
      </c>
      <c r="M225" s="7">
        <f>IF(217=Nmois, FVballon, 0)</f>
        <v>0</v>
      </c>
      <c r="N225">
        <f>IF(217&lt;=DiffN, IF(DiffMode="Total (capitalisation)","Différé total","Intérêts seuls"), "Amortissement")</f>
        <v>0</v>
      </c>
    </row>
    <row r="226" spans="2:14">
      <c r="B226" s="11">
        <v>218</v>
      </c>
      <c r="C226" s="6">
        <f>EDATE(Date0,218)</f>
        <v>0</v>
      </c>
      <c r="D226" s="7">
        <f>K225</f>
        <v>0</v>
      </c>
      <c r="E226" s="7">
        <f>C226*i</f>
        <v>0</v>
      </c>
      <c r="F226" s="7">
        <f>IF(N226="Amortissement", F226-D226, 0)</f>
        <v>0</v>
      </c>
      <c r="G226" s="7">
        <f>IF(218&lt;=DiffN, IF(DiffMode="Total (capitalisation)", 0, D226), PMTnom)</f>
        <v>0</v>
      </c>
      <c r="H226" s="7">
        <f>IF(AssType="Sur capital initial (%)", AssTau/12*PNom, IF(AssType="Sur CRD (%)", AssTau/12*C226, IF(AssType="Montant fixe/mois", AssFixe, 0)))</f>
        <v>0</v>
      </c>
      <c r="I226" s="7">
        <f>FraisRec</f>
        <v>0</v>
      </c>
      <c r="J226" s="7">
        <f>F226+G226+H226</f>
        <v>0</v>
      </c>
      <c r="K226" s="7">
        <f>-(I226+L226)</f>
        <v>0</v>
      </c>
      <c r="L226" s="7">
        <f>IF(N226="Différé total", C226+D226, IF(N226="Intérêts seuls", C226, C226-E226))</f>
        <v>0</v>
      </c>
      <c r="M226" s="7">
        <f>IF(218=Nmois, FVballon, 0)</f>
        <v>0</v>
      </c>
      <c r="N226">
        <f>IF(218&lt;=DiffN, IF(DiffMode="Total (capitalisation)","Différé total","Intérêts seuls"), "Amortissement")</f>
        <v>0</v>
      </c>
    </row>
    <row r="227" spans="2:14">
      <c r="B227" s="4">
        <v>219</v>
      </c>
      <c r="C227" s="6">
        <f>EDATE(Date0,219)</f>
        <v>0</v>
      </c>
      <c r="D227" s="7">
        <f>K226</f>
        <v>0</v>
      </c>
      <c r="E227" s="7">
        <f>C227*i</f>
        <v>0</v>
      </c>
      <c r="F227" s="7">
        <f>IF(N227="Amortissement", F227-D227, 0)</f>
        <v>0</v>
      </c>
      <c r="G227" s="7">
        <f>IF(219&lt;=DiffN, IF(DiffMode="Total (capitalisation)", 0, D227), PMTnom)</f>
        <v>0</v>
      </c>
      <c r="H227" s="7">
        <f>IF(AssType="Sur capital initial (%)", AssTau/12*PNom, IF(AssType="Sur CRD (%)", AssTau/12*C227, IF(AssType="Montant fixe/mois", AssFixe, 0)))</f>
        <v>0</v>
      </c>
      <c r="I227" s="7">
        <f>FraisRec</f>
        <v>0</v>
      </c>
      <c r="J227" s="7">
        <f>F227+G227+H227</f>
        <v>0</v>
      </c>
      <c r="K227" s="7">
        <f>-(I227+L227)</f>
        <v>0</v>
      </c>
      <c r="L227" s="7">
        <f>IF(N227="Différé total", C227+D227, IF(N227="Intérêts seuls", C227, C227-E227))</f>
        <v>0</v>
      </c>
      <c r="M227" s="7">
        <f>IF(219=Nmois, FVballon, 0)</f>
        <v>0</v>
      </c>
      <c r="N227">
        <f>IF(219&lt;=DiffN, IF(DiffMode="Total (capitalisation)","Différé total","Intérêts seuls"), "Amortissement")</f>
        <v>0</v>
      </c>
    </row>
    <row r="228" spans="2:14">
      <c r="B228" s="11">
        <v>220</v>
      </c>
      <c r="C228" s="6">
        <f>EDATE(Date0,220)</f>
        <v>0</v>
      </c>
      <c r="D228" s="7">
        <f>K227</f>
        <v>0</v>
      </c>
      <c r="E228" s="7">
        <f>C228*i</f>
        <v>0</v>
      </c>
      <c r="F228" s="7">
        <f>IF(N228="Amortissement", F228-D228, 0)</f>
        <v>0</v>
      </c>
      <c r="G228" s="7">
        <f>IF(220&lt;=DiffN, IF(DiffMode="Total (capitalisation)", 0, D228), PMTnom)</f>
        <v>0</v>
      </c>
      <c r="H228" s="7">
        <f>IF(AssType="Sur capital initial (%)", AssTau/12*PNom, IF(AssType="Sur CRD (%)", AssTau/12*C228, IF(AssType="Montant fixe/mois", AssFixe, 0)))</f>
        <v>0</v>
      </c>
      <c r="I228" s="7">
        <f>FraisRec</f>
        <v>0</v>
      </c>
      <c r="J228" s="7">
        <f>F228+G228+H228</f>
        <v>0</v>
      </c>
      <c r="K228" s="7">
        <f>-(I228+L228)</f>
        <v>0</v>
      </c>
      <c r="L228" s="7">
        <f>IF(N228="Différé total", C228+D228, IF(N228="Intérêts seuls", C228, C228-E228))</f>
        <v>0</v>
      </c>
      <c r="M228" s="7">
        <f>IF(220=Nmois, FVballon, 0)</f>
        <v>0</v>
      </c>
      <c r="N228">
        <f>IF(220&lt;=DiffN, IF(DiffMode="Total (capitalisation)","Différé total","Intérêts seuls"), "Amortissement")</f>
        <v>0</v>
      </c>
    </row>
    <row r="229" spans="2:14">
      <c r="B229" s="4">
        <v>221</v>
      </c>
      <c r="C229" s="6">
        <f>EDATE(Date0,221)</f>
        <v>0</v>
      </c>
      <c r="D229" s="7">
        <f>K228</f>
        <v>0</v>
      </c>
      <c r="E229" s="7">
        <f>C229*i</f>
        <v>0</v>
      </c>
      <c r="F229" s="7">
        <f>IF(N229="Amortissement", F229-D229, 0)</f>
        <v>0</v>
      </c>
      <c r="G229" s="7">
        <f>IF(221&lt;=DiffN, IF(DiffMode="Total (capitalisation)", 0, D229), PMTnom)</f>
        <v>0</v>
      </c>
      <c r="H229" s="7">
        <f>IF(AssType="Sur capital initial (%)", AssTau/12*PNom, IF(AssType="Sur CRD (%)", AssTau/12*C229, IF(AssType="Montant fixe/mois", AssFixe, 0)))</f>
        <v>0</v>
      </c>
      <c r="I229" s="7">
        <f>FraisRec</f>
        <v>0</v>
      </c>
      <c r="J229" s="7">
        <f>F229+G229+H229</f>
        <v>0</v>
      </c>
      <c r="K229" s="7">
        <f>-(I229+L229)</f>
        <v>0</v>
      </c>
      <c r="L229" s="7">
        <f>IF(N229="Différé total", C229+D229, IF(N229="Intérêts seuls", C229, C229-E229))</f>
        <v>0</v>
      </c>
      <c r="M229" s="7">
        <f>IF(221=Nmois, FVballon, 0)</f>
        <v>0</v>
      </c>
      <c r="N229">
        <f>IF(221&lt;=DiffN, IF(DiffMode="Total (capitalisation)","Différé total","Intérêts seuls"), "Amortissement")</f>
        <v>0</v>
      </c>
    </row>
    <row r="230" spans="2:14">
      <c r="B230" s="11">
        <v>222</v>
      </c>
      <c r="C230" s="6">
        <f>EDATE(Date0,222)</f>
        <v>0</v>
      </c>
      <c r="D230" s="7">
        <f>K229</f>
        <v>0</v>
      </c>
      <c r="E230" s="7">
        <f>C230*i</f>
        <v>0</v>
      </c>
      <c r="F230" s="7">
        <f>IF(N230="Amortissement", F230-D230, 0)</f>
        <v>0</v>
      </c>
      <c r="G230" s="7">
        <f>IF(222&lt;=DiffN, IF(DiffMode="Total (capitalisation)", 0, D230), PMTnom)</f>
        <v>0</v>
      </c>
      <c r="H230" s="7">
        <f>IF(AssType="Sur capital initial (%)", AssTau/12*PNom, IF(AssType="Sur CRD (%)", AssTau/12*C230, IF(AssType="Montant fixe/mois", AssFixe, 0)))</f>
        <v>0</v>
      </c>
      <c r="I230" s="7">
        <f>FraisRec</f>
        <v>0</v>
      </c>
      <c r="J230" s="7">
        <f>F230+G230+H230</f>
        <v>0</v>
      </c>
      <c r="K230" s="7">
        <f>-(I230+L230)</f>
        <v>0</v>
      </c>
      <c r="L230" s="7">
        <f>IF(N230="Différé total", C230+D230, IF(N230="Intérêts seuls", C230, C230-E230))</f>
        <v>0</v>
      </c>
      <c r="M230" s="7">
        <f>IF(222=Nmois, FVballon, 0)</f>
        <v>0</v>
      </c>
      <c r="N230">
        <f>IF(222&lt;=DiffN, IF(DiffMode="Total (capitalisation)","Différé total","Intérêts seuls"), "Amortissement")</f>
        <v>0</v>
      </c>
    </row>
    <row r="231" spans="2:14">
      <c r="B231" s="4">
        <v>223</v>
      </c>
      <c r="C231" s="6">
        <f>EDATE(Date0,223)</f>
        <v>0</v>
      </c>
      <c r="D231" s="7">
        <f>K230</f>
        <v>0</v>
      </c>
      <c r="E231" s="7">
        <f>C231*i</f>
        <v>0</v>
      </c>
      <c r="F231" s="7">
        <f>IF(N231="Amortissement", F231-D231, 0)</f>
        <v>0</v>
      </c>
      <c r="G231" s="7">
        <f>IF(223&lt;=DiffN, IF(DiffMode="Total (capitalisation)", 0, D231), PMTnom)</f>
        <v>0</v>
      </c>
      <c r="H231" s="7">
        <f>IF(AssType="Sur capital initial (%)", AssTau/12*PNom, IF(AssType="Sur CRD (%)", AssTau/12*C231, IF(AssType="Montant fixe/mois", AssFixe, 0)))</f>
        <v>0</v>
      </c>
      <c r="I231" s="7">
        <f>FraisRec</f>
        <v>0</v>
      </c>
      <c r="J231" s="7">
        <f>F231+G231+H231</f>
        <v>0</v>
      </c>
      <c r="K231" s="7">
        <f>-(I231+L231)</f>
        <v>0</v>
      </c>
      <c r="L231" s="7">
        <f>IF(N231="Différé total", C231+D231, IF(N231="Intérêts seuls", C231, C231-E231))</f>
        <v>0</v>
      </c>
      <c r="M231" s="7">
        <f>IF(223=Nmois, FVballon, 0)</f>
        <v>0</v>
      </c>
      <c r="N231">
        <f>IF(223&lt;=DiffN, IF(DiffMode="Total (capitalisation)","Différé total","Intérêts seuls"), "Amortissement")</f>
        <v>0</v>
      </c>
    </row>
    <row r="232" spans="2:14">
      <c r="B232" s="11">
        <v>224</v>
      </c>
      <c r="C232" s="6">
        <f>EDATE(Date0,224)</f>
        <v>0</v>
      </c>
      <c r="D232" s="7">
        <f>K231</f>
        <v>0</v>
      </c>
      <c r="E232" s="7">
        <f>C232*i</f>
        <v>0</v>
      </c>
      <c r="F232" s="7">
        <f>IF(N232="Amortissement", F232-D232, 0)</f>
        <v>0</v>
      </c>
      <c r="G232" s="7">
        <f>IF(224&lt;=DiffN, IF(DiffMode="Total (capitalisation)", 0, D232), PMTnom)</f>
        <v>0</v>
      </c>
      <c r="H232" s="7">
        <f>IF(AssType="Sur capital initial (%)", AssTau/12*PNom, IF(AssType="Sur CRD (%)", AssTau/12*C232, IF(AssType="Montant fixe/mois", AssFixe, 0)))</f>
        <v>0</v>
      </c>
      <c r="I232" s="7">
        <f>FraisRec</f>
        <v>0</v>
      </c>
      <c r="J232" s="7">
        <f>F232+G232+H232</f>
        <v>0</v>
      </c>
      <c r="K232" s="7">
        <f>-(I232+L232)</f>
        <v>0</v>
      </c>
      <c r="L232" s="7">
        <f>IF(N232="Différé total", C232+D232, IF(N232="Intérêts seuls", C232, C232-E232))</f>
        <v>0</v>
      </c>
      <c r="M232" s="7">
        <f>IF(224=Nmois, FVballon, 0)</f>
        <v>0</v>
      </c>
      <c r="N232">
        <f>IF(224&lt;=DiffN, IF(DiffMode="Total (capitalisation)","Différé total","Intérêts seuls"), "Amortissement")</f>
        <v>0</v>
      </c>
    </row>
    <row r="233" spans="2:14">
      <c r="B233" s="4">
        <v>225</v>
      </c>
      <c r="C233" s="6">
        <f>EDATE(Date0,225)</f>
        <v>0</v>
      </c>
      <c r="D233" s="7">
        <f>K232</f>
        <v>0</v>
      </c>
      <c r="E233" s="7">
        <f>C233*i</f>
        <v>0</v>
      </c>
      <c r="F233" s="7">
        <f>IF(N233="Amortissement", F233-D233, 0)</f>
        <v>0</v>
      </c>
      <c r="G233" s="7">
        <f>IF(225&lt;=DiffN, IF(DiffMode="Total (capitalisation)", 0, D233), PMTnom)</f>
        <v>0</v>
      </c>
      <c r="H233" s="7">
        <f>IF(AssType="Sur capital initial (%)", AssTau/12*PNom, IF(AssType="Sur CRD (%)", AssTau/12*C233, IF(AssType="Montant fixe/mois", AssFixe, 0)))</f>
        <v>0</v>
      </c>
      <c r="I233" s="7">
        <f>FraisRec</f>
        <v>0</v>
      </c>
      <c r="J233" s="7">
        <f>F233+G233+H233</f>
        <v>0</v>
      </c>
      <c r="K233" s="7">
        <f>-(I233+L233)</f>
        <v>0</v>
      </c>
      <c r="L233" s="7">
        <f>IF(N233="Différé total", C233+D233, IF(N233="Intérêts seuls", C233, C233-E233))</f>
        <v>0</v>
      </c>
      <c r="M233" s="7">
        <f>IF(225=Nmois, FVballon, 0)</f>
        <v>0</v>
      </c>
      <c r="N233">
        <f>IF(225&lt;=DiffN, IF(DiffMode="Total (capitalisation)","Différé total","Intérêts seuls"), "Amortissement")</f>
        <v>0</v>
      </c>
    </row>
    <row r="234" spans="2:14">
      <c r="B234" s="11">
        <v>226</v>
      </c>
      <c r="C234" s="6">
        <f>EDATE(Date0,226)</f>
        <v>0</v>
      </c>
      <c r="D234" s="7">
        <f>K233</f>
        <v>0</v>
      </c>
      <c r="E234" s="7">
        <f>C234*i</f>
        <v>0</v>
      </c>
      <c r="F234" s="7">
        <f>IF(N234="Amortissement", F234-D234, 0)</f>
        <v>0</v>
      </c>
      <c r="G234" s="7">
        <f>IF(226&lt;=DiffN, IF(DiffMode="Total (capitalisation)", 0, D234), PMTnom)</f>
        <v>0</v>
      </c>
      <c r="H234" s="7">
        <f>IF(AssType="Sur capital initial (%)", AssTau/12*PNom, IF(AssType="Sur CRD (%)", AssTau/12*C234, IF(AssType="Montant fixe/mois", AssFixe, 0)))</f>
        <v>0</v>
      </c>
      <c r="I234" s="7">
        <f>FraisRec</f>
        <v>0</v>
      </c>
      <c r="J234" s="7">
        <f>F234+G234+H234</f>
        <v>0</v>
      </c>
      <c r="K234" s="7">
        <f>-(I234+L234)</f>
        <v>0</v>
      </c>
      <c r="L234" s="7">
        <f>IF(N234="Différé total", C234+D234, IF(N234="Intérêts seuls", C234, C234-E234))</f>
        <v>0</v>
      </c>
      <c r="M234" s="7">
        <f>IF(226=Nmois, FVballon, 0)</f>
        <v>0</v>
      </c>
      <c r="N234">
        <f>IF(226&lt;=DiffN, IF(DiffMode="Total (capitalisation)","Différé total","Intérêts seuls"), "Amortissement")</f>
        <v>0</v>
      </c>
    </row>
    <row r="235" spans="2:14">
      <c r="B235" s="4">
        <v>227</v>
      </c>
      <c r="C235" s="6">
        <f>EDATE(Date0,227)</f>
        <v>0</v>
      </c>
      <c r="D235" s="7">
        <f>K234</f>
        <v>0</v>
      </c>
      <c r="E235" s="7">
        <f>C235*i</f>
        <v>0</v>
      </c>
      <c r="F235" s="7">
        <f>IF(N235="Amortissement", F235-D235, 0)</f>
        <v>0</v>
      </c>
      <c r="G235" s="7">
        <f>IF(227&lt;=DiffN, IF(DiffMode="Total (capitalisation)", 0, D235), PMTnom)</f>
        <v>0</v>
      </c>
      <c r="H235" s="7">
        <f>IF(AssType="Sur capital initial (%)", AssTau/12*PNom, IF(AssType="Sur CRD (%)", AssTau/12*C235, IF(AssType="Montant fixe/mois", AssFixe, 0)))</f>
        <v>0</v>
      </c>
      <c r="I235" s="7">
        <f>FraisRec</f>
        <v>0</v>
      </c>
      <c r="J235" s="7">
        <f>F235+G235+H235</f>
        <v>0</v>
      </c>
      <c r="K235" s="7">
        <f>-(I235+L235)</f>
        <v>0</v>
      </c>
      <c r="L235" s="7">
        <f>IF(N235="Différé total", C235+D235, IF(N235="Intérêts seuls", C235, C235-E235))</f>
        <v>0</v>
      </c>
      <c r="M235" s="7">
        <f>IF(227=Nmois, FVballon, 0)</f>
        <v>0</v>
      </c>
      <c r="N235">
        <f>IF(227&lt;=DiffN, IF(DiffMode="Total (capitalisation)","Différé total","Intérêts seuls"), "Amortissement")</f>
        <v>0</v>
      </c>
    </row>
    <row r="236" spans="2:14">
      <c r="B236" s="11">
        <v>228</v>
      </c>
      <c r="C236" s="6">
        <f>EDATE(Date0,228)</f>
        <v>0</v>
      </c>
      <c r="D236" s="7">
        <f>K235</f>
        <v>0</v>
      </c>
      <c r="E236" s="7">
        <f>C236*i</f>
        <v>0</v>
      </c>
      <c r="F236" s="7">
        <f>IF(N236="Amortissement", F236-D236, 0)</f>
        <v>0</v>
      </c>
      <c r="G236" s="7">
        <f>IF(228&lt;=DiffN, IF(DiffMode="Total (capitalisation)", 0, D236), PMTnom)</f>
        <v>0</v>
      </c>
      <c r="H236" s="7">
        <f>IF(AssType="Sur capital initial (%)", AssTau/12*PNom, IF(AssType="Sur CRD (%)", AssTau/12*C236, IF(AssType="Montant fixe/mois", AssFixe, 0)))</f>
        <v>0</v>
      </c>
      <c r="I236" s="7">
        <f>FraisRec</f>
        <v>0</v>
      </c>
      <c r="J236" s="7">
        <f>F236+G236+H236</f>
        <v>0</v>
      </c>
      <c r="K236" s="7">
        <f>-(I236+L236)</f>
        <v>0</v>
      </c>
      <c r="L236" s="7">
        <f>IF(N236="Différé total", C236+D236, IF(N236="Intérêts seuls", C236, C236-E236))</f>
        <v>0</v>
      </c>
      <c r="M236" s="7">
        <f>IF(228=Nmois, FVballon, 0)</f>
        <v>0</v>
      </c>
      <c r="N236">
        <f>IF(228&lt;=DiffN, IF(DiffMode="Total (capitalisation)","Différé total","Intérêts seuls"), "Amortissement")</f>
        <v>0</v>
      </c>
    </row>
    <row r="237" spans="2:14">
      <c r="B237" s="4">
        <v>229</v>
      </c>
      <c r="C237" s="6">
        <f>EDATE(Date0,229)</f>
        <v>0</v>
      </c>
      <c r="D237" s="7">
        <f>K236</f>
        <v>0</v>
      </c>
      <c r="E237" s="7">
        <f>C237*i</f>
        <v>0</v>
      </c>
      <c r="F237" s="7">
        <f>IF(N237="Amortissement", F237-D237, 0)</f>
        <v>0</v>
      </c>
      <c r="G237" s="7">
        <f>IF(229&lt;=DiffN, IF(DiffMode="Total (capitalisation)", 0, D237), PMTnom)</f>
        <v>0</v>
      </c>
      <c r="H237" s="7">
        <f>IF(AssType="Sur capital initial (%)", AssTau/12*PNom, IF(AssType="Sur CRD (%)", AssTau/12*C237, IF(AssType="Montant fixe/mois", AssFixe, 0)))</f>
        <v>0</v>
      </c>
      <c r="I237" s="7">
        <f>FraisRec</f>
        <v>0</v>
      </c>
      <c r="J237" s="7">
        <f>F237+G237+H237</f>
        <v>0</v>
      </c>
      <c r="K237" s="7">
        <f>-(I237+L237)</f>
        <v>0</v>
      </c>
      <c r="L237" s="7">
        <f>IF(N237="Différé total", C237+D237, IF(N237="Intérêts seuls", C237, C237-E237))</f>
        <v>0</v>
      </c>
      <c r="M237" s="7">
        <f>IF(229=Nmois, FVballon, 0)</f>
        <v>0</v>
      </c>
      <c r="N237">
        <f>IF(229&lt;=DiffN, IF(DiffMode="Total (capitalisation)","Différé total","Intérêts seuls"), "Amortissement")</f>
        <v>0</v>
      </c>
    </row>
    <row r="238" spans="2:14">
      <c r="B238" s="11">
        <v>230</v>
      </c>
      <c r="C238" s="6">
        <f>EDATE(Date0,230)</f>
        <v>0</v>
      </c>
      <c r="D238" s="7">
        <f>K237</f>
        <v>0</v>
      </c>
      <c r="E238" s="7">
        <f>C238*i</f>
        <v>0</v>
      </c>
      <c r="F238" s="7">
        <f>IF(N238="Amortissement", F238-D238, 0)</f>
        <v>0</v>
      </c>
      <c r="G238" s="7">
        <f>IF(230&lt;=DiffN, IF(DiffMode="Total (capitalisation)", 0, D238), PMTnom)</f>
        <v>0</v>
      </c>
      <c r="H238" s="7">
        <f>IF(AssType="Sur capital initial (%)", AssTau/12*PNom, IF(AssType="Sur CRD (%)", AssTau/12*C238, IF(AssType="Montant fixe/mois", AssFixe, 0)))</f>
        <v>0</v>
      </c>
      <c r="I238" s="7">
        <f>FraisRec</f>
        <v>0</v>
      </c>
      <c r="J238" s="7">
        <f>F238+G238+H238</f>
        <v>0</v>
      </c>
      <c r="K238" s="7">
        <f>-(I238+L238)</f>
        <v>0</v>
      </c>
      <c r="L238" s="7">
        <f>IF(N238="Différé total", C238+D238, IF(N238="Intérêts seuls", C238, C238-E238))</f>
        <v>0</v>
      </c>
      <c r="M238" s="7">
        <f>IF(230=Nmois, FVballon, 0)</f>
        <v>0</v>
      </c>
      <c r="N238">
        <f>IF(230&lt;=DiffN, IF(DiffMode="Total (capitalisation)","Différé total","Intérêts seuls"), "Amortissement")</f>
        <v>0</v>
      </c>
    </row>
    <row r="239" spans="2:14">
      <c r="B239" s="4">
        <v>231</v>
      </c>
      <c r="C239" s="6">
        <f>EDATE(Date0,231)</f>
        <v>0</v>
      </c>
      <c r="D239" s="7">
        <f>K238</f>
        <v>0</v>
      </c>
      <c r="E239" s="7">
        <f>C239*i</f>
        <v>0</v>
      </c>
      <c r="F239" s="7">
        <f>IF(N239="Amortissement", F239-D239, 0)</f>
        <v>0</v>
      </c>
      <c r="G239" s="7">
        <f>IF(231&lt;=DiffN, IF(DiffMode="Total (capitalisation)", 0, D239), PMTnom)</f>
        <v>0</v>
      </c>
      <c r="H239" s="7">
        <f>IF(AssType="Sur capital initial (%)", AssTau/12*PNom, IF(AssType="Sur CRD (%)", AssTau/12*C239, IF(AssType="Montant fixe/mois", AssFixe, 0)))</f>
        <v>0</v>
      </c>
      <c r="I239" s="7">
        <f>FraisRec</f>
        <v>0</v>
      </c>
      <c r="J239" s="7">
        <f>F239+G239+H239</f>
        <v>0</v>
      </c>
      <c r="K239" s="7">
        <f>-(I239+L239)</f>
        <v>0</v>
      </c>
      <c r="L239" s="7">
        <f>IF(N239="Différé total", C239+D239, IF(N239="Intérêts seuls", C239, C239-E239))</f>
        <v>0</v>
      </c>
      <c r="M239" s="7">
        <f>IF(231=Nmois, FVballon, 0)</f>
        <v>0</v>
      </c>
      <c r="N239">
        <f>IF(231&lt;=DiffN, IF(DiffMode="Total (capitalisation)","Différé total","Intérêts seuls"), "Amortissement")</f>
        <v>0</v>
      </c>
    </row>
    <row r="240" spans="2:14">
      <c r="B240" s="11">
        <v>232</v>
      </c>
      <c r="C240" s="6">
        <f>EDATE(Date0,232)</f>
        <v>0</v>
      </c>
      <c r="D240" s="7">
        <f>K239</f>
        <v>0</v>
      </c>
      <c r="E240" s="7">
        <f>C240*i</f>
        <v>0</v>
      </c>
      <c r="F240" s="7">
        <f>IF(N240="Amortissement", F240-D240, 0)</f>
        <v>0</v>
      </c>
      <c r="G240" s="7">
        <f>IF(232&lt;=DiffN, IF(DiffMode="Total (capitalisation)", 0, D240), PMTnom)</f>
        <v>0</v>
      </c>
      <c r="H240" s="7">
        <f>IF(AssType="Sur capital initial (%)", AssTau/12*PNom, IF(AssType="Sur CRD (%)", AssTau/12*C240, IF(AssType="Montant fixe/mois", AssFixe, 0)))</f>
        <v>0</v>
      </c>
      <c r="I240" s="7">
        <f>FraisRec</f>
        <v>0</v>
      </c>
      <c r="J240" s="7">
        <f>F240+G240+H240</f>
        <v>0</v>
      </c>
      <c r="K240" s="7">
        <f>-(I240+L240)</f>
        <v>0</v>
      </c>
      <c r="L240" s="7">
        <f>IF(N240="Différé total", C240+D240, IF(N240="Intérêts seuls", C240, C240-E240))</f>
        <v>0</v>
      </c>
      <c r="M240" s="7">
        <f>IF(232=Nmois, FVballon, 0)</f>
        <v>0</v>
      </c>
      <c r="N240">
        <f>IF(232&lt;=DiffN, IF(DiffMode="Total (capitalisation)","Différé total","Intérêts seuls"), "Amortissement")</f>
        <v>0</v>
      </c>
    </row>
    <row r="241" spans="2:14">
      <c r="B241" s="4">
        <v>233</v>
      </c>
      <c r="C241" s="6">
        <f>EDATE(Date0,233)</f>
        <v>0</v>
      </c>
      <c r="D241" s="7">
        <f>K240</f>
        <v>0</v>
      </c>
      <c r="E241" s="7">
        <f>C241*i</f>
        <v>0</v>
      </c>
      <c r="F241" s="7">
        <f>IF(N241="Amortissement", F241-D241, 0)</f>
        <v>0</v>
      </c>
      <c r="G241" s="7">
        <f>IF(233&lt;=DiffN, IF(DiffMode="Total (capitalisation)", 0, D241), PMTnom)</f>
        <v>0</v>
      </c>
      <c r="H241" s="7">
        <f>IF(AssType="Sur capital initial (%)", AssTau/12*PNom, IF(AssType="Sur CRD (%)", AssTau/12*C241, IF(AssType="Montant fixe/mois", AssFixe, 0)))</f>
        <v>0</v>
      </c>
      <c r="I241" s="7">
        <f>FraisRec</f>
        <v>0</v>
      </c>
      <c r="J241" s="7">
        <f>F241+G241+H241</f>
        <v>0</v>
      </c>
      <c r="K241" s="7">
        <f>-(I241+L241)</f>
        <v>0</v>
      </c>
      <c r="L241" s="7">
        <f>IF(N241="Différé total", C241+D241, IF(N241="Intérêts seuls", C241, C241-E241))</f>
        <v>0</v>
      </c>
      <c r="M241" s="7">
        <f>IF(233=Nmois, FVballon, 0)</f>
        <v>0</v>
      </c>
      <c r="N241">
        <f>IF(233&lt;=DiffN, IF(DiffMode="Total (capitalisation)","Différé total","Intérêts seuls"), "Amortissement")</f>
        <v>0</v>
      </c>
    </row>
    <row r="242" spans="2:14">
      <c r="B242" s="11">
        <v>234</v>
      </c>
      <c r="C242" s="6">
        <f>EDATE(Date0,234)</f>
        <v>0</v>
      </c>
      <c r="D242" s="7">
        <f>K241</f>
        <v>0</v>
      </c>
      <c r="E242" s="7">
        <f>C242*i</f>
        <v>0</v>
      </c>
      <c r="F242" s="7">
        <f>IF(N242="Amortissement", F242-D242, 0)</f>
        <v>0</v>
      </c>
      <c r="G242" s="7">
        <f>IF(234&lt;=DiffN, IF(DiffMode="Total (capitalisation)", 0, D242), PMTnom)</f>
        <v>0</v>
      </c>
      <c r="H242" s="7">
        <f>IF(AssType="Sur capital initial (%)", AssTau/12*PNom, IF(AssType="Sur CRD (%)", AssTau/12*C242, IF(AssType="Montant fixe/mois", AssFixe, 0)))</f>
        <v>0</v>
      </c>
      <c r="I242" s="7">
        <f>FraisRec</f>
        <v>0</v>
      </c>
      <c r="J242" s="7">
        <f>F242+G242+H242</f>
        <v>0</v>
      </c>
      <c r="K242" s="7">
        <f>-(I242+L242)</f>
        <v>0</v>
      </c>
      <c r="L242" s="7">
        <f>IF(N242="Différé total", C242+D242, IF(N242="Intérêts seuls", C242, C242-E242))</f>
        <v>0</v>
      </c>
      <c r="M242" s="7">
        <f>IF(234=Nmois, FVballon, 0)</f>
        <v>0</v>
      </c>
      <c r="N242">
        <f>IF(234&lt;=DiffN, IF(DiffMode="Total (capitalisation)","Différé total","Intérêts seuls"), "Amortissement")</f>
        <v>0</v>
      </c>
    </row>
    <row r="243" spans="2:14">
      <c r="B243" s="4">
        <v>235</v>
      </c>
      <c r="C243" s="6">
        <f>EDATE(Date0,235)</f>
        <v>0</v>
      </c>
      <c r="D243" s="7">
        <f>K242</f>
        <v>0</v>
      </c>
      <c r="E243" s="7">
        <f>C243*i</f>
        <v>0</v>
      </c>
      <c r="F243" s="7">
        <f>IF(N243="Amortissement", F243-D243, 0)</f>
        <v>0</v>
      </c>
      <c r="G243" s="7">
        <f>IF(235&lt;=DiffN, IF(DiffMode="Total (capitalisation)", 0, D243), PMTnom)</f>
        <v>0</v>
      </c>
      <c r="H243" s="7">
        <f>IF(AssType="Sur capital initial (%)", AssTau/12*PNom, IF(AssType="Sur CRD (%)", AssTau/12*C243, IF(AssType="Montant fixe/mois", AssFixe, 0)))</f>
        <v>0</v>
      </c>
      <c r="I243" s="7">
        <f>FraisRec</f>
        <v>0</v>
      </c>
      <c r="J243" s="7">
        <f>F243+G243+H243</f>
        <v>0</v>
      </c>
      <c r="K243" s="7">
        <f>-(I243+L243)</f>
        <v>0</v>
      </c>
      <c r="L243" s="7">
        <f>IF(N243="Différé total", C243+D243, IF(N243="Intérêts seuls", C243, C243-E243))</f>
        <v>0</v>
      </c>
      <c r="M243" s="7">
        <f>IF(235=Nmois, FVballon, 0)</f>
        <v>0</v>
      </c>
      <c r="N243">
        <f>IF(235&lt;=DiffN, IF(DiffMode="Total (capitalisation)","Différé total","Intérêts seuls"), "Amortissement")</f>
        <v>0</v>
      </c>
    </row>
    <row r="244" spans="2:14">
      <c r="B244" s="11">
        <v>236</v>
      </c>
      <c r="C244" s="6">
        <f>EDATE(Date0,236)</f>
        <v>0</v>
      </c>
      <c r="D244" s="7">
        <f>K243</f>
        <v>0</v>
      </c>
      <c r="E244" s="7">
        <f>C244*i</f>
        <v>0</v>
      </c>
      <c r="F244" s="7">
        <f>IF(N244="Amortissement", F244-D244, 0)</f>
        <v>0</v>
      </c>
      <c r="G244" s="7">
        <f>IF(236&lt;=DiffN, IF(DiffMode="Total (capitalisation)", 0, D244), PMTnom)</f>
        <v>0</v>
      </c>
      <c r="H244" s="7">
        <f>IF(AssType="Sur capital initial (%)", AssTau/12*PNom, IF(AssType="Sur CRD (%)", AssTau/12*C244, IF(AssType="Montant fixe/mois", AssFixe, 0)))</f>
        <v>0</v>
      </c>
      <c r="I244" s="7">
        <f>FraisRec</f>
        <v>0</v>
      </c>
      <c r="J244" s="7">
        <f>F244+G244+H244</f>
        <v>0</v>
      </c>
      <c r="K244" s="7">
        <f>-(I244+L244)</f>
        <v>0</v>
      </c>
      <c r="L244" s="7">
        <f>IF(N244="Différé total", C244+D244, IF(N244="Intérêts seuls", C244, C244-E244))</f>
        <v>0</v>
      </c>
      <c r="M244" s="7">
        <f>IF(236=Nmois, FVballon, 0)</f>
        <v>0</v>
      </c>
      <c r="N244">
        <f>IF(236&lt;=DiffN, IF(DiffMode="Total (capitalisation)","Différé total","Intérêts seuls"), "Amortissement")</f>
        <v>0</v>
      </c>
    </row>
    <row r="245" spans="2:14">
      <c r="B245" s="4">
        <v>237</v>
      </c>
      <c r="C245" s="6">
        <f>EDATE(Date0,237)</f>
        <v>0</v>
      </c>
      <c r="D245" s="7">
        <f>K244</f>
        <v>0</v>
      </c>
      <c r="E245" s="7">
        <f>C245*i</f>
        <v>0</v>
      </c>
      <c r="F245" s="7">
        <f>IF(N245="Amortissement", F245-D245, 0)</f>
        <v>0</v>
      </c>
      <c r="G245" s="7">
        <f>IF(237&lt;=DiffN, IF(DiffMode="Total (capitalisation)", 0, D245), PMTnom)</f>
        <v>0</v>
      </c>
      <c r="H245" s="7">
        <f>IF(AssType="Sur capital initial (%)", AssTau/12*PNom, IF(AssType="Sur CRD (%)", AssTau/12*C245, IF(AssType="Montant fixe/mois", AssFixe, 0)))</f>
        <v>0</v>
      </c>
      <c r="I245" s="7">
        <f>FraisRec</f>
        <v>0</v>
      </c>
      <c r="J245" s="7">
        <f>F245+G245+H245</f>
        <v>0</v>
      </c>
      <c r="K245" s="7">
        <f>-(I245+L245)</f>
        <v>0</v>
      </c>
      <c r="L245" s="7">
        <f>IF(N245="Différé total", C245+D245, IF(N245="Intérêts seuls", C245, C245-E245))</f>
        <v>0</v>
      </c>
      <c r="M245" s="7">
        <f>IF(237=Nmois, FVballon, 0)</f>
        <v>0</v>
      </c>
      <c r="N245">
        <f>IF(237&lt;=DiffN, IF(DiffMode="Total (capitalisation)","Différé total","Intérêts seuls"), "Amortissement")</f>
        <v>0</v>
      </c>
    </row>
    <row r="246" spans="2:14">
      <c r="B246" s="11">
        <v>238</v>
      </c>
      <c r="C246" s="6">
        <f>EDATE(Date0,238)</f>
        <v>0</v>
      </c>
      <c r="D246" s="7">
        <f>K245</f>
        <v>0</v>
      </c>
      <c r="E246" s="7">
        <f>C246*i</f>
        <v>0</v>
      </c>
      <c r="F246" s="7">
        <f>IF(N246="Amortissement", F246-D246, 0)</f>
        <v>0</v>
      </c>
      <c r="G246" s="7">
        <f>IF(238&lt;=DiffN, IF(DiffMode="Total (capitalisation)", 0, D246), PMTnom)</f>
        <v>0</v>
      </c>
      <c r="H246" s="7">
        <f>IF(AssType="Sur capital initial (%)", AssTau/12*PNom, IF(AssType="Sur CRD (%)", AssTau/12*C246, IF(AssType="Montant fixe/mois", AssFixe, 0)))</f>
        <v>0</v>
      </c>
      <c r="I246" s="7">
        <f>FraisRec</f>
        <v>0</v>
      </c>
      <c r="J246" s="7">
        <f>F246+G246+H246</f>
        <v>0</v>
      </c>
      <c r="K246" s="7">
        <f>-(I246+L246)</f>
        <v>0</v>
      </c>
      <c r="L246" s="7">
        <f>IF(N246="Différé total", C246+D246, IF(N246="Intérêts seuls", C246, C246-E246))</f>
        <v>0</v>
      </c>
      <c r="M246" s="7">
        <f>IF(238=Nmois, FVballon, 0)</f>
        <v>0</v>
      </c>
      <c r="N246">
        <f>IF(238&lt;=DiffN, IF(DiffMode="Total (capitalisation)","Différé total","Intérêts seuls"), "Amortissement")</f>
        <v>0</v>
      </c>
    </row>
    <row r="247" spans="2:14">
      <c r="B247" s="4">
        <v>239</v>
      </c>
      <c r="C247" s="6">
        <f>EDATE(Date0,239)</f>
        <v>0</v>
      </c>
      <c r="D247" s="7">
        <f>K246</f>
        <v>0</v>
      </c>
      <c r="E247" s="7">
        <f>C247*i</f>
        <v>0</v>
      </c>
      <c r="F247" s="7">
        <f>IF(N247="Amortissement", F247-D247, 0)</f>
        <v>0</v>
      </c>
      <c r="G247" s="7">
        <f>IF(239&lt;=DiffN, IF(DiffMode="Total (capitalisation)", 0, D247), PMTnom)</f>
        <v>0</v>
      </c>
      <c r="H247" s="7">
        <f>IF(AssType="Sur capital initial (%)", AssTau/12*PNom, IF(AssType="Sur CRD (%)", AssTau/12*C247, IF(AssType="Montant fixe/mois", AssFixe, 0)))</f>
        <v>0</v>
      </c>
      <c r="I247" s="7">
        <f>FraisRec</f>
        <v>0</v>
      </c>
      <c r="J247" s="7">
        <f>F247+G247+H247</f>
        <v>0</v>
      </c>
      <c r="K247" s="7">
        <f>-(I247+L247)</f>
        <v>0</v>
      </c>
      <c r="L247" s="7">
        <f>IF(N247="Différé total", C247+D247, IF(N247="Intérêts seuls", C247, C247-E247))</f>
        <v>0</v>
      </c>
      <c r="M247" s="7">
        <f>IF(239=Nmois, FVballon, 0)</f>
        <v>0</v>
      </c>
      <c r="N247">
        <f>IF(239&lt;=DiffN, IF(DiffMode="Total (capitalisation)","Différé total","Intérêts seuls"), "Amortissement")</f>
        <v>0</v>
      </c>
    </row>
    <row r="248" spans="2:14">
      <c r="B248" s="11">
        <v>240</v>
      </c>
      <c r="C248" s="6">
        <f>EDATE(Date0,240)</f>
        <v>0</v>
      </c>
      <c r="D248" s="7">
        <f>K247</f>
        <v>0</v>
      </c>
      <c r="E248" s="7">
        <f>C248*i</f>
        <v>0</v>
      </c>
      <c r="F248" s="7">
        <f>IF(N248="Amortissement", F248-D248, 0)</f>
        <v>0</v>
      </c>
      <c r="G248" s="7">
        <f>IF(240&lt;=DiffN, IF(DiffMode="Total (capitalisation)", 0, D248), PMTnom)</f>
        <v>0</v>
      </c>
      <c r="H248" s="7">
        <f>IF(AssType="Sur capital initial (%)", AssTau/12*PNom, IF(AssType="Sur CRD (%)", AssTau/12*C248, IF(AssType="Montant fixe/mois", AssFixe, 0)))</f>
        <v>0</v>
      </c>
      <c r="I248" s="7">
        <f>FraisRec</f>
        <v>0</v>
      </c>
      <c r="J248" s="7">
        <f>F248+G248+H248</f>
        <v>0</v>
      </c>
      <c r="K248" s="7">
        <f>-(I248+L248)</f>
        <v>0</v>
      </c>
      <c r="L248" s="7">
        <f>IF(N248="Différé total", C248+D248, IF(N248="Intérêts seuls", C248, C248-E248))</f>
        <v>0</v>
      </c>
      <c r="M248" s="7">
        <f>IF(240=Nmois, FVballon, 0)</f>
        <v>0</v>
      </c>
      <c r="N248">
        <f>IF(240&lt;=DiffN, IF(DiffMode="Total (capitalisation)","Différé total","Intérêts seuls"), "Amortissement")</f>
        <v>0</v>
      </c>
    </row>
    <row r="249" spans="2:14">
      <c r="B249" s="4">
        <v>241</v>
      </c>
      <c r="C249" s="6">
        <f>EDATE(Date0,241)</f>
        <v>0</v>
      </c>
      <c r="D249" s="7">
        <f>K248</f>
        <v>0</v>
      </c>
      <c r="E249" s="7">
        <f>C249*i</f>
        <v>0</v>
      </c>
      <c r="F249" s="7">
        <f>IF(N249="Amortissement", F249-D249, 0)</f>
        <v>0</v>
      </c>
      <c r="G249" s="7">
        <f>IF(241&lt;=DiffN, IF(DiffMode="Total (capitalisation)", 0, D249), PMTnom)</f>
        <v>0</v>
      </c>
      <c r="H249" s="7">
        <f>IF(AssType="Sur capital initial (%)", AssTau/12*PNom, IF(AssType="Sur CRD (%)", AssTau/12*C249, IF(AssType="Montant fixe/mois", AssFixe, 0)))</f>
        <v>0</v>
      </c>
      <c r="I249" s="7">
        <f>FraisRec</f>
        <v>0</v>
      </c>
      <c r="J249" s="7">
        <f>F249+G249+H249</f>
        <v>0</v>
      </c>
      <c r="K249" s="7">
        <f>-(I249+L249)</f>
        <v>0</v>
      </c>
      <c r="L249" s="7">
        <f>IF(N249="Différé total", C249+D249, IF(N249="Intérêts seuls", C249, C249-E249))</f>
        <v>0</v>
      </c>
      <c r="M249" s="7">
        <f>IF(241=Nmois, FVballon, 0)</f>
        <v>0</v>
      </c>
      <c r="N249">
        <f>IF(241&lt;=DiffN, IF(DiffMode="Total (capitalisation)","Différé total","Intérêts seuls"), "Amortissement")</f>
        <v>0</v>
      </c>
    </row>
    <row r="250" spans="2:14">
      <c r="B250" s="11">
        <v>242</v>
      </c>
      <c r="C250" s="6">
        <f>EDATE(Date0,242)</f>
        <v>0</v>
      </c>
      <c r="D250" s="7">
        <f>K249</f>
        <v>0</v>
      </c>
      <c r="E250" s="7">
        <f>C250*i</f>
        <v>0</v>
      </c>
      <c r="F250" s="7">
        <f>IF(N250="Amortissement", F250-D250, 0)</f>
        <v>0</v>
      </c>
      <c r="G250" s="7">
        <f>IF(242&lt;=DiffN, IF(DiffMode="Total (capitalisation)", 0, D250), PMTnom)</f>
        <v>0</v>
      </c>
      <c r="H250" s="7">
        <f>IF(AssType="Sur capital initial (%)", AssTau/12*PNom, IF(AssType="Sur CRD (%)", AssTau/12*C250, IF(AssType="Montant fixe/mois", AssFixe, 0)))</f>
        <v>0</v>
      </c>
      <c r="I250" s="7">
        <f>FraisRec</f>
        <v>0</v>
      </c>
      <c r="J250" s="7">
        <f>F250+G250+H250</f>
        <v>0</v>
      </c>
      <c r="K250" s="7">
        <f>-(I250+L250)</f>
        <v>0</v>
      </c>
      <c r="L250" s="7">
        <f>IF(N250="Différé total", C250+D250, IF(N250="Intérêts seuls", C250, C250-E250))</f>
        <v>0</v>
      </c>
      <c r="M250" s="7">
        <f>IF(242=Nmois, FVballon, 0)</f>
        <v>0</v>
      </c>
      <c r="N250">
        <f>IF(242&lt;=DiffN, IF(DiffMode="Total (capitalisation)","Différé total","Intérêts seuls"), "Amortissement")</f>
        <v>0</v>
      </c>
    </row>
    <row r="251" spans="2:14">
      <c r="B251" s="4">
        <v>243</v>
      </c>
      <c r="C251" s="6">
        <f>EDATE(Date0,243)</f>
        <v>0</v>
      </c>
      <c r="D251" s="7">
        <f>K250</f>
        <v>0</v>
      </c>
      <c r="E251" s="7">
        <f>C251*i</f>
        <v>0</v>
      </c>
      <c r="F251" s="7">
        <f>IF(N251="Amortissement", F251-D251, 0)</f>
        <v>0</v>
      </c>
      <c r="G251" s="7">
        <f>IF(243&lt;=DiffN, IF(DiffMode="Total (capitalisation)", 0, D251), PMTnom)</f>
        <v>0</v>
      </c>
      <c r="H251" s="7">
        <f>IF(AssType="Sur capital initial (%)", AssTau/12*PNom, IF(AssType="Sur CRD (%)", AssTau/12*C251, IF(AssType="Montant fixe/mois", AssFixe, 0)))</f>
        <v>0</v>
      </c>
      <c r="I251" s="7">
        <f>FraisRec</f>
        <v>0</v>
      </c>
      <c r="J251" s="7">
        <f>F251+G251+H251</f>
        <v>0</v>
      </c>
      <c r="K251" s="7">
        <f>-(I251+L251)</f>
        <v>0</v>
      </c>
      <c r="L251" s="7">
        <f>IF(N251="Différé total", C251+D251, IF(N251="Intérêts seuls", C251, C251-E251))</f>
        <v>0</v>
      </c>
      <c r="M251" s="7">
        <f>IF(243=Nmois, FVballon, 0)</f>
        <v>0</v>
      </c>
      <c r="N251">
        <f>IF(243&lt;=DiffN, IF(DiffMode="Total (capitalisation)","Différé total","Intérêts seuls"), "Amortissement")</f>
        <v>0</v>
      </c>
    </row>
    <row r="252" spans="2:14">
      <c r="B252" s="11">
        <v>244</v>
      </c>
      <c r="C252" s="6">
        <f>EDATE(Date0,244)</f>
        <v>0</v>
      </c>
      <c r="D252" s="7">
        <f>K251</f>
        <v>0</v>
      </c>
      <c r="E252" s="7">
        <f>C252*i</f>
        <v>0</v>
      </c>
      <c r="F252" s="7">
        <f>IF(N252="Amortissement", F252-D252, 0)</f>
        <v>0</v>
      </c>
      <c r="G252" s="7">
        <f>IF(244&lt;=DiffN, IF(DiffMode="Total (capitalisation)", 0, D252), PMTnom)</f>
        <v>0</v>
      </c>
      <c r="H252" s="7">
        <f>IF(AssType="Sur capital initial (%)", AssTau/12*PNom, IF(AssType="Sur CRD (%)", AssTau/12*C252, IF(AssType="Montant fixe/mois", AssFixe, 0)))</f>
        <v>0</v>
      </c>
      <c r="I252" s="7">
        <f>FraisRec</f>
        <v>0</v>
      </c>
      <c r="J252" s="7">
        <f>F252+G252+H252</f>
        <v>0</v>
      </c>
      <c r="K252" s="7">
        <f>-(I252+L252)</f>
        <v>0</v>
      </c>
      <c r="L252" s="7">
        <f>IF(N252="Différé total", C252+D252, IF(N252="Intérêts seuls", C252, C252-E252))</f>
        <v>0</v>
      </c>
      <c r="M252" s="7">
        <f>IF(244=Nmois, FVballon, 0)</f>
        <v>0</v>
      </c>
      <c r="N252">
        <f>IF(244&lt;=DiffN, IF(DiffMode="Total (capitalisation)","Différé total","Intérêts seuls"), "Amortissement")</f>
        <v>0</v>
      </c>
    </row>
    <row r="253" spans="2:14">
      <c r="B253" s="4">
        <v>245</v>
      </c>
      <c r="C253" s="6">
        <f>EDATE(Date0,245)</f>
        <v>0</v>
      </c>
      <c r="D253" s="7">
        <f>K252</f>
        <v>0</v>
      </c>
      <c r="E253" s="7">
        <f>C253*i</f>
        <v>0</v>
      </c>
      <c r="F253" s="7">
        <f>IF(N253="Amortissement", F253-D253, 0)</f>
        <v>0</v>
      </c>
      <c r="G253" s="7">
        <f>IF(245&lt;=DiffN, IF(DiffMode="Total (capitalisation)", 0, D253), PMTnom)</f>
        <v>0</v>
      </c>
      <c r="H253" s="7">
        <f>IF(AssType="Sur capital initial (%)", AssTau/12*PNom, IF(AssType="Sur CRD (%)", AssTau/12*C253, IF(AssType="Montant fixe/mois", AssFixe, 0)))</f>
        <v>0</v>
      </c>
      <c r="I253" s="7">
        <f>FraisRec</f>
        <v>0</v>
      </c>
      <c r="J253" s="7">
        <f>F253+G253+H253</f>
        <v>0</v>
      </c>
      <c r="K253" s="7">
        <f>-(I253+L253)</f>
        <v>0</v>
      </c>
      <c r="L253" s="7">
        <f>IF(N253="Différé total", C253+D253, IF(N253="Intérêts seuls", C253, C253-E253))</f>
        <v>0</v>
      </c>
      <c r="M253" s="7">
        <f>IF(245=Nmois, FVballon, 0)</f>
        <v>0</v>
      </c>
      <c r="N253">
        <f>IF(245&lt;=DiffN, IF(DiffMode="Total (capitalisation)","Différé total","Intérêts seuls"), "Amortissement")</f>
        <v>0</v>
      </c>
    </row>
    <row r="254" spans="2:14">
      <c r="B254" s="11">
        <v>246</v>
      </c>
      <c r="C254" s="6">
        <f>EDATE(Date0,246)</f>
        <v>0</v>
      </c>
      <c r="D254" s="7">
        <f>K253</f>
        <v>0</v>
      </c>
      <c r="E254" s="7">
        <f>C254*i</f>
        <v>0</v>
      </c>
      <c r="F254" s="7">
        <f>IF(N254="Amortissement", F254-D254, 0)</f>
        <v>0</v>
      </c>
      <c r="G254" s="7">
        <f>IF(246&lt;=DiffN, IF(DiffMode="Total (capitalisation)", 0, D254), PMTnom)</f>
        <v>0</v>
      </c>
      <c r="H254" s="7">
        <f>IF(AssType="Sur capital initial (%)", AssTau/12*PNom, IF(AssType="Sur CRD (%)", AssTau/12*C254, IF(AssType="Montant fixe/mois", AssFixe, 0)))</f>
        <v>0</v>
      </c>
      <c r="I254" s="7">
        <f>FraisRec</f>
        <v>0</v>
      </c>
      <c r="J254" s="7">
        <f>F254+G254+H254</f>
        <v>0</v>
      </c>
      <c r="K254" s="7">
        <f>-(I254+L254)</f>
        <v>0</v>
      </c>
      <c r="L254" s="7">
        <f>IF(N254="Différé total", C254+D254, IF(N254="Intérêts seuls", C254, C254-E254))</f>
        <v>0</v>
      </c>
      <c r="M254" s="7">
        <f>IF(246=Nmois, FVballon, 0)</f>
        <v>0</v>
      </c>
      <c r="N254">
        <f>IF(246&lt;=DiffN, IF(DiffMode="Total (capitalisation)","Différé total","Intérêts seuls"), "Amortissement")</f>
        <v>0</v>
      </c>
    </row>
    <row r="255" spans="2:14">
      <c r="B255" s="4">
        <v>247</v>
      </c>
      <c r="C255" s="6">
        <f>EDATE(Date0,247)</f>
        <v>0</v>
      </c>
      <c r="D255" s="7">
        <f>K254</f>
        <v>0</v>
      </c>
      <c r="E255" s="7">
        <f>C255*i</f>
        <v>0</v>
      </c>
      <c r="F255" s="7">
        <f>IF(N255="Amortissement", F255-D255, 0)</f>
        <v>0</v>
      </c>
      <c r="G255" s="7">
        <f>IF(247&lt;=DiffN, IF(DiffMode="Total (capitalisation)", 0, D255), PMTnom)</f>
        <v>0</v>
      </c>
      <c r="H255" s="7">
        <f>IF(AssType="Sur capital initial (%)", AssTau/12*PNom, IF(AssType="Sur CRD (%)", AssTau/12*C255, IF(AssType="Montant fixe/mois", AssFixe, 0)))</f>
        <v>0</v>
      </c>
      <c r="I255" s="7">
        <f>FraisRec</f>
        <v>0</v>
      </c>
      <c r="J255" s="7">
        <f>F255+G255+H255</f>
        <v>0</v>
      </c>
      <c r="K255" s="7">
        <f>-(I255+L255)</f>
        <v>0</v>
      </c>
      <c r="L255" s="7">
        <f>IF(N255="Différé total", C255+D255, IF(N255="Intérêts seuls", C255, C255-E255))</f>
        <v>0</v>
      </c>
      <c r="M255" s="7">
        <f>IF(247=Nmois, FVballon, 0)</f>
        <v>0</v>
      </c>
      <c r="N255">
        <f>IF(247&lt;=DiffN, IF(DiffMode="Total (capitalisation)","Différé total","Intérêts seuls"), "Amortissement")</f>
        <v>0</v>
      </c>
    </row>
    <row r="256" spans="2:14">
      <c r="B256" s="11">
        <v>248</v>
      </c>
      <c r="C256" s="6">
        <f>EDATE(Date0,248)</f>
        <v>0</v>
      </c>
      <c r="D256" s="7">
        <f>K255</f>
        <v>0</v>
      </c>
      <c r="E256" s="7">
        <f>C256*i</f>
        <v>0</v>
      </c>
      <c r="F256" s="7">
        <f>IF(N256="Amortissement", F256-D256, 0)</f>
        <v>0</v>
      </c>
      <c r="G256" s="7">
        <f>IF(248&lt;=DiffN, IF(DiffMode="Total (capitalisation)", 0, D256), PMTnom)</f>
        <v>0</v>
      </c>
      <c r="H256" s="7">
        <f>IF(AssType="Sur capital initial (%)", AssTau/12*PNom, IF(AssType="Sur CRD (%)", AssTau/12*C256, IF(AssType="Montant fixe/mois", AssFixe, 0)))</f>
        <v>0</v>
      </c>
      <c r="I256" s="7">
        <f>FraisRec</f>
        <v>0</v>
      </c>
      <c r="J256" s="7">
        <f>F256+G256+H256</f>
        <v>0</v>
      </c>
      <c r="K256" s="7">
        <f>-(I256+L256)</f>
        <v>0</v>
      </c>
      <c r="L256" s="7">
        <f>IF(N256="Différé total", C256+D256, IF(N256="Intérêts seuls", C256, C256-E256))</f>
        <v>0</v>
      </c>
      <c r="M256" s="7">
        <f>IF(248=Nmois, FVballon, 0)</f>
        <v>0</v>
      </c>
      <c r="N256">
        <f>IF(248&lt;=DiffN, IF(DiffMode="Total (capitalisation)","Différé total","Intérêts seuls"), "Amortissement")</f>
        <v>0</v>
      </c>
    </row>
    <row r="257" spans="2:14">
      <c r="B257" s="4">
        <v>249</v>
      </c>
      <c r="C257" s="6">
        <f>EDATE(Date0,249)</f>
        <v>0</v>
      </c>
      <c r="D257" s="7">
        <f>K256</f>
        <v>0</v>
      </c>
      <c r="E257" s="7">
        <f>C257*i</f>
        <v>0</v>
      </c>
      <c r="F257" s="7">
        <f>IF(N257="Amortissement", F257-D257, 0)</f>
        <v>0</v>
      </c>
      <c r="G257" s="7">
        <f>IF(249&lt;=DiffN, IF(DiffMode="Total (capitalisation)", 0, D257), PMTnom)</f>
        <v>0</v>
      </c>
      <c r="H257" s="7">
        <f>IF(AssType="Sur capital initial (%)", AssTau/12*PNom, IF(AssType="Sur CRD (%)", AssTau/12*C257, IF(AssType="Montant fixe/mois", AssFixe, 0)))</f>
        <v>0</v>
      </c>
      <c r="I257" s="7">
        <f>FraisRec</f>
        <v>0</v>
      </c>
      <c r="J257" s="7">
        <f>F257+G257+H257</f>
        <v>0</v>
      </c>
      <c r="K257" s="7">
        <f>-(I257+L257)</f>
        <v>0</v>
      </c>
      <c r="L257" s="7">
        <f>IF(N257="Différé total", C257+D257, IF(N257="Intérêts seuls", C257, C257-E257))</f>
        <v>0</v>
      </c>
      <c r="M257" s="7">
        <f>IF(249=Nmois, FVballon, 0)</f>
        <v>0</v>
      </c>
      <c r="N257">
        <f>IF(249&lt;=DiffN, IF(DiffMode="Total (capitalisation)","Différé total","Intérêts seuls"), "Amortissement")</f>
        <v>0</v>
      </c>
    </row>
    <row r="258" spans="2:14">
      <c r="B258" s="11">
        <v>250</v>
      </c>
      <c r="C258" s="6">
        <f>EDATE(Date0,250)</f>
        <v>0</v>
      </c>
      <c r="D258" s="7">
        <f>K257</f>
        <v>0</v>
      </c>
      <c r="E258" s="7">
        <f>C258*i</f>
        <v>0</v>
      </c>
      <c r="F258" s="7">
        <f>IF(N258="Amortissement", F258-D258, 0)</f>
        <v>0</v>
      </c>
      <c r="G258" s="7">
        <f>IF(250&lt;=DiffN, IF(DiffMode="Total (capitalisation)", 0, D258), PMTnom)</f>
        <v>0</v>
      </c>
      <c r="H258" s="7">
        <f>IF(AssType="Sur capital initial (%)", AssTau/12*PNom, IF(AssType="Sur CRD (%)", AssTau/12*C258, IF(AssType="Montant fixe/mois", AssFixe, 0)))</f>
        <v>0</v>
      </c>
      <c r="I258" s="7">
        <f>FraisRec</f>
        <v>0</v>
      </c>
      <c r="J258" s="7">
        <f>F258+G258+H258</f>
        <v>0</v>
      </c>
      <c r="K258" s="7">
        <f>-(I258+L258)</f>
        <v>0</v>
      </c>
      <c r="L258" s="7">
        <f>IF(N258="Différé total", C258+D258, IF(N258="Intérêts seuls", C258, C258-E258))</f>
        <v>0</v>
      </c>
      <c r="M258" s="7">
        <f>IF(250=Nmois, FVballon, 0)</f>
        <v>0</v>
      </c>
      <c r="N258">
        <f>IF(250&lt;=DiffN, IF(DiffMode="Total (capitalisation)","Différé total","Intérêts seuls"), "Amortissement")</f>
        <v>0</v>
      </c>
    </row>
    <row r="259" spans="2:14">
      <c r="B259" s="4">
        <v>251</v>
      </c>
      <c r="C259" s="6">
        <f>EDATE(Date0,251)</f>
        <v>0</v>
      </c>
      <c r="D259" s="7">
        <f>K258</f>
        <v>0</v>
      </c>
      <c r="E259" s="7">
        <f>C259*i</f>
        <v>0</v>
      </c>
      <c r="F259" s="7">
        <f>IF(N259="Amortissement", F259-D259, 0)</f>
        <v>0</v>
      </c>
      <c r="G259" s="7">
        <f>IF(251&lt;=DiffN, IF(DiffMode="Total (capitalisation)", 0, D259), PMTnom)</f>
        <v>0</v>
      </c>
      <c r="H259" s="7">
        <f>IF(AssType="Sur capital initial (%)", AssTau/12*PNom, IF(AssType="Sur CRD (%)", AssTau/12*C259, IF(AssType="Montant fixe/mois", AssFixe, 0)))</f>
        <v>0</v>
      </c>
      <c r="I259" s="7">
        <f>FraisRec</f>
        <v>0</v>
      </c>
      <c r="J259" s="7">
        <f>F259+G259+H259</f>
        <v>0</v>
      </c>
      <c r="K259" s="7">
        <f>-(I259+L259)</f>
        <v>0</v>
      </c>
      <c r="L259" s="7">
        <f>IF(N259="Différé total", C259+D259, IF(N259="Intérêts seuls", C259, C259-E259))</f>
        <v>0</v>
      </c>
      <c r="M259" s="7">
        <f>IF(251=Nmois, FVballon, 0)</f>
        <v>0</v>
      </c>
      <c r="N259">
        <f>IF(251&lt;=DiffN, IF(DiffMode="Total (capitalisation)","Différé total","Intérêts seuls"), "Amortissement")</f>
        <v>0</v>
      </c>
    </row>
    <row r="260" spans="2:14">
      <c r="B260" s="11">
        <v>252</v>
      </c>
      <c r="C260" s="6">
        <f>EDATE(Date0,252)</f>
        <v>0</v>
      </c>
      <c r="D260" s="7">
        <f>K259</f>
        <v>0</v>
      </c>
      <c r="E260" s="7">
        <f>C260*i</f>
        <v>0</v>
      </c>
      <c r="F260" s="7">
        <f>IF(N260="Amortissement", F260-D260, 0)</f>
        <v>0</v>
      </c>
      <c r="G260" s="7">
        <f>IF(252&lt;=DiffN, IF(DiffMode="Total (capitalisation)", 0, D260), PMTnom)</f>
        <v>0</v>
      </c>
      <c r="H260" s="7">
        <f>IF(AssType="Sur capital initial (%)", AssTau/12*PNom, IF(AssType="Sur CRD (%)", AssTau/12*C260, IF(AssType="Montant fixe/mois", AssFixe, 0)))</f>
        <v>0</v>
      </c>
      <c r="I260" s="7">
        <f>FraisRec</f>
        <v>0</v>
      </c>
      <c r="J260" s="7">
        <f>F260+G260+H260</f>
        <v>0</v>
      </c>
      <c r="K260" s="7">
        <f>-(I260+L260)</f>
        <v>0</v>
      </c>
      <c r="L260" s="7">
        <f>IF(N260="Différé total", C260+D260, IF(N260="Intérêts seuls", C260, C260-E260))</f>
        <v>0</v>
      </c>
      <c r="M260" s="7">
        <f>IF(252=Nmois, FVballon, 0)</f>
        <v>0</v>
      </c>
      <c r="N260">
        <f>IF(252&lt;=DiffN, IF(DiffMode="Total (capitalisation)","Différé total","Intérêts seuls"), "Amortissement")</f>
        <v>0</v>
      </c>
    </row>
    <row r="261" spans="2:14">
      <c r="B261" s="4">
        <v>253</v>
      </c>
      <c r="C261" s="6">
        <f>EDATE(Date0,253)</f>
        <v>0</v>
      </c>
      <c r="D261" s="7">
        <f>K260</f>
        <v>0</v>
      </c>
      <c r="E261" s="7">
        <f>C261*i</f>
        <v>0</v>
      </c>
      <c r="F261" s="7">
        <f>IF(N261="Amortissement", F261-D261, 0)</f>
        <v>0</v>
      </c>
      <c r="G261" s="7">
        <f>IF(253&lt;=DiffN, IF(DiffMode="Total (capitalisation)", 0, D261), PMTnom)</f>
        <v>0</v>
      </c>
      <c r="H261" s="7">
        <f>IF(AssType="Sur capital initial (%)", AssTau/12*PNom, IF(AssType="Sur CRD (%)", AssTau/12*C261, IF(AssType="Montant fixe/mois", AssFixe, 0)))</f>
        <v>0</v>
      </c>
      <c r="I261" s="7">
        <f>FraisRec</f>
        <v>0</v>
      </c>
      <c r="J261" s="7">
        <f>F261+G261+H261</f>
        <v>0</v>
      </c>
      <c r="K261" s="7">
        <f>-(I261+L261)</f>
        <v>0</v>
      </c>
      <c r="L261" s="7">
        <f>IF(N261="Différé total", C261+D261, IF(N261="Intérêts seuls", C261, C261-E261))</f>
        <v>0</v>
      </c>
      <c r="M261" s="7">
        <f>IF(253=Nmois, FVballon, 0)</f>
        <v>0</v>
      </c>
      <c r="N261">
        <f>IF(253&lt;=DiffN, IF(DiffMode="Total (capitalisation)","Différé total","Intérêts seuls"), "Amortissement")</f>
        <v>0</v>
      </c>
    </row>
    <row r="262" spans="2:14">
      <c r="B262" s="11">
        <v>254</v>
      </c>
      <c r="C262" s="6">
        <f>EDATE(Date0,254)</f>
        <v>0</v>
      </c>
      <c r="D262" s="7">
        <f>K261</f>
        <v>0</v>
      </c>
      <c r="E262" s="7">
        <f>C262*i</f>
        <v>0</v>
      </c>
      <c r="F262" s="7">
        <f>IF(N262="Amortissement", F262-D262, 0)</f>
        <v>0</v>
      </c>
      <c r="G262" s="7">
        <f>IF(254&lt;=DiffN, IF(DiffMode="Total (capitalisation)", 0, D262), PMTnom)</f>
        <v>0</v>
      </c>
      <c r="H262" s="7">
        <f>IF(AssType="Sur capital initial (%)", AssTau/12*PNom, IF(AssType="Sur CRD (%)", AssTau/12*C262, IF(AssType="Montant fixe/mois", AssFixe, 0)))</f>
        <v>0</v>
      </c>
      <c r="I262" s="7">
        <f>FraisRec</f>
        <v>0</v>
      </c>
      <c r="J262" s="7">
        <f>F262+G262+H262</f>
        <v>0</v>
      </c>
      <c r="K262" s="7">
        <f>-(I262+L262)</f>
        <v>0</v>
      </c>
      <c r="L262" s="7">
        <f>IF(N262="Différé total", C262+D262, IF(N262="Intérêts seuls", C262, C262-E262))</f>
        <v>0</v>
      </c>
      <c r="M262" s="7">
        <f>IF(254=Nmois, FVballon, 0)</f>
        <v>0</v>
      </c>
      <c r="N262">
        <f>IF(254&lt;=DiffN, IF(DiffMode="Total (capitalisation)","Différé total","Intérêts seuls"), "Amortissement")</f>
        <v>0</v>
      </c>
    </row>
    <row r="263" spans="2:14">
      <c r="B263" s="4">
        <v>255</v>
      </c>
      <c r="C263" s="6">
        <f>EDATE(Date0,255)</f>
        <v>0</v>
      </c>
      <c r="D263" s="7">
        <f>K262</f>
        <v>0</v>
      </c>
      <c r="E263" s="7">
        <f>C263*i</f>
        <v>0</v>
      </c>
      <c r="F263" s="7">
        <f>IF(N263="Amortissement", F263-D263, 0)</f>
        <v>0</v>
      </c>
      <c r="G263" s="7">
        <f>IF(255&lt;=DiffN, IF(DiffMode="Total (capitalisation)", 0, D263), PMTnom)</f>
        <v>0</v>
      </c>
      <c r="H263" s="7">
        <f>IF(AssType="Sur capital initial (%)", AssTau/12*PNom, IF(AssType="Sur CRD (%)", AssTau/12*C263, IF(AssType="Montant fixe/mois", AssFixe, 0)))</f>
        <v>0</v>
      </c>
      <c r="I263" s="7">
        <f>FraisRec</f>
        <v>0</v>
      </c>
      <c r="J263" s="7">
        <f>F263+G263+H263</f>
        <v>0</v>
      </c>
      <c r="K263" s="7">
        <f>-(I263+L263)</f>
        <v>0</v>
      </c>
      <c r="L263" s="7">
        <f>IF(N263="Différé total", C263+D263, IF(N263="Intérêts seuls", C263, C263-E263))</f>
        <v>0</v>
      </c>
      <c r="M263" s="7">
        <f>IF(255=Nmois, FVballon, 0)</f>
        <v>0</v>
      </c>
      <c r="N263">
        <f>IF(255&lt;=DiffN, IF(DiffMode="Total (capitalisation)","Différé total","Intérêts seuls"), "Amortissement")</f>
        <v>0</v>
      </c>
    </row>
    <row r="264" spans="2:14">
      <c r="B264" s="11">
        <v>256</v>
      </c>
      <c r="C264" s="6">
        <f>EDATE(Date0,256)</f>
        <v>0</v>
      </c>
      <c r="D264" s="7">
        <f>K263</f>
        <v>0</v>
      </c>
      <c r="E264" s="7">
        <f>C264*i</f>
        <v>0</v>
      </c>
      <c r="F264" s="7">
        <f>IF(N264="Amortissement", F264-D264, 0)</f>
        <v>0</v>
      </c>
      <c r="G264" s="7">
        <f>IF(256&lt;=DiffN, IF(DiffMode="Total (capitalisation)", 0, D264), PMTnom)</f>
        <v>0</v>
      </c>
      <c r="H264" s="7">
        <f>IF(AssType="Sur capital initial (%)", AssTau/12*PNom, IF(AssType="Sur CRD (%)", AssTau/12*C264, IF(AssType="Montant fixe/mois", AssFixe, 0)))</f>
        <v>0</v>
      </c>
      <c r="I264" s="7">
        <f>FraisRec</f>
        <v>0</v>
      </c>
      <c r="J264" s="7">
        <f>F264+G264+H264</f>
        <v>0</v>
      </c>
      <c r="K264" s="7">
        <f>-(I264+L264)</f>
        <v>0</v>
      </c>
      <c r="L264" s="7">
        <f>IF(N264="Différé total", C264+D264, IF(N264="Intérêts seuls", C264, C264-E264))</f>
        <v>0</v>
      </c>
      <c r="M264" s="7">
        <f>IF(256=Nmois, FVballon, 0)</f>
        <v>0</v>
      </c>
      <c r="N264">
        <f>IF(256&lt;=DiffN, IF(DiffMode="Total (capitalisation)","Différé total","Intérêts seuls"), "Amortissement")</f>
        <v>0</v>
      </c>
    </row>
    <row r="265" spans="2:14">
      <c r="B265" s="4">
        <v>257</v>
      </c>
      <c r="C265" s="6">
        <f>EDATE(Date0,257)</f>
        <v>0</v>
      </c>
      <c r="D265" s="7">
        <f>K264</f>
        <v>0</v>
      </c>
      <c r="E265" s="7">
        <f>C265*i</f>
        <v>0</v>
      </c>
      <c r="F265" s="7">
        <f>IF(N265="Amortissement", F265-D265, 0)</f>
        <v>0</v>
      </c>
      <c r="G265" s="7">
        <f>IF(257&lt;=DiffN, IF(DiffMode="Total (capitalisation)", 0, D265), PMTnom)</f>
        <v>0</v>
      </c>
      <c r="H265" s="7">
        <f>IF(AssType="Sur capital initial (%)", AssTau/12*PNom, IF(AssType="Sur CRD (%)", AssTau/12*C265, IF(AssType="Montant fixe/mois", AssFixe, 0)))</f>
        <v>0</v>
      </c>
      <c r="I265" s="7">
        <f>FraisRec</f>
        <v>0</v>
      </c>
      <c r="J265" s="7">
        <f>F265+G265+H265</f>
        <v>0</v>
      </c>
      <c r="K265" s="7">
        <f>-(I265+L265)</f>
        <v>0</v>
      </c>
      <c r="L265" s="7">
        <f>IF(N265="Différé total", C265+D265, IF(N265="Intérêts seuls", C265, C265-E265))</f>
        <v>0</v>
      </c>
      <c r="M265" s="7">
        <f>IF(257=Nmois, FVballon, 0)</f>
        <v>0</v>
      </c>
      <c r="N265">
        <f>IF(257&lt;=DiffN, IF(DiffMode="Total (capitalisation)","Différé total","Intérêts seuls"), "Amortissement")</f>
        <v>0</v>
      </c>
    </row>
    <row r="266" spans="2:14">
      <c r="B266" s="11">
        <v>258</v>
      </c>
      <c r="C266" s="6">
        <f>EDATE(Date0,258)</f>
        <v>0</v>
      </c>
      <c r="D266" s="7">
        <f>K265</f>
        <v>0</v>
      </c>
      <c r="E266" s="7">
        <f>C266*i</f>
        <v>0</v>
      </c>
      <c r="F266" s="7">
        <f>IF(N266="Amortissement", F266-D266, 0)</f>
        <v>0</v>
      </c>
      <c r="G266" s="7">
        <f>IF(258&lt;=DiffN, IF(DiffMode="Total (capitalisation)", 0, D266), PMTnom)</f>
        <v>0</v>
      </c>
      <c r="H266" s="7">
        <f>IF(AssType="Sur capital initial (%)", AssTau/12*PNom, IF(AssType="Sur CRD (%)", AssTau/12*C266, IF(AssType="Montant fixe/mois", AssFixe, 0)))</f>
        <v>0</v>
      </c>
      <c r="I266" s="7">
        <f>FraisRec</f>
        <v>0</v>
      </c>
      <c r="J266" s="7">
        <f>F266+G266+H266</f>
        <v>0</v>
      </c>
      <c r="K266" s="7">
        <f>-(I266+L266)</f>
        <v>0</v>
      </c>
      <c r="L266" s="7">
        <f>IF(N266="Différé total", C266+D266, IF(N266="Intérêts seuls", C266, C266-E266))</f>
        <v>0</v>
      </c>
      <c r="M266" s="7">
        <f>IF(258=Nmois, FVballon, 0)</f>
        <v>0</v>
      </c>
      <c r="N266">
        <f>IF(258&lt;=DiffN, IF(DiffMode="Total (capitalisation)","Différé total","Intérêts seuls"), "Amortissement")</f>
        <v>0</v>
      </c>
    </row>
    <row r="267" spans="2:14">
      <c r="B267" s="4">
        <v>259</v>
      </c>
      <c r="C267" s="6">
        <f>EDATE(Date0,259)</f>
        <v>0</v>
      </c>
      <c r="D267" s="7">
        <f>K266</f>
        <v>0</v>
      </c>
      <c r="E267" s="7">
        <f>C267*i</f>
        <v>0</v>
      </c>
      <c r="F267" s="7">
        <f>IF(N267="Amortissement", F267-D267, 0)</f>
        <v>0</v>
      </c>
      <c r="G267" s="7">
        <f>IF(259&lt;=DiffN, IF(DiffMode="Total (capitalisation)", 0, D267), PMTnom)</f>
        <v>0</v>
      </c>
      <c r="H267" s="7">
        <f>IF(AssType="Sur capital initial (%)", AssTau/12*PNom, IF(AssType="Sur CRD (%)", AssTau/12*C267, IF(AssType="Montant fixe/mois", AssFixe, 0)))</f>
        <v>0</v>
      </c>
      <c r="I267" s="7">
        <f>FraisRec</f>
        <v>0</v>
      </c>
      <c r="J267" s="7">
        <f>F267+G267+H267</f>
        <v>0</v>
      </c>
      <c r="K267" s="7">
        <f>-(I267+L267)</f>
        <v>0</v>
      </c>
      <c r="L267" s="7">
        <f>IF(N267="Différé total", C267+D267, IF(N267="Intérêts seuls", C267, C267-E267))</f>
        <v>0</v>
      </c>
      <c r="M267" s="7">
        <f>IF(259=Nmois, FVballon, 0)</f>
        <v>0</v>
      </c>
      <c r="N267">
        <f>IF(259&lt;=DiffN, IF(DiffMode="Total (capitalisation)","Différé total","Intérêts seuls"), "Amortissement")</f>
        <v>0</v>
      </c>
    </row>
    <row r="268" spans="2:14">
      <c r="B268" s="11">
        <v>260</v>
      </c>
      <c r="C268" s="6">
        <f>EDATE(Date0,260)</f>
        <v>0</v>
      </c>
      <c r="D268" s="7">
        <f>K267</f>
        <v>0</v>
      </c>
      <c r="E268" s="7">
        <f>C268*i</f>
        <v>0</v>
      </c>
      <c r="F268" s="7">
        <f>IF(N268="Amortissement", F268-D268, 0)</f>
        <v>0</v>
      </c>
      <c r="G268" s="7">
        <f>IF(260&lt;=DiffN, IF(DiffMode="Total (capitalisation)", 0, D268), PMTnom)</f>
        <v>0</v>
      </c>
      <c r="H268" s="7">
        <f>IF(AssType="Sur capital initial (%)", AssTau/12*PNom, IF(AssType="Sur CRD (%)", AssTau/12*C268, IF(AssType="Montant fixe/mois", AssFixe, 0)))</f>
        <v>0</v>
      </c>
      <c r="I268" s="7">
        <f>FraisRec</f>
        <v>0</v>
      </c>
      <c r="J268" s="7">
        <f>F268+G268+H268</f>
        <v>0</v>
      </c>
      <c r="K268" s="7">
        <f>-(I268+L268)</f>
        <v>0</v>
      </c>
      <c r="L268" s="7">
        <f>IF(N268="Différé total", C268+D268, IF(N268="Intérêts seuls", C268, C268-E268))</f>
        <v>0</v>
      </c>
      <c r="M268" s="7">
        <f>IF(260=Nmois, FVballon, 0)</f>
        <v>0</v>
      </c>
      <c r="N268">
        <f>IF(260&lt;=DiffN, IF(DiffMode="Total (capitalisation)","Différé total","Intérêts seuls"), "Amortissement")</f>
        <v>0</v>
      </c>
    </row>
    <row r="269" spans="2:14">
      <c r="B269" s="4">
        <v>261</v>
      </c>
      <c r="C269" s="6">
        <f>EDATE(Date0,261)</f>
        <v>0</v>
      </c>
      <c r="D269" s="7">
        <f>K268</f>
        <v>0</v>
      </c>
      <c r="E269" s="7">
        <f>C269*i</f>
        <v>0</v>
      </c>
      <c r="F269" s="7">
        <f>IF(N269="Amortissement", F269-D269, 0)</f>
        <v>0</v>
      </c>
      <c r="G269" s="7">
        <f>IF(261&lt;=DiffN, IF(DiffMode="Total (capitalisation)", 0, D269), PMTnom)</f>
        <v>0</v>
      </c>
      <c r="H269" s="7">
        <f>IF(AssType="Sur capital initial (%)", AssTau/12*PNom, IF(AssType="Sur CRD (%)", AssTau/12*C269, IF(AssType="Montant fixe/mois", AssFixe, 0)))</f>
        <v>0</v>
      </c>
      <c r="I269" s="7">
        <f>FraisRec</f>
        <v>0</v>
      </c>
      <c r="J269" s="7">
        <f>F269+G269+H269</f>
        <v>0</v>
      </c>
      <c r="K269" s="7">
        <f>-(I269+L269)</f>
        <v>0</v>
      </c>
      <c r="L269" s="7">
        <f>IF(N269="Différé total", C269+D269, IF(N269="Intérêts seuls", C269, C269-E269))</f>
        <v>0</v>
      </c>
      <c r="M269" s="7">
        <f>IF(261=Nmois, FVballon, 0)</f>
        <v>0</v>
      </c>
      <c r="N269">
        <f>IF(261&lt;=DiffN, IF(DiffMode="Total (capitalisation)","Différé total","Intérêts seuls"), "Amortissement")</f>
        <v>0</v>
      </c>
    </row>
    <row r="270" spans="2:14">
      <c r="B270" s="11">
        <v>262</v>
      </c>
      <c r="C270" s="6">
        <f>EDATE(Date0,262)</f>
        <v>0</v>
      </c>
      <c r="D270" s="7">
        <f>K269</f>
        <v>0</v>
      </c>
      <c r="E270" s="7">
        <f>C270*i</f>
        <v>0</v>
      </c>
      <c r="F270" s="7">
        <f>IF(N270="Amortissement", F270-D270, 0)</f>
        <v>0</v>
      </c>
      <c r="G270" s="7">
        <f>IF(262&lt;=DiffN, IF(DiffMode="Total (capitalisation)", 0, D270), PMTnom)</f>
        <v>0</v>
      </c>
      <c r="H270" s="7">
        <f>IF(AssType="Sur capital initial (%)", AssTau/12*PNom, IF(AssType="Sur CRD (%)", AssTau/12*C270, IF(AssType="Montant fixe/mois", AssFixe, 0)))</f>
        <v>0</v>
      </c>
      <c r="I270" s="7">
        <f>FraisRec</f>
        <v>0</v>
      </c>
      <c r="J270" s="7">
        <f>F270+G270+H270</f>
        <v>0</v>
      </c>
      <c r="K270" s="7">
        <f>-(I270+L270)</f>
        <v>0</v>
      </c>
      <c r="L270" s="7">
        <f>IF(N270="Différé total", C270+D270, IF(N270="Intérêts seuls", C270, C270-E270))</f>
        <v>0</v>
      </c>
      <c r="M270" s="7">
        <f>IF(262=Nmois, FVballon, 0)</f>
        <v>0</v>
      </c>
      <c r="N270">
        <f>IF(262&lt;=DiffN, IF(DiffMode="Total (capitalisation)","Différé total","Intérêts seuls"), "Amortissement")</f>
        <v>0</v>
      </c>
    </row>
    <row r="271" spans="2:14">
      <c r="B271" s="4">
        <v>263</v>
      </c>
      <c r="C271" s="6">
        <f>EDATE(Date0,263)</f>
        <v>0</v>
      </c>
      <c r="D271" s="7">
        <f>K270</f>
        <v>0</v>
      </c>
      <c r="E271" s="7">
        <f>C271*i</f>
        <v>0</v>
      </c>
      <c r="F271" s="7">
        <f>IF(N271="Amortissement", F271-D271, 0)</f>
        <v>0</v>
      </c>
      <c r="G271" s="7">
        <f>IF(263&lt;=DiffN, IF(DiffMode="Total (capitalisation)", 0, D271), PMTnom)</f>
        <v>0</v>
      </c>
      <c r="H271" s="7">
        <f>IF(AssType="Sur capital initial (%)", AssTau/12*PNom, IF(AssType="Sur CRD (%)", AssTau/12*C271, IF(AssType="Montant fixe/mois", AssFixe, 0)))</f>
        <v>0</v>
      </c>
      <c r="I271" s="7">
        <f>FraisRec</f>
        <v>0</v>
      </c>
      <c r="J271" s="7">
        <f>F271+G271+H271</f>
        <v>0</v>
      </c>
      <c r="K271" s="7">
        <f>-(I271+L271)</f>
        <v>0</v>
      </c>
      <c r="L271" s="7">
        <f>IF(N271="Différé total", C271+D271, IF(N271="Intérêts seuls", C271, C271-E271))</f>
        <v>0</v>
      </c>
      <c r="M271" s="7">
        <f>IF(263=Nmois, FVballon, 0)</f>
        <v>0</v>
      </c>
      <c r="N271">
        <f>IF(263&lt;=DiffN, IF(DiffMode="Total (capitalisation)","Différé total","Intérêts seuls"), "Amortissement")</f>
        <v>0</v>
      </c>
    </row>
    <row r="272" spans="2:14">
      <c r="B272" s="11">
        <v>264</v>
      </c>
      <c r="C272" s="6">
        <f>EDATE(Date0,264)</f>
        <v>0</v>
      </c>
      <c r="D272" s="7">
        <f>K271</f>
        <v>0</v>
      </c>
      <c r="E272" s="7">
        <f>C272*i</f>
        <v>0</v>
      </c>
      <c r="F272" s="7">
        <f>IF(N272="Amortissement", F272-D272, 0)</f>
        <v>0</v>
      </c>
      <c r="G272" s="7">
        <f>IF(264&lt;=DiffN, IF(DiffMode="Total (capitalisation)", 0, D272), PMTnom)</f>
        <v>0</v>
      </c>
      <c r="H272" s="7">
        <f>IF(AssType="Sur capital initial (%)", AssTau/12*PNom, IF(AssType="Sur CRD (%)", AssTau/12*C272, IF(AssType="Montant fixe/mois", AssFixe, 0)))</f>
        <v>0</v>
      </c>
      <c r="I272" s="7">
        <f>FraisRec</f>
        <v>0</v>
      </c>
      <c r="J272" s="7">
        <f>F272+G272+H272</f>
        <v>0</v>
      </c>
      <c r="K272" s="7">
        <f>-(I272+L272)</f>
        <v>0</v>
      </c>
      <c r="L272" s="7">
        <f>IF(N272="Différé total", C272+D272, IF(N272="Intérêts seuls", C272, C272-E272))</f>
        <v>0</v>
      </c>
      <c r="M272" s="7">
        <f>IF(264=Nmois, FVballon, 0)</f>
        <v>0</v>
      </c>
      <c r="N272">
        <f>IF(264&lt;=DiffN, IF(DiffMode="Total (capitalisation)","Différé total","Intérêts seuls"), "Amortissement")</f>
        <v>0</v>
      </c>
    </row>
    <row r="273" spans="2:14">
      <c r="B273" s="4">
        <v>265</v>
      </c>
      <c r="C273" s="6">
        <f>EDATE(Date0,265)</f>
        <v>0</v>
      </c>
      <c r="D273" s="7">
        <f>K272</f>
        <v>0</v>
      </c>
      <c r="E273" s="7">
        <f>C273*i</f>
        <v>0</v>
      </c>
      <c r="F273" s="7">
        <f>IF(N273="Amortissement", F273-D273, 0)</f>
        <v>0</v>
      </c>
      <c r="G273" s="7">
        <f>IF(265&lt;=DiffN, IF(DiffMode="Total (capitalisation)", 0, D273), PMTnom)</f>
        <v>0</v>
      </c>
      <c r="H273" s="7">
        <f>IF(AssType="Sur capital initial (%)", AssTau/12*PNom, IF(AssType="Sur CRD (%)", AssTau/12*C273, IF(AssType="Montant fixe/mois", AssFixe, 0)))</f>
        <v>0</v>
      </c>
      <c r="I273" s="7">
        <f>FraisRec</f>
        <v>0</v>
      </c>
      <c r="J273" s="7">
        <f>F273+G273+H273</f>
        <v>0</v>
      </c>
      <c r="K273" s="7">
        <f>-(I273+L273)</f>
        <v>0</v>
      </c>
      <c r="L273" s="7">
        <f>IF(N273="Différé total", C273+D273, IF(N273="Intérêts seuls", C273, C273-E273))</f>
        <v>0</v>
      </c>
      <c r="M273" s="7">
        <f>IF(265=Nmois, FVballon, 0)</f>
        <v>0</v>
      </c>
      <c r="N273">
        <f>IF(265&lt;=DiffN, IF(DiffMode="Total (capitalisation)","Différé total","Intérêts seuls"), "Amortissement")</f>
        <v>0</v>
      </c>
    </row>
    <row r="274" spans="2:14">
      <c r="B274" s="11">
        <v>266</v>
      </c>
      <c r="C274" s="6">
        <f>EDATE(Date0,266)</f>
        <v>0</v>
      </c>
      <c r="D274" s="7">
        <f>K273</f>
        <v>0</v>
      </c>
      <c r="E274" s="7">
        <f>C274*i</f>
        <v>0</v>
      </c>
      <c r="F274" s="7">
        <f>IF(N274="Amortissement", F274-D274, 0)</f>
        <v>0</v>
      </c>
      <c r="G274" s="7">
        <f>IF(266&lt;=DiffN, IF(DiffMode="Total (capitalisation)", 0, D274), PMTnom)</f>
        <v>0</v>
      </c>
      <c r="H274" s="7">
        <f>IF(AssType="Sur capital initial (%)", AssTau/12*PNom, IF(AssType="Sur CRD (%)", AssTau/12*C274, IF(AssType="Montant fixe/mois", AssFixe, 0)))</f>
        <v>0</v>
      </c>
      <c r="I274" s="7">
        <f>FraisRec</f>
        <v>0</v>
      </c>
      <c r="J274" s="7">
        <f>F274+G274+H274</f>
        <v>0</v>
      </c>
      <c r="K274" s="7">
        <f>-(I274+L274)</f>
        <v>0</v>
      </c>
      <c r="L274" s="7">
        <f>IF(N274="Différé total", C274+D274, IF(N274="Intérêts seuls", C274, C274-E274))</f>
        <v>0</v>
      </c>
      <c r="M274" s="7">
        <f>IF(266=Nmois, FVballon, 0)</f>
        <v>0</v>
      </c>
      <c r="N274">
        <f>IF(266&lt;=DiffN, IF(DiffMode="Total (capitalisation)","Différé total","Intérêts seuls"), "Amortissement")</f>
        <v>0</v>
      </c>
    </row>
    <row r="275" spans="2:14">
      <c r="B275" s="4">
        <v>267</v>
      </c>
      <c r="C275" s="6">
        <f>EDATE(Date0,267)</f>
        <v>0</v>
      </c>
      <c r="D275" s="7">
        <f>K274</f>
        <v>0</v>
      </c>
      <c r="E275" s="7">
        <f>C275*i</f>
        <v>0</v>
      </c>
      <c r="F275" s="7">
        <f>IF(N275="Amortissement", F275-D275, 0)</f>
        <v>0</v>
      </c>
      <c r="G275" s="7">
        <f>IF(267&lt;=DiffN, IF(DiffMode="Total (capitalisation)", 0, D275), PMTnom)</f>
        <v>0</v>
      </c>
      <c r="H275" s="7">
        <f>IF(AssType="Sur capital initial (%)", AssTau/12*PNom, IF(AssType="Sur CRD (%)", AssTau/12*C275, IF(AssType="Montant fixe/mois", AssFixe, 0)))</f>
        <v>0</v>
      </c>
      <c r="I275" s="7">
        <f>FraisRec</f>
        <v>0</v>
      </c>
      <c r="J275" s="7">
        <f>F275+G275+H275</f>
        <v>0</v>
      </c>
      <c r="K275" s="7">
        <f>-(I275+L275)</f>
        <v>0</v>
      </c>
      <c r="L275" s="7">
        <f>IF(N275="Différé total", C275+D275, IF(N275="Intérêts seuls", C275, C275-E275))</f>
        <v>0</v>
      </c>
      <c r="M275" s="7">
        <f>IF(267=Nmois, FVballon, 0)</f>
        <v>0</v>
      </c>
      <c r="N275">
        <f>IF(267&lt;=DiffN, IF(DiffMode="Total (capitalisation)","Différé total","Intérêts seuls"), "Amortissement")</f>
        <v>0</v>
      </c>
    </row>
    <row r="276" spans="2:14">
      <c r="B276" s="11">
        <v>268</v>
      </c>
      <c r="C276" s="6">
        <f>EDATE(Date0,268)</f>
        <v>0</v>
      </c>
      <c r="D276" s="7">
        <f>K275</f>
        <v>0</v>
      </c>
      <c r="E276" s="7">
        <f>C276*i</f>
        <v>0</v>
      </c>
      <c r="F276" s="7">
        <f>IF(N276="Amortissement", F276-D276, 0)</f>
        <v>0</v>
      </c>
      <c r="G276" s="7">
        <f>IF(268&lt;=DiffN, IF(DiffMode="Total (capitalisation)", 0, D276), PMTnom)</f>
        <v>0</v>
      </c>
      <c r="H276" s="7">
        <f>IF(AssType="Sur capital initial (%)", AssTau/12*PNom, IF(AssType="Sur CRD (%)", AssTau/12*C276, IF(AssType="Montant fixe/mois", AssFixe, 0)))</f>
        <v>0</v>
      </c>
      <c r="I276" s="7">
        <f>FraisRec</f>
        <v>0</v>
      </c>
      <c r="J276" s="7">
        <f>F276+G276+H276</f>
        <v>0</v>
      </c>
      <c r="K276" s="7">
        <f>-(I276+L276)</f>
        <v>0</v>
      </c>
      <c r="L276" s="7">
        <f>IF(N276="Différé total", C276+D276, IF(N276="Intérêts seuls", C276, C276-E276))</f>
        <v>0</v>
      </c>
      <c r="M276" s="7">
        <f>IF(268=Nmois, FVballon, 0)</f>
        <v>0</v>
      </c>
      <c r="N276">
        <f>IF(268&lt;=DiffN, IF(DiffMode="Total (capitalisation)","Différé total","Intérêts seuls"), "Amortissement")</f>
        <v>0</v>
      </c>
    </row>
    <row r="277" spans="2:14">
      <c r="B277" s="4">
        <v>269</v>
      </c>
      <c r="C277" s="6">
        <f>EDATE(Date0,269)</f>
        <v>0</v>
      </c>
      <c r="D277" s="7">
        <f>K276</f>
        <v>0</v>
      </c>
      <c r="E277" s="7">
        <f>C277*i</f>
        <v>0</v>
      </c>
      <c r="F277" s="7">
        <f>IF(N277="Amortissement", F277-D277, 0)</f>
        <v>0</v>
      </c>
      <c r="G277" s="7">
        <f>IF(269&lt;=DiffN, IF(DiffMode="Total (capitalisation)", 0, D277), PMTnom)</f>
        <v>0</v>
      </c>
      <c r="H277" s="7">
        <f>IF(AssType="Sur capital initial (%)", AssTau/12*PNom, IF(AssType="Sur CRD (%)", AssTau/12*C277, IF(AssType="Montant fixe/mois", AssFixe, 0)))</f>
        <v>0</v>
      </c>
      <c r="I277" s="7">
        <f>FraisRec</f>
        <v>0</v>
      </c>
      <c r="J277" s="7">
        <f>F277+G277+H277</f>
        <v>0</v>
      </c>
      <c r="K277" s="7">
        <f>-(I277+L277)</f>
        <v>0</v>
      </c>
      <c r="L277" s="7">
        <f>IF(N277="Différé total", C277+D277, IF(N277="Intérêts seuls", C277, C277-E277))</f>
        <v>0</v>
      </c>
      <c r="M277" s="7">
        <f>IF(269=Nmois, FVballon, 0)</f>
        <v>0</v>
      </c>
      <c r="N277">
        <f>IF(269&lt;=DiffN, IF(DiffMode="Total (capitalisation)","Différé total","Intérêts seuls"), "Amortissement")</f>
        <v>0</v>
      </c>
    </row>
    <row r="278" spans="2:14">
      <c r="B278" s="11">
        <v>270</v>
      </c>
      <c r="C278" s="6">
        <f>EDATE(Date0,270)</f>
        <v>0</v>
      </c>
      <c r="D278" s="7">
        <f>K277</f>
        <v>0</v>
      </c>
      <c r="E278" s="7">
        <f>C278*i</f>
        <v>0</v>
      </c>
      <c r="F278" s="7">
        <f>IF(N278="Amortissement", F278-D278, 0)</f>
        <v>0</v>
      </c>
      <c r="G278" s="7">
        <f>IF(270&lt;=DiffN, IF(DiffMode="Total (capitalisation)", 0, D278), PMTnom)</f>
        <v>0</v>
      </c>
      <c r="H278" s="7">
        <f>IF(AssType="Sur capital initial (%)", AssTau/12*PNom, IF(AssType="Sur CRD (%)", AssTau/12*C278, IF(AssType="Montant fixe/mois", AssFixe, 0)))</f>
        <v>0</v>
      </c>
      <c r="I278" s="7">
        <f>FraisRec</f>
        <v>0</v>
      </c>
      <c r="J278" s="7">
        <f>F278+G278+H278</f>
        <v>0</v>
      </c>
      <c r="K278" s="7">
        <f>-(I278+L278)</f>
        <v>0</v>
      </c>
      <c r="L278" s="7">
        <f>IF(N278="Différé total", C278+D278, IF(N278="Intérêts seuls", C278, C278-E278))</f>
        <v>0</v>
      </c>
      <c r="M278" s="7">
        <f>IF(270=Nmois, FVballon, 0)</f>
        <v>0</v>
      </c>
      <c r="N278">
        <f>IF(270&lt;=DiffN, IF(DiffMode="Total (capitalisation)","Différé total","Intérêts seuls"), "Amortissement")</f>
        <v>0</v>
      </c>
    </row>
    <row r="279" spans="2:14">
      <c r="B279" s="4">
        <v>271</v>
      </c>
      <c r="C279" s="6">
        <f>EDATE(Date0,271)</f>
        <v>0</v>
      </c>
      <c r="D279" s="7">
        <f>K278</f>
        <v>0</v>
      </c>
      <c r="E279" s="7">
        <f>C279*i</f>
        <v>0</v>
      </c>
      <c r="F279" s="7">
        <f>IF(N279="Amortissement", F279-D279, 0)</f>
        <v>0</v>
      </c>
      <c r="G279" s="7">
        <f>IF(271&lt;=DiffN, IF(DiffMode="Total (capitalisation)", 0, D279), PMTnom)</f>
        <v>0</v>
      </c>
      <c r="H279" s="7">
        <f>IF(AssType="Sur capital initial (%)", AssTau/12*PNom, IF(AssType="Sur CRD (%)", AssTau/12*C279, IF(AssType="Montant fixe/mois", AssFixe, 0)))</f>
        <v>0</v>
      </c>
      <c r="I279" s="7">
        <f>FraisRec</f>
        <v>0</v>
      </c>
      <c r="J279" s="7">
        <f>F279+G279+H279</f>
        <v>0</v>
      </c>
      <c r="K279" s="7">
        <f>-(I279+L279)</f>
        <v>0</v>
      </c>
      <c r="L279" s="7">
        <f>IF(N279="Différé total", C279+D279, IF(N279="Intérêts seuls", C279, C279-E279))</f>
        <v>0</v>
      </c>
      <c r="M279" s="7">
        <f>IF(271=Nmois, FVballon, 0)</f>
        <v>0</v>
      </c>
      <c r="N279">
        <f>IF(271&lt;=DiffN, IF(DiffMode="Total (capitalisation)","Différé total","Intérêts seuls"), "Amortissement")</f>
        <v>0</v>
      </c>
    </row>
    <row r="280" spans="2:14">
      <c r="B280" s="11">
        <v>272</v>
      </c>
      <c r="C280" s="6">
        <f>EDATE(Date0,272)</f>
        <v>0</v>
      </c>
      <c r="D280" s="7">
        <f>K279</f>
        <v>0</v>
      </c>
      <c r="E280" s="7">
        <f>C280*i</f>
        <v>0</v>
      </c>
      <c r="F280" s="7">
        <f>IF(N280="Amortissement", F280-D280, 0)</f>
        <v>0</v>
      </c>
      <c r="G280" s="7">
        <f>IF(272&lt;=DiffN, IF(DiffMode="Total (capitalisation)", 0, D280), PMTnom)</f>
        <v>0</v>
      </c>
      <c r="H280" s="7">
        <f>IF(AssType="Sur capital initial (%)", AssTau/12*PNom, IF(AssType="Sur CRD (%)", AssTau/12*C280, IF(AssType="Montant fixe/mois", AssFixe, 0)))</f>
        <v>0</v>
      </c>
      <c r="I280" s="7">
        <f>FraisRec</f>
        <v>0</v>
      </c>
      <c r="J280" s="7">
        <f>F280+G280+H280</f>
        <v>0</v>
      </c>
      <c r="K280" s="7">
        <f>-(I280+L280)</f>
        <v>0</v>
      </c>
      <c r="L280" s="7">
        <f>IF(N280="Différé total", C280+D280, IF(N280="Intérêts seuls", C280, C280-E280))</f>
        <v>0</v>
      </c>
      <c r="M280" s="7">
        <f>IF(272=Nmois, FVballon, 0)</f>
        <v>0</v>
      </c>
      <c r="N280">
        <f>IF(272&lt;=DiffN, IF(DiffMode="Total (capitalisation)","Différé total","Intérêts seuls"), "Amortissement")</f>
        <v>0</v>
      </c>
    </row>
    <row r="281" spans="2:14">
      <c r="B281" s="4">
        <v>273</v>
      </c>
      <c r="C281" s="6">
        <f>EDATE(Date0,273)</f>
        <v>0</v>
      </c>
      <c r="D281" s="7">
        <f>K280</f>
        <v>0</v>
      </c>
      <c r="E281" s="7">
        <f>C281*i</f>
        <v>0</v>
      </c>
      <c r="F281" s="7">
        <f>IF(N281="Amortissement", F281-D281, 0)</f>
        <v>0</v>
      </c>
      <c r="G281" s="7">
        <f>IF(273&lt;=DiffN, IF(DiffMode="Total (capitalisation)", 0, D281), PMTnom)</f>
        <v>0</v>
      </c>
      <c r="H281" s="7">
        <f>IF(AssType="Sur capital initial (%)", AssTau/12*PNom, IF(AssType="Sur CRD (%)", AssTau/12*C281, IF(AssType="Montant fixe/mois", AssFixe, 0)))</f>
        <v>0</v>
      </c>
      <c r="I281" s="7">
        <f>FraisRec</f>
        <v>0</v>
      </c>
      <c r="J281" s="7">
        <f>F281+G281+H281</f>
        <v>0</v>
      </c>
      <c r="K281" s="7">
        <f>-(I281+L281)</f>
        <v>0</v>
      </c>
      <c r="L281" s="7">
        <f>IF(N281="Différé total", C281+D281, IF(N281="Intérêts seuls", C281, C281-E281))</f>
        <v>0</v>
      </c>
      <c r="M281" s="7">
        <f>IF(273=Nmois, FVballon, 0)</f>
        <v>0</v>
      </c>
      <c r="N281">
        <f>IF(273&lt;=DiffN, IF(DiffMode="Total (capitalisation)","Différé total","Intérêts seuls"), "Amortissement")</f>
        <v>0</v>
      </c>
    </row>
    <row r="282" spans="2:14">
      <c r="B282" s="11">
        <v>274</v>
      </c>
      <c r="C282" s="6">
        <f>EDATE(Date0,274)</f>
        <v>0</v>
      </c>
      <c r="D282" s="7">
        <f>K281</f>
        <v>0</v>
      </c>
      <c r="E282" s="7">
        <f>C282*i</f>
        <v>0</v>
      </c>
      <c r="F282" s="7">
        <f>IF(N282="Amortissement", F282-D282, 0)</f>
        <v>0</v>
      </c>
      <c r="G282" s="7">
        <f>IF(274&lt;=DiffN, IF(DiffMode="Total (capitalisation)", 0, D282), PMTnom)</f>
        <v>0</v>
      </c>
      <c r="H282" s="7">
        <f>IF(AssType="Sur capital initial (%)", AssTau/12*PNom, IF(AssType="Sur CRD (%)", AssTau/12*C282, IF(AssType="Montant fixe/mois", AssFixe, 0)))</f>
        <v>0</v>
      </c>
      <c r="I282" s="7">
        <f>FraisRec</f>
        <v>0</v>
      </c>
      <c r="J282" s="7">
        <f>F282+G282+H282</f>
        <v>0</v>
      </c>
      <c r="K282" s="7">
        <f>-(I282+L282)</f>
        <v>0</v>
      </c>
      <c r="L282" s="7">
        <f>IF(N282="Différé total", C282+D282, IF(N282="Intérêts seuls", C282, C282-E282))</f>
        <v>0</v>
      </c>
      <c r="M282" s="7">
        <f>IF(274=Nmois, FVballon, 0)</f>
        <v>0</v>
      </c>
      <c r="N282">
        <f>IF(274&lt;=DiffN, IF(DiffMode="Total (capitalisation)","Différé total","Intérêts seuls"), "Amortissement")</f>
        <v>0</v>
      </c>
    </row>
    <row r="283" spans="2:14">
      <c r="B283" s="4">
        <v>275</v>
      </c>
      <c r="C283" s="6">
        <f>EDATE(Date0,275)</f>
        <v>0</v>
      </c>
      <c r="D283" s="7">
        <f>K282</f>
        <v>0</v>
      </c>
      <c r="E283" s="7">
        <f>C283*i</f>
        <v>0</v>
      </c>
      <c r="F283" s="7">
        <f>IF(N283="Amortissement", F283-D283, 0)</f>
        <v>0</v>
      </c>
      <c r="G283" s="7">
        <f>IF(275&lt;=DiffN, IF(DiffMode="Total (capitalisation)", 0, D283), PMTnom)</f>
        <v>0</v>
      </c>
      <c r="H283" s="7">
        <f>IF(AssType="Sur capital initial (%)", AssTau/12*PNom, IF(AssType="Sur CRD (%)", AssTau/12*C283, IF(AssType="Montant fixe/mois", AssFixe, 0)))</f>
        <v>0</v>
      </c>
      <c r="I283" s="7">
        <f>FraisRec</f>
        <v>0</v>
      </c>
      <c r="J283" s="7">
        <f>F283+G283+H283</f>
        <v>0</v>
      </c>
      <c r="K283" s="7">
        <f>-(I283+L283)</f>
        <v>0</v>
      </c>
      <c r="L283" s="7">
        <f>IF(N283="Différé total", C283+D283, IF(N283="Intérêts seuls", C283, C283-E283))</f>
        <v>0</v>
      </c>
      <c r="M283" s="7">
        <f>IF(275=Nmois, FVballon, 0)</f>
        <v>0</v>
      </c>
      <c r="N283">
        <f>IF(275&lt;=DiffN, IF(DiffMode="Total (capitalisation)","Différé total","Intérêts seuls"), "Amortissement")</f>
        <v>0</v>
      </c>
    </row>
    <row r="284" spans="2:14">
      <c r="B284" s="11">
        <v>276</v>
      </c>
      <c r="C284" s="6">
        <f>EDATE(Date0,276)</f>
        <v>0</v>
      </c>
      <c r="D284" s="7">
        <f>K283</f>
        <v>0</v>
      </c>
      <c r="E284" s="7">
        <f>C284*i</f>
        <v>0</v>
      </c>
      <c r="F284" s="7">
        <f>IF(N284="Amortissement", F284-D284, 0)</f>
        <v>0</v>
      </c>
      <c r="G284" s="7">
        <f>IF(276&lt;=DiffN, IF(DiffMode="Total (capitalisation)", 0, D284), PMTnom)</f>
        <v>0</v>
      </c>
      <c r="H284" s="7">
        <f>IF(AssType="Sur capital initial (%)", AssTau/12*PNom, IF(AssType="Sur CRD (%)", AssTau/12*C284, IF(AssType="Montant fixe/mois", AssFixe, 0)))</f>
        <v>0</v>
      </c>
      <c r="I284" s="7">
        <f>FraisRec</f>
        <v>0</v>
      </c>
      <c r="J284" s="7">
        <f>F284+G284+H284</f>
        <v>0</v>
      </c>
      <c r="K284" s="7">
        <f>-(I284+L284)</f>
        <v>0</v>
      </c>
      <c r="L284" s="7">
        <f>IF(N284="Différé total", C284+D284, IF(N284="Intérêts seuls", C284, C284-E284))</f>
        <v>0</v>
      </c>
      <c r="M284" s="7">
        <f>IF(276=Nmois, FVballon, 0)</f>
        <v>0</v>
      </c>
      <c r="N284">
        <f>IF(276&lt;=DiffN, IF(DiffMode="Total (capitalisation)","Différé total","Intérêts seuls"), "Amortissement")</f>
        <v>0</v>
      </c>
    </row>
    <row r="285" spans="2:14">
      <c r="B285" s="4">
        <v>277</v>
      </c>
      <c r="C285" s="6">
        <f>EDATE(Date0,277)</f>
        <v>0</v>
      </c>
      <c r="D285" s="7">
        <f>K284</f>
        <v>0</v>
      </c>
      <c r="E285" s="7">
        <f>C285*i</f>
        <v>0</v>
      </c>
      <c r="F285" s="7">
        <f>IF(N285="Amortissement", F285-D285, 0)</f>
        <v>0</v>
      </c>
      <c r="G285" s="7">
        <f>IF(277&lt;=DiffN, IF(DiffMode="Total (capitalisation)", 0, D285), PMTnom)</f>
        <v>0</v>
      </c>
      <c r="H285" s="7">
        <f>IF(AssType="Sur capital initial (%)", AssTau/12*PNom, IF(AssType="Sur CRD (%)", AssTau/12*C285, IF(AssType="Montant fixe/mois", AssFixe, 0)))</f>
        <v>0</v>
      </c>
      <c r="I285" s="7">
        <f>FraisRec</f>
        <v>0</v>
      </c>
      <c r="J285" s="7">
        <f>F285+G285+H285</f>
        <v>0</v>
      </c>
      <c r="K285" s="7">
        <f>-(I285+L285)</f>
        <v>0</v>
      </c>
      <c r="L285" s="7">
        <f>IF(N285="Différé total", C285+D285, IF(N285="Intérêts seuls", C285, C285-E285))</f>
        <v>0</v>
      </c>
      <c r="M285" s="7">
        <f>IF(277=Nmois, FVballon, 0)</f>
        <v>0</v>
      </c>
      <c r="N285">
        <f>IF(277&lt;=DiffN, IF(DiffMode="Total (capitalisation)","Différé total","Intérêts seuls"), "Amortissement")</f>
        <v>0</v>
      </c>
    </row>
    <row r="286" spans="2:14">
      <c r="B286" s="11">
        <v>278</v>
      </c>
      <c r="C286" s="6">
        <f>EDATE(Date0,278)</f>
        <v>0</v>
      </c>
      <c r="D286" s="7">
        <f>K285</f>
        <v>0</v>
      </c>
      <c r="E286" s="7">
        <f>C286*i</f>
        <v>0</v>
      </c>
      <c r="F286" s="7">
        <f>IF(N286="Amortissement", F286-D286, 0)</f>
        <v>0</v>
      </c>
      <c r="G286" s="7">
        <f>IF(278&lt;=DiffN, IF(DiffMode="Total (capitalisation)", 0, D286), PMTnom)</f>
        <v>0</v>
      </c>
      <c r="H286" s="7">
        <f>IF(AssType="Sur capital initial (%)", AssTau/12*PNom, IF(AssType="Sur CRD (%)", AssTau/12*C286, IF(AssType="Montant fixe/mois", AssFixe, 0)))</f>
        <v>0</v>
      </c>
      <c r="I286" s="7">
        <f>FraisRec</f>
        <v>0</v>
      </c>
      <c r="J286" s="7">
        <f>F286+G286+H286</f>
        <v>0</v>
      </c>
      <c r="K286" s="7">
        <f>-(I286+L286)</f>
        <v>0</v>
      </c>
      <c r="L286" s="7">
        <f>IF(N286="Différé total", C286+D286, IF(N286="Intérêts seuls", C286, C286-E286))</f>
        <v>0</v>
      </c>
      <c r="M286" s="7">
        <f>IF(278=Nmois, FVballon, 0)</f>
        <v>0</v>
      </c>
      <c r="N286">
        <f>IF(278&lt;=DiffN, IF(DiffMode="Total (capitalisation)","Différé total","Intérêts seuls"), "Amortissement")</f>
        <v>0</v>
      </c>
    </row>
    <row r="287" spans="2:14">
      <c r="B287" s="4">
        <v>279</v>
      </c>
      <c r="C287" s="6">
        <f>EDATE(Date0,279)</f>
        <v>0</v>
      </c>
      <c r="D287" s="7">
        <f>K286</f>
        <v>0</v>
      </c>
      <c r="E287" s="7">
        <f>C287*i</f>
        <v>0</v>
      </c>
      <c r="F287" s="7">
        <f>IF(N287="Amortissement", F287-D287, 0)</f>
        <v>0</v>
      </c>
      <c r="G287" s="7">
        <f>IF(279&lt;=DiffN, IF(DiffMode="Total (capitalisation)", 0, D287), PMTnom)</f>
        <v>0</v>
      </c>
      <c r="H287" s="7">
        <f>IF(AssType="Sur capital initial (%)", AssTau/12*PNom, IF(AssType="Sur CRD (%)", AssTau/12*C287, IF(AssType="Montant fixe/mois", AssFixe, 0)))</f>
        <v>0</v>
      </c>
      <c r="I287" s="7">
        <f>FraisRec</f>
        <v>0</v>
      </c>
      <c r="J287" s="7">
        <f>F287+G287+H287</f>
        <v>0</v>
      </c>
      <c r="K287" s="7">
        <f>-(I287+L287)</f>
        <v>0</v>
      </c>
      <c r="L287" s="7">
        <f>IF(N287="Différé total", C287+D287, IF(N287="Intérêts seuls", C287, C287-E287))</f>
        <v>0</v>
      </c>
      <c r="M287" s="7">
        <f>IF(279=Nmois, FVballon, 0)</f>
        <v>0</v>
      </c>
      <c r="N287">
        <f>IF(279&lt;=DiffN, IF(DiffMode="Total (capitalisation)","Différé total","Intérêts seuls"), "Amortissement")</f>
        <v>0</v>
      </c>
    </row>
    <row r="288" spans="2:14">
      <c r="B288" s="11">
        <v>280</v>
      </c>
      <c r="C288" s="6">
        <f>EDATE(Date0,280)</f>
        <v>0</v>
      </c>
      <c r="D288" s="7">
        <f>K287</f>
        <v>0</v>
      </c>
      <c r="E288" s="7">
        <f>C288*i</f>
        <v>0</v>
      </c>
      <c r="F288" s="7">
        <f>IF(N288="Amortissement", F288-D288, 0)</f>
        <v>0</v>
      </c>
      <c r="G288" s="7">
        <f>IF(280&lt;=DiffN, IF(DiffMode="Total (capitalisation)", 0, D288), PMTnom)</f>
        <v>0</v>
      </c>
      <c r="H288" s="7">
        <f>IF(AssType="Sur capital initial (%)", AssTau/12*PNom, IF(AssType="Sur CRD (%)", AssTau/12*C288, IF(AssType="Montant fixe/mois", AssFixe, 0)))</f>
        <v>0</v>
      </c>
      <c r="I288" s="7">
        <f>FraisRec</f>
        <v>0</v>
      </c>
      <c r="J288" s="7">
        <f>F288+G288+H288</f>
        <v>0</v>
      </c>
      <c r="K288" s="7">
        <f>-(I288+L288)</f>
        <v>0</v>
      </c>
      <c r="L288" s="7">
        <f>IF(N288="Différé total", C288+D288, IF(N288="Intérêts seuls", C288, C288-E288))</f>
        <v>0</v>
      </c>
      <c r="M288" s="7">
        <f>IF(280=Nmois, FVballon, 0)</f>
        <v>0</v>
      </c>
      <c r="N288">
        <f>IF(280&lt;=DiffN, IF(DiffMode="Total (capitalisation)","Différé total","Intérêts seuls"), "Amortissement")</f>
        <v>0</v>
      </c>
    </row>
    <row r="289" spans="2:14">
      <c r="B289" s="4">
        <v>281</v>
      </c>
      <c r="C289" s="6">
        <f>EDATE(Date0,281)</f>
        <v>0</v>
      </c>
      <c r="D289" s="7">
        <f>K288</f>
        <v>0</v>
      </c>
      <c r="E289" s="7">
        <f>C289*i</f>
        <v>0</v>
      </c>
      <c r="F289" s="7">
        <f>IF(N289="Amortissement", F289-D289, 0)</f>
        <v>0</v>
      </c>
      <c r="G289" s="7">
        <f>IF(281&lt;=DiffN, IF(DiffMode="Total (capitalisation)", 0, D289), PMTnom)</f>
        <v>0</v>
      </c>
      <c r="H289" s="7">
        <f>IF(AssType="Sur capital initial (%)", AssTau/12*PNom, IF(AssType="Sur CRD (%)", AssTau/12*C289, IF(AssType="Montant fixe/mois", AssFixe, 0)))</f>
        <v>0</v>
      </c>
      <c r="I289" s="7">
        <f>FraisRec</f>
        <v>0</v>
      </c>
      <c r="J289" s="7">
        <f>F289+G289+H289</f>
        <v>0</v>
      </c>
      <c r="K289" s="7">
        <f>-(I289+L289)</f>
        <v>0</v>
      </c>
      <c r="L289" s="7">
        <f>IF(N289="Différé total", C289+D289, IF(N289="Intérêts seuls", C289, C289-E289))</f>
        <v>0</v>
      </c>
      <c r="M289" s="7">
        <f>IF(281=Nmois, FVballon, 0)</f>
        <v>0</v>
      </c>
      <c r="N289">
        <f>IF(281&lt;=DiffN, IF(DiffMode="Total (capitalisation)","Différé total","Intérêts seuls"), "Amortissement")</f>
        <v>0</v>
      </c>
    </row>
    <row r="290" spans="2:14">
      <c r="B290" s="11">
        <v>282</v>
      </c>
      <c r="C290" s="6">
        <f>EDATE(Date0,282)</f>
        <v>0</v>
      </c>
      <c r="D290" s="7">
        <f>K289</f>
        <v>0</v>
      </c>
      <c r="E290" s="7">
        <f>C290*i</f>
        <v>0</v>
      </c>
      <c r="F290" s="7">
        <f>IF(N290="Amortissement", F290-D290, 0)</f>
        <v>0</v>
      </c>
      <c r="G290" s="7">
        <f>IF(282&lt;=DiffN, IF(DiffMode="Total (capitalisation)", 0, D290), PMTnom)</f>
        <v>0</v>
      </c>
      <c r="H290" s="7">
        <f>IF(AssType="Sur capital initial (%)", AssTau/12*PNom, IF(AssType="Sur CRD (%)", AssTau/12*C290, IF(AssType="Montant fixe/mois", AssFixe, 0)))</f>
        <v>0</v>
      </c>
      <c r="I290" s="7">
        <f>FraisRec</f>
        <v>0</v>
      </c>
      <c r="J290" s="7">
        <f>F290+G290+H290</f>
        <v>0</v>
      </c>
      <c r="K290" s="7">
        <f>-(I290+L290)</f>
        <v>0</v>
      </c>
      <c r="L290" s="7">
        <f>IF(N290="Différé total", C290+D290, IF(N290="Intérêts seuls", C290, C290-E290))</f>
        <v>0</v>
      </c>
      <c r="M290" s="7">
        <f>IF(282=Nmois, FVballon, 0)</f>
        <v>0</v>
      </c>
      <c r="N290">
        <f>IF(282&lt;=DiffN, IF(DiffMode="Total (capitalisation)","Différé total","Intérêts seuls"), "Amortissement")</f>
        <v>0</v>
      </c>
    </row>
    <row r="291" spans="2:14">
      <c r="B291" s="4">
        <v>283</v>
      </c>
      <c r="C291" s="6">
        <f>EDATE(Date0,283)</f>
        <v>0</v>
      </c>
      <c r="D291" s="7">
        <f>K290</f>
        <v>0</v>
      </c>
      <c r="E291" s="7">
        <f>C291*i</f>
        <v>0</v>
      </c>
      <c r="F291" s="7">
        <f>IF(N291="Amortissement", F291-D291, 0)</f>
        <v>0</v>
      </c>
      <c r="G291" s="7">
        <f>IF(283&lt;=DiffN, IF(DiffMode="Total (capitalisation)", 0, D291), PMTnom)</f>
        <v>0</v>
      </c>
      <c r="H291" s="7">
        <f>IF(AssType="Sur capital initial (%)", AssTau/12*PNom, IF(AssType="Sur CRD (%)", AssTau/12*C291, IF(AssType="Montant fixe/mois", AssFixe, 0)))</f>
        <v>0</v>
      </c>
      <c r="I291" s="7">
        <f>FraisRec</f>
        <v>0</v>
      </c>
      <c r="J291" s="7">
        <f>F291+G291+H291</f>
        <v>0</v>
      </c>
      <c r="K291" s="7">
        <f>-(I291+L291)</f>
        <v>0</v>
      </c>
      <c r="L291" s="7">
        <f>IF(N291="Différé total", C291+D291, IF(N291="Intérêts seuls", C291, C291-E291))</f>
        <v>0</v>
      </c>
      <c r="M291" s="7">
        <f>IF(283=Nmois, FVballon, 0)</f>
        <v>0</v>
      </c>
      <c r="N291">
        <f>IF(283&lt;=DiffN, IF(DiffMode="Total (capitalisation)","Différé total","Intérêts seuls"), "Amortissement")</f>
        <v>0</v>
      </c>
    </row>
    <row r="292" spans="2:14">
      <c r="B292" s="11">
        <v>284</v>
      </c>
      <c r="C292" s="6">
        <f>EDATE(Date0,284)</f>
        <v>0</v>
      </c>
      <c r="D292" s="7">
        <f>K291</f>
        <v>0</v>
      </c>
      <c r="E292" s="7">
        <f>C292*i</f>
        <v>0</v>
      </c>
      <c r="F292" s="7">
        <f>IF(N292="Amortissement", F292-D292, 0)</f>
        <v>0</v>
      </c>
      <c r="G292" s="7">
        <f>IF(284&lt;=DiffN, IF(DiffMode="Total (capitalisation)", 0, D292), PMTnom)</f>
        <v>0</v>
      </c>
      <c r="H292" s="7">
        <f>IF(AssType="Sur capital initial (%)", AssTau/12*PNom, IF(AssType="Sur CRD (%)", AssTau/12*C292, IF(AssType="Montant fixe/mois", AssFixe, 0)))</f>
        <v>0</v>
      </c>
      <c r="I292" s="7">
        <f>FraisRec</f>
        <v>0</v>
      </c>
      <c r="J292" s="7">
        <f>F292+G292+H292</f>
        <v>0</v>
      </c>
      <c r="K292" s="7">
        <f>-(I292+L292)</f>
        <v>0</v>
      </c>
      <c r="L292" s="7">
        <f>IF(N292="Différé total", C292+D292, IF(N292="Intérêts seuls", C292, C292-E292))</f>
        <v>0</v>
      </c>
      <c r="M292" s="7">
        <f>IF(284=Nmois, FVballon, 0)</f>
        <v>0</v>
      </c>
      <c r="N292">
        <f>IF(284&lt;=DiffN, IF(DiffMode="Total (capitalisation)","Différé total","Intérêts seuls"), "Amortissement")</f>
        <v>0</v>
      </c>
    </row>
    <row r="293" spans="2:14">
      <c r="B293" s="4">
        <v>285</v>
      </c>
      <c r="C293" s="6">
        <f>EDATE(Date0,285)</f>
        <v>0</v>
      </c>
      <c r="D293" s="7">
        <f>K292</f>
        <v>0</v>
      </c>
      <c r="E293" s="7">
        <f>C293*i</f>
        <v>0</v>
      </c>
      <c r="F293" s="7">
        <f>IF(N293="Amortissement", F293-D293, 0)</f>
        <v>0</v>
      </c>
      <c r="G293" s="7">
        <f>IF(285&lt;=DiffN, IF(DiffMode="Total (capitalisation)", 0, D293), PMTnom)</f>
        <v>0</v>
      </c>
      <c r="H293" s="7">
        <f>IF(AssType="Sur capital initial (%)", AssTau/12*PNom, IF(AssType="Sur CRD (%)", AssTau/12*C293, IF(AssType="Montant fixe/mois", AssFixe, 0)))</f>
        <v>0</v>
      </c>
      <c r="I293" s="7">
        <f>FraisRec</f>
        <v>0</v>
      </c>
      <c r="J293" s="7">
        <f>F293+G293+H293</f>
        <v>0</v>
      </c>
      <c r="K293" s="7">
        <f>-(I293+L293)</f>
        <v>0</v>
      </c>
      <c r="L293" s="7">
        <f>IF(N293="Différé total", C293+D293, IF(N293="Intérêts seuls", C293, C293-E293))</f>
        <v>0</v>
      </c>
      <c r="M293" s="7">
        <f>IF(285=Nmois, FVballon, 0)</f>
        <v>0</v>
      </c>
      <c r="N293">
        <f>IF(285&lt;=DiffN, IF(DiffMode="Total (capitalisation)","Différé total","Intérêts seuls"), "Amortissement")</f>
        <v>0</v>
      </c>
    </row>
    <row r="294" spans="2:14">
      <c r="B294" s="11">
        <v>286</v>
      </c>
      <c r="C294" s="6">
        <f>EDATE(Date0,286)</f>
        <v>0</v>
      </c>
      <c r="D294" s="7">
        <f>K293</f>
        <v>0</v>
      </c>
      <c r="E294" s="7">
        <f>C294*i</f>
        <v>0</v>
      </c>
      <c r="F294" s="7">
        <f>IF(N294="Amortissement", F294-D294, 0)</f>
        <v>0</v>
      </c>
      <c r="G294" s="7">
        <f>IF(286&lt;=DiffN, IF(DiffMode="Total (capitalisation)", 0, D294), PMTnom)</f>
        <v>0</v>
      </c>
      <c r="H294" s="7">
        <f>IF(AssType="Sur capital initial (%)", AssTau/12*PNom, IF(AssType="Sur CRD (%)", AssTau/12*C294, IF(AssType="Montant fixe/mois", AssFixe, 0)))</f>
        <v>0</v>
      </c>
      <c r="I294" s="7">
        <f>FraisRec</f>
        <v>0</v>
      </c>
      <c r="J294" s="7">
        <f>F294+G294+H294</f>
        <v>0</v>
      </c>
      <c r="K294" s="7">
        <f>-(I294+L294)</f>
        <v>0</v>
      </c>
      <c r="L294" s="7">
        <f>IF(N294="Différé total", C294+D294, IF(N294="Intérêts seuls", C294, C294-E294))</f>
        <v>0</v>
      </c>
      <c r="M294" s="7">
        <f>IF(286=Nmois, FVballon, 0)</f>
        <v>0</v>
      </c>
      <c r="N294">
        <f>IF(286&lt;=DiffN, IF(DiffMode="Total (capitalisation)","Différé total","Intérêts seuls"), "Amortissement")</f>
        <v>0</v>
      </c>
    </row>
    <row r="295" spans="2:14">
      <c r="B295" s="4">
        <v>287</v>
      </c>
      <c r="C295" s="6">
        <f>EDATE(Date0,287)</f>
        <v>0</v>
      </c>
      <c r="D295" s="7">
        <f>K294</f>
        <v>0</v>
      </c>
      <c r="E295" s="7">
        <f>C295*i</f>
        <v>0</v>
      </c>
      <c r="F295" s="7">
        <f>IF(N295="Amortissement", F295-D295, 0)</f>
        <v>0</v>
      </c>
      <c r="G295" s="7">
        <f>IF(287&lt;=DiffN, IF(DiffMode="Total (capitalisation)", 0, D295), PMTnom)</f>
        <v>0</v>
      </c>
      <c r="H295" s="7">
        <f>IF(AssType="Sur capital initial (%)", AssTau/12*PNom, IF(AssType="Sur CRD (%)", AssTau/12*C295, IF(AssType="Montant fixe/mois", AssFixe, 0)))</f>
        <v>0</v>
      </c>
      <c r="I295" s="7">
        <f>FraisRec</f>
        <v>0</v>
      </c>
      <c r="J295" s="7">
        <f>F295+G295+H295</f>
        <v>0</v>
      </c>
      <c r="K295" s="7">
        <f>-(I295+L295)</f>
        <v>0</v>
      </c>
      <c r="L295" s="7">
        <f>IF(N295="Différé total", C295+D295, IF(N295="Intérêts seuls", C295, C295-E295))</f>
        <v>0</v>
      </c>
      <c r="M295" s="7">
        <f>IF(287=Nmois, FVballon, 0)</f>
        <v>0</v>
      </c>
      <c r="N295">
        <f>IF(287&lt;=DiffN, IF(DiffMode="Total (capitalisation)","Différé total","Intérêts seuls"), "Amortissement")</f>
        <v>0</v>
      </c>
    </row>
    <row r="296" spans="2:14">
      <c r="B296" s="11">
        <v>288</v>
      </c>
      <c r="C296" s="6">
        <f>EDATE(Date0,288)</f>
        <v>0</v>
      </c>
      <c r="D296" s="7">
        <f>K295</f>
        <v>0</v>
      </c>
      <c r="E296" s="7">
        <f>C296*i</f>
        <v>0</v>
      </c>
      <c r="F296" s="7">
        <f>IF(N296="Amortissement", F296-D296, 0)</f>
        <v>0</v>
      </c>
      <c r="G296" s="7">
        <f>IF(288&lt;=DiffN, IF(DiffMode="Total (capitalisation)", 0, D296), PMTnom)</f>
        <v>0</v>
      </c>
      <c r="H296" s="7">
        <f>IF(AssType="Sur capital initial (%)", AssTau/12*PNom, IF(AssType="Sur CRD (%)", AssTau/12*C296, IF(AssType="Montant fixe/mois", AssFixe, 0)))</f>
        <v>0</v>
      </c>
      <c r="I296" s="7">
        <f>FraisRec</f>
        <v>0</v>
      </c>
      <c r="J296" s="7">
        <f>F296+G296+H296</f>
        <v>0</v>
      </c>
      <c r="K296" s="7">
        <f>-(I296+L296)</f>
        <v>0</v>
      </c>
      <c r="L296" s="7">
        <f>IF(N296="Différé total", C296+D296, IF(N296="Intérêts seuls", C296, C296-E296))</f>
        <v>0</v>
      </c>
      <c r="M296" s="7">
        <f>IF(288=Nmois, FVballon, 0)</f>
        <v>0</v>
      </c>
      <c r="N296">
        <f>IF(288&lt;=DiffN, IF(DiffMode="Total (capitalisation)","Différé total","Intérêts seuls"), "Amortissement")</f>
        <v>0</v>
      </c>
    </row>
    <row r="297" spans="2:14">
      <c r="B297" s="4">
        <v>289</v>
      </c>
      <c r="C297" s="6">
        <f>EDATE(Date0,289)</f>
        <v>0</v>
      </c>
      <c r="D297" s="7">
        <f>K296</f>
        <v>0</v>
      </c>
      <c r="E297" s="7">
        <f>C297*i</f>
        <v>0</v>
      </c>
      <c r="F297" s="7">
        <f>IF(N297="Amortissement", F297-D297, 0)</f>
        <v>0</v>
      </c>
      <c r="G297" s="7">
        <f>IF(289&lt;=DiffN, IF(DiffMode="Total (capitalisation)", 0, D297), PMTnom)</f>
        <v>0</v>
      </c>
      <c r="H297" s="7">
        <f>IF(AssType="Sur capital initial (%)", AssTau/12*PNom, IF(AssType="Sur CRD (%)", AssTau/12*C297, IF(AssType="Montant fixe/mois", AssFixe, 0)))</f>
        <v>0</v>
      </c>
      <c r="I297" s="7">
        <f>FraisRec</f>
        <v>0</v>
      </c>
      <c r="J297" s="7">
        <f>F297+G297+H297</f>
        <v>0</v>
      </c>
      <c r="K297" s="7">
        <f>-(I297+L297)</f>
        <v>0</v>
      </c>
      <c r="L297" s="7">
        <f>IF(N297="Différé total", C297+D297, IF(N297="Intérêts seuls", C297, C297-E297))</f>
        <v>0</v>
      </c>
      <c r="M297" s="7">
        <f>IF(289=Nmois, FVballon, 0)</f>
        <v>0</v>
      </c>
      <c r="N297">
        <f>IF(289&lt;=DiffN, IF(DiffMode="Total (capitalisation)","Différé total","Intérêts seuls"), "Amortissement")</f>
        <v>0</v>
      </c>
    </row>
    <row r="298" spans="2:14">
      <c r="B298" s="11">
        <v>290</v>
      </c>
      <c r="C298" s="6">
        <f>EDATE(Date0,290)</f>
        <v>0</v>
      </c>
      <c r="D298" s="7">
        <f>K297</f>
        <v>0</v>
      </c>
      <c r="E298" s="7">
        <f>C298*i</f>
        <v>0</v>
      </c>
      <c r="F298" s="7">
        <f>IF(N298="Amortissement", F298-D298, 0)</f>
        <v>0</v>
      </c>
      <c r="G298" s="7">
        <f>IF(290&lt;=DiffN, IF(DiffMode="Total (capitalisation)", 0, D298), PMTnom)</f>
        <v>0</v>
      </c>
      <c r="H298" s="7">
        <f>IF(AssType="Sur capital initial (%)", AssTau/12*PNom, IF(AssType="Sur CRD (%)", AssTau/12*C298, IF(AssType="Montant fixe/mois", AssFixe, 0)))</f>
        <v>0</v>
      </c>
      <c r="I298" s="7">
        <f>FraisRec</f>
        <v>0</v>
      </c>
      <c r="J298" s="7">
        <f>F298+G298+H298</f>
        <v>0</v>
      </c>
      <c r="K298" s="7">
        <f>-(I298+L298)</f>
        <v>0</v>
      </c>
      <c r="L298" s="7">
        <f>IF(N298="Différé total", C298+D298, IF(N298="Intérêts seuls", C298, C298-E298))</f>
        <v>0</v>
      </c>
      <c r="M298" s="7">
        <f>IF(290=Nmois, FVballon, 0)</f>
        <v>0</v>
      </c>
      <c r="N298">
        <f>IF(290&lt;=DiffN, IF(DiffMode="Total (capitalisation)","Différé total","Intérêts seuls"), "Amortissement")</f>
        <v>0</v>
      </c>
    </row>
    <row r="299" spans="2:14">
      <c r="B299" s="4">
        <v>291</v>
      </c>
      <c r="C299" s="6">
        <f>EDATE(Date0,291)</f>
        <v>0</v>
      </c>
      <c r="D299" s="7">
        <f>K298</f>
        <v>0</v>
      </c>
      <c r="E299" s="7">
        <f>C299*i</f>
        <v>0</v>
      </c>
      <c r="F299" s="7">
        <f>IF(N299="Amortissement", F299-D299, 0)</f>
        <v>0</v>
      </c>
      <c r="G299" s="7">
        <f>IF(291&lt;=DiffN, IF(DiffMode="Total (capitalisation)", 0, D299), PMTnom)</f>
        <v>0</v>
      </c>
      <c r="H299" s="7">
        <f>IF(AssType="Sur capital initial (%)", AssTau/12*PNom, IF(AssType="Sur CRD (%)", AssTau/12*C299, IF(AssType="Montant fixe/mois", AssFixe, 0)))</f>
        <v>0</v>
      </c>
      <c r="I299" s="7">
        <f>FraisRec</f>
        <v>0</v>
      </c>
      <c r="J299" s="7">
        <f>F299+G299+H299</f>
        <v>0</v>
      </c>
      <c r="K299" s="7">
        <f>-(I299+L299)</f>
        <v>0</v>
      </c>
      <c r="L299" s="7">
        <f>IF(N299="Différé total", C299+D299, IF(N299="Intérêts seuls", C299, C299-E299))</f>
        <v>0</v>
      </c>
      <c r="M299" s="7">
        <f>IF(291=Nmois, FVballon, 0)</f>
        <v>0</v>
      </c>
      <c r="N299">
        <f>IF(291&lt;=DiffN, IF(DiffMode="Total (capitalisation)","Différé total","Intérêts seuls"), "Amortissement")</f>
        <v>0</v>
      </c>
    </row>
    <row r="300" spans="2:14">
      <c r="B300" s="11">
        <v>292</v>
      </c>
      <c r="C300" s="6">
        <f>EDATE(Date0,292)</f>
        <v>0</v>
      </c>
      <c r="D300" s="7">
        <f>K299</f>
        <v>0</v>
      </c>
      <c r="E300" s="7">
        <f>C300*i</f>
        <v>0</v>
      </c>
      <c r="F300" s="7">
        <f>IF(N300="Amortissement", F300-D300, 0)</f>
        <v>0</v>
      </c>
      <c r="G300" s="7">
        <f>IF(292&lt;=DiffN, IF(DiffMode="Total (capitalisation)", 0, D300), PMTnom)</f>
        <v>0</v>
      </c>
      <c r="H300" s="7">
        <f>IF(AssType="Sur capital initial (%)", AssTau/12*PNom, IF(AssType="Sur CRD (%)", AssTau/12*C300, IF(AssType="Montant fixe/mois", AssFixe, 0)))</f>
        <v>0</v>
      </c>
      <c r="I300" s="7">
        <f>FraisRec</f>
        <v>0</v>
      </c>
      <c r="J300" s="7">
        <f>F300+G300+H300</f>
        <v>0</v>
      </c>
      <c r="K300" s="7">
        <f>-(I300+L300)</f>
        <v>0</v>
      </c>
      <c r="L300" s="7">
        <f>IF(N300="Différé total", C300+D300, IF(N300="Intérêts seuls", C300, C300-E300))</f>
        <v>0</v>
      </c>
      <c r="M300" s="7">
        <f>IF(292=Nmois, FVballon, 0)</f>
        <v>0</v>
      </c>
      <c r="N300">
        <f>IF(292&lt;=DiffN, IF(DiffMode="Total (capitalisation)","Différé total","Intérêts seuls"), "Amortissement")</f>
        <v>0</v>
      </c>
    </row>
    <row r="301" spans="2:14">
      <c r="B301" s="4">
        <v>293</v>
      </c>
      <c r="C301" s="6">
        <f>EDATE(Date0,293)</f>
        <v>0</v>
      </c>
      <c r="D301" s="7">
        <f>K300</f>
        <v>0</v>
      </c>
      <c r="E301" s="7">
        <f>C301*i</f>
        <v>0</v>
      </c>
      <c r="F301" s="7">
        <f>IF(N301="Amortissement", F301-D301, 0)</f>
        <v>0</v>
      </c>
      <c r="G301" s="7">
        <f>IF(293&lt;=DiffN, IF(DiffMode="Total (capitalisation)", 0, D301), PMTnom)</f>
        <v>0</v>
      </c>
      <c r="H301" s="7">
        <f>IF(AssType="Sur capital initial (%)", AssTau/12*PNom, IF(AssType="Sur CRD (%)", AssTau/12*C301, IF(AssType="Montant fixe/mois", AssFixe, 0)))</f>
        <v>0</v>
      </c>
      <c r="I301" s="7">
        <f>FraisRec</f>
        <v>0</v>
      </c>
      <c r="J301" s="7">
        <f>F301+G301+H301</f>
        <v>0</v>
      </c>
      <c r="K301" s="7">
        <f>-(I301+L301)</f>
        <v>0</v>
      </c>
      <c r="L301" s="7">
        <f>IF(N301="Différé total", C301+D301, IF(N301="Intérêts seuls", C301, C301-E301))</f>
        <v>0</v>
      </c>
      <c r="M301" s="7">
        <f>IF(293=Nmois, FVballon, 0)</f>
        <v>0</v>
      </c>
      <c r="N301">
        <f>IF(293&lt;=DiffN, IF(DiffMode="Total (capitalisation)","Différé total","Intérêts seuls"), "Amortissement")</f>
        <v>0</v>
      </c>
    </row>
    <row r="302" spans="2:14">
      <c r="B302" s="11">
        <v>294</v>
      </c>
      <c r="C302" s="6">
        <f>EDATE(Date0,294)</f>
        <v>0</v>
      </c>
      <c r="D302" s="7">
        <f>K301</f>
        <v>0</v>
      </c>
      <c r="E302" s="7">
        <f>C302*i</f>
        <v>0</v>
      </c>
      <c r="F302" s="7">
        <f>IF(N302="Amortissement", F302-D302, 0)</f>
        <v>0</v>
      </c>
      <c r="G302" s="7">
        <f>IF(294&lt;=DiffN, IF(DiffMode="Total (capitalisation)", 0, D302), PMTnom)</f>
        <v>0</v>
      </c>
      <c r="H302" s="7">
        <f>IF(AssType="Sur capital initial (%)", AssTau/12*PNom, IF(AssType="Sur CRD (%)", AssTau/12*C302, IF(AssType="Montant fixe/mois", AssFixe, 0)))</f>
        <v>0</v>
      </c>
      <c r="I302" s="7">
        <f>FraisRec</f>
        <v>0</v>
      </c>
      <c r="J302" s="7">
        <f>F302+G302+H302</f>
        <v>0</v>
      </c>
      <c r="K302" s="7">
        <f>-(I302+L302)</f>
        <v>0</v>
      </c>
      <c r="L302" s="7">
        <f>IF(N302="Différé total", C302+D302, IF(N302="Intérêts seuls", C302, C302-E302))</f>
        <v>0</v>
      </c>
      <c r="M302" s="7">
        <f>IF(294=Nmois, FVballon, 0)</f>
        <v>0</v>
      </c>
      <c r="N302">
        <f>IF(294&lt;=DiffN, IF(DiffMode="Total (capitalisation)","Différé total","Intérêts seuls"), "Amortissement")</f>
        <v>0</v>
      </c>
    </row>
    <row r="303" spans="2:14">
      <c r="B303" s="4">
        <v>295</v>
      </c>
      <c r="C303" s="6">
        <f>EDATE(Date0,295)</f>
        <v>0</v>
      </c>
      <c r="D303" s="7">
        <f>K302</f>
        <v>0</v>
      </c>
      <c r="E303" s="7">
        <f>C303*i</f>
        <v>0</v>
      </c>
      <c r="F303" s="7">
        <f>IF(N303="Amortissement", F303-D303, 0)</f>
        <v>0</v>
      </c>
      <c r="G303" s="7">
        <f>IF(295&lt;=DiffN, IF(DiffMode="Total (capitalisation)", 0, D303), PMTnom)</f>
        <v>0</v>
      </c>
      <c r="H303" s="7">
        <f>IF(AssType="Sur capital initial (%)", AssTau/12*PNom, IF(AssType="Sur CRD (%)", AssTau/12*C303, IF(AssType="Montant fixe/mois", AssFixe, 0)))</f>
        <v>0</v>
      </c>
      <c r="I303" s="7">
        <f>FraisRec</f>
        <v>0</v>
      </c>
      <c r="J303" s="7">
        <f>F303+G303+H303</f>
        <v>0</v>
      </c>
      <c r="K303" s="7">
        <f>-(I303+L303)</f>
        <v>0</v>
      </c>
      <c r="L303" s="7">
        <f>IF(N303="Différé total", C303+D303, IF(N303="Intérêts seuls", C303, C303-E303))</f>
        <v>0</v>
      </c>
      <c r="M303" s="7">
        <f>IF(295=Nmois, FVballon, 0)</f>
        <v>0</v>
      </c>
      <c r="N303">
        <f>IF(295&lt;=DiffN, IF(DiffMode="Total (capitalisation)","Différé total","Intérêts seuls"), "Amortissement")</f>
        <v>0</v>
      </c>
    </row>
    <row r="304" spans="2:14">
      <c r="B304" s="11">
        <v>296</v>
      </c>
      <c r="C304" s="6">
        <f>EDATE(Date0,296)</f>
        <v>0</v>
      </c>
      <c r="D304" s="7">
        <f>K303</f>
        <v>0</v>
      </c>
      <c r="E304" s="7">
        <f>C304*i</f>
        <v>0</v>
      </c>
      <c r="F304" s="7">
        <f>IF(N304="Amortissement", F304-D304, 0)</f>
        <v>0</v>
      </c>
      <c r="G304" s="7">
        <f>IF(296&lt;=DiffN, IF(DiffMode="Total (capitalisation)", 0, D304), PMTnom)</f>
        <v>0</v>
      </c>
      <c r="H304" s="7">
        <f>IF(AssType="Sur capital initial (%)", AssTau/12*PNom, IF(AssType="Sur CRD (%)", AssTau/12*C304, IF(AssType="Montant fixe/mois", AssFixe, 0)))</f>
        <v>0</v>
      </c>
      <c r="I304" s="7">
        <f>FraisRec</f>
        <v>0</v>
      </c>
      <c r="J304" s="7">
        <f>F304+G304+H304</f>
        <v>0</v>
      </c>
      <c r="K304" s="7">
        <f>-(I304+L304)</f>
        <v>0</v>
      </c>
      <c r="L304" s="7">
        <f>IF(N304="Différé total", C304+D304, IF(N304="Intérêts seuls", C304, C304-E304))</f>
        <v>0</v>
      </c>
      <c r="M304" s="7">
        <f>IF(296=Nmois, FVballon, 0)</f>
        <v>0</v>
      </c>
      <c r="N304">
        <f>IF(296&lt;=DiffN, IF(DiffMode="Total (capitalisation)","Différé total","Intérêts seuls"), "Amortissement")</f>
        <v>0</v>
      </c>
    </row>
    <row r="305" spans="2:14">
      <c r="B305" s="4">
        <v>297</v>
      </c>
      <c r="C305" s="6">
        <f>EDATE(Date0,297)</f>
        <v>0</v>
      </c>
      <c r="D305" s="7">
        <f>K304</f>
        <v>0</v>
      </c>
      <c r="E305" s="7">
        <f>C305*i</f>
        <v>0</v>
      </c>
      <c r="F305" s="7">
        <f>IF(N305="Amortissement", F305-D305, 0)</f>
        <v>0</v>
      </c>
      <c r="G305" s="7">
        <f>IF(297&lt;=DiffN, IF(DiffMode="Total (capitalisation)", 0, D305), PMTnom)</f>
        <v>0</v>
      </c>
      <c r="H305" s="7">
        <f>IF(AssType="Sur capital initial (%)", AssTau/12*PNom, IF(AssType="Sur CRD (%)", AssTau/12*C305, IF(AssType="Montant fixe/mois", AssFixe, 0)))</f>
        <v>0</v>
      </c>
      <c r="I305" s="7">
        <f>FraisRec</f>
        <v>0</v>
      </c>
      <c r="J305" s="7">
        <f>F305+G305+H305</f>
        <v>0</v>
      </c>
      <c r="K305" s="7">
        <f>-(I305+L305)</f>
        <v>0</v>
      </c>
      <c r="L305" s="7">
        <f>IF(N305="Différé total", C305+D305, IF(N305="Intérêts seuls", C305, C305-E305))</f>
        <v>0</v>
      </c>
      <c r="M305" s="7">
        <f>IF(297=Nmois, FVballon, 0)</f>
        <v>0</v>
      </c>
      <c r="N305">
        <f>IF(297&lt;=DiffN, IF(DiffMode="Total (capitalisation)","Différé total","Intérêts seuls"), "Amortissement")</f>
        <v>0</v>
      </c>
    </row>
    <row r="306" spans="2:14">
      <c r="B306" s="11">
        <v>298</v>
      </c>
      <c r="C306" s="6">
        <f>EDATE(Date0,298)</f>
        <v>0</v>
      </c>
      <c r="D306" s="7">
        <f>K305</f>
        <v>0</v>
      </c>
      <c r="E306" s="7">
        <f>C306*i</f>
        <v>0</v>
      </c>
      <c r="F306" s="7">
        <f>IF(N306="Amortissement", F306-D306, 0)</f>
        <v>0</v>
      </c>
      <c r="G306" s="7">
        <f>IF(298&lt;=DiffN, IF(DiffMode="Total (capitalisation)", 0, D306), PMTnom)</f>
        <v>0</v>
      </c>
      <c r="H306" s="7">
        <f>IF(AssType="Sur capital initial (%)", AssTau/12*PNom, IF(AssType="Sur CRD (%)", AssTau/12*C306, IF(AssType="Montant fixe/mois", AssFixe, 0)))</f>
        <v>0</v>
      </c>
      <c r="I306" s="7">
        <f>FraisRec</f>
        <v>0</v>
      </c>
      <c r="J306" s="7">
        <f>F306+G306+H306</f>
        <v>0</v>
      </c>
      <c r="K306" s="7">
        <f>-(I306+L306)</f>
        <v>0</v>
      </c>
      <c r="L306" s="7">
        <f>IF(N306="Différé total", C306+D306, IF(N306="Intérêts seuls", C306, C306-E306))</f>
        <v>0</v>
      </c>
      <c r="M306" s="7">
        <f>IF(298=Nmois, FVballon, 0)</f>
        <v>0</v>
      </c>
      <c r="N306">
        <f>IF(298&lt;=DiffN, IF(DiffMode="Total (capitalisation)","Différé total","Intérêts seuls"), "Amortissement")</f>
        <v>0</v>
      </c>
    </row>
    <row r="307" spans="2:14">
      <c r="B307" s="4">
        <v>299</v>
      </c>
      <c r="C307" s="6">
        <f>EDATE(Date0,299)</f>
        <v>0</v>
      </c>
      <c r="D307" s="7">
        <f>K306</f>
        <v>0</v>
      </c>
      <c r="E307" s="7">
        <f>C307*i</f>
        <v>0</v>
      </c>
      <c r="F307" s="7">
        <f>IF(N307="Amortissement", F307-D307, 0)</f>
        <v>0</v>
      </c>
      <c r="G307" s="7">
        <f>IF(299&lt;=DiffN, IF(DiffMode="Total (capitalisation)", 0, D307), PMTnom)</f>
        <v>0</v>
      </c>
      <c r="H307" s="7">
        <f>IF(AssType="Sur capital initial (%)", AssTau/12*PNom, IF(AssType="Sur CRD (%)", AssTau/12*C307, IF(AssType="Montant fixe/mois", AssFixe, 0)))</f>
        <v>0</v>
      </c>
      <c r="I307" s="7">
        <f>FraisRec</f>
        <v>0</v>
      </c>
      <c r="J307" s="7">
        <f>F307+G307+H307</f>
        <v>0</v>
      </c>
      <c r="K307" s="7">
        <f>-(I307+L307)</f>
        <v>0</v>
      </c>
      <c r="L307" s="7">
        <f>IF(N307="Différé total", C307+D307, IF(N307="Intérêts seuls", C307, C307-E307))</f>
        <v>0</v>
      </c>
      <c r="M307" s="7">
        <f>IF(299=Nmois, FVballon, 0)</f>
        <v>0</v>
      </c>
      <c r="N307">
        <f>IF(299&lt;=DiffN, IF(DiffMode="Total (capitalisation)","Différé total","Intérêts seuls"), "Amortissement")</f>
        <v>0</v>
      </c>
    </row>
    <row r="308" spans="2:14">
      <c r="B308" s="11">
        <v>300</v>
      </c>
      <c r="C308" s="6">
        <f>EDATE(Date0,300)</f>
        <v>0</v>
      </c>
      <c r="D308" s="7">
        <f>K307</f>
        <v>0</v>
      </c>
      <c r="E308" s="7">
        <f>C308*i</f>
        <v>0</v>
      </c>
      <c r="F308" s="7">
        <f>IF(N308="Amortissement", F308-D308, 0)</f>
        <v>0</v>
      </c>
      <c r="G308" s="7">
        <f>IF(300&lt;=DiffN, IF(DiffMode="Total (capitalisation)", 0, D308), PMTnom)</f>
        <v>0</v>
      </c>
      <c r="H308" s="7">
        <f>IF(AssType="Sur capital initial (%)", AssTau/12*PNom, IF(AssType="Sur CRD (%)", AssTau/12*C308, IF(AssType="Montant fixe/mois", AssFixe, 0)))</f>
        <v>0</v>
      </c>
      <c r="I308" s="7">
        <f>FraisRec</f>
        <v>0</v>
      </c>
      <c r="J308" s="7">
        <f>F308+G308+H308</f>
        <v>0</v>
      </c>
      <c r="K308" s="7">
        <f>-(I308+L308)</f>
        <v>0</v>
      </c>
      <c r="L308" s="7">
        <f>IF(N308="Différé total", C308+D308, IF(N308="Intérêts seuls", C308, C308-E308))</f>
        <v>0</v>
      </c>
      <c r="M308" s="7">
        <f>IF(300=Nmois, FVballon, 0)</f>
        <v>0</v>
      </c>
      <c r="N308">
        <f>IF(300&lt;=DiffN, IF(DiffMode="Total (capitalisation)","Différé total","Intérêts seuls"), "Amortissement")</f>
        <v>0</v>
      </c>
    </row>
    <row r="309" spans="2:14">
      <c r="B309" s="4">
        <v>301</v>
      </c>
      <c r="C309" s="6">
        <f>EDATE(Date0,301)</f>
        <v>0</v>
      </c>
      <c r="D309" s="7">
        <f>K308</f>
        <v>0</v>
      </c>
      <c r="E309" s="7">
        <f>C309*i</f>
        <v>0</v>
      </c>
      <c r="F309" s="7">
        <f>IF(N309="Amortissement", F309-D309, 0)</f>
        <v>0</v>
      </c>
      <c r="G309" s="7">
        <f>IF(301&lt;=DiffN, IF(DiffMode="Total (capitalisation)", 0, D309), PMTnom)</f>
        <v>0</v>
      </c>
      <c r="H309" s="7">
        <f>IF(AssType="Sur capital initial (%)", AssTau/12*PNom, IF(AssType="Sur CRD (%)", AssTau/12*C309, IF(AssType="Montant fixe/mois", AssFixe, 0)))</f>
        <v>0</v>
      </c>
      <c r="I309" s="7">
        <f>FraisRec</f>
        <v>0</v>
      </c>
      <c r="J309" s="7">
        <f>F309+G309+H309</f>
        <v>0</v>
      </c>
      <c r="K309" s="7">
        <f>-(I309+L309)</f>
        <v>0</v>
      </c>
      <c r="L309" s="7">
        <f>IF(N309="Différé total", C309+D309, IF(N309="Intérêts seuls", C309, C309-E309))</f>
        <v>0</v>
      </c>
      <c r="M309" s="7">
        <f>IF(301=Nmois, FVballon, 0)</f>
        <v>0</v>
      </c>
      <c r="N309">
        <f>IF(301&lt;=DiffN, IF(DiffMode="Total (capitalisation)","Différé total","Intérêts seuls"), "Amortissement")</f>
        <v>0</v>
      </c>
    </row>
    <row r="310" spans="2:14">
      <c r="B310" s="11">
        <v>302</v>
      </c>
      <c r="C310" s="6">
        <f>EDATE(Date0,302)</f>
        <v>0</v>
      </c>
      <c r="D310" s="7">
        <f>K309</f>
        <v>0</v>
      </c>
      <c r="E310" s="7">
        <f>C310*i</f>
        <v>0</v>
      </c>
      <c r="F310" s="7">
        <f>IF(N310="Amortissement", F310-D310, 0)</f>
        <v>0</v>
      </c>
      <c r="G310" s="7">
        <f>IF(302&lt;=DiffN, IF(DiffMode="Total (capitalisation)", 0, D310), PMTnom)</f>
        <v>0</v>
      </c>
      <c r="H310" s="7">
        <f>IF(AssType="Sur capital initial (%)", AssTau/12*PNom, IF(AssType="Sur CRD (%)", AssTau/12*C310, IF(AssType="Montant fixe/mois", AssFixe, 0)))</f>
        <v>0</v>
      </c>
      <c r="I310" s="7">
        <f>FraisRec</f>
        <v>0</v>
      </c>
      <c r="J310" s="7">
        <f>F310+G310+H310</f>
        <v>0</v>
      </c>
      <c r="K310" s="7">
        <f>-(I310+L310)</f>
        <v>0</v>
      </c>
      <c r="L310" s="7">
        <f>IF(N310="Différé total", C310+D310, IF(N310="Intérêts seuls", C310, C310-E310))</f>
        <v>0</v>
      </c>
      <c r="M310" s="7">
        <f>IF(302=Nmois, FVballon, 0)</f>
        <v>0</v>
      </c>
      <c r="N310">
        <f>IF(302&lt;=DiffN, IF(DiffMode="Total (capitalisation)","Différé total","Intérêts seuls"), "Amortissement")</f>
        <v>0</v>
      </c>
    </row>
    <row r="311" spans="2:14">
      <c r="B311" s="4">
        <v>303</v>
      </c>
      <c r="C311" s="6">
        <f>EDATE(Date0,303)</f>
        <v>0</v>
      </c>
      <c r="D311" s="7">
        <f>K310</f>
        <v>0</v>
      </c>
      <c r="E311" s="7">
        <f>C311*i</f>
        <v>0</v>
      </c>
      <c r="F311" s="7">
        <f>IF(N311="Amortissement", F311-D311, 0)</f>
        <v>0</v>
      </c>
      <c r="G311" s="7">
        <f>IF(303&lt;=DiffN, IF(DiffMode="Total (capitalisation)", 0, D311), PMTnom)</f>
        <v>0</v>
      </c>
      <c r="H311" s="7">
        <f>IF(AssType="Sur capital initial (%)", AssTau/12*PNom, IF(AssType="Sur CRD (%)", AssTau/12*C311, IF(AssType="Montant fixe/mois", AssFixe, 0)))</f>
        <v>0</v>
      </c>
      <c r="I311" s="7">
        <f>FraisRec</f>
        <v>0</v>
      </c>
      <c r="J311" s="7">
        <f>F311+G311+H311</f>
        <v>0</v>
      </c>
      <c r="K311" s="7">
        <f>-(I311+L311)</f>
        <v>0</v>
      </c>
      <c r="L311" s="7">
        <f>IF(N311="Différé total", C311+D311, IF(N311="Intérêts seuls", C311, C311-E311))</f>
        <v>0</v>
      </c>
      <c r="M311" s="7">
        <f>IF(303=Nmois, FVballon, 0)</f>
        <v>0</v>
      </c>
      <c r="N311">
        <f>IF(303&lt;=DiffN, IF(DiffMode="Total (capitalisation)","Différé total","Intérêts seuls"), "Amortissement")</f>
        <v>0</v>
      </c>
    </row>
    <row r="312" spans="2:14">
      <c r="B312" s="11">
        <v>304</v>
      </c>
      <c r="C312" s="6">
        <f>EDATE(Date0,304)</f>
        <v>0</v>
      </c>
      <c r="D312" s="7">
        <f>K311</f>
        <v>0</v>
      </c>
      <c r="E312" s="7">
        <f>C312*i</f>
        <v>0</v>
      </c>
      <c r="F312" s="7">
        <f>IF(N312="Amortissement", F312-D312, 0)</f>
        <v>0</v>
      </c>
      <c r="G312" s="7">
        <f>IF(304&lt;=DiffN, IF(DiffMode="Total (capitalisation)", 0, D312), PMTnom)</f>
        <v>0</v>
      </c>
      <c r="H312" s="7">
        <f>IF(AssType="Sur capital initial (%)", AssTau/12*PNom, IF(AssType="Sur CRD (%)", AssTau/12*C312, IF(AssType="Montant fixe/mois", AssFixe, 0)))</f>
        <v>0</v>
      </c>
      <c r="I312" s="7">
        <f>FraisRec</f>
        <v>0</v>
      </c>
      <c r="J312" s="7">
        <f>F312+G312+H312</f>
        <v>0</v>
      </c>
      <c r="K312" s="7">
        <f>-(I312+L312)</f>
        <v>0</v>
      </c>
      <c r="L312" s="7">
        <f>IF(N312="Différé total", C312+D312, IF(N312="Intérêts seuls", C312, C312-E312))</f>
        <v>0</v>
      </c>
      <c r="M312" s="7">
        <f>IF(304=Nmois, FVballon, 0)</f>
        <v>0</v>
      </c>
      <c r="N312">
        <f>IF(304&lt;=DiffN, IF(DiffMode="Total (capitalisation)","Différé total","Intérêts seuls"), "Amortissement")</f>
        <v>0</v>
      </c>
    </row>
    <row r="313" spans="2:14">
      <c r="B313" s="4">
        <v>305</v>
      </c>
      <c r="C313" s="6">
        <f>EDATE(Date0,305)</f>
        <v>0</v>
      </c>
      <c r="D313" s="7">
        <f>K312</f>
        <v>0</v>
      </c>
      <c r="E313" s="7">
        <f>C313*i</f>
        <v>0</v>
      </c>
      <c r="F313" s="7">
        <f>IF(N313="Amortissement", F313-D313, 0)</f>
        <v>0</v>
      </c>
      <c r="G313" s="7">
        <f>IF(305&lt;=DiffN, IF(DiffMode="Total (capitalisation)", 0, D313), PMTnom)</f>
        <v>0</v>
      </c>
      <c r="H313" s="7">
        <f>IF(AssType="Sur capital initial (%)", AssTau/12*PNom, IF(AssType="Sur CRD (%)", AssTau/12*C313, IF(AssType="Montant fixe/mois", AssFixe, 0)))</f>
        <v>0</v>
      </c>
      <c r="I313" s="7">
        <f>FraisRec</f>
        <v>0</v>
      </c>
      <c r="J313" s="7">
        <f>F313+G313+H313</f>
        <v>0</v>
      </c>
      <c r="K313" s="7">
        <f>-(I313+L313)</f>
        <v>0</v>
      </c>
      <c r="L313" s="7">
        <f>IF(N313="Différé total", C313+D313, IF(N313="Intérêts seuls", C313, C313-E313))</f>
        <v>0</v>
      </c>
      <c r="M313" s="7">
        <f>IF(305=Nmois, FVballon, 0)</f>
        <v>0</v>
      </c>
      <c r="N313">
        <f>IF(305&lt;=DiffN, IF(DiffMode="Total (capitalisation)","Différé total","Intérêts seuls"), "Amortissement")</f>
        <v>0</v>
      </c>
    </row>
    <row r="314" spans="2:14">
      <c r="B314" s="11">
        <v>306</v>
      </c>
      <c r="C314" s="6">
        <f>EDATE(Date0,306)</f>
        <v>0</v>
      </c>
      <c r="D314" s="7">
        <f>K313</f>
        <v>0</v>
      </c>
      <c r="E314" s="7">
        <f>C314*i</f>
        <v>0</v>
      </c>
      <c r="F314" s="7">
        <f>IF(N314="Amortissement", F314-D314, 0)</f>
        <v>0</v>
      </c>
      <c r="G314" s="7">
        <f>IF(306&lt;=DiffN, IF(DiffMode="Total (capitalisation)", 0, D314), PMTnom)</f>
        <v>0</v>
      </c>
      <c r="H314" s="7">
        <f>IF(AssType="Sur capital initial (%)", AssTau/12*PNom, IF(AssType="Sur CRD (%)", AssTau/12*C314, IF(AssType="Montant fixe/mois", AssFixe, 0)))</f>
        <v>0</v>
      </c>
      <c r="I314" s="7">
        <f>FraisRec</f>
        <v>0</v>
      </c>
      <c r="J314" s="7">
        <f>F314+G314+H314</f>
        <v>0</v>
      </c>
      <c r="K314" s="7">
        <f>-(I314+L314)</f>
        <v>0</v>
      </c>
      <c r="L314" s="7">
        <f>IF(N314="Différé total", C314+D314, IF(N314="Intérêts seuls", C314, C314-E314))</f>
        <v>0</v>
      </c>
      <c r="M314" s="7">
        <f>IF(306=Nmois, FVballon, 0)</f>
        <v>0</v>
      </c>
      <c r="N314">
        <f>IF(306&lt;=DiffN, IF(DiffMode="Total (capitalisation)","Différé total","Intérêts seuls"), "Amortissement")</f>
        <v>0</v>
      </c>
    </row>
    <row r="315" spans="2:14">
      <c r="B315" s="4">
        <v>307</v>
      </c>
      <c r="C315" s="6">
        <f>EDATE(Date0,307)</f>
        <v>0</v>
      </c>
      <c r="D315" s="7">
        <f>K314</f>
        <v>0</v>
      </c>
      <c r="E315" s="7">
        <f>C315*i</f>
        <v>0</v>
      </c>
      <c r="F315" s="7">
        <f>IF(N315="Amortissement", F315-D315, 0)</f>
        <v>0</v>
      </c>
      <c r="G315" s="7">
        <f>IF(307&lt;=DiffN, IF(DiffMode="Total (capitalisation)", 0, D315), PMTnom)</f>
        <v>0</v>
      </c>
      <c r="H315" s="7">
        <f>IF(AssType="Sur capital initial (%)", AssTau/12*PNom, IF(AssType="Sur CRD (%)", AssTau/12*C315, IF(AssType="Montant fixe/mois", AssFixe, 0)))</f>
        <v>0</v>
      </c>
      <c r="I315" s="7">
        <f>FraisRec</f>
        <v>0</v>
      </c>
      <c r="J315" s="7">
        <f>F315+G315+H315</f>
        <v>0</v>
      </c>
      <c r="K315" s="7">
        <f>-(I315+L315)</f>
        <v>0</v>
      </c>
      <c r="L315" s="7">
        <f>IF(N315="Différé total", C315+D315, IF(N315="Intérêts seuls", C315, C315-E315))</f>
        <v>0</v>
      </c>
      <c r="M315" s="7">
        <f>IF(307=Nmois, FVballon, 0)</f>
        <v>0</v>
      </c>
      <c r="N315">
        <f>IF(307&lt;=DiffN, IF(DiffMode="Total (capitalisation)","Différé total","Intérêts seuls"), "Amortissement")</f>
        <v>0</v>
      </c>
    </row>
    <row r="316" spans="2:14">
      <c r="B316" s="11">
        <v>308</v>
      </c>
      <c r="C316" s="6">
        <f>EDATE(Date0,308)</f>
        <v>0</v>
      </c>
      <c r="D316" s="7">
        <f>K315</f>
        <v>0</v>
      </c>
      <c r="E316" s="7">
        <f>C316*i</f>
        <v>0</v>
      </c>
      <c r="F316" s="7">
        <f>IF(N316="Amortissement", F316-D316, 0)</f>
        <v>0</v>
      </c>
      <c r="G316" s="7">
        <f>IF(308&lt;=DiffN, IF(DiffMode="Total (capitalisation)", 0, D316), PMTnom)</f>
        <v>0</v>
      </c>
      <c r="H316" s="7">
        <f>IF(AssType="Sur capital initial (%)", AssTau/12*PNom, IF(AssType="Sur CRD (%)", AssTau/12*C316, IF(AssType="Montant fixe/mois", AssFixe, 0)))</f>
        <v>0</v>
      </c>
      <c r="I316" s="7">
        <f>FraisRec</f>
        <v>0</v>
      </c>
      <c r="J316" s="7">
        <f>F316+G316+H316</f>
        <v>0</v>
      </c>
      <c r="K316" s="7">
        <f>-(I316+L316)</f>
        <v>0</v>
      </c>
      <c r="L316" s="7">
        <f>IF(N316="Différé total", C316+D316, IF(N316="Intérêts seuls", C316, C316-E316))</f>
        <v>0</v>
      </c>
      <c r="M316" s="7">
        <f>IF(308=Nmois, FVballon, 0)</f>
        <v>0</v>
      </c>
      <c r="N316">
        <f>IF(308&lt;=DiffN, IF(DiffMode="Total (capitalisation)","Différé total","Intérêts seuls"), "Amortissement")</f>
        <v>0</v>
      </c>
    </row>
    <row r="317" spans="2:14">
      <c r="B317" s="4">
        <v>309</v>
      </c>
      <c r="C317" s="6">
        <f>EDATE(Date0,309)</f>
        <v>0</v>
      </c>
      <c r="D317" s="7">
        <f>K316</f>
        <v>0</v>
      </c>
      <c r="E317" s="7">
        <f>C317*i</f>
        <v>0</v>
      </c>
      <c r="F317" s="7">
        <f>IF(N317="Amortissement", F317-D317, 0)</f>
        <v>0</v>
      </c>
      <c r="G317" s="7">
        <f>IF(309&lt;=DiffN, IF(DiffMode="Total (capitalisation)", 0, D317), PMTnom)</f>
        <v>0</v>
      </c>
      <c r="H317" s="7">
        <f>IF(AssType="Sur capital initial (%)", AssTau/12*PNom, IF(AssType="Sur CRD (%)", AssTau/12*C317, IF(AssType="Montant fixe/mois", AssFixe, 0)))</f>
        <v>0</v>
      </c>
      <c r="I317" s="7">
        <f>FraisRec</f>
        <v>0</v>
      </c>
      <c r="J317" s="7">
        <f>F317+G317+H317</f>
        <v>0</v>
      </c>
      <c r="K317" s="7">
        <f>-(I317+L317)</f>
        <v>0</v>
      </c>
      <c r="L317" s="7">
        <f>IF(N317="Différé total", C317+D317, IF(N317="Intérêts seuls", C317, C317-E317))</f>
        <v>0</v>
      </c>
      <c r="M317" s="7">
        <f>IF(309=Nmois, FVballon, 0)</f>
        <v>0</v>
      </c>
      <c r="N317">
        <f>IF(309&lt;=DiffN, IF(DiffMode="Total (capitalisation)","Différé total","Intérêts seuls"), "Amortissement")</f>
        <v>0</v>
      </c>
    </row>
    <row r="318" spans="2:14">
      <c r="B318" s="11">
        <v>310</v>
      </c>
      <c r="C318" s="6">
        <f>EDATE(Date0,310)</f>
        <v>0</v>
      </c>
      <c r="D318" s="7">
        <f>K317</f>
        <v>0</v>
      </c>
      <c r="E318" s="7">
        <f>C318*i</f>
        <v>0</v>
      </c>
      <c r="F318" s="7">
        <f>IF(N318="Amortissement", F318-D318, 0)</f>
        <v>0</v>
      </c>
      <c r="G318" s="7">
        <f>IF(310&lt;=DiffN, IF(DiffMode="Total (capitalisation)", 0, D318), PMTnom)</f>
        <v>0</v>
      </c>
      <c r="H318" s="7">
        <f>IF(AssType="Sur capital initial (%)", AssTau/12*PNom, IF(AssType="Sur CRD (%)", AssTau/12*C318, IF(AssType="Montant fixe/mois", AssFixe, 0)))</f>
        <v>0</v>
      </c>
      <c r="I318" s="7">
        <f>FraisRec</f>
        <v>0</v>
      </c>
      <c r="J318" s="7">
        <f>F318+G318+H318</f>
        <v>0</v>
      </c>
      <c r="K318" s="7">
        <f>-(I318+L318)</f>
        <v>0</v>
      </c>
      <c r="L318" s="7">
        <f>IF(N318="Différé total", C318+D318, IF(N318="Intérêts seuls", C318, C318-E318))</f>
        <v>0</v>
      </c>
      <c r="M318" s="7">
        <f>IF(310=Nmois, FVballon, 0)</f>
        <v>0</v>
      </c>
      <c r="N318">
        <f>IF(310&lt;=DiffN, IF(DiffMode="Total (capitalisation)","Différé total","Intérêts seuls"), "Amortissement")</f>
        <v>0</v>
      </c>
    </row>
    <row r="319" spans="2:14">
      <c r="B319" s="4">
        <v>311</v>
      </c>
      <c r="C319" s="6">
        <f>EDATE(Date0,311)</f>
        <v>0</v>
      </c>
      <c r="D319" s="7">
        <f>K318</f>
        <v>0</v>
      </c>
      <c r="E319" s="7">
        <f>C319*i</f>
        <v>0</v>
      </c>
      <c r="F319" s="7">
        <f>IF(N319="Amortissement", F319-D319, 0)</f>
        <v>0</v>
      </c>
      <c r="G319" s="7">
        <f>IF(311&lt;=DiffN, IF(DiffMode="Total (capitalisation)", 0, D319), PMTnom)</f>
        <v>0</v>
      </c>
      <c r="H319" s="7">
        <f>IF(AssType="Sur capital initial (%)", AssTau/12*PNom, IF(AssType="Sur CRD (%)", AssTau/12*C319, IF(AssType="Montant fixe/mois", AssFixe, 0)))</f>
        <v>0</v>
      </c>
      <c r="I319" s="7">
        <f>FraisRec</f>
        <v>0</v>
      </c>
      <c r="J319" s="7">
        <f>F319+G319+H319</f>
        <v>0</v>
      </c>
      <c r="K319" s="7">
        <f>-(I319+L319)</f>
        <v>0</v>
      </c>
      <c r="L319" s="7">
        <f>IF(N319="Différé total", C319+D319, IF(N319="Intérêts seuls", C319, C319-E319))</f>
        <v>0</v>
      </c>
      <c r="M319" s="7">
        <f>IF(311=Nmois, FVballon, 0)</f>
        <v>0</v>
      </c>
      <c r="N319">
        <f>IF(311&lt;=DiffN, IF(DiffMode="Total (capitalisation)","Différé total","Intérêts seuls"), "Amortissement")</f>
        <v>0</v>
      </c>
    </row>
    <row r="320" spans="2:14">
      <c r="B320" s="11">
        <v>312</v>
      </c>
      <c r="C320" s="6">
        <f>EDATE(Date0,312)</f>
        <v>0</v>
      </c>
      <c r="D320" s="7">
        <f>K319</f>
        <v>0</v>
      </c>
      <c r="E320" s="7">
        <f>C320*i</f>
        <v>0</v>
      </c>
      <c r="F320" s="7">
        <f>IF(N320="Amortissement", F320-D320, 0)</f>
        <v>0</v>
      </c>
      <c r="G320" s="7">
        <f>IF(312&lt;=DiffN, IF(DiffMode="Total (capitalisation)", 0, D320), PMTnom)</f>
        <v>0</v>
      </c>
      <c r="H320" s="7">
        <f>IF(AssType="Sur capital initial (%)", AssTau/12*PNom, IF(AssType="Sur CRD (%)", AssTau/12*C320, IF(AssType="Montant fixe/mois", AssFixe, 0)))</f>
        <v>0</v>
      </c>
      <c r="I320" s="7">
        <f>FraisRec</f>
        <v>0</v>
      </c>
      <c r="J320" s="7">
        <f>F320+G320+H320</f>
        <v>0</v>
      </c>
      <c r="K320" s="7">
        <f>-(I320+L320)</f>
        <v>0</v>
      </c>
      <c r="L320" s="7">
        <f>IF(N320="Différé total", C320+D320, IF(N320="Intérêts seuls", C320, C320-E320))</f>
        <v>0</v>
      </c>
      <c r="M320" s="7">
        <f>IF(312=Nmois, FVballon, 0)</f>
        <v>0</v>
      </c>
      <c r="N320">
        <f>IF(312&lt;=DiffN, IF(DiffMode="Total (capitalisation)","Différé total","Intérêts seuls"), "Amortissement")</f>
        <v>0</v>
      </c>
    </row>
    <row r="321" spans="2:14">
      <c r="B321" s="4">
        <v>313</v>
      </c>
      <c r="C321" s="6">
        <f>EDATE(Date0,313)</f>
        <v>0</v>
      </c>
      <c r="D321" s="7">
        <f>K320</f>
        <v>0</v>
      </c>
      <c r="E321" s="7">
        <f>C321*i</f>
        <v>0</v>
      </c>
      <c r="F321" s="7">
        <f>IF(N321="Amortissement", F321-D321, 0)</f>
        <v>0</v>
      </c>
      <c r="G321" s="7">
        <f>IF(313&lt;=DiffN, IF(DiffMode="Total (capitalisation)", 0, D321), PMTnom)</f>
        <v>0</v>
      </c>
      <c r="H321" s="7">
        <f>IF(AssType="Sur capital initial (%)", AssTau/12*PNom, IF(AssType="Sur CRD (%)", AssTau/12*C321, IF(AssType="Montant fixe/mois", AssFixe, 0)))</f>
        <v>0</v>
      </c>
      <c r="I321" s="7">
        <f>FraisRec</f>
        <v>0</v>
      </c>
      <c r="J321" s="7">
        <f>F321+G321+H321</f>
        <v>0</v>
      </c>
      <c r="K321" s="7">
        <f>-(I321+L321)</f>
        <v>0</v>
      </c>
      <c r="L321" s="7">
        <f>IF(N321="Différé total", C321+D321, IF(N321="Intérêts seuls", C321, C321-E321))</f>
        <v>0</v>
      </c>
      <c r="M321" s="7">
        <f>IF(313=Nmois, FVballon, 0)</f>
        <v>0</v>
      </c>
      <c r="N321">
        <f>IF(313&lt;=DiffN, IF(DiffMode="Total (capitalisation)","Différé total","Intérêts seuls"), "Amortissement")</f>
        <v>0</v>
      </c>
    </row>
    <row r="322" spans="2:14">
      <c r="B322" s="11">
        <v>314</v>
      </c>
      <c r="C322" s="6">
        <f>EDATE(Date0,314)</f>
        <v>0</v>
      </c>
      <c r="D322" s="7">
        <f>K321</f>
        <v>0</v>
      </c>
      <c r="E322" s="7">
        <f>C322*i</f>
        <v>0</v>
      </c>
      <c r="F322" s="7">
        <f>IF(N322="Amortissement", F322-D322, 0)</f>
        <v>0</v>
      </c>
      <c r="G322" s="7">
        <f>IF(314&lt;=DiffN, IF(DiffMode="Total (capitalisation)", 0, D322), PMTnom)</f>
        <v>0</v>
      </c>
      <c r="H322" s="7">
        <f>IF(AssType="Sur capital initial (%)", AssTau/12*PNom, IF(AssType="Sur CRD (%)", AssTau/12*C322, IF(AssType="Montant fixe/mois", AssFixe, 0)))</f>
        <v>0</v>
      </c>
      <c r="I322" s="7">
        <f>FraisRec</f>
        <v>0</v>
      </c>
      <c r="J322" s="7">
        <f>F322+G322+H322</f>
        <v>0</v>
      </c>
      <c r="K322" s="7">
        <f>-(I322+L322)</f>
        <v>0</v>
      </c>
      <c r="L322" s="7">
        <f>IF(N322="Différé total", C322+D322, IF(N322="Intérêts seuls", C322, C322-E322))</f>
        <v>0</v>
      </c>
      <c r="M322" s="7">
        <f>IF(314=Nmois, FVballon, 0)</f>
        <v>0</v>
      </c>
      <c r="N322">
        <f>IF(314&lt;=DiffN, IF(DiffMode="Total (capitalisation)","Différé total","Intérêts seuls"), "Amortissement")</f>
        <v>0</v>
      </c>
    </row>
    <row r="323" spans="2:14">
      <c r="B323" s="4">
        <v>315</v>
      </c>
      <c r="C323" s="6">
        <f>EDATE(Date0,315)</f>
        <v>0</v>
      </c>
      <c r="D323" s="7">
        <f>K322</f>
        <v>0</v>
      </c>
      <c r="E323" s="7">
        <f>C323*i</f>
        <v>0</v>
      </c>
      <c r="F323" s="7">
        <f>IF(N323="Amortissement", F323-D323, 0)</f>
        <v>0</v>
      </c>
      <c r="G323" s="7">
        <f>IF(315&lt;=DiffN, IF(DiffMode="Total (capitalisation)", 0, D323), PMTnom)</f>
        <v>0</v>
      </c>
      <c r="H323" s="7">
        <f>IF(AssType="Sur capital initial (%)", AssTau/12*PNom, IF(AssType="Sur CRD (%)", AssTau/12*C323, IF(AssType="Montant fixe/mois", AssFixe, 0)))</f>
        <v>0</v>
      </c>
      <c r="I323" s="7">
        <f>FraisRec</f>
        <v>0</v>
      </c>
      <c r="J323" s="7">
        <f>F323+G323+H323</f>
        <v>0</v>
      </c>
      <c r="K323" s="7">
        <f>-(I323+L323)</f>
        <v>0</v>
      </c>
      <c r="L323" s="7">
        <f>IF(N323="Différé total", C323+D323, IF(N323="Intérêts seuls", C323, C323-E323))</f>
        <v>0</v>
      </c>
      <c r="M323" s="7">
        <f>IF(315=Nmois, FVballon, 0)</f>
        <v>0</v>
      </c>
      <c r="N323">
        <f>IF(315&lt;=DiffN, IF(DiffMode="Total (capitalisation)","Différé total","Intérêts seuls"), "Amortissement")</f>
        <v>0</v>
      </c>
    </row>
    <row r="324" spans="2:14">
      <c r="B324" s="11">
        <v>316</v>
      </c>
      <c r="C324" s="6">
        <f>EDATE(Date0,316)</f>
        <v>0</v>
      </c>
      <c r="D324" s="7">
        <f>K323</f>
        <v>0</v>
      </c>
      <c r="E324" s="7">
        <f>C324*i</f>
        <v>0</v>
      </c>
      <c r="F324" s="7">
        <f>IF(N324="Amortissement", F324-D324, 0)</f>
        <v>0</v>
      </c>
      <c r="G324" s="7">
        <f>IF(316&lt;=DiffN, IF(DiffMode="Total (capitalisation)", 0, D324), PMTnom)</f>
        <v>0</v>
      </c>
      <c r="H324" s="7">
        <f>IF(AssType="Sur capital initial (%)", AssTau/12*PNom, IF(AssType="Sur CRD (%)", AssTau/12*C324, IF(AssType="Montant fixe/mois", AssFixe, 0)))</f>
        <v>0</v>
      </c>
      <c r="I324" s="7">
        <f>FraisRec</f>
        <v>0</v>
      </c>
      <c r="J324" s="7">
        <f>F324+G324+H324</f>
        <v>0</v>
      </c>
      <c r="K324" s="7">
        <f>-(I324+L324)</f>
        <v>0</v>
      </c>
      <c r="L324" s="7">
        <f>IF(N324="Différé total", C324+D324, IF(N324="Intérêts seuls", C324, C324-E324))</f>
        <v>0</v>
      </c>
      <c r="M324" s="7">
        <f>IF(316=Nmois, FVballon, 0)</f>
        <v>0</v>
      </c>
      <c r="N324">
        <f>IF(316&lt;=DiffN, IF(DiffMode="Total (capitalisation)","Différé total","Intérêts seuls"), "Amortissement")</f>
        <v>0</v>
      </c>
    </row>
    <row r="325" spans="2:14">
      <c r="B325" s="4">
        <v>317</v>
      </c>
      <c r="C325" s="6">
        <f>EDATE(Date0,317)</f>
        <v>0</v>
      </c>
      <c r="D325" s="7">
        <f>K324</f>
        <v>0</v>
      </c>
      <c r="E325" s="7">
        <f>C325*i</f>
        <v>0</v>
      </c>
      <c r="F325" s="7">
        <f>IF(N325="Amortissement", F325-D325, 0)</f>
        <v>0</v>
      </c>
      <c r="G325" s="7">
        <f>IF(317&lt;=DiffN, IF(DiffMode="Total (capitalisation)", 0, D325), PMTnom)</f>
        <v>0</v>
      </c>
      <c r="H325" s="7">
        <f>IF(AssType="Sur capital initial (%)", AssTau/12*PNom, IF(AssType="Sur CRD (%)", AssTau/12*C325, IF(AssType="Montant fixe/mois", AssFixe, 0)))</f>
        <v>0</v>
      </c>
      <c r="I325" s="7">
        <f>FraisRec</f>
        <v>0</v>
      </c>
      <c r="J325" s="7">
        <f>F325+G325+H325</f>
        <v>0</v>
      </c>
      <c r="K325" s="7">
        <f>-(I325+L325)</f>
        <v>0</v>
      </c>
      <c r="L325" s="7">
        <f>IF(N325="Différé total", C325+D325, IF(N325="Intérêts seuls", C325, C325-E325))</f>
        <v>0</v>
      </c>
      <c r="M325" s="7">
        <f>IF(317=Nmois, FVballon, 0)</f>
        <v>0</v>
      </c>
      <c r="N325">
        <f>IF(317&lt;=DiffN, IF(DiffMode="Total (capitalisation)","Différé total","Intérêts seuls"), "Amortissement")</f>
        <v>0</v>
      </c>
    </row>
    <row r="326" spans="2:14">
      <c r="B326" s="11">
        <v>318</v>
      </c>
      <c r="C326" s="6">
        <f>EDATE(Date0,318)</f>
        <v>0</v>
      </c>
      <c r="D326" s="7">
        <f>K325</f>
        <v>0</v>
      </c>
      <c r="E326" s="7">
        <f>C326*i</f>
        <v>0</v>
      </c>
      <c r="F326" s="7">
        <f>IF(N326="Amortissement", F326-D326, 0)</f>
        <v>0</v>
      </c>
      <c r="G326" s="7">
        <f>IF(318&lt;=DiffN, IF(DiffMode="Total (capitalisation)", 0, D326), PMTnom)</f>
        <v>0</v>
      </c>
      <c r="H326" s="7">
        <f>IF(AssType="Sur capital initial (%)", AssTau/12*PNom, IF(AssType="Sur CRD (%)", AssTau/12*C326, IF(AssType="Montant fixe/mois", AssFixe, 0)))</f>
        <v>0</v>
      </c>
      <c r="I326" s="7">
        <f>FraisRec</f>
        <v>0</v>
      </c>
      <c r="J326" s="7">
        <f>F326+G326+H326</f>
        <v>0</v>
      </c>
      <c r="K326" s="7">
        <f>-(I326+L326)</f>
        <v>0</v>
      </c>
      <c r="L326" s="7">
        <f>IF(N326="Différé total", C326+D326, IF(N326="Intérêts seuls", C326, C326-E326))</f>
        <v>0</v>
      </c>
      <c r="M326" s="7">
        <f>IF(318=Nmois, FVballon, 0)</f>
        <v>0</v>
      </c>
      <c r="N326">
        <f>IF(318&lt;=DiffN, IF(DiffMode="Total (capitalisation)","Différé total","Intérêts seuls"), "Amortissement")</f>
        <v>0</v>
      </c>
    </row>
    <row r="327" spans="2:14">
      <c r="B327" s="4">
        <v>319</v>
      </c>
      <c r="C327" s="6">
        <f>EDATE(Date0,319)</f>
        <v>0</v>
      </c>
      <c r="D327" s="7">
        <f>K326</f>
        <v>0</v>
      </c>
      <c r="E327" s="7">
        <f>C327*i</f>
        <v>0</v>
      </c>
      <c r="F327" s="7">
        <f>IF(N327="Amortissement", F327-D327, 0)</f>
        <v>0</v>
      </c>
      <c r="G327" s="7">
        <f>IF(319&lt;=DiffN, IF(DiffMode="Total (capitalisation)", 0, D327), PMTnom)</f>
        <v>0</v>
      </c>
      <c r="H327" s="7">
        <f>IF(AssType="Sur capital initial (%)", AssTau/12*PNom, IF(AssType="Sur CRD (%)", AssTau/12*C327, IF(AssType="Montant fixe/mois", AssFixe, 0)))</f>
        <v>0</v>
      </c>
      <c r="I327" s="7">
        <f>FraisRec</f>
        <v>0</v>
      </c>
      <c r="J327" s="7">
        <f>F327+G327+H327</f>
        <v>0</v>
      </c>
      <c r="K327" s="7">
        <f>-(I327+L327)</f>
        <v>0</v>
      </c>
      <c r="L327" s="7">
        <f>IF(N327="Différé total", C327+D327, IF(N327="Intérêts seuls", C327, C327-E327))</f>
        <v>0</v>
      </c>
      <c r="M327" s="7">
        <f>IF(319=Nmois, FVballon, 0)</f>
        <v>0</v>
      </c>
      <c r="N327">
        <f>IF(319&lt;=DiffN, IF(DiffMode="Total (capitalisation)","Différé total","Intérêts seuls"), "Amortissement")</f>
        <v>0</v>
      </c>
    </row>
    <row r="328" spans="2:14">
      <c r="B328" s="11">
        <v>320</v>
      </c>
      <c r="C328" s="6">
        <f>EDATE(Date0,320)</f>
        <v>0</v>
      </c>
      <c r="D328" s="7">
        <f>K327</f>
        <v>0</v>
      </c>
      <c r="E328" s="7">
        <f>C328*i</f>
        <v>0</v>
      </c>
      <c r="F328" s="7">
        <f>IF(N328="Amortissement", F328-D328, 0)</f>
        <v>0</v>
      </c>
      <c r="G328" s="7">
        <f>IF(320&lt;=DiffN, IF(DiffMode="Total (capitalisation)", 0, D328), PMTnom)</f>
        <v>0</v>
      </c>
      <c r="H328" s="7">
        <f>IF(AssType="Sur capital initial (%)", AssTau/12*PNom, IF(AssType="Sur CRD (%)", AssTau/12*C328, IF(AssType="Montant fixe/mois", AssFixe, 0)))</f>
        <v>0</v>
      </c>
      <c r="I328" s="7">
        <f>FraisRec</f>
        <v>0</v>
      </c>
      <c r="J328" s="7">
        <f>F328+G328+H328</f>
        <v>0</v>
      </c>
      <c r="K328" s="7">
        <f>-(I328+L328)</f>
        <v>0</v>
      </c>
      <c r="L328" s="7">
        <f>IF(N328="Différé total", C328+D328, IF(N328="Intérêts seuls", C328, C328-E328))</f>
        <v>0</v>
      </c>
      <c r="M328" s="7">
        <f>IF(320=Nmois, FVballon, 0)</f>
        <v>0</v>
      </c>
      <c r="N328">
        <f>IF(320&lt;=DiffN, IF(DiffMode="Total (capitalisation)","Différé total","Intérêts seuls"), "Amortissement")</f>
        <v>0</v>
      </c>
    </row>
    <row r="329" spans="2:14">
      <c r="B329" s="4">
        <v>321</v>
      </c>
      <c r="C329" s="6">
        <f>EDATE(Date0,321)</f>
        <v>0</v>
      </c>
      <c r="D329" s="7">
        <f>K328</f>
        <v>0</v>
      </c>
      <c r="E329" s="7">
        <f>C329*i</f>
        <v>0</v>
      </c>
      <c r="F329" s="7">
        <f>IF(N329="Amortissement", F329-D329, 0)</f>
        <v>0</v>
      </c>
      <c r="G329" s="7">
        <f>IF(321&lt;=DiffN, IF(DiffMode="Total (capitalisation)", 0, D329), PMTnom)</f>
        <v>0</v>
      </c>
      <c r="H329" s="7">
        <f>IF(AssType="Sur capital initial (%)", AssTau/12*PNom, IF(AssType="Sur CRD (%)", AssTau/12*C329, IF(AssType="Montant fixe/mois", AssFixe, 0)))</f>
        <v>0</v>
      </c>
      <c r="I329" s="7">
        <f>FraisRec</f>
        <v>0</v>
      </c>
      <c r="J329" s="7">
        <f>F329+G329+H329</f>
        <v>0</v>
      </c>
      <c r="K329" s="7">
        <f>-(I329+L329)</f>
        <v>0</v>
      </c>
      <c r="L329" s="7">
        <f>IF(N329="Différé total", C329+D329, IF(N329="Intérêts seuls", C329, C329-E329))</f>
        <v>0</v>
      </c>
      <c r="M329" s="7">
        <f>IF(321=Nmois, FVballon, 0)</f>
        <v>0</v>
      </c>
      <c r="N329">
        <f>IF(321&lt;=DiffN, IF(DiffMode="Total (capitalisation)","Différé total","Intérêts seuls"), "Amortissement")</f>
        <v>0</v>
      </c>
    </row>
    <row r="330" spans="2:14">
      <c r="B330" s="11">
        <v>322</v>
      </c>
      <c r="C330" s="6">
        <f>EDATE(Date0,322)</f>
        <v>0</v>
      </c>
      <c r="D330" s="7">
        <f>K329</f>
        <v>0</v>
      </c>
      <c r="E330" s="7">
        <f>C330*i</f>
        <v>0</v>
      </c>
      <c r="F330" s="7">
        <f>IF(N330="Amortissement", F330-D330, 0)</f>
        <v>0</v>
      </c>
      <c r="G330" s="7">
        <f>IF(322&lt;=DiffN, IF(DiffMode="Total (capitalisation)", 0, D330), PMTnom)</f>
        <v>0</v>
      </c>
      <c r="H330" s="7">
        <f>IF(AssType="Sur capital initial (%)", AssTau/12*PNom, IF(AssType="Sur CRD (%)", AssTau/12*C330, IF(AssType="Montant fixe/mois", AssFixe, 0)))</f>
        <v>0</v>
      </c>
      <c r="I330" s="7">
        <f>FraisRec</f>
        <v>0</v>
      </c>
      <c r="J330" s="7">
        <f>F330+G330+H330</f>
        <v>0</v>
      </c>
      <c r="K330" s="7">
        <f>-(I330+L330)</f>
        <v>0</v>
      </c>
      <c r="L330" s="7">
        <f>IF(N330="Différé total", C330+D330, IF(N330="Intérêts seuls", C330, C330-E330))</f>
        <v>0</v>
      </c>
      <c r="M330" s="7">
        <f>IF(322=Nmois, FVballon, 0)</f>
        <v>0</v>
      </c>
      <c r="N330">
        <f>IF(322&lt;=DiffN, IF(DiffMode="Total (capitalisation)","Différé total","Intérêts seuls"), "Amortissement")</f>
        <v>0</v>
      </c>
    </row>
    <row r="331" spans="2:14">
      <c r="B331" s="4">
        <v>323</v>
      </c>
      <c r="C331" s="6">
        <f>EDATE(Date0,323)</f>
        <v>0</v>
      </c>
      <c r="D331" s="7">
        <f>K330</f>
        <v>0</v>
      </c>
      <c r="E331" s="7">
        <f>C331*i</f>
        <v>0</v>
      </c>
      <c r="F331" s="7">
        <f>IF(N331="Amortissement", F331-D331, 0)</f>
        <v>0</v>
      </c>
      <c r="G331" s="7">
        <f>IF(323&lt;=DiffN, IF(DiffMode="Total (capitalisation)", 0, D331), PMTnom)</f>
        <v>0</v>
      </c>
      <c r="H331" s="7">
        <f>IF(AssType="Sur capital initial (%)", AssTau/12*PNom, IF(AssType="Sur CRD (%)", AssTau/12*C331, IF(AssType="Montant fixe/mois", AssFixe, 0)))</f>
        <v>0</v>
      </c>
      <c r="I331" s="7">
        <f>FraisRec</f>
        <v>0</v>
      </c>
      <c r="J331" s="7">
        <f>F331+G331+H331</f>
        <v>0</v>
      </c>
      <c r="K331" s="7">
        <f>-(I331+L331)</f>
        <v>0</v>
      </c>
      <c r="L331" s="7">
        <f>IF(N331="Différé total", C331+D331, IF(N331="Intérêts seuls", C331, C331-E331))</f>
        <v>0</v>
      </c>
      <c r="M331" s="7">
        <f>IF(323=Nmois, FVballon, 0)</f>
        <v>0</v>
      </c>
      <c r="N331">
        <f>IF(323&lt;=DiffN, IF(DiffMode="Total (capitalisation)","Différé total","Intérêts seuls"), "Amortissement")</f>
        <v>0</v>
      </c>
    </row>
    <row r="332" spans="2:14">
      <c r="B332" s="11">
        <v>324</v>
      </c>
      <c r="C332" s="6">
        <f>EDATE(Date0,324)</f>
        <v>0</v>
      </c>
      <c r="D332" s="7">
        <f>K331</f>
        <v>0</v>
      </c>
      <c r="E332" s="7">
        <f>C332*i</f>
        <v>0</v>
      </c>
      <c r="F332" s="7">
        <f>IF(N332="Amortissement", F332-D332, 0)</f>
        <v>0</v>
      </c>
      <c r="G332" s="7">
        <f>IF(324&lt;=DiffN, IF(DiffMode="Total (capitalisation)", 0, D332), PMTnom)</f>
        <v>0</v>
      </c>
      <c r="H332" s="7">
        <f>IF(AssType="Sur capital initial (%)", AssTau/12*PNom, IF(AssType="Sur CRD (%)", AssTau/12*C332, IF(AssType="Montant fixe/mois", AssFixe, 0)))</f>
        <v>0</v>
      </c>
      <c r="I332" s="7">
        <f>FraisRec</f>
        <v>0</v>
      </c>
      <c r="J332" s="7">
        <f>F332+G332+H332</f>
        <v>0</v>
      </c>
      <c r="K332" s="7">
        <f>-(I332+L332)</f>
        <v>0</v>
      </c>
      <c r="L332" s="7">
        <f>IF(N332="Différé total", C332+D332, IF(N332="Intérêts seuls", C332, C332-E332))</f>
        <v>0</v>
      </c>
      <c r="M332" s="7">
        <f>IF(324=Nmois, FVballon, 0)</f>
        <v>0</v>
      </c>
      <c r="N332">
        <f>IF(324&lt;=DiffN, IF(DiffMode="Total (capitalisation)","Différé total","Intérêts seuls"), "Amortissement")</f>
        <v>0</v>
      </c>
    </row>
    <row r="333" spans="2:14">
      <c r="B333" s="4">
        <v>325</v>
      </c>
      <c r="C333" s="6">
        <f>EDATE(Date0,325)</f>
        <v>0</v>
      </c>
      <c r="D333" s="7">
        <f>K332</f>
        <v>0</v>
      </c>
      <c r="E333" s="7">
        <f>C333*i</f>
        <v>0</v>
      </c>
      <c r="F333" s="7">
        <f>IF(N333="Amortissement", F333-D333, 0)</f>
        <v>0</v>
      </c>
      <c r="G333" s="7">
        <f>IF(325&lt;=DiffN, IF(DiffMode="Total (capitalisation)", 0, D333), PMTnom)</f>
        <v>0</v>
      </c>
      <c r="H333" s="7">
        <f>IF(AssType="Sur capital initial (%)", AssTau/12*PNom, IF(AssType="Sur CRD (%)", AssTau/12*C333, IF(AssType="Montant fixe/mois", AssFixe, 0)))</f>
        <v>0</v>
      </c>
      <c r="I333" s="7">
        <f>FraisRec</f>
        <v>0</v>
      </c>
      <c r="J333" s="7">
        <f>F333+G333+H333</f>
        <v>0</v>
      </c>
      <c r="K333" s="7">
        <f>-(I333+L333)</f>
        <v>0</v>
      </c>
      <c r="L333" s="7">
        <f>IF(N333="Différé total", C333+D333, IF(N333="Intérêts seuls", C333, C333-E333))</f>
        <v>0</v>
      </c>
      <c r="M333" s="7">
        <f>IF(325=Nmois, FVballon, 0)</f>
        <v>0</v>
      </c>
      <c r="N333">
        <f>IF(325&lt;=DiffN, IF(DiffMode="Total (capitalisation)","Différé total","Intérêts seuls"), "Amortissement")</f>
        <v>0</v>
      </c>
    </row>
    <row r="334" spans="2:14">
      <c r="B334" s="11">
        <v>326</v>
      </c>
      <c r="C334" s="6">
        <f>EDATE(Date0,326)</f>
        <v>0</v>
      </c>
      <c r="D334" s="7">
        <f>K333</f>
        <v>0</v>
      </c>
      <c r="E334" s="7">
        <f>C334*i</f>
        <v>0</v>
      </c>
      <c r="F334" s="7">
        <f>IF(N334="Amortissement", F334-D334, 0)</f>
        <v>0</v>
      </c>
      <c r="G334" s="7">
        <f>IF(326&lt;=DiffN, IF(DiffMode="Total (capitalisation)", 0, D334), PMTnom)</f>
        <v>0</v>
      </c>
      <c r="H334" s="7">
        <f>IF(AssType="Sur capital initial (%)", AssTau/12*PNom, IF(AssType="Sur CRD (%)", AssTau/12*C334, IF(AssType="Montant fixe/mois", AssFixe, 0)))</f>
        <v>0</v>
      </c>
      <c r="I334" s="7">
        <f>FraisRec</f>
        <v>0</v>
      </c>
      <c r="J334" s="7">
        <f>F334+G334+H334</f>
        <v>0</v>
      </c>
      <c r="K334" s="7">
        <f>-(I334+L334)</f>
        <v>0</v>
      </c>
      <c r="L334" s="7">
        <f>IF(N334="Différé total", C334+D334, IF(N334="Intérêts seuls", C334, C334-E334))</f>
        <v>0</v>
      </c>
      <c r="M334" s="7">
        <f>IF(326=Nmois, FVballon, 0)</f>
        <v>0</v>
      </c>
      <c r="N334">
        <f>IF(326&lt;=DiffN, IF(DiffMode="Total (capitalisation)","Différé total","Intérêts seuls"), "Amortissement")</f>
        <v>0</v>
      </c>
    </row>
    <row r="335" spans="2:14">
      <c r="B335" s="4">
        <v>327</v>
      </c>
      <c r="C335" s="6">
        <f>EDATE(Date0,327)</f>
        <v>0</v>
      </c>
      <c r="D335" s="7">
        <f>K334</f>
        <v>0</v>
      </c>
      <c r="E335" s="7">
        <f>C335*i</f>
        <v>0</v>
      </c>
      <c r="F335" s="7">
        <f>IF(N335="Amortissement", F335-D335, 0)</f>
        <v>0</v>
      </c>
      <c r="G335" s="7">
        <f>IF(327&lt;=DiffN, IF(DiffMode="Total (capitalisation)", 0, D335), PMTnom)</f>
        <v>0</v>
      </c>
      <c r="H335" s="7">
        <f>IF(AssType="Sur capital initial (%)", AssTau/12*PNom, IF(AssType="Sur CRD (%)", AssTau/12*C335, IF(AssType="Montant fixe/mois", AssFixe, 0)))</f>
        <v>0</v>
      </c>
      <c r="I335" s="7">
        <f>FraisRec</f>
        <v>0</v>
      </c>
      <c r="J335" s="7">
        <f>F335+G335+H335</f>
        <v>0</v>
      </c>
      <c r="K335" s="7">
        <f>-(I335+L335)</f>
        <v>0</v>
      </c>
      <c r="L335" s="7">
        <f>IF(N335="Différé total", C335+D335, IF(N335="Intérêts seuls", C335, C335-E335))</f>
        <v>0</v>
      </c>
      <c r="M335" s="7">
        <f>IF(327=Nmois, FVballon, 0)</f>
        <v>0</v>
      </c>
      <c r="N335">
        <f>IF(327&lt;=DiffN, IF(DiffMode="Total (capitalisation)","Différé total","Intérêts seuls"), "Amortissement")</f>
        <v>0</v>
      </c>
    </row>
    <row r="336" spans="2:14">
      <c r="B336" s="11">
        <v>328</v>
      </c>
      <c r="C336" s="6">
        <f>EDATE(Date0,328)</f>
        <v>0</v>
      </c>
      <c r="D336" s="7">
        <f>K335</f>
        <v>0</v>
      </c>
      <c r="E336" s="7">
        <f>C336*i</f>
        <v>0</v>
      </c>
      <c r="F336" s="7">
        <f>IF(N336="Amortissement", F336-D336, 0)</f>
        <v>0</v>
      </c>
      <c r="G336" s="7">
        <f>IF(328&lt;=DiffN, IF(DiffMode="Total (capitalisation)", 0, D336), PMTnom)</f>
        <v>0</v>
      </c>
      <c r="H336" s="7">
        <f>IF(AssType="Sur capital initial (%)", AssTau/12*PNom, IF(AssType="Sur CRD (%)", AssTau/12*C336, IF(AssType="Montant fixe/mois", AssFixe, 0)))</f>
        <v>0</v>
      </c>
      <c r="I336" s="7">
        <f>FraisRec</f>
        <v>0</v>
      </c>
      <c r="J336" s="7">
        <f>F336+G336+H336</f>
        <v>0</v>
      </c>
      <c r="K336" s="7">
        <f>-(I336+L336)</f>
        <v>0</v>
      </c>
      <c r="L336" s="7">
        <f>IF(N336="Différé total", C336+D336, IF(N336="Intérêts seuls", C336, C336-E336))</f>
        <v>0</v>
      </c>
      <c r="M336" s="7">
        <f>IF(328=Nmois, FVballon, 0)</f>
        <v>0</v>
      </c>
      <c r="N336">
        <f>IF(328&lt;=DiffN, IF(DiffMode="Total (capitalisation)","Différé total","Intérêts seuls"), "Amortissement")</f>
        <v>0</v>
      </c>
    </row>
    <row r="337" spans="2:14">
      <c r="B337" s="4">
        <v>329</v>
      </c>
      <c r="C337" s="6">
        <f>EDATE(Date0,329)</f>
        <v>0</v>
      </c>
      <c r="D337" s="7">
        <f>K336</f>
        <v>0</v>
      </c>
      <c r="E337" s="7">
        <f>C337*i</f>
        <v>0</v>
      </c>
      <c r="F337" s="7">
        <f>IF(N337="Amortissement", F337-D337, 0)</f>
        <v>0</v>
      </c>
      <c r="G337" s="7">
        <f>IF(329&lt;=DiffN, IF(DiffMode="Total (capitalisation)", 0, D337), PMTnom)</f>
        <v>0</v>
      </c>
      <c r="H337" s="7">
        <f>IF(AssType="Sur capital initial (%)", AssTau/12*PNom, IF(AssType="Sur CRD (%)", AssTau/12*C337, IF(AssType="Montant fixe/mois", AssFixe, 0)))</f>
        <v>0</v>
      </c>
      <c r="I337" s="7">
        <f>FraisRec</f>
        <v>0</v>
      </c>
      <c r="J337" s="7">
        <f>F337+G337+H337</f>
        <v>0</v>
      </c>
      <c r="K337" s="7">
        <f>-(I337+L337)</f>
        <v>0</v>
      </c>
      <c r="L337" s="7">
        <f>IF(N337="Différé total", C337+D337, IF(N337="Intérêts seuls", C337, C337-E337))</f>
        <v>0</v>
      </c>
      <c r="M337" s="7">
        <f>IF(329=Nmois, FVballon, 0)</f>
        <v>0</v>
      </c>
      <c r="N337">
        <f>IF(329&lt;=DiffN, IF(DiffMode="Total (capitalisation)","Différé total","Intérêts seuls"), "Amortissement")</f>
        <v>0</v>
      </c>
    </row>
    <row r="338" spans="2:14">
      <c r="B338" s="11">
        <v>330</v>
      </c>
      <c r="C338" s="6">
        <f>EDATE(Date0,330)</f>
        <v>0</v>
      </c>
      <c r="D338" s="7">
        <f>K337</f>
        <v>0</v>
      </c>
      <c r="E338" s="7">
        <f>C338*i</f>
        <v>0</v>
      </c>
      <c r="F338" s="7">
        <f>IF(N338="Amortissement", F338-D338, 0)</f>
        <v>0</v>
      </c>
      <c r="G338" s="7">
        <f>IF(330&lt;=DiffN, IF(DiffMode="Total (capitalisation)", 0, D338), PMTnom)</f>
        <v>0</v>
      </c>
      <c r="H338" s="7">
        <f>IF(AssType="Sur capital initial (%)", AssTau/12*PNom, IF(AssType="Sur CRD (%)", AssTau/12*C338, IF(AssType="Montant fixe/mois", AssFixe, 0)))</f>
        <v>0</v>
      </c>
      <c r="I338" s="7">
        <f>FraisRec</f>
        <v>0</v>
      </c>
      <c r="J338" s="7">
        <f>F338+G338+H338</f>
        <v>0</v>
      </c>
      <c r="K338" s="7">
        <f>-(I338+L338)</f>
        <v>0</v>
      </c>
      <c r="L338" s="7">
        <f>IF(N338="Différé total", C338+D338, IF(N338="Intérêts seuls", C338, C338-E338))</f>
        <v>0</v>
      </c>
      <c r="M338" s="7">
        <f>IF(330=Nmois, FVballon, 0)</f>
        <v>0</v>
      </c>
      <c r="N338">
        <f>IF(330&lt;=DiffN, IF(DiffMode="Total (capitalisation)","Différé total","Intérêts seuls"), "Amortissement")</f>
        <v>0</v>
      </c>
    </row>
    <row r="339" spans="2:14">
      <c r="B339" s="4">
        <v>331</v>
      </c>
      <c r="C339" s="6">
        <f>EDATE(Date0,331)</f>
        <v>0</v>
      </c>
      <c r="D339" s="7">
        <f>K338</f>
        <v>0</v>
      </c>
      <c r="E339" s="7">
        <f>C339*i</f>
        <v>0</v>
      </c>
      <c r="F339" s="7">
        <f>IF(N339="Amortissement", F339-D339, 0)</f>
        <v>0</v>
      </c>
      <c r="G339" s="7">
        <f>IF(331&lt;=DiffN, IF(DiffMode="Total (capitalisation)", 0, D339), PMTnom)</f>
        <v>0</v>
      </c>
      <c r="H339" s="7">
        <f>IF(AssType="Sur capital initial (%)", AssTau/12*PNom, IF(AssType="Sur CRD (%)", AssTau/12*C339, IF(AssType="Montant fixe/mois", AssFixe, 0)))</f>
        <v>0</v>
      </c>
      <c r="I339" s="7">
        <f>FraisRec</f>
        <v>0</v>
      </c>
      <c r="J339" s="7">
        <f>F339+G339+H339</f>
        <v>0</v>
      </c>
      <c r="K339" s="7">
        <f>-(I339+L339)</f>
        <v>0</v>
      </c>
      <c r="L339" s="7">
        <f>IF(N339="Différé total", C339+D339, IF(N339="Intérêts seuls", C339, C339-E339))</f>
        <v>0</v>
      </c>
      <c r="M339" s="7">
        <f>IF(331=Nmois, FVballon, 0)</f>
        <v>0</v>
      </c>
      <c r="N339">
        <f>IF(331&lt;=DiffN, IF(DiffMode="Total (capitalisation)","Différé total","Intérêts seuls"), "Amortissement")</f>
        <v>0</v>
      </c>
    </row>
    <row r="340" spans="2:14">
      <c r="B340" s="11">
        <v>332</v>
      </c>
      <c r="C340" s="6">
        <f>EDATE(Date0,332)</f>
        <v>0</v>
      </c>
      <c r="D340" s="7">
        <f>K339</f>
        <v>0</v>
      </c>
      <c r="E340" s="7">
        <f>C340*i</f>
        <v>0</v>
      </c>
      <c r="F340" s="7">
        <f>IF(N340="Amortissement", F340-D340, 0)</f>
        <v>0</v>
      </c>
      <c r="G340" s="7">
        <f>IF(332&lt;=DiffN, IF(DiffMode="Total (capitalisation)", 0, D340), PMTnom)</f>
        <v>0</v>
      </c>
      <c r="H340" s="7">
        <f>IF(AssType="Sur capital initial (%)", AssTau/12*PNom, IF(AssType="Sur CRD (%)", AssTau/12*C340, IF(AssType="Montant fixe/mois", AssFixe, 0)))</f>
        <v>0</v>
      </c>
      <c r="I340" s="7">
        <f>FraisRec</f>
        <v>0</v>
      </c>
      <c r="J340" s="7">
        <f>F340+G340+H340</f>
        <v>0</v>
      </c>
      <c r="K340" s="7">
        <f>-(I340+L340)</f>
        <v>0</v>
      </c>
      <c r="L340" s="7">
        <f>IF(N340="Différé total", C340+D340, IF(N340="Intérêts seuls", C340, C340-E340))</f>
        <v>0</v>
      </c>
      <c r="M340" s="7">
        <f>IF(332=Nmois, FVballon, 0)</f>
        <v>0</v>
      </c>
      <c r="N340">
        <f>IF(332&lt;=DiffN, IF(DiffMode="Total (capitalisation)","Différé total","Intérêts seuls"), "Amortissement")</f>
        <v>0</v>
      </c>
    </row>
    <row r="341" spans="2:14">
      <c r="B341" s="4">
        <v>333</v>
      </c>
      <c r="C341" s="6">
        <f>EDATE(Date0,333)</f>
        <v>0</v>
      </c>
      <c r="D341" s="7">
        <f>K340</f>
        <v>0</v>
      </c>
      <c r="E341" s="7">
        <f>C341*i</f>
        <v>0</v>
      </c>
      <c r="F341" s="7">
        <f>IF(N341="Amortissement", F341-D341, 0)</f>
        <v>0</v>
      </c>
      <c r="G341" s="7">
        <f>IF(333&lt;=DiffN, IF(DiffMode="Total (capitalisation)", 0, D341), PMTnom)</f>
        <v>0</v>
      </c>
      <c r="H341" s="7">
        <f>IF(AssType="Sur capital initial (%)", AssTau/12*PNom, IF(AssType="Sur CRD (%)", AssTau/12*C341, IF(AssType="Montant fixe/mois", AssFixe, 0)))</f>
        <v>0</v>
      </c>
      <c r="I341" s="7">
        <f>FraisRec</f>
        <v>0</v>
      </c>
      <c r="J341" s="7">
        <f>F341+G341+H341</f>
        <v>0</v>
      </c>
      <c r="K341" s="7">
        <f>-(I341+L341)</f>
        <v>0</v>
      </c>
      <c r="L341" s="7">
        <f>IF(N341="Différé total", C341+D341, IF(N341="Intérêts seuls", C341, C341-E341))</f>
        <v>0</v>
      </c>
      <c r="M341" s="7">
        <f>IF(333=Nmois, FVballon, 0)</f>
        <v>0</v>
      </c>
      <c r="N341">
        <f>IF(333&lt;=DiffN, IF(DiffMode="Total (capitalisation)","Différé total","Intérêts seuls"), "Amortissement")</f>
        <v>0</v>
      </c>
    </row>
    <row r="342" spans="2:14">
      <c r="B342" s="11">
        <v>334</v>
      </c>
      <c r="C342" s="6">
        <f>EDATE(Date0,334)</f>
        <v>0</v>
      </c>
      <c r="D342" s="7">
        <f>K341</f>
        <v>0</v>
      </c>
      <c r="E342" s="7">
        <f>C342*i</f>
        <v>0</v>
      </c>
      <c r="F342" s="7">
        <f>IF(N342="Amortissement", F342-D342, 0)</f>
        <v>0</v>
      </c>
      <c r="G342" s="7">
        <f>IF(334&lt;=DiffN, IF(DiffMode="Total (capitalisation)", 0, D342), PMTnom)</f>
        <v>0</v>
      </c>
      <c r="H342" s="7">
        <f>IF(AssType="Sur capital initial (%)", AssTau/12*PNom, IF(AssType="Sur CRD (%)", AssTau/12*C342, IF(AssType="Montant fixe/mois", AssFixe, 0)))</f>
        <v>0</v>
      </c>
      <c r="I342" s="7">
        <f>FraisRec</f>
        <v>0</v>
      </c>
      <c r="J342" s="7">
        <f>F342+G342+H342</f>
        <v>0</v>
      </c>
      <c r="K342" s="7">
        <f>-(I342+L342)</f>
        <v>0</v>
      </c>
      <c r="L342" s="7">
        <f>IF(N342="Différé total", C342+D342, IF(N342="Intérêts seuls", C342, C342-E342))</f>
        <v>0</v>
      </c>
      <c r="M342" s="7">
        <f>IF(334=Nmois, FVballon, 0)</f>
        <v>0</v>
      </c>
      <c r="N342">
        <f>IF(334&lt;=DiffN, IF(DiffMode="Total (capitalisation)","Différé total","Intérêts seuls"), "Amortissement")</f>
        <v>0</v>
      </c>
    </row>
    <row r="343" spans="2:14">
      <c r="B343" s="4">
        <v>335</v>
      </c>
      <c r="C343" s="6">
        <f>EDATE(Date0,335)</f>
        <v>0</v>
      </c>
      <c r="D343" s="7">
        <f>K342</f>
        <v>0</v>
      </c>
      <c r="E343" s="7">
        <f>C343*i</f>
        <v>0</v>
      </c>
      <c r="F343" s="7">
        <f>IF(N343="Amortissement", F343-D343, 0)</f>
        <v>0</v>
      </c>
      <c r="G343" s="7">
        <f>IF(335&lt;=DiffN, IF(DiffMode="Total (capitalisation)", 0, D343), PMTnom)</f>
        <v>0</v>
      </c>
      <c r="H343" s="7">
        <f>IF(AssType="Sur capital initial (%)", AssTau/12*PNom, IF(AssType="Sur CRD (%)", AssTau/12*C343, IF(AssType="Montant fixe/mois", AssFixe, 0)))</f>
        <v>0</v>
      </c>
      <c r="I343" s="7">
        <f>FraisRec</f>
        <v>0</v>
      </c>
      <c r="J343" s="7">
        <f>F343+G343+H343</f>
        <v>0</v>
      </c>
      <c r="K343" s="7">
        <f>-(I343+L343)</f>
        <v>0</v>
      </c>
      <c r="L343" s="7">
        <f>IF(N343="Différé total", C343+D343, IF(N343="Intérêts seuls", C343, C343-E343))</f>
        <v>0</v>
      </c>
      <c r="M343" s="7">
        <f>IF(335=Nmois, FVballon, 0)</f>
        <v>0</v>
      </c>
      <c r="N343">
        <f>IF(335&lt;=DiffN, IF(DiffMode="Total (capitalisation)","Différé total","Intérêts seuls"), "Amortissement")</f>
        <v>0</v>
      </c>
    </row>
    <row r="344" spans="2:14">
      <c r="B344" s="11">
        <v>336</v>
      </c>
      <c r="C344" s="6">
        <f>EDATE(Date0,336)</f>
        <v>0</v>
      </c>
      <c r="D344" s="7">
        <f>K343</f>
        <v>0</v>
      </c>
      <c r="E344" s="7">
        <f>C344*i</f>
        <v>0</v>
      </c>
      <c r="F344" s="7">
        <f>IF(N344="Amortissement", F344-D344, 0)</f>
        <v>0</v>
      </c>
      <c r="G344" s="7">
        <f>IF(336&lt;=DiffN, IF(DiffMode="Total (capitalisation)", 0, D344), PMTnom)</f>
        <v>0</v>
      </c>
      <c r="H344" s="7">
        <f>IF(AssType="Sur capital initial (%)", AssTau/12*PNom, IF(AssType="Sur CRD (%)", AssTau/12*C344, IF(AssType="Montant fixe/mois", AssFixe, 0)))</f>
        <v>0</v>
      </c>
      <c r="I344" s="7">
        <f>FraisRec</f>
        <v>0</v>
      </c>
      <c r="J344" s="7">
        <f>F344+G344+H344</f>
        <v>0</v>
      </c>
      <c r="K344" s="7">
        <f>-(I344+L344)</f>
        <v>0</v>
      </c>
      <c r="L344" s="7">
        <f>IF(N344="Différé total", C344+D344, IF(N344="Intérêts seuls", C344, C344-E344))</f>
        <v>0</v>
      </c>
      <c r="M344" s="7">
        <f>IF(336=Nmois, FVballon, 0)</f>
        <v>0</v>
      </c>
      <c r="N344">
        <f>IF(336&lt;=DiffN, IF(DiffMode="Total (capitalisation)","Différé total","Intérêts seuls"), "Amortissement")</f>
        <v>0</v>
      </c>
    </row>
    <row r="345" spans="2:14">
      <c r="B345" s="4">
        <v>337</v>
      </c>
      <c r="C345" s="6">
        <f>EDATE(Date0,337)</f>
        <v>0</v>
      </c>
      <c r="D345" s="7">
        <f>K344</f>
        <v>0</v>
      </c>
      <c r="E345" s="7">
        <f>C345*i</f>
        <v>0</v>
      </c>
      <c r="F345" s="7">
        <f>IF(N345="Amortissement", F345-D345, 0)</f>
        <v>0</v>
      </c>
      <c r="G345" s="7">
        <f>IF(337&lt;=DiffN, IF(DiffMode="Total (capitalisation)", 0, D345), PMTnom)</f>
        <v>0</v>
      </c>
      <c r="H345" s="7">
        <f>IF(AssType="Sur capital initial (%)", AssTau/12*PNom, IF(AssType="Sur CRD (%)", AssTau/12*C345, IF(AssType="Montant fixe/mois", AssFixe, 0)))</f>
        <v>0</v>
      </c>
      <c r="I345" s="7">
        <f>FraisRec</f>
        <v>0</v>
      </c>
      <c r="J345" s="7">
        <f>F345+G345+H345</f>
        <v>0</v>
      </c>
      <c r="K345" s="7">
        <f>-(I345+L345)</f>
        <v>0</v>
      </c>
      <c r="L345" s="7">
        <f>IF(N345="Différé total", C345+D345, IF(N345="Intérêts seuls", C345, C345-E345))</f>
        <v>0</v>
      </c>
      <c r="M345" s="7">
        <f>IF(337=Nmois, FVballon, 0)</f>
        <v>0</v>
      </c>
      <c r="N345">
        <f>IF(337&lt;=DiffN, IF(DiffMode="Total (capitalisation)","Différé total","Intérêts seuls"), "Amortissement")</f>
        <v>0</v>
      </c>
    </row>
    <row r="346" spans="2:14">
      <c r="B346" s="11">
        <v>338</v>
      </c>
      <c r="C346" s="6">
        <f>EDATE(Date0,338)</f>
        <v>0</v>
      </c>
      <c r="D346" s="7">
        <f>K345</f>
        <v>0</v>
      </c>
      <c r="E346" s="7">
        <f>C346*i</f>
        <v>0</v>
      </c>
      <c r="F346" s="7">
        <f>IF(N346="Amortissement", F346-D346, 0)</f>
        <v>0</v>
      </c>
      <c r="G346" s="7">
        <f>IF(338&lt;=DiffN, IF(DiffMode="Total (capitalisation)", 0, D346), PMTnom)</f>
        <v>0</v>
      </c>
      <c r="H346" s="7">
        <f>IF(AssType="Sur capital initial (%)", AssTau/12*PNom, IF(AssType="Sur CRD (%)", AssTau/12*C346, IF(AssType="Montant fixe/mois", AssFixe, 0)))</f>
        <v>0</v>
      </c>
      <c r="I346" s="7">
        <f>FraisRec</f>
        <v>0</v>
      </c>
      <c r="J346" s="7">
        <f>F346+G346+H346</f>
        <v>0</v>
      </c>
      <c r="K346" s="7">
        <f>-(I346+L346)</f>
        <v>0</v>
      </c>
      <c r="L346" s="7">
        <f>IF(N346="Différé total", C346+D346, IF(N346="Intérêts seuls", C346, C346-E346))</f>
        <v>0</v>
      </c>
      <c r="M346" s="7">
        <f>IF(338=Nmois, FVballon, 0)</f>
        <v>0</v>
      </c>
      <c r="N346">
        <f>IF(338&lt;=DiffN, IF(DiffMode="Total (capitalisation)","Différé total","Intérêts seuls"), "Amortissement")</f>
        <v>0</v>
      </c>
    </row>
    <row r="347" spans="2:14">
      <c r="B347" s="4">
        <v>339</v>
      </c>
      <c r="C347" s="6">
        <f>EDATE(Date0,339)</f>
        <v>0</v>
      </c>
      <c r="D347" s="7">
        <f>K346</f>
        <v>0</v>
      </c>
      <c r="E347" s="7">
        <f>C347*i</f>
        <v>0</v>
      </c>
      <c r="F347" s="7">
        <f>IF(N347="Amortissement", F347-D347, 0)</f>
        <v>0</v>
      </c>
      <c r="G347" s="7">
        <f>IF(339&lt;=DiffN, IF(DiffMode="Total (capitalisation)", 0, D347), PMTnom)</f>
        <v>0</v>
      </c>
      <c r="H347" s="7">
        <f>IF(AssType="Sur capital initial (%)", AssTau/12*PNom, IF(AssType="Sur CRD (%)", AssTau/12*C347, IF(AssType="Montant fixe/mois", AssFixe, 0)))</f>
        <v>0</v>
      </c>
      <c r="I347" s="7">
        <f>FraisRec</f>
        <v>0</v>
      </c>
      <c r="J347" s="7">
        <f>F347+G347+H347</f>
        <v>0</v>
      </c>
      <c r="K347" s="7">
        <f>-(I347+L347)</f>
        <v>0</v>
      </c>
      <c r="L347" s="7">
        <f>IF(N347="Différé total", C347+D347, IF(N347="Intérêts seuls", C347, C347-E347))</f>
        <v>0</v>
      </c>
      <c r="M347" s="7">
        <f>IF(339=Nmois, FVballon, 0)</f>
        <v>0</v>
      </c>
      <c r="N347">
        <f>IF(339&lt;=DiffN, IF(DiffMode="Total (capitalisation)","Différé total","Intérêts seuls"), "Amortissement")</f>
        <v>0</v>
      </c>
    </row>
    <row r="348" spans="2:14">
      <c r="B348" s="11">
        <v>340</v>
      </c>
      <c r="C348" s="6">
        <f>EDATE(Date0,340)</f>
        <v>0</v>
      </c>
      <c r="D348" s="7">
        <f>K347</f>
        <v>0</v>
      </c>
      <c r="E348" s="7">
        <f>C348*i</f>
        <v>0</v>
      </c>
      <c r="F348" s="7">
        <f>IF(N348="Amortissement", F348-D348, 0)</f>
        <v>0</v>
      </c>
      <c r="G348" s="7">
        <f>IF(340&lt;=DiffN, IF(DiffMode="Total (capitalisation)", 0, D348), PMTnom)</f>
        <v>0</v>
      </c>
      <c r="H348" s="7">
        <f>IF(AssType="Sur capital initial (%)", AssTau/12*PNom, IF(AssType="Sur CRD (%)", AssTau/12*C348, IF(AssType="Montant fixe/mois", AssFixe, 0)))</f>
        <v>0</v>
      </c>
      <c r="I348" s="7">
        <f>FraisRec</f>
        <v>0</v>
      </c>
      <c r="J348" s="7">
        <f>F348+G348+H348</f>
        <v>0</v>
      </c>
      <c r="K348" s="7">
        <f>-(I348+L348)</f>
        <v>0</v>
      </c>
      <c r="L348" s="7">
        <f>IF(N348="Différé total", C348+D348, IF(N348="Intérêts seuls", C348, C348-E348))</f>
        <v>0</v>
      </c>
      <c r="M348" s="7">
        <f>IF(340=Nmois, FVballon, 0)</f>
        <v>0</v>
      </c>
      <c r="N348">
        <f>IF(340&lt;=DiffN, IF(DiffMode="Total (capitalisation)","Différé total","Intérêts seuls"), "Amortissement")</f>
        <v>0</v>
      </c>
    </row>
    <row r="349" spans="2:14">
      <c r="B349" s="4">
        <v>341</v>
      </c>
      <c r="C349" s="6">
        <f>EDATE(Date0,341)</f>
        <v>0</v>
      </c>
      <c r="D349" s="7">
        <f>K348</f>
        <v>0</v>
      </c>
      <c r="E349" s="7">
        <f>C349*i</f>
        <v>0</v>
      </c>
      <c r="F349" s="7">
        <f>IF(N349="Amortissement", F349-D349, 0)</f>
        <v>0</v>
      </c>
      <c r="G349" s="7">
        <f>IF(341&lt;=DiffN, IF(DiffMode="Total (capitalisation)", 0, D349), PMTnom)</f>
        <v>0</v>
      </c>
      <c r="H349" s="7">
        <f>IF(AssType="Sur capital initial (%)", AssTau/12*PNom, IF(AssType="Sur CRD (%)", AssTau/12*C349, IF(AssType="Montant fixe/mois", AssFixe, 0)))</f>
        <v>0</v>
      </c>
      <c r="I349" s="7">
        <f>FraisRec</f>
        <v>0</v>
      </c>
      <c r="J349" s="7">
        <f>F349+G349+H349</f>
        <v>0</v>
      </c>
      <c r="K349" s="7">
        <f>-(I349+L349)</f>
        <v>0</v>
      </c>
      <c r="L349" s="7">
        <f>IF(N349="Différé total", C349+D349, IF(N349="Intérêts seuls", C349, C349-E349))</f>
        <v>0</v>
      </c>
      <c r="M349" s="7">
        <f>IF(341=Nmois, FVballon, 0)</f>
        <v>0</v>
      </c>
      <c r="N349">
        <f>IF(341&lt;=DiffN, IF(DiffMode="Total (capitalisation)","Différé total","Intérêts seuls"), "Amortissement")</f>
        <v>0</v>
      </c>
    </row>
    <row r="350" spans="2:14">
      <c r="B350" s="11">
        <v>342</v>
      </c>
      <c r="C350" s="6">
        <f>EDATE(Date0,342)</f>
        <v>0</v>
      </c>
      <c r="D350" s="7">
        <f>K349</f>
        <v>0</v>
      </c>
      <c r="E350" s="7">
        <f>C350*i</f>
        <v>0</v>
      </c>
      <c r="F350" s="7">
        <f>IF(N350="Amortissement", F350-D350, 0)</f>
        <v>0</v>
      </c>
      <c r="G350" s="7">
        <f>IF(342&lt;=DiffN, IF(DiffMode="Total (capitalisation)", 0, D350), PMTnom)</f>
        <v>0</v>
      </c>
      <c r="H350" s="7">
        <f>IF(AssType="Sur capital initial (%)", AssTau/12*PNom, IF(AssType="Sur CRD (%)", AssTau/12*C350, IF(AssType="Montant fixe/mois", AssFixe, 0)))</f>
        <v>0</v>
      </c>
      <c r="I350" s="7">
        <f>FraisRec</f>
        <v>0</v>
      </c>
      <c r="J350" s="7">
        <f>F350+G350+H350</f>
        <v>0</v>
      </c>
      <c r="K350" s="7">
        <f>-(I350+L350)</f>
        <v>0</v>
      </c>
      <c r="L350" s="7">
        <f>IF(N350="Différé total", C350+D350, IF(N350="Intérêts seuls", C350, C350-E350))</f>
        <v>0</v>
      </c>
      <c r="M350" s="7">
        <f>IF(342=Nmois, FVballon, 0)</f>
        <v>0</v>
      </c>
      <c r="N350">
        <f>IF(342&lt;=DiffN, IF(DiffMode="Total (capitalisation)","Différé total","Intérêts seuls"), "Amortissement")</f>
        <v>0</v>
      </c>
    </row>
    <row r="351" spans="2:14">
      <c r="B351" s="4">
        <v>343</v>
      </c>
      <c r="C351" s="6">
        <f>EDATE(Date0,343)</f>
        <v>0</v>
      </c>
      <c r="D351" s="7">
        <f>K350</f>
        <v>0</v>
      </c>
      <c r="E351" s="7">
        <f>C351*i</f>
        <v>0</v>
      </c>
      <c r="F351" s="7">
        <f>IF(N351="Amortissement", F351-D351, 0)</f>
        <v>0</v>
      </c>
      <c r="G351" s="7">
        <f>IF(343&lt;=DiffN, IF(DiffMode="Total (capitalisation)", 0, D351), PMTnom)</f>
        <v>0</v>
      </c>
      <c r="H351" s="7">
        <f>IF(AssType="Sur capital initial (%)", AssTau/12*PNom, IF(AssType="Sur CRD (%)", AssTau/12*C351, IF(AssType="Montant fixe/mois", AssFixe, 0)))</f>
        <v>0</v>
      </c>
      <c r="I351" s="7">
        <f>FraisRec</f>
        <v>0</v>
      </c>
      <c r="J351" s="7">
        <f>F351+G351+H351</f>
        <v>0</v>
      </c>
      <c r="K351" s="7">
        <f>-(I351+L351)</f>
        <v>0</v>
      </c>
      <c r="L351" s="7">
        <f>IF(N351="Différé total", C351+D351, IF(N351="Intérêts seuls", C351, C351-E351))</f>
        <v>0</v>
      </c>
      <c r="M351" s="7">
        <f>IF(343=Nmois, FVballon, 0)</f>
        <v>0</v>
      </c>
      <c r="N351">
        <f>IF(343&lt;=DiffN, IF(DiffMode="Total (capitalisation)","Différé total","Intérêts seuls"), "Amortissement")</f>
        <v>0</v>
      </c>
    </row>
    <row r="352" spans="2:14">
      <c r="B352" s="11">
        <v>344</v>
      </c>
      <c r="C352" s="6">
        <f>EDATE(Date0,344)</f>
        <v>0</v>
      </c>
      <c r="D352" s="7">
        <f>K351</f>
        <v>0</v>
      </c>
      <c r="E352" s="7">
        <f>C352*i</f>
        <v>0</v>
      </c>
      <c r="F352" s="7">
        <f>IF(N352="Amortissement", F352-D352, 0)</f>
        <v>0</v>
      </c>
      <c r="G352" s="7">
        <f>IF(344&lt;=DiffN, IF(DiffMode="Total (capitalisation)", 0, D352), PMTnom)</f>
        <v>0</v>
      </c>
      <c r="H352" s="7">
        <f>IF(AssType="Sur capital initial (%)", AssTau/12*PNom, IF(AssType="Sur CRD (%)", AssTau/12*C352, IF(AssType="Montant fixe/mois", AssFixe, 0)))</f>
        <v>0</v>
      </c>
      <c r="I352" s="7">
        <f>FraisRec</f>
        <v>0</v>
      </c>
      <c r="J352" s="7">
        <f>F352+G352+H352</f>
        <v>0</v>
      </c>
      <c r="K352" s="7">
        <f>-(I352+L352)</f>
        <v>0</v>
      </c>
      <c r="L352" s="7">
        <f>IF(N352="Différé total", C352+D352, IF(N352="Intérêts seuls", C352, C352-E352))</f>
        <v>0</v>
      </c>
      <c r="M352" s="7">
        <f>IF(344=Nmois, FVballon, 0)</f>
        <v>0</v>
      </c>
      <c r="N352">
        <f>IF(344&lt;=DiffN, IF(DiffMode="Total (capitalisation)","Différé total","Intérêts seuls"), "Amortissement")</f>
        <v>0</v>
      </c>
    </row>
    <row r="353" spans="2:14">
      <c r="B353" s="4">
        <v>345</v>
      </c>
      <c r="C353" s="6">
        <f>EDATE(Date0,345)</f>
        <v>0</v>
      </c>
      <c r="D353" s="7">
        <f>K352</f>
        <v>0</v>
      </c>
      <c r="E353" s="7">
        <f>C353*i</f>
        <v>0</v>
      </c>
      <c r="F353" s="7">
        <f>IF(N353="Amortissement", F353-D353, 0)</f>
        <v>0</v>
      </c>
      <c r="G353" s="7">
        <f>IF(345&lt;=DiffN, IF(DiffMode="Total (capitalisation)", 0, D353), PMTnom)</f>
        <v>0</v>
      </c>
      <c r="H353" s="7">
        <f>IF(AssType="Sur capital initial (%)", AssTau/12*PNom, IF(AssType="Sur CRD (%)", AssTau/12*C353, IF(AssType="Montant fixe/mois", AssFixe, 0)))</f>
        <v>0</v>
      </c>
      <c r="I353" s="7">
        <f>FraisRec</f>
        <v>0</v>
      </c>
      <c r="J353" s="7">
        <f>F353+G353+H353</f>
        <v>0</v>
      </c>
      <c r="K353" s="7">
        <f>-(I353+L353)</f>
        <v>0</v>
      </c>
      <c r="L353" s="7">
        <f>IF(N353="Différé total", C353+D353, IF(N353="Intérêts seuls", C353, C353-E353))</f>
        <v>0</v>
      </c>
      <c r="M353" s="7">
        <f>IF(345=Nmois, FVballon, 0)</f>
        <v>0</v>
      </c>
      <c r="N353">
        <f>IF(345&lt;=DiffN, IF(DiffMode="Total (capitalisation)","Différé total","Intérêts seuls"), "Amortissement")</f>
        <v>0</v>
      </c>
    </row>
    <row r="354" spans="2:14">
      <c r="B354" s="11">
        <v>346</v>
      </c>
      <c r="C354" s="6">
        <f>EDATE(Date0,346)</f>
        <v>0</v>
      </c>
      <c r="D354" s="7">
        <f>K353</f>
        <v>0</v>
      </c>
      <c r="E354" s="7">
        <f>C354*i</f>
        <v>0</v>
      </c>
      <c r="F354" s="7">
        <f>IF(N354="Amortissement", F354-D354, 0)</f>
        <v>0</v>
      </c>
      <c r="G354" s="7">
        <f>IF(346&lt;=DiffN, IF(DiffMode="Total (capitalisation)", 0, D354), PMTnom)</f>
        <v>0</v>
      </c>
      <c r="H354" s="7">
        <f>IF(AssType="Sur capital initial (%)", AssTau/12*PNom, IF(AssType="Sur CRD (%)", AssTau/12*C354, IF(AssType="Montant fixe/mois", AssFixe, 0)))</f>
        <v>0</v>
      </c>
      <c r="I354" s="7">
        <f>FraisRec</f>
        <v>0</v>
      </c>
      <c r="J354" s="7">
        <f>F354+G354+H354</f>
        <v>0</v>
      </c>
      <c r="K354" s="7">
        <f>-(I354+L354)</f>
        <v>0</v>
      </c>
      <c r="L354" s="7">
        <f>IF(N354="Différé total", C354+D354, IF(N354="Intérêts seuls", C354, C354-E354))</f>
        <v>0</v>
      </c>
      <c r="M354" s="7">
        <f>IF(346=Nmois, FVballon, 0)</f>
        <v>0</v>
      </c>
      <c r="N354">
        <f>IF(346&lt;=DiffN, IF(DiffMode="Total (capitalisation)","Différé total","Intérêts seuls"), "Amortissement")</f>
        <v>0</v>
      </c>
    </row>
    <row r="355" spans="2:14">
      <c r="B355" s="4">
        <v>347</v>
      </c>
      <c r="C355" s="6">
        <f>EDATE(Date0,347)</f>
        <v>0</v>
      </c>
      <c r="D355" s="7">
        <f>K354</f>
        <v>0</v>
      </c>
      <c r="E355" s="7">
        <f>C355*i</f>
        <v>0</v>
      </c>
      <c r="F355" s="7">
        <f>IF(N355="Amortissement", F355-D355, 0)</f>
        <v>0</v>
      </c>
      <c r="G355" s="7">
        <f>IF(347&lt;=DiffN, IF(DiffMode="Total (capitalisation)", 0, D355), PMTnom)</f>
        <v>0</v>
      </c>
      <c r="H355" s="7">
        <f>IF(AssType="Sur capital initial (%)", AssTau/12*PNom, IF(AssType="Sur CRD (%)", AssTau/12*C355, IF(AssType="Montant fixe/mois", AssFixe, 0)))</f>
        <v>0</v>
      </c>
      <c r="I355" s="7">
        <f>FraisRec</f>
        <v>0</v>
      </c>
      <c r="J355" s="7">
        <f>F355+G355+H355</f>
        <v>0</v>
      </c>
      <c r="K355" s="7">
        <f>-(I355+L355)</f>
        <v>0</v>
      </c>
      <c r="L355" s="7">
        <f>IF(N355="Différé total", C355+D355, IF(N355="Intérêts seuls", C355, C355-E355))</f>
        <v>0</v>
      </c>
      <c r="M355" s="7">
        <f>IF(347=Nmois, FVballon, 0)</f>
        <v>0</v>
      </c>
      <c r="N355">
        <f>IF(347&lt;=DiffN, IF(DiffMode="Total (capitalisation)","Différé total","Intérêts seuls"), "Amortissement")</f>
        <v>0</v>
      </c>
    </row>
    <row r="356" spans="2:14">
      <c r="B356" s="11">
        <v>348</v>
      </c>
      <c r="C356" s="6">
        <f>EDATE(Date0,348)</f>
        <v>0</v>
      </c>
      <c r="D356" s="7">
        <f>K355</f>
        <v>0</v>
      </c>
      <c r="E356" s="7">
        <f>C356*i</f>
        <v>0</v>
      </c>
      <c r="F356" s="7">
        <f>IF(N356="Amortissement", F356-D356, 0)</f>
        <v>0</v>
      </c>
      <c r="G356" s="7">
        <f>IF(348&lt;=DiffN, IF(DiffMode="Total (capitalisation)", 0, D356), PMTnom)</f>
        <v>0</v>
      </c>
      <c r="H356" s="7">
        <f>IF(AssType="Sur capital initial (%)", AssTau/12*PNom, IF(AssType="Sur CRD (%)", AssTau/12*C356, IF(AssType="Montant fixe/mois", AssFixe, 0)))</f>
        <v>0</v>
      </c>
      <c r="I356" s="7">
        <f>FraisRec</f>
        <v>0</v>
      </c>
      <c r="J356" s="7">
        <f>F356+G356+H356</f>
        <v>0</v>
      </c>
      <c r="K356" s="7">
        <f>-(I356+L356)</f>
        <v>0</v>
      </c>
      <c r="L356" s="7">
        <f>IF(N356="Différé total", C356+D356, IF(N356="Intérêts seuls", C356, C356-E356))</f>
        <v>0</v>
      </c>
      <c r="M356" s="7">
        <f>IF(348=Nmois, FVballon, 0)</f>
        <v>0</v>
      </c>
      <c r="N356">
        <f>IF(348&lt;=DiffN, IF(DiffMode="Total (capitalisation)","Différé total","Intérêts seuls"), "Amortissement")</f>
        <v>0</v>
      </c>
    </row>
    <row r="357" spans="2:14">
      <c r="B357" s="4">
        <v>349</v>
      </c>
      <c r="C357" s="6">
        <f>EDATE(Date0,349)</f>
        <v>0</v>
      </c>
      <c r="D357" s="7">
        <f>K356</f>
        <v>0</v>
      </c>
      <c r="E357" s="7">
        <f>C357*i</f>
        <v>0</v>
      </c>
      <c r="F357" s="7">
        <f>IF(N357="Amortissement", F357-D357, 0)</f>
        <v>0</v>
      </c>
      <c r="G357" s="7">
        <f>IF(349&lt;=DiffN, IF(DiffMode="Total (capitalisation)", 0, D357), PMTnom)</f>
        <v>0</v>
      </c>
      <c r="H357" s="7">
        <f>IF(AssType="Sur capital initial (%)", AssTau/12*PNom, IF(AssType="Sur CRD (%)", AssTau/12*C357, IF(AssType="Montant fixe/mois", AssFixe, 0)))</f>
        <v>0</v>
      </c>
      <c r="I357" s="7">
        <f>FraisRec</f>
        <v>0</v>
      </c>
      <c r="J357" s="7">
        <f>F357+G357+H357</f>
        <v>0</v>
      </c>
      <c r="K357" s="7">
        <f>-(I357+L357)</f>
        <v>0</v>
      </c>
      <c r="L357" s="7">
        <f>IF(N357="Différé total", C357+D357, IF(N357="Intérêts seuls", C357, C357-E357))</f>
        <v>0</v>
      </c>
      <c r="M357" s="7">
        <f>IF(349=Nmois, FVballon, 0)</f>
        <v>0</v>
      </c>
      <c r="N357">
        <f>IF(349&lt;=DiffN, IF(DiffMode="Total (capitalisation)","Différé total","Intérêts seuls"), "Amortissement")</f>
        <v>0</v>
      </c>
    </row>
    <row r="358" spans="2:14">
      <c r="B358" s="11">
        <v>350</v>
      </c>
      <c r="C358" s="6">
        <f>EDATE(Date0,350)</f>
        <v>0</v>
      </c>
      <c r="D358" s="7">
        <f>K357</f>
        <v>0</v>
      </c>
      <c r="E358" s="7">
        <f>C358*i</f>
        <v>0</v>
      </c>
      <c r="F358" s="7">
        <f>IF(N358="Amortissement", F358-D358, 0)</f>
        <v>0</v>
      </c>
      <c r="G358" s="7">
        <f>IF(350&lt;=DiffN, IF(DiffMode="Total (capitalisation)", 0, D358), PMTnom)</f>
        <v>0</v>
      </c>
      <c r="H358" s="7">
        <f>IF(AssType="Sur capital initial (%)", AssTau/12*PNom, IF(AssType="Sur CRD (%)", AssTau/12*C358, IF(AssType="Montant fixe/mois", AssFixe, 0)))</f>
        <v>0</v>
      </c>
      <c r="I358" s="7">
        <f>FraisRec</f>
        <v>0</v>
      </c>
      <c r="J358" s="7">
        <f>F358+G358+H358</f>
        <v>0</v>
      </c>
      <c r="K358" s="7">
        <f>-(I358+L358)</f>
        <v>0</v>
      </c>
      <c r="L358" s="7">
        <f>IF(N358="Différé total", C358+D358, IF(N358="Intérêts seuls", C358, C358-E358))</f>
        <v>0</v>
      </c>
      <c r="M358" s="7">
        <f>IF(350=Nmois, FVballon, 0)</f>
        <v>0</v>
      </c>
      <c r="N358">
        <f>IF(350&lt;=DiffN, IF(DiffMode="Total (capitalisation)","Différé total","Intérêts seuls"), "Amortissement")</f>
        <v>0</v>
      </c>
    </row>
    <row r="359" spans="2:14">
      <c r="B359" s="4">
        <v>351</v>
      </c>
      <c r="C359" s="6">
        <f>EDATE(Date0,351)</f>
        <v>0</v>
      </c>
      <c r="D359" s="7">
        <f>K358</f>
        <v>0</v>
      </c>
      <c r="E359" s="7">
        <f>C359*i</f>
        <v>0</v>
      </c>
      <c r="F359" s="7">
        <f>IF(N359="Amortissement", F359-D359, 0)</f>
        <v>0</v>
      </c>
      <c r="G359" s="7">
        <f>IF(351&lt;=DiffN, IF(DiffMode="Total (capitalisation)", 0, D359), PMTnom)</f>
        <v>0</v>
      </c>
      <c r="H359" s="7">
        <f>IF(AssType="Sur capital initial (%)", AssTau/12*PNom, IF(AssType="Sur CRD (%)", AssTau/12*C359, IF(AssType="Montant fixe/mois", AssFixe, 0)))</f>
        <v>0</v>
      </c>
      <c r="I359" s="7">
        <f>FraisRec</f>
        <v>0</v>
      </c>
      <c r="J359" s="7">
        <f>F359+G359+H359</f>
        <v>0</v>
      </c>
      <c r="K359" s="7">
        <f>-(I359+L359)</f>
        <v>0</v>
      </c>
      <c r="L359" s="7">
        <f>IF(N359="Différé total", C359+D359, IF(N359="Intérêts seuls", C359, C359-E359))</f>
        <v>0</v>
      </c>
      <c r="M359" s="7">
        <f>IF(351=Nmois, FVballon, 0)</f>
        <v>0</v>
      </c>
      <c r="N359">
        <f>IF(351&lt;=DiffN, IF(DiffMode="Total (capitalisation)","Différé total","Intérêts seuls"), "Amortissement")</f>
        <v>0</v>
      </c>
    </row>
    <row r="360" spans="2:14">
      <c r="B360" s="11">
        <v>352</v>
      </c>
      <c r="C360" s="6">
        <f>EDATE(Date0,352)</f>
        <v>0</v>
      </c>
      <c r="D360" s="7">
        <f>K359</f>
        <v>0</v>
      </c>
      <c r="E360" s="7">
        <f>C360*i</f>
        <v>0</v>
      </c>
      <c r="F360" s="7">
        <f>IF(N360="Amortissement", F360-D360, 0)</f>
        <v>0</v>
      </c>
      <c r="G360" s="7">
        <f>IF(352&lt;=DiffN, IF(DiffMode="Total (capitalisation)", 0, D360), PMTnom)</f>
        <v>0</v>
      </c>
      <c r="H360" s="7">
        <f>IF(AssType="Sur capital initial (%)", AssTau/12*PNom, IF(AssType="Sur CRD (%)", AssTau/12*C360, IF(AssType="Montant fixe/mois", AssFixe, 0)))</f>
        <v>0</v>
      </c>
      <c r="I360" s="7">
        <f>FraisRec</f>
        <v>0</v>
      </c>
      <c r="J360" s="7">
        <f>F360+G360+H360</f>
        <v>0</v>
      </c>
      <c r="K360" s="7">
        <f>-(I360+L360)</f>
        <v>0</v>
      </c>
      <c r="L360" s="7">
        <f>IF(N360="Différé total", C360+D360, IF(N360="Intérêts seuls", C360, C360-E360))</f>
        <v>0</v>
      </c>
      <c r="M360" s="7">
        <f>IF(352=Nmois, FVballon, 0)</f>
        <v>0</v>
      </c>
      <c r="N360">
        <f>IF(352&lt;=DiffN, IF(DiffMode="Total (capitalisation)","Différé total","Intérêts seuls"), "Amortissement")</f>
        <v>0</v>
      </c>
    </row>
    <row r="361" spans="2:14">
      <c r="B361" s="4">
        <v>353</v>
      </c>
      <c r="C361" s="6">
        <f>EDATE(Date0,353)</f>
        <v>0</v>
      </c>
      <c r="D361" s="7">
        <f>K360</f>
        <v>0</v>
      </c>
      <c r="E361" s="7">
        <f>C361*i</f>
        <v>0</v>
      </c>
      <c r="F361" s="7">
        <f>IF(N361="Amortissement", F361-D361, 0)</f>
        <v>0</v>
      </c>
      <c r="G361" s="7">
        <f>IF(353&lt;=DiffN, IF(DiffMode="Total (capitalisation)", 0, D361), PMTnom)</f>
        <v>0</v>
      </c>
      <c r="H361" s="7">
        <f>IF(AssType="Sur capital initial (%)", AssTau/12*PNom, IF(AssType="Sur CRD (%)", AssTau/12*C361, IF(AssType="Montant fixe/mois", AssFixe, 0)))</f>
        <v>0</v>
      </c>
      <c r="I361" s="7">
        <f>FraisRec</f>
        <v>0</v>
      </c>
      <c r="J361" s="7">
        <f>F361+G361+H361</f>
        <v>0</v>
      </c>
      <c r="K361" s="7">
        <f>-(I361+L361)</f>
        <v>0</v>
      </c>
      <c r="L361" s="7">
        <f>IF(N361="Différé total", C361+D361, IF(N361="Intérêts seuls", C361, C361-E361))</f>
        <v>0</v>
      </c>
      <c r="M361" s="7">
        <f>IF(353=Nmois, FVballon, 0)</f>
        <v>0</v>
      </c>
      <c r="N361">
        <f>IF(353&lt;=DiffN, IF(DiffMode="Total (capitalisation)","Différé total","Intérêts seuls"), "Amortissement")</f>
        <v>0</v>
      </c>
    </row>
    <row r="362" spans="2:14">
      <c r="B362" s="11">
        <v>354</v>
      </c>
      <c r="C362" s="6">
        <f>EDATE(Date0,354)</f>
        <v>0</v>
      </c>
      <c r="D362" s="7">
        <f>K361</f>
        <v>0</v>
      </c>
      <c r="E362" s="7">
        <f>C362*i</f>
        <v>0</v>
      </c>
      <c r="F362" s="7">
        <f>IF(N362="Amortissement", F362-D362, 0)</f>
        <v>0</v>
      </c>
      <c r="G362" s="7">
        <f>IF(354&lt;=DiffN, IF(DiffMode="Total (capitalisation)", 0, D362), PMTnom)</f>
        <v>0</v>
      </c>
      <c r="H362" s="7">
        <f>IF(AssType="Sur capital initial (%)", AssTau/12*PNom, IF(AssType="Sur CRD (%)", AssTau/12*C362, IF(AssType="Montant fixe/mois", AssFixe, 0)))</f>
        <v>0</v>
      </c>
      <c r="I362" s="7">
        <f>FraisRec</f>
        <v>0</v>
      </c>
      <c r="J362" s="7">
        <f>F362+G362+H362</f>
        <v>0</v>
      </c>
      <c r="K362" s="7">
        <f>-(I362+L362)</f>
        <v>0</v>
      </c>
      <c r="L362" s="7">
        <f>IF(N362="Différé total", C362+D362, IF(N362="Intérêts seuls", C362, C362-E362))</f>
        <v>0</v>
      </c>
      <c r="M362" s="7">
        <f>IF(354=Nmois, FVballon, 0)</f>
        <v>0</v>
      </c>
      <c r="N362">
        <f>IF(354&lt;=DiffN, IF(DiffMode="Total (capitalisation)","Différé total","Intérêts seuls"), "Amortissement")</f>
        <v>0</v>
      </c>
    </row>
    <row r="363" spans="2:14">
      <c r="B363" s="4">
        <v>355</v>
      </c>
      <c r="C363" s="6">
        <f>EDATE(Date0,355)</f>
        <v>0</v>
      </c>
      <c r="D363" s="7">
        <f>K362</f>
        <v>0</v>
      </c>
      <c r="E363" s="7">
        <f>C363*i</f>
        <v>0</v>
      </c>
      <c r="F363" s="7">
        <f>IF(N363="Amortissement", F363-D363, 0)</f>
        <v>0</v>
      </c>
      <c r="G363" s="7">
        <f>IF(355&lt;=DiffN, IF(DiffMode="Total (capitalisation)", 0, D363), PMTnom)</f>
        <v>0</v>
      </c>
      <c r="H363" s="7">
        <f>IF(AssType="Sur capital initial (%)", AssTau/12*PNom, IF(AssType="Sur CRD (%)", AssTau/12*C363, IF(AssType="Montant fixe/mois", AssFixe, 0)))</f>
        <v>0</v>
      </c>
      <c r="I363" s="7">
        <f>FraisRec</f>
        <v>0</v>
      </c>
      <c r="J363" s="7">
        <f>F363+G363+H363</f>
        <v>0</v>
      </c>
      <c r="K363" s="7">
        <f>-(I363+L363)</f>
        <v>0</v>
      </c>
      <c r="L363" s="7">
        <f>IF(N363="Différé total", C363+D363, IF(N363="Intérêts seuls", C363, C363-E363))</f>
        <v>0</v>
      </c>
      <c r="M363" s="7">
        <f>IF(355=Nmois, FVballon, 0)</f>
        <v>0</v>
      </c>
      <c r="N363">
        <f>IF(355&lt;=DiffN, IF(DiffMode="Total (capitalisation)","Différé total","Intérêts seuls"), "Amortissement")</f>
        <v>0</v>
      </c>
    </row>
    <row r="364" spans="2:14">
      <c r="B364" s="11">
        <v>356</v>
      </c>
      <c r="C364" s="6">
        <f>EDATE(Date0,356)</f>
        <v>0</v>
      </c>
      <c r="D364" s="7">
        <f>K363</f>
        <v>0</v>
      </c>
      <c r="E364" s="7">
        <f>C364*i</f>
        <v>0</v>
      </c>
      <c r="F364" s="7">
        <f>IF(N364="Amortissement", F364-D364, 0)</f>
        <v>0</v>
      </c>
      <c r="G364" s="7">
        <f>IF(356&lt;=DiffN, IF(DiffMode="Total (capitalisation)", 0, D364), PMTnom)</f>
        <v>0</v>
      </c>
      <c r="H364" s="7">
        <f>IF(AssType="Sur capital initial (%)", AssTau/12*PNom, IF(AssType="Sur CRD (%)", AssTau/12*C364, IF(AssType="Montant fixe/mois", AssFixe, 0)))</f>
        <v>0</v>
      </c>
      <c r="I364" s="7">
        <f>FraisRec</f>
        <v>0</v>
      </c>
      <c r="J364" s="7">
        <f>F364+G364+H364</f>
        <v>0</v>
      </c>
      <c r="K364" s="7">
        <f>-(I364+L364)</f>
        <v>0</v>
      </c>
      <c r="L364" s="7">
        <f>IF(N364="Différé total", C364+D364, IF(N364="Intérêts seuls", C364, C364-E364))</f>
        <v>0</v>
      </c>
      <c r="M364" s="7">
        <f>IF(356=Nmois, FVballon, 0)</f>
        <v>0</v>
      </c>
      <c r="N364">
        <f>IF(356&lt;=DiffN, IF(DiffMode="Total (capitalisation)","Différé total","Intérêts seuls"), "Amortissement")</f>
        <v>0</v>
      </c>
    </row>
    <row r="365" spans="2:14">
      <c r="B365" s="4">
        <v>357</v>
      </c>
      <c r="C365" s="6">
        <f>EDATE(Date0,357)</f>
        <v>0</v>
      </c>
      <c r="D365" s="7">
        <f>K364</f>
        <v>0</v>
      </c>
      <c r="E365" s="7">
        <f>C365*i</f>
        <v>0</v>
      </c>
      <c r="F365" s="7">
        <f>IF(N365="Amortissement", F365-D365, 0)</f>
        <v>0</v>
      </c>
      <c r="G365" s="7">
        <f>IF(357&lt;=DiffN, IF(DiffMode="Total (capitalisation)", 0, D365), PMTnom)</f>
        <v>0</v>
      </c>
      <c r="H365" s="7">
        <f>IF(AssType="Sur capital initial (%)", AssTau/12*PNom, IF(AssType="Sur CRD (%)", AssTau/12*C365, IF(AssType="Montant fixe/mois", AssFixe, 0)))</f>
        <v>0</v>
      </c>
      <c r="I365" s="7">
        <f>FraisRec</f>
        <v>0</v>
      </c>
      <c r="J365" s="7">
        <f>F365+G365+H365</f>
        <v>0</v>
      </c>
      <c r="K365" s="7">
        <f>-(I365+L365)</f>
        <v>0</v>
      </c>
      <c r="L365" s="7">
        <f>IF(N365="Différé total", C365+D365, IF(N365="Intérêts seuls", C365, C365-E365))</f>
        <v>0</v>
      </c>
      <c r="M365" s="7">
        <f>IF(357=Nmois, FVballon, 0)</f>
        <v>0</v>
      </c>
      <c r="N365">
        <f>IF(357&lt;=DiffN, IF(DiffMode="Total (capitalisation)","Différé total","Intérêts seuls"), "Amortissement")</f>
        <v>0</v>
      </c>
    </row>
    <row r="366" spans="2:14">
      <c r="B366" s="11">
        <v>358</v>
      </c>
      <c r="C366" s="6">
        <f>EDATE(Date0,358)</f>
        <v>0</v>
      </c>
      <c r="D366" s="7">
        <f>K365</f>
        <v>0</v>
      </c>
      <c r="E366" s="7">
        <f>C366*i</f>
        <v>0</v>
      </c>
      <c r="F366" s="7">
        <f>IF(N366="Amortissement", F366-D366, 0)</f>
        <v>0</v>
      </c>
      <c r="G366" s="7">
        <f>IF(358&lt;=DiffN, IF(DiffMode="Total (capitalisation)", 0, D366), PMTnom)</f>
        <v>0</v>
      </c>
      <c r="H366" s="7">
        <f>IF(AssType="Sur capital initial (%)", AssTau/12*PNom, IF(AssType="Sur CRD (%)", AssTau/12*C366, IF(AssType="Montant fixe/mois", AssFixe, 0)))</f>
        <v>0</v>
      </c>
      <c r="I366" s="7">
        <f>FraisRec</f>
        <v>0</v>
      </c>
      <c r="J366" s="7">
        <f>F366+G366+H366</f>
        <v>0</v>
      </c>
      <c r="K366" s="7">
        <f>-(I366+L366)</f>
        <v>0</v>
      </c>
      <c r="L366" s="7">
        <f>IF(N366="Différé total", C366+D366, IF(N366="Intérêts seuls", C366, C366-E366))</f>
        <v>0</v>
      </c>
      <c r="M366" s="7">
        <f>IF(358=Nmois, FVballon, 0)</f>
        <v>0</v>
      </c>
      <c r="N366">
        <f>IF(358&lt;=DiffN, IF(DiffMode="Total (capitalisation)","Différé total","Intérêts seuls"), "Amortissement")</f>
        <v>0</v>
      </c>
    </row>
    <row r="367" spans="2:14">
      <c r="B367" s="4">
        <v>359</v>
      </c>
      <c r="C367" s="6">
        <f>EDATE(Date0,359)</f>
        <v>0</v>
      </c>
      <c r="D367" s="7">
        <f>K366</f>
        <v>0</v>
      </c>
      <c r="E367" s="7">
        <f>C367*i</f>
        <v>0</v>
      </c>
      <c r="F367" s="7">
        <f>IF(N367="Amortissement", F367-D367, 0)</f>
        <v>0</v>
      </c>
      <c r="G367" s="7">
        <f>IF(359&lt;=DiffN, IF(DiffMode="Total (capitalisation)", 0, D367), PMTnom)</f>
        <v>0</v>
      </c>
      <c r="H367" s="7">
        <f>IF(AssType="Sur capital initial (%)", AssTau/12*PNom, IF(AssType="Sur CRD (%)", AssTau/12*C367, IF(AssType="Montant fixe/mois", AssFixe, 0)))</f>
        <v>0</v>
      </c>
      <c r="I367" s="7">
        <f>FraisRec</f>
        <v>0</v>
      </c>
      <c r="J367" s="7">
        <f>F367+G367+H367</f>
        <v>0</v>
      </c>
      <c r="K367" s="7">
        <f>-(I367+L367)</f>
        <v>0</v>
      </c>
      <c r="L367" s="7">
        <f>IF(N367="Différé total", C367+D367, IF(N367="Intérêts seuls", C367, C367-E367))</f>
        <v>0</v>
      </c>
      <c r="M367" s="7">
        <f>IF(359=Nmois, FVballon, 0)</f>
        <v>0</v>
      </c>
      <c r="N367">
        <f>IF(359&lt;=DiffN, IF(DiffMode="Total (capitalisation)","Différé total","Intérêts seuls"), "Amortissement")</f>
        <v>0</v>
      </c>
    </row>
    <row r="368" spans="2:14">
      <c r="B368" s="11">
        <v>360</v>
      </c>
      <c r="C368" s="6">
        <f>EDATE(Date0,360)</f>
        <v>0</v>
      </c>
      <c r="D368" s="7">
        <f>K367</f>
        <v>0</v>
      </c>
      <c r="E368" s="7">
        <f>C368*i</f>
        <v>0</v>
      </c>
      <c r="F368" s="7">
        <f>IF(N368="Amortissement", F368-D368, 0)</f>
        <v>0</v>
      </c>
      <c r="G368" s="7">
        <f>IF(360&lt;=DiffN, IF(DiffMode="Total (capitalisation)", 0, D368), PMTnom)</f>
        <v>0</v>
      </c>
      <c r="H368" s="7">
        <f>IF(AssType="Sur capital initial (%)", AssTau/12*PNom, IF(AssType="Sur CRD (%)", AssTau/12*C368, IF(AssType="Montant fixe/mois", AssFixe, 0)))</f>
        <v>0</v>
      </c>
      <c r="I368" s="7">
        <f>FraisRec</f>
        <v>0</v>
      </c>
      <c r="J368" s="7">
        <f>F368+G368+H368</f>
        <v>0</v>
      </c>
      <c r="K368" s="7">
        <f>-(I368+L368)</f>
        <v>0</v>
      </c>
      <c r="L368" s="7">
        <f>IF(N368="Différé total", C368+D368, IF(N368="Intérêts seuls", C368, C368-E368))</f>
        <v>0</v>
      </c>
      <c r="M368" s="7">
        <f>IF(360=Nmois, FVballon, 0)</f>
        <v>0</v>
      </c>
      <c r="N368">
        <f>IF(360&lt;=DiffN, IF(DiffMode="Total (capitalisation)","Différé total","Intérêts seuls"), "Amortissement")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C23"/>
  <sheetViews>
    <sheetView workbookViewId="0"/>
  </sheetViews>
  <sheetFormatPr defaultRowHeight="15"/>
  <cols>
    <col min="1" max="1" width="2.7109375" customWidth="1"/>
    <col min="2" max="2" width="44.7109375" customWidth="1"/>
    <col min="3" max="6" width="24.7109375" customWidth="1"/>
  </cols>
  <sheetData>
    <row r="2" spans="2:3">
      <c r="B2" s="1" t="s">
        <v>56</v>
      </c>
    </row>
    <row r="4" spans="2:3">
      <c r="B4" s="3" t="s">
        <v>57</v>
      </c>
    </row>
    <row r="5" spans="2:3">
      <c r="B5" s="5" t="s">
        <v>58</v>
      </c>
      <c r="C5" s="9">
        <f>(1+IRR('02_Echeancier'!$J$8:INDEX('02_Echeancier'!$J:$J,7+Nmois)))^12-1</f>
        <v>0</v>
      </c>
    </row>
    <row r="6" spans="2:3">
      <c r="B6" s="5" t="s">
        <v>59</v>
      </c>
      <c r="C6" s="9">
        <f>XIRR('02_Echeancier'!$J$8:INDEX('02_Echeancier'!$J:$J,7+Nmois),'02_Echeancier'!$C$8:INDEX('02_Echeancier'!$C:$C,7+Nmois))</f>
        <v>0</v>
      </c>
    </row>
    <row r="8" spans="2:3">
      <c r="B8" s="3" t="s">
        <v>60</v>
      </c>
    </row>
    <row r="9" spans="2:3">
      <c r="B9" s="5" t="s">
        <v>61</v>
      </c>
      <c r="C9" s="7">
        <f>SUM('02_Echeancier'!$D$8:INDEX('02_Echeancier'!$D:$D,7+Nmois))</f>
        <v>0</v>
      </c>
    </row>
    <row r="10" spans="2:3">
      <c r="B10" s="5" t="s">
        <v>62</v>
      </c>
      <c r="C10" s="7">
        <f>SUM('02_Echeancier'!$G$8:INDEX('02_Echeancier'!$G:$G,7+Nmois))</f>
        <v>0</v>
      </c>
    </row>
    <row r="11" spans="2:3">
      <c r="B11" s="5" t="s">
        <v>63</v>
      </c>
      <c r="C11" s="7">
        <f>SUM('02_Echeancier'!$H$8:INDEX('02_Echeancier'!$H:$H,7+Nmois))</f>
        <v>0</v>
      </c>
    </row>
    <row r="12" spans="2:3">
      <c r="B12" s="5" t="s">
        <v>64</v>
      </c>
      <c r="C12" s="7">
        <f>FraisInitCash</f>
        <v>0</v>
      </c>
    </row>
    <row r="20" spans="2:3">
      <c r="B20" s="3" t="s">
        <v>65</v>
      </c>
    </row>
    <row r="21" spans="2:3">
      <c r="B21" s="5" t="s">
        <v>66</v>
      </c>
      <c r="C21" s="7">
        <f>INDEX('02_Echeancier'!$K:$K,7+Nmois)</f>
        <v>0</v>
      </c>
    </row>
    <row r="22" spans="2:3">
      <c r="B22" s="5" t="s">
        <v>67</v>
      </c>
      <c r="C22" s="7">
        <f>Net0</f>
        <v>0</v>
      </c>
    </row>
    <row r="23" spans="2:3">
      <c r="B23" s="5" t="s">
        <v>68</v>
      </c>
      <c r="C23" s="7">
        <f>SUM('02_Echeancier'!$J$7:INDEX('02_Echeancier'!$J:$J,7+Nmois))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20</vt:i4>
      </vt:variant>
    </vt:vector>
  </HeadingPairs>
  <TitlesOfParts>
    <vt:vector size="24" baseType="lpstr">
      <vt:lpstr>00_Accueil</vt:lpstr>
      <vt:lpstr>01_Parametres</vt:lpstr>
      <vt:lpstr>02_Echeancier</vt:lpstr>
      <vt:lpstr>03_TAEG_Resultats</vt:lpstr>
      <vt:lpstr>AssFixe</vt:lpstr>
      <vt:lpstr>AssTau</vt:lpstr>
      <vt:lpstr>AssType</vt:lpstr>
      <vt:lpstr>BallonPct</vt:lpstr>
      <vt:lpstr>CapFin</vt:lpstr>
      <vt:lpstr>Date0</vt:lpstr>
      <vt:lpstr>DiffMode</vt:lpstr>
      <vt:lpstr>DiffN</vt:lpstr>
      <vt:lpstr>FraisInitCash</vt:lpstr>
      <vt:lpstr>FraisInitFin</vt:lpstr>
      <vt:lpstr>FraisRec</vt:lpstr>
      <vt:lpstr>FVballon</vt:lpstr>
      <vt:lpstr>i</vt:lpstr>
      <vt:lpstr>NAmort</vt:lpstr>
      <vt:lpstr>Net0</vt:lpstr>
      <vt:lpstr>Nmois</vt:lpstr>
      <vt:lpstr>PMTnom</vt:lpstr>
      <vt:lpstr>PNom</vt:lpstr>
      <vt:lpstr>PVapresDiff</vt:lpstr>
      <vt:lpstr>TauxAnn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2025-09-29T04:20:14Z</dcterms:created>
  <dcterms:modified xsi:type="dcterms:W3CDTF">2025-09-29T04:20:14Z</dcterms:modified>
</cp:coreProperties>
</file>