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Mode d'emploi" sheetId="1" r:id="rId1"/>
    <sheet name="Paramètres" sheetId="2" r:id="rId2"/>
    <sheet name="TCO" sheetId="3" r:id="rId3"/>
    <sheet name="ABC" sheetId="4" r:id="rId4"/>
    <sheet name="Landed" sheetId="5" r:id="rId5"/>
    <sheet name="Downtime" sheetId="6" r:id="rId6"/>
    <sheet name="COQ" sheetId="7" r:id="rId7"/>
    <sheet name="Make_or_Buy" sheetId="8" r:id="rId8"/>
    <sheet name="EOQ" sheetId="9" r:id="rId9"/>
    <sheet name="Dashboard" sheetId="10" r:id="rId10"/>
  </sheets>
  <definedNames>
    <definedName name="ABC_A1C">Paramètres!$B$42</definedName>
    <definedName name="ABC_A1T">Paramètres!$B$44</definedName>
    <definedName name="ABC_A1U">Paramètres!$B$43</definedName>
    <definedName name="ABC_A2C">Paramètres!$B$45</definedName>
    <definedName name="ABC_A2T">Paramètres!$B$47</definedName>
    <definedName name="ABC_A2U">Paramètres!$B$46</definedName>
    <definedName name="ABC_A3C">Paramètres!$B$48</definedName>
    <definedName name="ABC_A3T">Paramètres!$B$50</definedName>
    <definedName name="ABC_A3U">Paramètres!$B$49</definedName>
    <definedName name="ABC_MAT">Paramètres!$B$39</definedName>
    <definedName name="ABC_MOH">Paramètres!$B$40</definedName>
    <definedName name="ABC_MOR">Paramètres!$B$41</definedName>
    <definedName name="ABC_PV">Paramètres!$B$38</definedName>
    <definedName name="CAP_A">Paramètres!$B$10</definedName>
    <definedName name="CAP_F">Paramètres!$B$13</definedName>
    <definedName name="CAP_I">Paramètres!$B$12</definedName>
    <definedName name="CAP_K">Paramètres!$B$14</definedName>
    <definedName name="CAP_T">Paramètres!$B$11</definedName>
    <definedName name="COQ_EVAL">Paramètres!$B$71</definedName>
    <definedName name="COQ_PREV">Paramètres!$B$70</definedName>
    <definedName name="COQ_RWK">Paramètres!$B$73</definedName>
    <definedName name="COQ_SCR">Paramètres!$B$74</definedName>
    <definedName name="COQ_TEXT">Paramètres!$B$75</definedName>
    <definedName name="COQ_TINT">Paramètres!$B$72</definedName>
    <definedName name="COQ_VOL">Paramètres!$B$69</definedName>
    <definedName name="COQ_WAR">Paramètres!$B$76</definedName>
    <definedName name="DISC">Paramètres!$B$6</definedName>
    <definedName name="DT_H">Paramètres!$B$66</definedName>
    <definedName name="DT_IDLE">Paramètres!$B$63</definedName>
    <definedName name="DT_MARG">Paramètres!$B$62</definedName>
    <definedName name="DT_PEN">Paramètres!$B$65</definedName>
    <definedName name="DT_UTIL">Paramètres!$B$64</definedName>
    <definedName name="END_DECOM">Paramètres!$B$34</definedName>
    <definedName name="END_RES">Paramètres!$B$35</definedName>
    <definedName name="EOQ_C">Paramètres!$B$88</definedName>
    <definedName name="EOQ_CSL">Paramètres!$B$93</definedName>
    <definedName name="EOQ_D">Paramètres!$B$86</definedName>
    <definedName name="EOQ_h">Paramètres!$B$89</definedName>
    <definedName name="EOQ_L">Paramètres!$B$90</definedName>
    <definedName name="EOQ_MODE">Paramètres!$B$92</definedName>
    <definedName name="EOQ_S">Paramètres!$B$87</definedName>
    <definedName name="EOQ_SIGD">Paramètres!$B$94</definedName>
    <definedName name="EOQ_SIGL">Paramètres!$B$95</definedName>
    <definedName name="EOQ_SS_MAN">Paramètres!$B$96</definedName>
    <definedName name="EOQ_WD">Paramètres!$B$91</definedName>
    <definedName name="HORIZON">Paramètres!$B$4</definedName>
    <definedName name="HRSY">Paramètres!$B$7</definedName>
    <definedName name="INFL">Paramètres!$B$5</definedName>
    <definedName name="LC_ASSR">Paramètres!$B$56</definedName>
    <definedName name="LC_CASSE">Paramètres!$B$59</definedName>
    <definedName name="LC_DUTY">Paramètres!$B$57</definedName>
    <definedName name="LC_FOBU">Paramètres!$B$53</definedName>
    <definedName name="LC_FRAIS">Paramètres!$B$58</definedName>
    <definedName name="LC_FRET">Paramètres!$B$55</definedName>
    <definedName name="LC_QLOT">Paramètres!$B$54</definedName>
    <definedName name="LOAN_N">Paramètres!$B$19</definedName>
    <definedName name="LOAN_PCT">Paramètres!$B$17</definedName>
    <definedName name="LOAN_R">Paramètres!$B$18</definedName>
    <definedName name="MOB_FIX">Paramètres!$B$79</definedName>
    <definedName name="MOB_PBUY">Paramètres!$B$81</definedName>
    <definedName name="MOB_TBUY">Paramètres!$B$82</definedName>
    <definedName name="MOB_VARU">Paramètres!$B$80</definedName>
    <definedName name="MOB_VOL">Paramètres!$B$83</definedName>
    <definedName name="OP_CO2">Paramètres!$B$31</definedName>
    <definedName name="OP_CONS">Paramètres!$B$28</definedName>
    <definedName name="OP_DT_EURH">Paramètres!$B$25</definedName>
    <definedName name="OP_DT_H">Paramètres!$B$24</definedName>
    <definedName name="OP_EN">Paramètres!$B$22</definedName>
    <definedName name="OP_FTE">Paramètres!$B$26</definedName>
    <definedName name="OP_FTEC">Paramètres!$B$27</definedName>
    <definedName name="OP_INS_PCT">Paramètres!$B$30</definedName>
    <definedName name="OP_LIC">Paramètres!$B$29</definedName>
    <definedName name="OP_MA_PCT">Paramètres!$B$23</definedName>
  </definedNames>
  <calcPr calcId="124519" fullCalcOnLoad="1"/>
</workbook>
</file>

<file path=xl/sharedStrings.xml><?xml version="1.0" encoding="utf-8"?>
<sst xmlns="http://schemas.openxmlformats.org/spreadsheetml/2006/main" count="205" uniqueCount="195">
  <si>
    <t>Calculateur de Coût Complet — Mode d'emploi</t>
  </si>
  <si>
    <t>Ce classeur regroupe : TCO (coût total de possession), Coût de revient (ABC simplifié), Landed Cost, Coût d'arrêt (downtime), COQ (coût de la qualité), Make-or-Buy, et EOQ (Wilson). Modifiez uniquement les cellules bleues dans « Paramètres ». Le Dashboard consolide les KPI clés. Pas de macros. Prêt à imprimer.</t>
  </si>
  <si>
    <t>Paramètres généraux</t>
  </si>
  <si>
    <t>— TCO (horizon &amp; taux) —</t>
  </si>
  <si>
    <t>Horizon (années)</t>
  </si>
  <si>
    <t>Inflation i (an)</t>
  </si>
  <si>
    <t>Taux d'actualisation r (an)</t>
  </si>
  <si>
    <t>Heures/an (usage)</t>
  </si>
  <si>
    <t>— TCO (CAPEX) —</t>
  </si>
  <si>
    <t>Achat machine/solution</t>
  </si>
  <si>
    <t>Transport &amp; douanes</t>
  </si>
  <si>
    <t>Installation &amp; intégration</t>
  </si>
  <si>
    <t>Formation initiale</t>
  </si>
  <si>
    <t>Kit pièces initial</t>
  </si>
  <si>
    <t>— TCO (Financement) —</t>
  </si>
  <si>
    <t>Part financée (%)</t>
  </si>
  <si>
    <t>Taux du prêt rL (an)</t>
  </si>
  <si>
    <t>Durée du prêt (années)</t>
  </si>
  <si>
    <t>— TCO (OPEX base Année 1) —</t>
  </si>
  <si>
    <t>Énergie (€/an)</t>
  </si>
  <si>
    <t>Maintenance (% CAPEX)</t>
  </si>
  <si>
    <t>Arrêts — heures/an</t>
  </si>
  <si>
    <t>Arrêts — coût €/h</t>
  </si>
  <si>
    <t>Main-d'œuvre additionnelle (ETP)</t>
  </si>
  <si>
    <t>Coût chargé €/ETP/an</t>
  </si>
  <si>
    <t>Consommables (€/an)</t>
  </si>
  <si>
    <t>Licences logicielles (€/an)</t>
  </si>
  <si>
    <t>Assurance (% CAPEX)</t>
  </si>
  <si>
    <t>Carbone (€/an)</t>
  </si>
  <si>
    <t>— TCO (Fin de vie, année N) —</t>
  </si>
  <si>
    <t>Décommission (€/N)</t>
  </si>
  <si>
    <t>Valeur résiduelle (€/N)</t>
  </si>
  <si>
    <t>— ABC (coût de revient) —</t>
  </si>
  <si>
    <t>Prix de vente €/u</t>
  </si>
  <si>
    <t>Matière €/u</t>
  </si>
  <si>
    <t>MO directe h/u</t>
  </si>
  <si>
    <t>Taux horaire MO €</t>
  </si>
  <si>
    <t>Act1 coût total € / driver tot</t>
  </si>
  <si>
    <t>Act1 driver/u</t>
  </si>
  <si>
    <t>Act1 driver total</t>
  </si>
  <si>
    <t>Act2 coût total € / driver tot</t>
  </si>
  <si>
    <t>Act2 driver/u</t>
  </si>
  <si>
    <t>Act2 driver total</t>
  </si>
  <si>
    <t>Act3 coût total € / driver tot</t>
  </si>
  <si>
    <t>Act3 driver/u</t>
  </si>
  <si>
    <t>Act3 driver total</t>
  </si>
  <si>
    <t>— Landed Cost (achat livré) —</t>
  </si>
  <si>
    <t>Prix achat FOB €/u</t>
  </si>
  <si>
    <t>Quantité lot (u)</t>
  </si>
  <si>
    <t>Fret €/lot</t>
  </si>
  <si>
    <t>Assurance % sur valeur</t>
  </si>
  <si>
    <t>Droits de douane %</t>
  </si>
  <si>
    <t>Autres frais €/lot</t>
  </si>
  <si>
    <t>Casse/Perte %</t>
  </si>
  <si>
    <t>— Downtime (coût des arrêts) —</t>
  </si>
  <si>
    <t>Marge contrib. perdue €/h</t>
  </si>
  <si>
    <t>MO idle €/h</t>
  </si>
  <si>
    <t>Utilités/énergie €/h</t>
  </si>
  <si>
    <t>Pénalités/log €/h</t>
  </si>
  <si>
    <t>Heures d'arrêt (journal) total</t>
  </si>
  <si>
    <t>— COQ (coût de la qualité) —</t>
  </si>
  <si>
    <t>Volume (u)</t>
  </si>
  <si>
    <t>Prévention €/période</t>
  </si>
  <si>
    <t>Évaluation €/période</t>
  </si>
  <si>
    <t>Taux défaut interne %</t>
  </si>
  <si>
    <t>Coût rework €/u</t>
  </si>
  <si>
    <t>Coût scrap €/u</t>
  </si>
  <si>
    <t>Taux défaut externe %</t>
  </si>
  <si>
    <t>Coût garantie €/u</t>
  </si>
  <si>
    <t>— Make or Buy —</t>
  </si>
  <si>
    <t>Fixes + amorti interne €/an</t>
  </si>
  <si>
    <t>Variable interne €/u</t>
  </si>
  <si>
    <t>Prix achat externe €/u</t>
  </si>
  <si>
    <t>Coût transac externe €/u</t>
  </si>
  <si>
    <t>Volume cible (u)</t>
  </si>
  <si>
    <t>— EOQ (Wilson) —</t>
  </si>
  <si>
    <t>Demande annuelle D (u)</t>
  </si>
  <si>
    <t>Coût de commande S (€/ord)</t>
  </si>
  <si>
    <t>Coût unitaire C (€/u)</t>
  </si>
  <si>
    <t>h (taux possession/an)</t>
  </si>
  <si>
    <t>Délai L (jours)</t>
  </si>
  <si>
    <t>Jours ouvrés/an</t>
  </si>
  <si>
    <t>Mode SS</t>
  </si>
  <si>
    <t>Automatique</t>
  </si>
  <si>
    <t>CSL (niveau de service)</t>
  </si>
  <si>
    <t>σd (u/j)</t>
  </si>
  <si>
    <t>σL (j)</t>
  </si>
  <si>
    <t>SS manuel (u)</t>
  </si>
  <si>
    <t>TCO — flux par année, indexés (inflation) et actualisés</t>
  </si>
  <si>
    <t>Poste</t>
  </si>
  <si>
    <t>Année 0</t>
  </si>
  <si>
    <t>Année 1</t>
  </si>
  <si>
    <t>Année 2</t>
  </si>
  <si>
    <t>Année 3</t>
  </si>
  <si>
    <t>Année 4</t>
  </si>
  <si>
    <t>Année 5</t>
  </si>
  <si>
    <t>Année 6</t>
  </si>
  <si>
    <t>Année 7</t>
  </si>
  <si>
    <t>Année 8</t>
  </si>
  <si>
    <t>Année 9</t>
  </si>
  <si>
    <t>Année 10</t>
  </si>
  <si>
    <t>Année 11</t>
  </si>
  <si>
    <t>Année 12</t>
  </si>
  <si>
    <t>Année 13</t>
  </si>
  <si>
    <t>Année 14</t>
  </si>
  <si>
    <t>Année 15</t>
  </si>
  <si>
    <t>Année 16</t>
  </si>
  <si>
    <t>Année 17</t>
  </si>
  <si>
    <t>Année 18</t>
  </si>
  <si>
    <t>Année 19</t>
  </si>
  <si>
    <t>Année 20</t>
  </si>
  <si>
    <t>Facteur indexation (1+i)^t</t>
  </si>
  <si>
    <t>Facteur actualisation 1/(1+r)^t</t>
  </si>
  <si>
    <t>CAPEX total</t>
  </si>
  <si>
    <t>Equity CAPEX (Année 0)</t>
  </si>
  <si>
    <t>Service de la dette (annuité)</t>
  </si>
  <si>
    <t>Énergie</t>
  </si>
  <si>
    <t>Maintenance</t>
  </si>
  <si>
    <t>Arrêts (marge perdue)</t>
  </si>
  <si>
    <t>Main-d'œuvre additionnelle</t>
  </si>
  <si>
    <t>Consommables</t>
  </si>
  <si>
    <t>Licences</t>
  </si>
  <si>
    <t>Assurance</t>
  </si>
  <si>
    <t>Carbone</t>
  </si>
  <si>
    <t>Fin de vie — Décommission</t>
  </si>
  <si>
    <t>Fin de vie — Valeur résiduelle</t>
  </si>
  <si>
    <t>Total flux nominaux par année</t>
  </si>
  <si>
    <t>Total flux actualisés par année</t>
  </si>
  <si>
    <t>TCO nominal cumulé</t>
  </si>
  <si>
    <t>TCO actualisé (VAN)</t>
  </si>
  <si>
    <t>CRF (Capital Recovery Factor)</t>
  </si>
  <si>
    <t>EAC (€/an)</t>
  </si>
  <si>
    <t>TCO/h (EAC / heures/an)</t>
  </si>
  <si>
    <t>Coût de revient (ABC simplifié)</t>
  </si>
  <si>
    <t>Taux activité 1 (€/driver)</t>
  </si>
  <si>
    <t>Taux activité 2 (€/driver)</t>
  </si>
  <si>
    <t>Taux activité 3 (€/driver)</t>
  </si>
  <si>
    <t>Frais imputés €/u (A1)</t>
  </si>
  <si>
    <t>Frais imputés €/u (A2)</t>
  </si>
  <si>
    <t>Frais imputés €/u (A3)</t>
  </si>
  <si>
    <t>MO directe €/u</t>
  </si>
  <si>
    <t>Coût de revient €/u</t>
  </si>
  <si>
    <t>Marge €/u</t>
  </si>
  <si>
    <t>Marge %</t>
  </si>
  <si>
    <t>Landed Cost — coût d’achat livré</t>
  </si>
  <si>
    <t>Valeur lot (FOB)</t>
  </si>
  <si>
    <t>Assurance €/lot</t>
  </si>
  <si>
    <t>Droits €</t>
  </si>
  <si>
    <t>Coût total €/lot</t>
  </si>
  <si>
    <t>Unités nettes</t>
  </si>
  <si>
    <t>Landed cost €/u</t>
  </si>
  <si>
    <t>Coût des arrêts (Downtime)</t>
  </si>
  <si>
    <t>Coût/h d'arrêt</t>
  </si>
  <si>
    <t>Heures d'arrêt (journal)</t>
  </si>
  <si>
    <t>Coût total période</t>
  </si>
  <si>
    <t>Coût de la Qualité (COQ)</t>
  </si>
  <si>
    <t>Conformité = Prévention + Évaluation</t>
  </si>
  <si>
    <t>Défauts internes (u)</t>
  </si>
  <si>
    <t>Coût défauts internes</t>
  </si>
  <si>
    <t>Défauts externes (u)</t>
  </si>
  <si>
    <t>Coût défauts externes</t>
  </si>
  <si>
    <t>Non-conformité</t>
  </si>
  <si>
    <t>COQ total</t>
  </si>
  <si>
    <t>Make or Buy — seuil de bascule</t>
  </si>
  <si>
    <t>Coût total Interne (Q)</t>
  </si>
  <si>
    <t>Coût total Externe (Q)</t>
  </si>
  <si>
    <t>Q* (volume de bascule)</t>
  </si>
  <si>
    <t>EOQ (Wilson) avec ROP &amp; SS</t>
  </si>
  <si>
    <t>EOQ (u)</t>
  </si>
  <si>
    <t>Commandes/an</t>
  </si>
  <si>
    <t>d (u/j)</t>
  </si>
  <si>
    <t>σLD (u)</t>
  </si>
  <si>
    <t>z (NORMSINV)</t>
  </si>
  <si>
    <t>SS auto (u)</t>
  </si>
  <si>
    <t>SS retenu (u)</t>
  </si>
  <si>
    <t>ROP (u)</t>
  </si>
  <si>
    <t>ROP (jours)</t>
  </si>
  <si>
    <t>Stock moyen (u)</t>
  </si>
  <si>
    <t>€ commandes/an</t>
  </si>
  <si>
    <t>€ possession/an</t>
  </si>
  <si>
    <t>€ logistique/an</t>
  </si>
  <si>
    <t>Tableau de bord — Coût complet</t>
  </si>
  <si>
    <t>KPI TCO</t>
  </si>
  <si>
    <t>TCO/h (EAC)</t>
  </si>
  <si>
    <t>KPI ABC (€/u)</t>
  </si>
  <si>
    <t>KPI Landed</t>
  </si>
  <si>
    <t>Landed €/u</t>
  </si>
  <si>
    <t>KPI Downtime</t>
  </si>
  <si>
    <t>€ coût des arrêts (période)</t>
  </si>
  <si>
    <t>KPI COQ</t>
  </si>
  <si>
    <t>COQ total (période)</t>
  </si>
  <si>
    <t>KPI Make-or-Buy</t>
  </si>
  <si>
    <t>Q* (bascule)</t>
  </si>
  <si>
    <t>Interne vs Externe (au volume)</t>
  </si>
  <si>
    <t>KPI EOQ</t>
  </si>
</sst>
</file>

<file path=xl/styles.xml><?xml version="1.0" encoding="utf-8"?>
<styleSheet xmlns="http://schemas.openxmlformats.org/spreadsheetml/2006/main">
  <numFmts count="6">
    <numFmt numFmtId="164" formatCode="0.0%"/>
    <numFmt numFmtId="165" formatCode="€ #,##0.00"/>
    <numFmt numFmtId="166" formatCode="0.0"/>
    <numFmt numFmtId="167" formatCode="#,##0.00"/>
    <numFmt numFmtId="168" formatCode="#,##0.0"/>
    <numFmt numFmtId="169" formatCode="€ #,##0"/>
  </numFmts>
  <fonts count="5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1F4E79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8F5E9"/>
        <bgColor indexed="64"/>
      </patternFill>
    </fill>
    <fill>
      <patternFill patternType="solid">
        <fgColor rgb="FFE3F2FD"/>
        <bgColor indexed="64"/>
      </patternFill>
    </fill>
    <fill>
      <patternFill patternType="solid">
        <fgColor rgb="FFF3F3F3"/>
        <bgColor indexed="64"/>
      </patternFill>
    </fill>
    <fill>
      <patternFill patternType="solid">
        <fgColor rgb="FFFFF3E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 wrapText="1"/>
    </xf>
    <xf numFmtId="0" fontId="2" fillId="2" borderId="1" xfId="0" applyFont="1" applyFill="1" applyBorder="1"/>
    <xf numFmtId="0" fontId="3" fillId="0" borderId="0" xfId="0" applyFont="1"/>
    <xf numFmtId="1" fontId="0" fillId="3" borderId="2" xfId="0" applyNumberFormat="1" applyFill="1" applyBorder="1"/>
    <xf numFmtId="164" fontId="0" fillId="3" borderId="2" xfId="0" applyNumberFormat="1" applyFill="1" applyBorder="1"/>
    <xf numFmtId="165" fontId="0" fillId="3" borderId="2" xfId="0" applyNumberFormat="1" applyFill="1" applyBorder="1"/>
    <xf numFmtId="166" fontId="0" fillId="3" borderId="2" xfId="0" applyNumberFormat="1" applyFill="1" applyBorder="1"/>
    <xf numFmtId="167" fontId="0" fillId="0" borderId="0" xfId="0" applyNumberFormat="1"/>
    <xf numFmtId="0" fontId="0" fillId="3" borderId="2" xfId="0" applyFill="1" applyBorder="1"/>
    <xf numFmtId="168" fontId="0" fillId="3" borderId="2" xfId="0" applyNumberFormat="1" applyFill="1" applyBorder="1"/>
    <xf numFmtId="0" fontId="4" fillId="4" borderId="2" xfId="0" applyFont="1" applyFill="1" applyBorder="1"/>
    <xf numFmtId="165" fontId="0" fillId="0" borderId="0" xfId="0" applyNumberFormat="1"/>
    <xf numFmtId="0" fontId="4" fillId="5" borderId="2" xfId="0" applyFont="1" applyFill="1" applyBorder="1"/>
    <xf numFmtId="169" fontId="4" fillId="5" borderId="2" xfId="0" applyNumberFormat="1" applyFont="1" applyFill="1" applyBorder="1"/>
    <xf numFmtId="168" fontId="4" fillId="5" borderId="2" xfId="0" applyNumberFormat="1" applyFont="1" applyFill="1" applyBorder="1"/>
    <xf numFmtId="164" fontId="0" fillId="0" borderId="0" xfId="0" applyNumberFormat="1"/>
    <xf numFmtId="1" fontId="0" fillId="0" borderId="0" xfId="0" applyNumberFormat="1"/>
    <xf numFmtId="164" fontId="4" fillId="5" borderId="2" xfId="0" applyNumberFormat="1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3"/>
  <sheetViews>
    <sheetView tabSelected="1" workbookViewId="0"/>
  </sheetViews>
  <sheetFormatPr defaultRowHeight="15"/>
  <cols>
    <col min="1" max="1" width="110.7109375" customWidth="1"/>
  </cols>
  <sheetData>
    <row r="1" spans="1:1">
      <c r="A1" s="1" t="s">
        <v>0</v>
      </c>
    </row>
    <row r="3" spans="1:1">
      <c r="A3" s="2" t="s">
        <v>1</v>
      </c>
    </row>
  </sheetData>
  <pageMargins left="0.4" right="0.4" top="0.6" bottom="0.6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96"/>
  <sheetViews>
    <sheetView workbookViewId="0"/>
  </sheetViews>
  <sheetFormatPr defaultRowHeight="15"/>
  <cols>
    <col min="1" max="1" width="46.7109375" customWidth="1"/>
    <col min="2" max="4" width="22.7109375" customWidth="1"/>
  </cols>
  <sheetData>
    <row r="1" spans="1:4" ht="26" customHeight="1">
      <c r="A1" s="1" t="s">
        <v>2</v>
      </c>
      <c r="B1" s="1"/>
      <c r="C1" s="1"/>
      <c r="D1" s="1"/>
    </row>
    <row r="3" spans="1:4">
      <c r="A3" s="3" t="s">
        <v>3</v>
      </c>
    </row>
    <row r="4" spans="1:4">
      <c r="A4" s="4" t="s">
        <v>4</v>
      </c>
      <c r="B4" s="5">
        <v>7</v>
      </c>
    </row>
    <row r="5" spans="1:4">
      <c r="A5" s="4" t="s">
        <v>5</v>
      </c>
      <c r="B5" s="6">
        <v>0.025</v>
      </c>
    </row>
    <row r="6" spans="1:4">
      <c r="A6" s="4" t="s">
        <v>6</v>
      </c>
      <c r="B6" s="6">
        <v>0.08</v>
      </c>
    </row>
    <row r="7" spans="1:4">
      <c r="A7" s="4" t="s">
        <v>7</v>
      </c>
      <c r="B7" s="5">
        <v>2000</v>
      </c>
    </row>
    <row r="9" spans="1:4">
      <c r="A9" s="3" t="s">
        <v>8</v>
      </c>
    </row>
    <row r="10" spans="1:4">
      <c r="A10" s="4" t="s">
        <v>9</v>
      </c>
      <c r="B10" s="7">
        <v>50000</v>
      </c>
    </row>
    <row r="11" spans="1:4">
      <c r="A11" s="4" t="s">
        <v>10</v>
      </c>
      <c r="B11" s="7">
        <v>2000</v>
      </c>
    </row>
    <row r="12" spans="1:4">
      <c r="A12" s="4" t="s">
        <v>11</v>
      </c>
      <c r="B12" s="7">
        <v>3000</v>
      </c>
    </row>
    <row r="13" spans="1:4">
      <c r="A13" s="4" t="s">
        <v>12</v>
      </c>
      <c r="B13" s="7">
        <v>1500</v>
      </c>
    </row>
    <row r="14" spans="1:4">
      <c r="A14" s="4" t="s">
        <v>13</v>
      </c>
      <c r="B14" s="7">
        <v>800</v>
      </c>
    </row>
    <row r="16" spans="1:4">
      <c r="A16" s="3" t="s">
        <v>14</v>
      </c>
    </row>
    <row r="17" spans="1:2">
      <c r="A17" s="4" t="s">
        <v>15</v>
      </c>
      <c r="B17" s="6">
        <v>0.7</v>
      </c>
    </row>
    <row r="18" spans="1:2">
      <c r="A18" s="4" t="s">
        <v>16</v>
      </c>
      <c r="B18" s="6">
        <v>0.05</v>
      </c>
    </row>
    <row r="19" spans="1:2">
      <c r="A19" s="4" t="s">
        <v>17</v>
      </c>
      <c r="B19" s="5">
        <v>5</v>
      </c>
    </row>
    <row r="21" spans="1:2">
      <c r="A21" s="3" t="s">
        <v>18</v>
      </c>
    </row>
    <row r="22" spans="1:2">
      <c r="A22" s="4" t="s">
        <v>19</v>
      </c>
      <c r="B22" s="7">
        <v>2700</v>
      </c>
    </row>
    <row r="23" spans="1:2">
      <c r="A23" s="4" t="s">
        <v>20</v>
      </c>
      <c r="B23" s="6">
        <v>0.04</v>
      </c>
    </row>
    <row r="24" spans="1:2">
      <c r="A24" s="4" t="s">
        <v>21</v>
      </c>
      <c r="B24" s="5">
        <v>50</v>
      </c>
    </row>
    <row r="25" spans="1:2">
      <c r="A25" s="4" t="s">
        <v>22</v>
      </c>
      <c r="B25" s="7">
        <v>300</v>
      </c>
    </row>
    <row r="26" spans="1:2">
      <c r="A26" s="4" t="s">
        <v>23</v>
      </c>
      <c r="B26" s="8">
        <v>0.2</v>
      </c>
    </row>
    <row r="27" spans="1:2">
      <c r="A27" s="4" t="s">
        <v>24</v>
      </c>
      <c r="B27" s="7">
        <v>45000</v>
      </c>
    </row>
    <row r="28" spans="1:2">
      <c r="A28" s="4" t="s">
        <v>25</v>
      </c>
      <c r="B28" s="7">
        <v>3000</v>
      </c>
    </row>
    <row r="29" spans="1:2">
      <c r="A29" s="4" t="s">
        <v>26</v>
      </c>
      <c r="B29" s="7">
        <v>1200</v>
      </c>
    </row>
    <row r="30" spans="1:2">
      <c r="A30" s="4" t="s">
        <v>27</v>
      </c>
      <c r="B30" s="6">
        <v>0.005</v>
      </c>
    </row>
    <row r="31" spans="1:2">
      <c r="A31" s="4" t="s">
        <v>28</v>
      </c>
      <c r="B31" s="7">
        <v>70</v>
      </c>
    </row>
    <row r="33" spans="1:2">
      <c r="A33" s="3" t="s">
        <v>29</v>
      </c>
    </row>
    <row r="34" spans="1:2">
      <c r="A34" s="4" t="s">
        <v>30</v>
      </c>
      <c r="B34" s="7">
        <v>1500</v>
      </c>
    </row>
    <row r="35" spans="1:2">
      <c r="A35" s="4" t="s">
        <v>31</v>
      </c>
      <c r="B35" s="7">
        <v>10000</v>
      </c>
    </row>
    <row r="37" spans="1:2">
      <c r="A37" s="3" t="s">
        <v>32</v>
      </c>
    </row>
    <row r="38" spans="1:2">
      <c r="A38" s="4" t="s">
        <v>33</v>
      </c>
      <c r="B38" s="7">
        <v>50</v>
      </c>
    </row>
    <row r="39" spans="1:2">
      <c r="A39" s="4" t="s">
        <v>34</v>
      </c>
      <c r="B39" s="7">
        <v>22</v>
      </c>
    </row>
    <row r="40" spans="1:2">
      <c r="A40" s="4" t="s">
        <v>35</v>
      </c>
      <c r="B40" s="9">
        <v>0.5</v>
      </c>
    </row>
    <row r="41" spans="1:2">
      <c r="A41" s="4" t="s">
        <v>36</v>
      </c>
      <c r="B41" s="7">
        <v>30</v>
      </c>
    </row>
    <row r="42" spans="1:2">
      <c r="A42" s="4" t="s">
        <v>37</v>
      </c>
      <c r="B42" s="7">
        <v>20000</v>
      </c>
    </row>
    <row r="43" spans="1:2">
      <c r="A43" s="4" t="s">
        <v>38</v>
      </c>
      <c r="B43" s="9">
        <v>0.2</v>
      </c>
    </row>
    <row r="44" spans="1:2">
      <c r="A44" s="4" t="s">
        <v>39</v>
      </c>
      <c r="B44" s="5">
        <v>10000</v>
      </c>
    </row>
    <row r="45" spans="1:2">
      <c r="A45" s="4" t="s">
        <v>40</v>
      </c>
      <c r="B45" s="7">
        <v>15000</v>
      </c>
    </row>
    <row r="46" spans="1:2">
      <c r="A46" s="4" t="s">
        <v>41</v>
      </c>
      <c r="B46" s="9">
        <v>0.1</v>
      </c>
    </row>
    <row r="47" spans="1:2">
      <c r="A47" s="4" t="s">
        <v>42</v>
      </c>
      <c r="B47" s="5">
        <v>8000</v>
      </c>
    </row>
    <row r="48" spans="1:2">
      <c r="A48" s="4" t="s">
        <v>43</v>
      </c>
      <c r="B48" s="7">
        <v>12000</v>
      </c>
    </row>
    <row r="49" spans="1:2">
      <c r="A49" s="4" t="s">
        <v>44</v>
      </c>
      <c r="B49" s="9">
        <v>0.05</v>
      </c>
    </row>
    <row r="50" spans="1:2">
      <c r="A50" s="4" t="s">
        <v>45</v>
      </c>
      <c r="B50" s="5">
        <v>6000</v>
      </c>
    </row>
    <row r="52" spans="1:2">
      <c r="A52" s="3" t="s">
        <v>46</v>
      </c>
    </row>
    <row r="53" spans="1:2">
      <c r="A53" s="4" t="s">
        <v>47</v>
      </c>
      <c r="B53" s="7">
        <v>18</v>
      </c>
    </row>
    <row r="54" spans="1:2">
      <c r="A54" s="4" t="s">
        <v>48</v>
      </c>
      <c r="B54" s="5">
        <v>1000</v>
      </c>
    </row>
    <row r="55" spans="1:2">
      <c r="A55" s="4" t="s">
        <v>49</v>
      </c>
      <c r="B55" s="7">
        <v>900</v>
      </c>
    </row>
    <row r="56" spans="1:2">
      <c r="A56" s="4" t="s">
        <v>50</v>
      </c>
      <c r="B56" s="6">
        <v>0.01</v>
      </c>
    </row>
    <row r="57" spans="1:2">
      <c r="A57" s="4" t="s">
        <v>51</v>
      </c>
      <c r="B57" s="6">
        <v>0.05</v>
      </c>
    </row>
    <row r="58" spans="1:2">
      <c r="A58" s="4" t="s">
        <v>52</v>
      </c>
      <c r="B58" s="7">
        <v>250</v>
      </c>
    </row>
    <row r="59" spans="1:2">
      <c r="A59" s="4" t="s">
        <v>53</v>
      </c>
      <c r="B59" s="6">
        <v>0.02</v>
      </c>
    </row>
    <row r="61" spans="1:2">
      <c r="A61" s="3" t="s">
        <v>54</v>
      </c>
    </row>
    <row r="62" spans="1:2">
      <c r="A62" s="4" t="s">
        <v>55</v>
      </c>
      <c r="B62" s="7">
        <v>220</v>
      </c>
    </row>
    <row r="63" spans="1:2">
      <c r="A63" s="4" t="s">
        <v>56</v>
      </c>
      <c r="B63" s="7">
        <v>40</v>
      </c>
    </row>
    <row r="64" spans="1:2">
      <c r="A64" s="4" t="s">
        <v>57</v>
      </c>
      <c r="B64" s="7">
        <v>20</v>
      </c>
    </row>
    <row r="65" spans="1:2">
      <c r="A65" s="4" t="s">
        <v>58</v>
      </c>
      <c r="B65" s="7">
        <v>20</v>
      </c>
    </row>
    <row r="66" spans="1:2">
      <c r="A66" s="4" t="s">
        <v>59</v>
      </c>
      <c r="B66" s="5">
        <v>50</v>
      </c>
    </row>
    <row r="68" spans="1:2">
      <c r="A68" s="3" t="s">
        <v>60</v>
      </c>
    </row>
    <row r="69" spans="1:2">
      <c r="A69" s="4" t="s">
        <v>61</v>
      </c>
      <c r="B69" s="5">
        <v>10000</v>
      </c>
    </row>
    <row r="70" spans="1:2">
      <c r="A70" s="4" t="s">
        <v>62</v>
      </c>
      <c r="B70" s="7">
        <v>8000</v>
      </c>
    </row>
    <row r="71" spans="1:2">
      <c r="A71" s="4" t="s">
        <v>63</v>
      </c>
      <c r="B71" s="7">
        <v>6000</v>
      </c>
    </row>
    <row r="72" spans="1:2">
      <c r="A72" s="4" t="s">
        <v>64</v>
      </c>
      <c r="B72" s="6">
        <v>0.03</v>
      </c>
    </row>
    <row r="73" spans="1:2">
      <c r="A73" s="4" t="s">
        <v>65</v>
      </c>
      <c r="B73" s="7">
        <v>2.5</v>
      </c>
    </row>
    <row r="74" spans="1:2">
      <c r="A74" s="4" t="s">
        <v>66</v>
      </c>
      <c r="B74" s="7">
        <v>1</v>
      </c>
    </row>
    <row r="75" spans="1:2">
      <c r="A75" s="4" t="s">
        <v>67</v>
      </c>
      <c r="B75" s="6">
        <v>0.01</v>
      </c>
    </row>
    <row r="76" spans="1:2">
      <c r="A76" s="4" t="s">
        <v>68</v>
      </c>
      <c r="B76" s="7">
        <v>5</v>
      </c>
    </row>
    <row r="78" spans="1:2">
      <c r="A78" s="3" t="s">
        <v>69</v>
      </c>
    </row>
    <row r="79" spans="1:2">
      <c r="A79" s="4" t="s">
        <v>70</v>
      </c>
      <c r="B79" s="7">
        <v>80000</v>
      </c>
    </row>
    <row r="80" spans="1:2">
      <c r="A80" s="4" t="s">
        <v>71</v>
      </c>
      <c r="B80" s="7">
        <v>17.5</v>
      </c>
    </row>
    <row r="81" spans="1:2">
      <c r="A81" s="4" t="s">
        <v>72</v>
      </c>
      <c r="B81" s="7">
        <v>19</v>
      </c>
    </row>
    <row r="82" spans="1:2">
      <c r="A82" s="4" t="s">
        <v>73</v>
      </c>
      <c r="B82" s="7">
        <v>0.5</v>
      </c>
    </row>
    <row r="83" spans="1:2">
      <c r="A83" s="4" t="s">
        <v>74</v>
      </c>
      <c r="B83" s="5">
        <v>120000</v>
      </c>
    </row>
    <row r="85" spans="1:2">
      <c r="A85" s="3" t="s">
        <v>75</v>
      </c>
    </row>
    <row r="86" spans="1:2">
      <c r="A86" s="4" t="s">
        <v>76</v>
      </c>
      <c r="B86" s="5">
        <v>240000</v>
      </c>
    </row>
    <row r="87" spans="1:2">
      <c r="A87" s="4" t="s">
        <v>77</v>
      </c>
      <c r="B87" s="7">
        <v>45</v>
      </c>
    </row>
    <row r="88" spans="1:2">
      <c r="A88" s="4" t="s">
        <v>78</v>
      </c>
      <c r="B88" s="7">
        <v>2.4</v>
      </c>
    </row>
    <row r="89" spans="1:2">
      <c r="A89" s="4" t="s">
        <v>79</v>
      </c>
      <c r="B89" s="6">
        <v>0.22</v>
      </c>
    </row>
    <row r="90" spans="1:2">
      <c r="A90" s="4" t="s">
        <v>80</v>
      </c>
      <c r="B90" s="5">
        <v>7</v>
      </c>
    </row>
    <row r="91" spans="1:2">
      <c r="A91" s="4" t="s">
        <v>81</v>
      </c>
      <c r="B91" s="5">
        <v>250</v>
      </c>
    </row>
    <row r="92" spans="1:2">
      <c r="A92" s="4" t="s">
        <v>82</v>
      </c>
      <c r="B92" s="10" t="s">
        <v>83</v>
      </c>
    </row>
    <row r="93" spans="1:2">
      <c r="A93" s="4" t="s">
        <v>84</v>
      </c>
      <c r="B93" s="6">
        <v>0.95</v>
      </c>
    </row>
    <row r="94" spans="1:2">
      <c r="A94" s="4" t="s">
        <v>85</v>
      </c>
      <c r="B94" s="5">
        <v>150</v>
      </c>
    </row>
    <row r="95" spans="1:2">
      <c r="A95" s="4" t="s">
        <v>86</v>
      </c>
      <c r="B95" s="11">
        <v>1.5</v>
      </c>
    </row>
    <row r="96" spans="1:2">
      <c r="A96" s="4" t="s">
        <v>87</v>
      </c>
      <c r="B96" s="5">
        <v>500</v>
      </c>
    </row>
  </sheetData>
  <mergeCells count="1">
    <mergeCell ref="A1:D1"/>
  </mergeCells>
  <dataValidations count="1">
    <dataValidation type="list" allowBlank="1" showInputMessage="1" showErrorMessage="1" sqref="B92">
      <formula1>"Automatique,Manuel"</formula1>
    </dataValidation>
  </dataValidations>
  <pageMargins left="0.4" right="0.4" top="0.6" bottom="0.6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30"/>
  <sheetViews>
    <sheetView workbookViewId="0"/>
  </sheetViews>
  <sheetFormatPr defaultRowHeight="15"/>
  <cols>
    <col min="1" max="1" width="36.7109375" customWidth="1"/>
    <col min="2" max="22" width="16.7109375" customWidth="1"/>
  </cols>
  <sheetData>
    <row r="1" spans="1:22" ht="26" customHeight="1">
      <c r="A1" s="1" t="s">
        <v>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3" spans="1:22">
      <c r="A3" s="12" t="s">
        <v>89</v>
      </c>
      <c r="B3" s="12" t="s">
        <v>90</v>
      </c>
      <c r="C3" s="12" t="s">
        <v>91</v>
      </c>
      <c r="D3" s="12" t="s">
        <v>92</v>
      </c>
      <c r="E3" s="12" t="s">
        <v>93</v>
      </c>
      <c r="F3" s="12" t="s">
        <v>94</v>
      </c>
      <c r="G3" s="12" t="s">
        <v>95</v>
      </c>
      <c r="H3" s="12" t="s">
        <v>96</v>
      </c>
      <c r="I3" s="12" t="s">
        <v>97</v>
      </c>
      <c r="J3" s="12" t="s">
        <v>98</v>
      </c>
      <c r="K3" s="12" t="s">
        <v>99</v>
      </c>
      <c r="L3" s="12" t="s">
        <v>100</v>
      </c>
      <c r="M3" s="12" t="s">
        <v>101</v>
      </c>
      <c r="N3" s="12" t="s">
        <v>102</v>
      </c>
      <c r="O3" s="12" t="s">
        <v>103</v>
      </c>
      <c r="P3" s="12" t="s">
        <v>104</v>
      </c>
      <c r="Q3" s="12" t="s">
        <v>105</v>
      </c>
      <c r="R3" s="12" t="s">
        <v>106</v>
      </c>
      <c r="S3" s="12" t="s">
        <v>107</v>
      </c>
      <c r="T3" s="12" t="s">
        <v>108</v>
      </c>
      <c r="U3" s="12" t="s">
        <v>109</v>
      </c>
      <c r="V3" s="12" t="s">
        <v>110</v>
      </c>
    </row>
    <row r="4" spans="1:22">
      <c r="A4" s="4" t="s">
        <v>111</v>
      </c>
      <c r="B4">
        <f>1</f>
        <v>0</v>
      </c>
      <c r="C4">
        <f>POWER(1+INFL,1)</f>
        <v>0</v>
      </c>
      <c r="D4">
        <f>POWER(1+INFL,2)</f>
        <v>0</v>
      </c>
      <c r="E4">
        <f>POWER(1+INFL,3)</f>
        <v>0</v>
      </c>
      <c r="F4">
        <f>POWER(1+INFL,4)</f>
        <v>0</v>
      </c>
      <c r="G4">
        <f>POWER(1+INFL,5)</f>
        <v>0</v>
      </c>
      <c r="H4">
        <f>POWER(1+INFL,6)</f>
        <v>0</v>
      </c>
      <c r="I4">
        <f>POWER(1+INFL,7)</f>
        <v>0</v>
      </c>
      <c r="J4">
        <f>POWER(1+INFL,8)</f>
        <v>0</v>
      </c>
      <c r="K4">
        <f>POWER(1+INFL,9)</f>
        <v>0</v>
      </c>
      <c r="L4">
        <f>POWER(1+INFL,10)</f>
        <v>0</v>
      </c>
      <c r="M4">
        <f>POWER(1+INFL,11)</f>
        <v>0</v>
      </c>
      <c r="N4">
        <f>POWER(1+INFL,12)</f>
        <v>0</v>
      </c>
      <c r="O4">
        <f>POWER(1+INFL,13)</f>
        <v>0</v>
      </c>
      <c r="P4">
        <f>POWER(1+INFL,14)</f>
        <v>0</v>
      </c>
      <c r="Q4">
        <f>POWER(1+INFL,15)</f>
        <v>0</v>
      </c>
      <c r="R4">
        <f>POWER(1+INFL,16)</f>
        <v>0</v>
      </c>
      <c r="S4">
        <f>POWER(1+INFL,17)</f>
        <v>0</v>
      </c>
      <c r="T4">
        <f>POWER(1+INFL,18)</f>
        <v>0</v>
      </c>
      <c r="U4">
        <f>POWER(1+INFL,19)</f>
        <v>0</v>
      </c>
      <c r="V4">
        <f>POWER(1+INFL,20)</f>
        <v>0</v>
      </c>
    </row>
    <row r="5" spans="1:22">
      <c r="A5" s="4" t="s">
        <v>112</v>
      </c>
      <c r="B5">
        <f>1</f>
        <v>0</v>
      </c>
      <c r="C5">
        <f>1/POWER(1+DISC,1)</f>
        <v>0</v>
      </c>
      <c r="D5">
        <f>1/POWER(1+DISC,2)</f>
        <v>0</v>
      </c>
      <c r="E5">
        <f>1/POWER(1+DISC,3)</f>
        <v>0</v>
      </c>
      <c r="F5">
        <f>1/POWER(1+DISC,4)</f>
        <v>0</v>
      </c>
      <c r="G5">
        <f>1/POWER(1+DISC,5)</f>
        <v>0</v>
      </c>
      <c r="H5">
        <f>1/POWER(1+DISC,6)</f>
        <v>0</v>
      </c>
      <c r="I5">
        <f>1/POWER(1+DISC,7)</f>
        <v>0</v>
      </c>
      <c r="J5">
        <f>1/POWER(1+DISC,8)</f>
        <v>0</v>
      </c>
      <c r="K5">
        <f>1/POWER(1+DISC,9)</f>
        <v>0</v>
      </c>
      <c r="L5">
        <f>1/POWER(1+DISC,10)</f>
        <v>0</v>
      </c>
      <c r="M5">
        <f>1/POWER(1+DISC,11)</f>
        <v>0</v>
      </c>
      <c r="N5">
        <f>1/POWER(1+DISC,12)</f>
        <v>0</v>
      </c>
      <c r="O5">
        <f>1/POWER(1+DISC,13)</f>
        <v>0</v>
      </c>
      <c r="P5">
        <f>1/POWER(1+DISC,14)</f>
        <v>0</v>
      </c>
      <c r="Q5">
        <f>1/POWER(1+DISC,15)</f>
        <v>0</v>
      </c>
      <c r="R5">
        <f>1/POWER(1+DISC,16)</f>
        <v>0</v>
      </c>
      <c r="S5">
        <f>1/POWER(1+DISC,17)</f>
        <v>0</v>
      </c>
      <c r="T5">
        <f>1/POWER(1+DISC,18)</f>
        <v>0</v>
      </c>
      <c r="U5">
        <f>1/POWER(1+DISC,19)</f>
        <v>0</v>
      </c>
      <c r="V5">
        <f>1/POWER(1+DISC,20)</f>
        <v>0</v>
      </c>
    </row>
    <row r="6" spans="1:22">
      <c r="A6" s="4" t="s">
        <v>113</v>
      </c>
      <c r="B6" s="13">
        <f>CAP_A+CAP_T+CAP_I+CAP_F+CAP_K</f>
        <v>0</v>
      </c>
    </row>
    <row r="7" spans="1:22">
      <c r="A7" s="4" t="s">
        <v>114</v>
      </c>
      <c r="B7" s="13">
        <f>B6*(1-LOAN_PCT)</f>
        <v>0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</row>
    <row r="8" spans="1:22">
      <c r="A8" s="4" t="s">
        <v>115</v>
      </c>
      <c r="B8" s="13">
        <f>IF(LOAN_R&gt;0, LOAN_R*(B6*LOAN_PCT)/(1-POWER(1+LOAN_R,-LOAN_N)), (B6*LOAN_PCT)/LOAN_N)</f>
        <v>0</v>
      </c>
      <c r="C8" s="13">
        <f>IF(1&lt;=LOAN_N,$B$8,0)</f>
        <v>0</v>
      </c>
      <c r="D8" s="13">
        <f>IF(2&lt;=LOAN_N,$B$8,0)</f>
        <v>0</v>
      </c>
      <c r="E8" s="13">
        <f>IF(3&lt;=LOAN_N,$B$8,0)</f>
        <v>0</v>
      </c>
      <c r="F8" s="13">
        <f>IF(4&lt;=LOAN_N,$B$8,0)</f>
        <v>0</v>
      </c>
      <c r="G8" s="13">
        <f>IF(5&lt;=LOAN_N,$B$8,0)</f>
        <v>0</v>
      </c>
      <c r="H8" s="13">
        <f>IF(6&lt;=LOAN_N,$B$8,0)</f>
        <v>0</v>
      </c>
      <c r="I8" s="13">
        <f>IF(7&lt;=LOAN_N,$B$8,0)</f>
        <v>0</v>
      </c>
      <c r="J8" s="13">
        <f>IF(8&lt;=LOAN_N,$B$8,0)</f>
        <v>0</v>
      </c>
      <c r="K8" s="13">
        <f>IF(9&lt;=LOAN_N,$B$8,0)</f>
        <v>0</v>
      </c>
      <c r="L8" s="13">
        <f>IF(10&lt;=LOAN_N,$B$8,0)</f>
        <v>0</v>
      </c>
      <c r="M8" s="13">
        <f>IF(11&lt;=LOAN_N,$B$8,0)</f>
        <v>0</v>
      </c>
      <c r="N8" s="13">
        <f>IF(12&lt;=LOAN_N,$B$8,0)</f>
        <v>0</v>
      </c>
      <c r="O8" s="13">
        <f>IF(13&lt;=LOAN_N,$B$8,0)</f>
        <v>0</v>
      </c>
      <c r="P8" s="13">
        <f>IF(14&lt;=LOAN_N,$B$8,0)</f>
        <v>0</v>
      </c>
      <c r="Q8" s="13">
        <f>IF(15&lt;=LOAN_N,$B$8,0)</f>
        <v>0</v>
      </c>
      <c r="R8" s="13">
        <f>IF(16&lt;=LOAN_N,$B$8,0)</f>
        <v>0</v>
      </c>
      <c r="S8" s="13">
        <f>IF(17&lt;=LOAN_N,$B$8,0)</f>
        <v>0</v>
      </c>
      <c r="T8" s="13">
        <f>IF(18&lt;=LOAN_N,$B$8,0)</f>
        <v>0</v>
      </c>
      <c r="U8" s="13">
        <f>IF(19&lt;=LOAN_N,$B$8,0)</f>
        <v>0</v>
      </c>
      <c r="V8" s="13">
        <f>IF(20&lt;=LOAN_N,$B$8,0)</f>
        <v>0</v>
      </c>
    </row>
    <row r="10" spans="1:22">
      <c r="A10" s="4" t="s">
        <v>116</v>
      </c>
      <c r="B10" s="13">
        <f>OP_EN</f>
        <v>0</v>
      </c>
      <c r="C10" s="13">
        <f>B10*C4</f>
        <v>0</v>
      </c>
      <c r="D10" s="13">
        <f>B10*D4</f>
        <v>0</v>
      </c>
      <c r="E10" s="13">
        <f>B10*E4</f>
        <v>0</v>
      </c>
      <c r="F10" s="13">
        <f>B10*F4</f>
        <v>0</v>
      </c>
      <c r="G10" s="13">
        <f>B10*G4</f>
        <v>0</v>
      </c>
      <c r="H10" s="13">
        <f>B10*H4</f>
        <v>0</v>
      </c>
      <c r="I10" s="13">
        <f>B10*I4</f>
        <v>0</v>
      </c>
      <c r="J10" s="13">
        <f>B10*J4</f>
        <v>0</v>
      </c>
      <c r="K10" s="13">
        <f>B10*K4</f>
        <v>0</v>
      </c>
      <c r="L10" s="13">
        <f>B10*L4</f>
        <v>0</v>
      </c>
      <c r="M10" s="13">
        <f>B10*M4</f>
        <v>0</v>
      </c>
      <c r="N10" s="13">
        <f>B10*N4</f>
        <v>0</v>
      </c>
      <c r="O10" s="13">
        <f>B10*O4</f>
        <v>0</v>
      </c>
      <c r="P10" s="13">
        <f>B10*P4</f>
        <v>0</v>
      </c>
      <c r="Q10" s="13">
        <f>B10*Q4</f>
        <v>0</v>
      </c>
      <c r="R10" s="13">
        <f>B10*R4</f>
        <v>0</v>
      </c>
      <c r="S10" s="13">
        <f>B10*S4</f>
        <v>0</v>
      </c>
      <c r="T10" s="13">
        <f>B10*T4</f>
        <v>0</v>
      </c>
      <c r="U10" s="13">
        <f>B10*U4</f>
        <v>0</v>
      </c>
      <c r="V10" s="13">
        <f>B10*V4</f>
        <v>0</v>
      </c>
    </row>
    <row r="11" spans="1:22">
      <c r="A11" s="4" t="s">
        <v>117</v>
      </c>
      <c r="B11" s="13">
        <f>OP_MA_PCT*B6</f>
        <v>0</v>
      </c>
      <c r="C11" s="13">
        <f>B11*C4</f>
        <v>0</v>
      </c>
      <c r="D11" s="13">
        <f>B11*D4</f>
        <v>0</v>
      </c>
      <c r="E11" s="13">
        <f>B11*E4</f>
        <v>0</v>
      </c>
      <c r="F11" s="13">
        <f>B11*F4</f>
        <v>0</v>
      </c>
      <c r="G11" s="13">
        <f>B11*G4</f>
        <v>0</v>
      </c>
      <c r="H11" s="13">
        <f>B11*H4</f>
        <v>0</v>
      </c>
      <c r="I11" s="13">
        <f>B11*I4</f>
        <v>0</v>
      </c>
      <c r="J11" s="13">
        <f>B11*J4</f>
        <v>0</v>
      </c>
      <c r="K11" s="13">
        <f>B11*K4</f>
        <v>0</v>
      </c>
      <c r="L11" s="13">
        <f>B11*L4</f>
        <v>0</v>
      </c>
      <c r="M11" s="13">
        <f>B11*M4</f>
        <v>0</v>
      </c>
      <c r="N11" s="13">
        <f>B11*N4</f>
        <v>0</v>
      </c>
      <c r="O11" s="13">
        <f>B11*O4</f>
        <v>0</v>
      </c>
      <c r="P11" s="13">
        <f>B11*P4</f>
        <v>0</v>
      </c>
      <c r="Q11" s="13">
        <f>B11*Q4</f>
        <v>0</v>
      </c>
      <c r="R11" s="13">
        <f>B11*R4</f>
        <v>0</v>
      </c>
      <c r="S11" s="13">
        <f>B11*S4</f>
        <v>0</v>
      </c>
      <c r="T11" s="13">
        <f>B11*T4</f>
        <v>0</v>
      </c>
      <c r="U11" s="13">
        <f>B11*U4</f>
        <v>0</v>
      </c>
      <c r="V11" s="13">
        <f>B11*V4</f>
        <v>0</v>
      </c>
    </row>
    <row r="12" spans="1:22">
      <c r="A12" s="4" t="s">
        <v>118</v>
      </c>
      <c r="B12" s="13">
        <f>OP_DT_H*OP_DT_EURH</f>
        <v>0</v>
      </c>
      <c r="C12" s="13">
        <f>B12*C4</f>
        <v>0</v>
      </c>
      <c r="D12" s="13">
        <f>B12*D4</f>
        <v>0</v>
      </c>
      <c r="E12" s="13">
        <f>B12*E4</f>
        <v>0</v>
      </c>
      <c r="F12" s="13">
        <f>B12*F4</f>
        <v>0</v>
      </c>
      <c r="G12" s="13">
        <f>B12*G4</f>
        <v>0</v>
      </c>
      <c r="H12" s="13">
        <f>B12*H4</f>
        <v>0</v>
      </c>
      <c r="I12" s="13">
        <f>B12*I4</f>
        <v>0</v>
      </c>
      <c r="J12" s="13">
        <f>B12*J4</f>
        <v>0</v>
      </c>
      <c r="K12" s="13">
        <f>B12*K4</f>
        <v>0</v>
      </c>
      <c r="L12" s="13">
        <f>B12*L4</f>
        <v>0</v>
      </c>
      <c r="M12" s="13">
        <f>B12*M4</f>
        <v>0</v>
      </c>
      <c r="N12" s="13">
        <f>B12*N4</f>
        <v>0</v>
      </c>
      <c r="O12" s="13">
        <f>B12*O4</f>
        <v>0</v>
      </c>
      <c r="P12" s="13">
        <f>B12*P4</f>
        <v>0</v>
      </c>
      <c r="Q12" s="13">
        <f>B12*Q4</f>
        <v>0</v>
      </c>
      <c r="R12" s="13">
        <f>B12*R4</f>
        <v>0</v>
      </c>
      <c r="S12" s="13">
        <f>B12*S4</f>
        <v>0</v>
      </c>
      <c r="T12" s="13">
        <f>B12*T4</f>
        <v>0</v>
      </c>
      <c r="U12" s="13">
        <f>B12*U4</f>
        <v>0</v>
      </c>
      <c r="V12" s="13">
        <f>B12*V4</f>
        <v>0</v>
      </c>
    </row>
    <row r="13" spans="1:22">
      <c r="A13" s="4" t="s">
        <v>119</v>
      </c>
      <c r="B13" s="13">
        <f>OP_FTE*OP_FTEC</f>
        <v>0</v>
      </c>
      <c r="C13" s="13">
        <f>B13*C4</f>
        <v>0</v>
      </c>
      <c r="D13" s="13">
        <f>B13*D4</f>
        <v>0</v>
      </c>
      <c r="E13" s="13">
        <f>B13*E4</f>
        <v>0</v>
      </c>
      <c r="F13" s="13">
        <f>B13*F4</f>
        <v>0</v>
      </c>
      <c r="G13" s="13">
        <f>B13*G4</f>
        <v>0</v>
      </c>
      <c r="H13" s="13">
        <f>B13*H4</f>
        <v>0</v>
      </c>
      <c r="I13" s="13">
        <f>B13*I4</f>
        <v>0</v>
      </c>
      <c r="J13" s="13">
        <f>B13*J4</f>
        <v>0</v>
      </c>
      <c r="K13" s="13">
        <f>B13*K4</f>
        <v>0</v>
      </c>
      <c r="L13" s="13">
        <f>B13*L4</f>
        <v>0</v>
      </c>
      <c r="M13" s="13">
        <f>B13*M4</f>
        <v>0</v>
      </c>
      <c r="N13" s="13">
        <f>B13*N4</f>
        <v>0</v>
      </c>
      <c r="O13" s="13">
        <f>B13*O4</f>
        <v>0</v>
      </c>
      <c r="P13" s="13">
        <f>B13*P4</f>
        <v>0</v>
      </c>
      <c r="Q13" s="13">
        <f>B13*Q4</f>
        <v>0</v>
      </c>
      <c r="R13" s="13">
        <f>B13*R4</f>
        <v>0</v>
      </c>
      <c r="S13" s="13">
        <f>B13*S4</f>
        <v>0</v>
      </c>
      <c r="T13" s="13">
        <f>B13*T4</f>
        <v>0</v>
      </c>
      <c r="U13" s="13">
        <f>B13*U4</f>
        <v>0</v>
      </c>
      <c r="V13" s="13">
        <f>B13*V4</f>
        <v>0</v>
      </c>
    </row>
    <row r="14" spans="1:22">
      <c r="A14" s="4" t="s">
        <v>120</v>
      </c>
      <c r="B14" s="13">
        <f>OP_CONS</f>
        <v>0</v>
      </c>
      <c r="C14" s="13">
        <f>B14*C4</f>
        <v>0</v>
      </c>
      <c r="D14" s="13">
        <f>B14*D4</f>
        <v>0</v>
      </c>
      <c r="E14" s="13">
        <f>B14*E4</f>
        <v>0</v>
      </c>
      <c r="F14" s="13">
        <f>B14*F4</f>
        <v>0</v>
      </c>
      <c r="G14" s="13">
        <f>B14*G4</f>
        <v>0</v>
      </c>
      <c r="H14" s="13">
        <f>B14*H4</f>
        <v>0</v>
      </c>
      <c r="I14" s="13">
        <f>B14*I4</f>
        <v>0</v>
      </c>
      <c r="J14" s="13">
        <f>B14*J4</f>
        <v>0</v>
      </c>
      <c r="K14" s="13">
        <f>B14*K4</f>
        <v>0</v>
      </c>
      <c r="L14" s="13">
        <f>B14*L4</f>
        <v>0</v>
      </c>
      <c r="M14" s="13">
        <f>B14*M4</f>
        <v>0</v>
      </c>
      <c r="N14" s="13">
        <f>B14*N4</f>
        <v>0</v>
      </c>
      <c r="O14" s="13">
        <f>B14*O4</f>
        <v>0</v>
      </c>
      <c r="P14" s="13">
        <f>B14*P4</f>
        <v>0</v>
      </c>
      <c r="Q14" s="13">
        <f>B14*Q4</f>
        <v>0</v>
      </c>
      <c r="R14" s="13">
        <f>B14*R4</f>
        <v>0</v>
      </c>
      <c r="S14" s="13">
        <f>B14*S4</f>
        <v>0</v>
      </c>
      <c r="T14" s="13">
        <f>B14*T4</f>
        <v>0</v>
      </c>
      <c r="U14" s="13">
        <f>B14*U4</f>
        <v>0</v>
      </c>
      <c r="V14" s="13">
        <f>B14*V4</f>
        <v>0</v>
      </c>
    </row>
    <row r="15" spans="1:22">
      <c r="A15" s="4" t="s">
        <v>121</v>
      </c>
      <c r="B15" s="13">
        <f>OP_LIC</f>
        <v>0</v>
      </c>
      <c r="C15" s="13">
        <f>B15*C4</f>
        <v>0</v>
      </c>
      <c r="D15" s="13">
        <f>B15*D4</f>
        <v>0</v>
      </c>
      <c r="E15" s="13">
        <f>B15*E4</f>
        <v>0</v>
      </c>
      <c r="F15" s="13">
        <f>B15*F4</f>
        <v>0</v>
      </c>
      <c r="G15" s="13">
        <f>B15*G4</f>
        <v>0</v>
      </c>
      <c r="H15" s="13">
        <f>B15*H4</f>
        <v>0</v>
      </c>
      <c r="I15" s="13">
        <f>B15*I4</f>
        <v>0</v>
      </c>
      <c r="J15" s="13">
        <f>B15*J4</f>
        <v>0</v>
      </c>
      <c r="K15" s="13">
        <f>B15*K4</f>
        <v>0</v>
      </c>
      <c r="L15" s="13">
        <f>B15*L4</f>
        <v>0</v>
      </c>
      <c r="M15" s="13">
        <f>B15*M4</f>
        <v>0</v>
      </c>
      <c r="N15" s="13">
        <f>B15*N4</f>
        <v>0</v>
      </c>
      <c r="O15" s="13">
        <f>B15*O4</f>
        <v>0</v>
      </c>
      <c r="P15" s="13">
        <f>B15*P4</f>
        <v>0</v>
      </c>
      <c r="Q15" s="13">
        <f>B15*Q4</f>
        <v>0</v>
      </c>
      <c r="R15" s="13">
        <f>B15*R4</f>
        <v>0</v>
      </c>
      <c r="S15" s="13">
        <f>B15*S4</f>
        <v>0</v>
      </c>
      <c r="T15" s="13">
        <f>B15*T4</f>
        <v>0</v>
      </c>
      <c r="U15" s="13">
        <f>B15*U4</f>
        <v>0</v>
      </c>
      <c r="V15" s="13">
        <f>B15*V4</f>
        <v>0</v>
      </c>
    </row>
    <row r="16" spans="1:22">
      <c r="A16" s="4" t="s">
        <v>122</v>
      </c>
      <c r="B16" s="13">
        <f>OP_INS_PCT*B6</f>
        <v>0</v>
      </c>
      <c r="C16" s="13">
        <f>B16*C4</f>
        <v>0</v>
      </c>
      <c r="D16" s="13">
        <f>B16*D4</f>
        <v>0</v>
      </c>
      <c r="E16" s="13">
        <f>B16*E4</f>
        <v>0</v>
      </c>
      <c r="F16" s="13">
        <f>B16*F4</f>
        <v>0</v>
      </c>
      <c r="G16" s="13">
        <f>B16*G4</f>
        <v>0</v>
      </c>
      <c r="H16" s="13">
        <f>B16*H4</f>
        <v>0</v>
      </c>
      <c r="I16" s="13">
        <f>B16*I4</f>
        <v>0</v>
      </c>
      <c r="J16" s="13">
        <f>B16*J4</f>
        <v>0</v>
      </c>
      <c r="K16" s="13">
        <f>B16*K4</f>
        <v>0</v>
      </c>
      <c r="L16" s="13">
        <f>B16*L4</f>
        <v>0</v>
      </c>
      <c r="M16" s="13">
        <f>B16*M4</f>
        <v>0</v>
      </c>
      <c r="N16" s="13">
        <f>B16*N4</f>
        <v>0</v>
      </c>
      <c r="O16" s="13">
        <f>B16*O4</f>
        <v>0</v>
      </c>
      <c r="P16" s="13">
        <f>B16*P4</f>
        <v>0</v>
      </c>
      <c r="Q16" s="13">
        <f>B16*Q4</f>
        <v>0</v>
      </c>
      <c r="R16" s="13">
        <f>B16*R4</f>
        <v>0</v>
      </c>
      <c r="S16" s="13">
        <f>B16*S4</f>
        <v>0</v>
      </c>
      <c r="T16" s="13">
        <f>B16*T4</f>
        <v>0</v>
      </c>
      <c r="U16" s="13">
        <f>B16*U4</f>
        <v>0</v>
      </c>
      <c r="V16" s="13">
        <f>B16*V4</f>
        <v>0</v>
      </c>
    </row>
    <row r="17" spans="1:22">
      <c r="A17" s="4" t="s">
        <v>123</v>
      </c>
      <c r="B17" s="13">
        <f>OP_CO2</f>
        <v>0</v>
      </c>
      <c r="C17" s="13">
        <f>B17*C4</f>
        <v>0</v>
      </c>
      <c r="D17" s="13">
        <f>B17*D4</f>
        <v>0</v>
      </c>
      <c r="E17" s="13">
        <f>B17*E4</f>
        <v>0</v>
      </c>
      <c r="F17" s="13">
        <f>B17*F4</f>
        <v>0</v>
      </c>
      <c r="G17" s="13">
        <f>B17*G4</f>
        <v>0</v>
      </c>
      <c r="H17" s="13">
        <f>B17*H4</f>
        <v>0</v>
      </c>
      <c r="I17" s="13">
        <f>B17*I4</f>
        <v>0</v>
      </c>
      <c r="J17" s="13">
        <f>B17*J4</f>
        <v>0</v>
      </c>
      <c r="K17" s="13">
        <f>B17*K4</f>
        <v>0</v>
      </c>
      <c r="L17" s="13">
        <f>B17*L4</f>
        <v>0</v>
      </c>
      <c r="M17" s="13">
        <f>B17*M4</f>
        <v>0</v>
      </c>
      <c r="N17" s="13">
        <f>B17*N4</f>
        <v>0</v>
      </c>
      <c r="O17" s="13">
        <f>B17*O4</f>
        <v>0</v>
      </c>
      <c r="P17" s="13">
        <f>B17*P4</f>
        <v>0</v>
      </c>
      <c r="Q17" s="13">
        <f>B17*Q4</f>
        <v>0</v>
      </c>
      <c r="R17" s="13">
        <f>B17*R4</f>
        <v>0</v>
      </c>
      <c r="S17" s="13">
        <f>B17*S4</f>
        <v>0</v>
      </c>
      <c r="T17" s="13">
        <f>B17*T4</f>
        <v>0</v>
      </c>
      <c r="U17" s="13">
        <f>B17*U4</f>
        <v>0</v>
      </c>
      <c r="V17" s="13">
        <f>B17*V4</f>
        <v>0</v>
      </c>
    </row>
    <row r="19" spans="1:22">
      <c r="A19" s="4" t="s">
        <v>124</v>
      </c>
      <c r="B19" s="13">
        <f>IF(0=HORIZON, END_DECOM*B4, 0)</f>
        <v>0</v>
      </c>
      <c r="C19" s="13">
        <f>IF(1=HORIZON, END_DECOM*C4, 0)</f>
        <v>0</v>
      </c>
      <c r="D19" s="13">
        <f>IF(2=HORIZON, END_DECOM*D4, 0)</f>
        <v>0</v>
      </c>
      <c r="E19" s="13">
        <f>IF(3=HORIZON, END_DECOM*E4, 0)</f>
        <v>0</v>
      </c>
      <c r="F19" s="13">
        <f>IF(4=HORIZON, END_DECOM*F4, 0)</f>
        <v>0</v>
      </c>
      <c r="G19" s="13">
        <f>IF(5=HORIZON, END_DECOM*G4, 0)</f>
        <v>0</v>
      </c>
      <c r="H19" s="13">
        <f>IF(6=HORIZON, END_DECOM*H4, 0)</f>
        <v>0</v>
      </c>
      <c r="I19" s="13">
        <f>IF(7=HORIZON, END_DECOM*I4, 0)</f>
        <v>0</v>
      </c>
      <c r="J19" s="13">
        <f>IF(8=HORIZON, END_DECOM*J4, 0)</f>
        <v>0</v>
      </c>
      <c r="K19" s="13">
        <f>IF(9=HORIZON, END_DECOM*K4, 0)</f>
        <v>0</v>
      </c>
      <c r="L19" s="13">
        <f>IF(10=HORIZON, END_DECOM*L4, 0)</f>
        <v>0</v>
      </c>
      <c r="M19" s="13">
        <f>IF(11=HORIZON, END_DECOM*M4, 0)</f>
        <v>0</v>
      </c>
      <c r="N19" s="13">
        <f>IF(12=HORIZON, END_DECOM*N4, 0)</f>
        <v>0</v>
      </c>
      <c r="O19" s="13">
        <f>IF(13=HORIZON, END_DECOM*O4, 0)</f>
        <v>0</v>
      </c>
      <c r="P19" s="13">
        <f>IF(14=HORIZON, END_DECOM*P4, 0)</f>
        <v>0</v>
      </c>
      <c r="Q19" s="13">
        <f>IF(15=HORIZON, END_DECOM*Q4, 0)</f>
        <v>0</v>
      </c>
      <c r="R19" s="13">
        <f>IF(16=HORIZON, END_DECOM*R4, 0)</f>
        <v>0</v>
      </c>
      <c r="S19" s="13">
        <f>IF(17=HORIZON, END_DECOM*S4, 0)</f>
        <v>0</v>
      </c>
      <c r="T19" s="13">
        <f>IF(18=HORIZON, END_DECOM*T4, 0)</f>
        <v>0</v>
      </c>
      <c r="U19" s="13">
        <f>IF(19=HORIZON, END_DECOM*U4, 0)</f>
        <v>0</v>
      </c>
      <c r="V19" s="13">
        <f>IF(20=HORIZON, END_DECOM*V4, 0)</f>
        <v>0</v>
      </c>
    </row>
    <row r="20" spans="1:22">
      <c r="A20" s="4" t="s">
        <v>125</v>
      </c>
      <c r="B20" s="13">
        <f>IF(0=HORIZON, -END_RES*B4, 0)</f>
        <v>0</v>
      </c>
      <c r="C20" s="13">
        <f>IF(1=HORIZON, -END_RES*C4, 0)</f>
        <v>0</v>
      </c>
      <c r="D20" s="13">
        <f>IF(2=HORIZON, -END_RES*D4, 0)</f>
        <v>0</v>
      </c>
      <c r="E20" s="13">
        <f>IF(3=HORIZON, -END_RES*E4, 0)</f>
        <v>0</v>
      </c>
      <c r="F20" s="13">
        <f>IF(4=HORIZON, -END_RES*F4, 0)</f>
        <v>0</v>
      </c>
      <c r="G20" s="13">
        <f>IF(5=HORIZON, -END_RES*G4, 0)</f>
        <v>0</v>
      </c>
      <c r="H20" s="13">
        <f>IF(6=HORIZON, -END_RES*H4, 0)</f>
        <v>0</v>
      </c>
      <c r="I20" s="13">
        <f>IF(7=HORIZON, -END_RES*I4, 0)</f>
        <v>0</v>
      </c>
      <c r="J20" s="13">
        <f>IF(8=HORIZON, -END_RES*J4, 0)</f>
        <v>0</v>
      </c>
      <c r="K20" s="13">
        <f>IF(9=HORIZON, -END_RES*K4, 0)</f>
        <v>0</v>
      </c>
      <c r="L20" s="13">
        <f>IF(10=HORIZON, -END_RES*L4, 0)</f>
        <v>0</v>
      </c>
      <c r="M20" s="13">
        <f>IF(11=HORIZON, -END_RES*M4, 0)</f>
        <v>0</v>
      </c>
      <c r="N20" s="13">
        <f>IF(12=HORIZON, -END_RES*N4, 0)</f>
        <v>0</v>
      </c>
      <c r="O20" s="13">
        <f>IF(13=HORIZON, -END_RES*O4, 0)</f>
        <v>0</v>
      </c>
      <c r="P20" s="13">
        <f>IF(14=HORIZON, -END_RES*P4, 0)</f>
        <v>0</v>
      </c>
      <c r="Q20" s="13">
        <f>IF(15=HORIZON, -END_RES*Q4, 0)</f>
        <v>0</v>
      </c>
      <c r="R20" s="13">
        <f>IF(16=HORIZON, -END_RES*R4, 0)</f>
        <v>0</v>
      </c>
      <c r="S20" s="13">
        <f>IF(17=HORIZON, -END_RES*S4, 0)</f>
        <v>0</v>
      </c>
      <c r="T20" s="13">
        <f>IF(18=HORIZON, -END_RES*T4, 0)</f>
        <v>0</v>
      </c>
      <c r="U20" s="13">
        <f>IF(19=HORIZON, -END_RES*U4, 0)</f>
        <v>0</v>
      </c>
      <c r="V20" s="13">
        <f>IF(20=HORIZON, -END_RES*V4, 0)</f>
        <v>0</v>
      </c>
    </row>
    <row r="22" spans="1:22">
      <c r="A22" s="3" t="s">
        <v>126</v>
      </c>
      <c r="B22" s="13">
        <f>SUM(B7:B20)</f>
        <v>0</v>
      </c>
      <c r="C22" s="13">
        <f>SUM(C7:C20)</f>
        <v>0</v>
      </c>
      <c r="D22" s="13">
        <f>SUM(D7:D20)</f>
        <v>0</v>
      </c>
      <c r="E22" s="13">
        <f>SUM(E7:E20)</f>
        <v>0</v>
      </c>
      <c r="F22" s="13">
        <f>SUM(F7:F20)</f>
        <v>0</v>
      </c>
      <c r="G22" s="13">
        <f>SUM(G7:G20)</f>
        <v>0</v>
      </c>
      <c r="H22" s="13">
        <f>SUM(H7:H20)</f>
        <v>0</v>
      </c>
      <c r="I22" s="13">
        <f>SUM(I7:I20)</f>
        <v>0</v>
      </c>
      <c r="J22" s="13">
        <f>SUM(J7:J20)</f>
        <v>0</v>
      </c>
      <c r="K22" s="13">
        <f>SUM(K7:K20)</f>
        <v>0</v>
      </c>
      <c r="L22" s="13">
        <f>SUM(L7:L20)</f>
        <v>0</v>
      </c>
      <c r="M22" s="13">
        <f>SUM(M7:M20)</f>
        <v>0</v>
      </c>
      <c r="N22" s="13">
        <f>SUM(N7:N20)</f>
        <v>0</v>
      </c>
      <c r="O22" s="13">
        <f>SUM(O7:O20)</f>
        <v>0</v>
      </c>
      <c r="P22" s="13">
        <f>SUM(P7:P20)</f>
        <v>0</v>
      </c>
      <c r="Q22" s="13">
        <f>SUM(Q7:Q20)</f>
        <v>0</v>
      </c>
      <c r="R22" s="13">
        <f>SUM(R7:R20)</f>
        <v>0</v>
      </c>
      <c r="S22" s="13">
        <f>SUM(S7:S20)</f>
        <v>0</v>
      </c>
      <c r="T22" s="13">
        <f>SUM(T7:T20)</f>
        <v>0</v>
      </c>
      <c r="U22" s="13">
        <f>SUM(U7:U20)</f>
        <v>0</v>
      </c>
      <c r="V22" s="13">
        <f>SUM(V7:V20)</f>
        <v>0</v>
      </c>
    </row>
    <row r="24" spans="1:22">
      <c r="A24" s="3" t="s">
        <v>127</v>
      </c>
      <c r="B24" s="13">
        <f>B22*B5</f>
        <v>0</v>
      </c>
      <c r="C24" s="13">
        <f>C22*C5</f>
        <v>0</v>
      </c>
      <c r="D24" s="13">
        <f>D22*D5</f>
        <v>0</v>
      </c>
      <c r="E24" s="13">
        <f>E22*E5</f>
        <v>0</v>
      </c>
      <c r="F24" s="13">
        <f>F22*F5</f>
        <v>0</v>
      </c>
      <c r="G24" s="13">
        <f>G22*G5</f>
        <v>0</v>
      </c>
      <c r="H24" s="13">
        <f>H22*H5</f>
        <v>0</v>
      </c>
      <c r="I24" s="13">
        <f>I22*I5</f>
        <v>0</v>
      </c>
      <c r="J24" s="13">
        <f>J22*J5</f>
        <v>0</v>
      </c>
      <c r="K24" s="13">
        <f>K22*K5</f>
        <v>0</v>
      </c>
      <c r="L24" s="13">
        <f>L22*L5</f>
        <v>0</v>
      </c>
      <c r="M24" s="13">
        <f>M22*M5</f>
        <v>0</v>
      </c>
      <c r="N24" s="13">
        <f>N22*N5</f>
        <v>0</v>
      </c>
      <c r="O24" s="13">
        <f>O22*O5</f>
        <v>0</v>
      </c>
      <c r="P24" s="13">
        <f>P22*P5</f>
        <v>0</v>
      </c>
      <c r="Q24" s="13">
        <f>Q22*Q5</f>
        <v>0</v>
      </c>
      <c r="R24" s="13">
        <f>R22*R5</f>
        <v>0</v>
      </c>
      <c r="S24" s="13">
        <f>S22*S5</f>
        <v>0</v>
      </c>
      <c r="T24" s="13">
        <f>T22*T5</f>
        <v>0</v>
      </c>
      <c r="U24" s="13">
        <f>U22*U5</f>
        <v>0</v>
      </c>
      <c r="V24" s="13">
        <f>V22*V5</f>
        <v>0</v>
      </c>
    </row>
    <row r="26" spans="1:22">
      <c r="A26" s="14" t="s">
        <v>128</v>
      </c>
      <c r="B26" s="15">
        <f>SUM(B22:V22)</f>
        <v>0</v>
      </c>
    </row>
    <row r="27" spans="1:22">
      <c r="A27" s="14" t="s">
        <v>129</v>
      </c>
      <c r="B27" s="15">
        <f>SUM(B24:V24)</f>
        <v>0</v>
      </c>
    </row>
    <row r="28" spans="1:22">
      <c r="A28" s="14" t="s">
        <v>130</v>
      </c>
      <c r="B28" s="16">
        <f>IF(DISC&gt;0, DISC*POWER(1+DISC,HORIZON)/(POWER(1+DISC,HORIZON)-1), 1/HORIZON)</f>
        <v>0</v>
      </c>
    </row>
    <row r="29" spans="1:22">
      <c r="A29" s="14" t="s">
        <v>131</v>
      </c>
      <c r="B29" s="15">
        <f>B27*B28</f>
        <v>0</v>
      </c>
    </row>
    <row r="30" spans="1:22">
      <c r="A30" s="14" t="s">
        <v>132</v>
      </c>
      <c r="B30" s="16">
        <f>IF(HRSY&gt;0, B29/HRSY, 0)</f>
        <v>0</v>
      </c>
    </row>
  </sheetData>
  <mergeCells count="1">
    <mergeCell ref="A1:V1"/>
  </mergeCells>
  <pageMargins left="0.4" right="0.4" top="0.6" bottom="0.6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14"/>
  <sheetViews>
    <sheetView workbookViewId="0"/>
  </sheetViews>
  <sheetFormatPr defaultRowHeight="15"/>
  <cols>
    <col min="1" max="1" width="44.7109375" customWidth="1"/>
    <col min="2" max="4" width="22.7109375" customWidth="1"/>
  </cols>
  <sheetData>
    <row r="1" spans="1:2">
      <c r="A1" s="1" t="s">
        <v>133</v>
      </c>
    </row>
    <row r="3" spans="1:2">
      <c r="A3" s="4" t="s">
        <v>134</v>
      </c>
      <c r="B3" s="13">
        <f>IF(ABC_A1T&gt;0, ABC_A1C/ABC_A1T, 0)</f>
        <v>0</v>
      </c>
    </row>
    <row r="4" spans="1:2">
      <c r="A4" s="4" t="s">
        <v>135</v>
      </c>
      <c r="B4" s="13">
        <f>IF(ABC_A2T&gt;0, ABC_A2C/ABC_A2T, 0)</f>
        <v>0</v>
      </c>
    </row>
    <row r="5" spans="1:2">
      <c r="A5" s="4" t="s">
        <v>136</v>
      </c>
      <c r="B5" s="13">
        <f>IF(ABC_A3T&gt;0, ABC_A3C/ABC_A3T, 0)</f>
        <v>0</v>
      </c>
    </row>
    <row r="7" spans="1:2">
      <c r="A7" s="4" t="s">
        <v>137</v>
      </c>
      <c r="B7" s="13">
        <f>B3*ABC_A1U</f>
        <v>0</v>
      </c>
    </row>
    <row r="8" spans="1:2">
      <c r="A8" s="4" t="s">
        <v>138</v>
      </c>
      <c r="B8" s="13">
        <f>B4*ABC_A2U</f>
        <v>0</v>
      </c>
    </row>
    <row r="9" spans="1:2">
      <c r="A9" s="4" t="s">
        <v>139</v>
      </c>
      <c r="B9" s="13">
        <f>B5*ABC_A3U</f>
        <v>0</v>
      </c>
    </row>
    <row r="11" spans="1:2">
      <c r="A11" s="4" t="s">
        <v>140</v>
      </c>
      <c r="B11" s="13">
        <f>ABC_MOH*ABC_MOR</f>
        <v>0</v>
      </c>
    </row>
    <row r="12" spans="1:2">
      <c r="A12" s="3" t="s">
        <v>141</v>
      </c>
      <c r="B12" s="13">
        <f>ABC_MAT + B11 + B7 + B8 + B9</f>
        <v>0</v>
      </c>
    </row>
    <row r="13" spans="1:2">
      <c r="A13" s="4" t="s">
        <v>142</v>
      </c>
      <c r="B13" s="13">
        <f>ABC_PV - B12</f>
        <v>0</v>
      </c>
    </row>
    <row r="14" spans="1:2">
      <c r="A14" s="4" t="s">
        <v>143</v>
      </c>
      <c r="B14" s="17">
        <f>IF(ABC_PV&gt;0, B13/ABC_PV, 0)</f>
        <v>0</v>
      </c>
    </row>
  </sheetData>
  <pageMargins left="0.4" right="0.4" top="0.6" bottom="0.6" header="0.3" footer="0.3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9"/>
  <sheetViews>
    <sheetView workbookViewId="0"/>
  </sheetViews>
  <sheetFormatPr defaultRowHeight="15"/>
  <cols>
    <col min="1" max="1" width="44.7109375" customWidth="1"/>
    <col min="2" max="4" width="22.7109375" customWidth="1"/>
  </cols>
  <sheetData>
    <row r="1" spans="1:2">
      <c r="A1" s="1" t="s">
        <v>144</v>
      </c>
    </row>
    <row r="3" spans="1:2">
      <c r="A3" s="4" t="s">
        <v>145</v>
      </c>
      <c r="B3" s="13">
        <f>LC_FOBU*LC_QLOT</f>
        <v>0</v>
      </c>
    </row>
    <row r="4" spans="1:2">
      <c r="A4" s="4" t="s">
        <v>146</v>
      </c>
      <c r="B4" s="13">
        <f>B3*LC_ASSR</f>
        <v>0</v>
      </c>
    </row>
    <row r="5" spans="1:2">
      <c r="A5" s="4" t="s">
        <v>147</v>
      </c>
      <c r="B5" s="13">
        <f>(B3 + LC_FRET + B4)*LC_DUTY</f>
        <v>0</v>
      </c>
    </row>
    <row r="6" spans="1:2">
      <c r="A6" s="4" t="s">
        <v>52</v>
      </c>
      <c r="B6" s="13">
        <f>LC_FRAIS</f>
        <v>0</v>
      </c>
    </row>
    <row r="7" spans="1:2">
      <c r="A7" s="3" t="s">
        <v>148</v>
      </c>
      <c r="B7" s="13">
        <f>B3+LC_FRET+B4+B5+B6</f>
        <v>0</v>
      </c>
    </row>
    <row r="8" spans="1:2">
      <c r="A8" s="4" t="s">
        <v>149</v>
      </c>
      <c r="B8" s="18">
        <f>LC_QLOT*(1-LC_CASSE)</f>
        <v>0</v>
      </c>
    </row>
    <row r="9" spans="1:2">
      <c r="A9" s="3" t="s">
        <v>150</v>
      </c>
      <c r="B9" s="13">
        <f>IF(B8&gt;0, B7/B8, 0)</f>
        <v>0</v>
      </c>
    </row>
  </sheetData>
  <pageMargins left="0.4" right="0.4" top="0.6" bottom="0.6" header="0.3" footer="0.3"/>
  <pageSetup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5"/>
  <sheetViews>
    <sheetView workbookViewId="0"/>
  </sheetViews>
  <sheetFormatPr defaultRowHeight="15"/>
  <cols>
    <col min="1" max="1" width="44.7109375" customWidth="1"/>
    <col min="2" max="4" width="22.7109375" customWidth="1"/>
  </cols>
  <sheetData>
    <row r="1" spans="1:2">
      <c r="A1" s="1" t="s">
        <v>151</v>
      </c>
    </row>
    <row r="3" spans="1:2">
      <c r="A3" s="3" t="s">
        <v>152</v>
      </c>
      <c r="B3" s="13">
        <f>DT_MARG+DT_IDLE+DT_UTIL+DT_PEN</f>
        <v>0</v>
      </c>
    </row>
    <row r="4" spans="1:2">
      <c r="A4" s="4" t="s">
        <v>153</v>
      </c>
      <c r="B4" s="18">
        <f>DT_H</f>
        <v>0</v>
      </c>
    </row>
    <row r="5" spans="1:2">
      <c r="A5" s="3" t="s">
        <v>154</v>
      </c>
      <c r="B5" s="13">
        <f>B3*B4</f>
        <v>0</v>
      </c>
    </row>
  </sheetData>
  <pageMargins left="0.4" right="0.4" top="0.6" bottom="0.6" header="0.3" footer="0.3"/>
  <pageSetup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9"/>
  <sheetViews>
    <sheetView workbookViewId="0"/>
  </sheetViews>
  <sheetFormatPr defaultRowHeight="15"/>
  <cols>
    <col min="1" max="1" width="44.7109375" customWidth="1"/>
    <col min="2" max="4" width="22.7109375" customWidth="1"/>
  </cols>
  <sheetData>
    <row r="1" spans="1:2">
      <c r="A1" s="1" t="s">
        <v>155</v>
      </c>
    </row>
    <row r="3" spans="1:2">
      <c r="A3" s="3" t="s">
        <v>156</v>
      </c>
      <c r="B3" s="13">
        <f>COQ_PREV+COQ_EVAL</f>
        <v>0</v>
      </c>
    </row>
    <row r="4" spans="1:2">
      <c r="A4" s="4" t="s">
        <v>157</v>
      </c>
      <c r="B4" s="18">
        <f>COQ_VOL*COQ_TINT</f>
        <v>0</v>
      </c>
    </row>
    <row r="5" spans="1:2">
      <c r="A5" s="4" t="s">
        <v>158</v>
      </c>
      <c r="B5" s="13">
        <f>B4*(COQ_RWK+COQ_SCR)</f>
        <v>0</v>
      </c>
    </row>
    <row r="6" spans="1:2">
      <c r="A6" s="4" t="s">
        <v>159</v>
      </c>
      <c r="B6" s="18">
        <f>COQ_VOL*COQ_TEXT</f>
        <v>0</v>
      </c>
    </row>
    <row r="7" spans="1:2">
      <c r="A7" s="4" t="s">
        <v>160</v>
      </c>
      <c r="B7" s="13">
        <f>B6*COQ_WAR</f>
        <v>0</v>
      </c>
    </row>
    <row r="8" spans="1:2">
      <c r="A8" s="4" t="s">
        <v>161</v>
      </c>
      <c r="B8" s="13">
        <f>B5+B7</f>
        <v>0</v>
      </c>
    </row>
    <row r="9" spans="1:2">
      <c r="A9" s="3" t="s">
        <v>162</v>
      </c>
      <c r="B9" s="13">
        <f>B3+B8</f>
        <v>0</v>
      </c>
    </row>
  </sheetData>
  <pageMargins left="0.4" right="0.4" top="0.6" bottom="0.6" header="0.3" footer="0.3"/>
  <pageSetup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5"/>
  <sheetViews>
    <sheetView workbookViewId="0"/>
  </sheetViews>
  <sheetFormatPr defaultRowHeight="15"/>
  <cols>
    <col min="1" max="1" width="46.7109375" customWidth="1"/>
    <col min="2" max="4" width="22.7109375" customWidth="1"/>
  </cols>
  <sheetData>
    <row r="1" spans="1:2">
      <c r="A1" s="1" t="s">
        <v>163</v>
      </c>
    </row>
    <row r="3" spans="1:2">
      <c r="A3" s="4" t="s">
        <v>164</v>
      </c>
      <c r="B3" s="13">
        <f>MOB_FIX + MOB_VARU*MOB_VOL</f>
        <v>0</v>
      </c>
    </row>
    <row r="4" spans="1:2">
      <c r="A4" s="4" t="s">
        <v>165</v>
      </c>
      <c r="B4" s="13">
        <f>(MOB_PBUY + MOB_TBUY)*MOB_VOL</f>
        <v>0</v>
      </c>
    </row>
    <row r="5" spans="1:2">
      <c r="A5" s="3" t="s">
        <v>166</v>
      </c>
      <c r="B5" s="9">
        <f>IF((MOB_PBUY+MOB_TBUY)&gt;MOB_VARU, (MOB_FIX)/(MOB_PBUY+MOB_TBUY-MOB_VARU), "n/a")</f>
        <v>0</v>
      </c>
    </row>
  </sheetData>
  <pageMargins left="0.4" right="0.4" top="0.6" bottom="0.6" header="0.3" footer="0.3"/>
  <pageSetup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16"/>
  <sheetViews>
    <sheetView workbookViewId="0"/>
  </sheetViews>
  <sheetFormatPr defaultRowHeight="15"/>
  <cols>
    <col min="1" max="1" width="46.7109375" customWidth="1"/>
    <col min="2" max="4" width="22.7109375" customWidth="1"/>
  </cols>
  <sheetData>
    <row r="1" spans="1:2">
      <c r="A1" s="1" t="s">
        <v>167</v>
      </c>
    </row>
    <row r="3" spans="1:2">
      <c r="A3" s="3" t="s">
        <v>168</v>
      </c>
      <c r="B3" s="9">
        <f>SQRT(2*EOQ_D*EOQ_S/(EOQ_h*EOQ_C))</f>
        <v>0</v>
      </c>
    </row>
    <row r="4" spans="1:2">
      <c r="A4" s="4" t="s">
        <v>169</v>
      </c>
      <c r="B4" s="9">
        <f>IF(B3&gt;0,EOQ_D/B3,0)</f>
        <v>0</v>
      </c>
    </row>
    <row r="5" spans="1:2">
      <c r="A5" s="4" t="s">
        <v>170</v>
      </c>
      <c r="B5" s="9">
        <f>EOQ_D/EOQ_WD</f>
        <v>0</v>
      </c>
    </row>
    <row r="6" spans="1:2">
      <c r="A6" s="4" t="s">
        <v>171</v>
      </c>
      <c r="B6" s="9">
        <f>SQRT(EOQ_L*EOQ_SIGD^2 + (B5^2)*(EOQ_SIGL^2))</f>
        <v>0</v>
      </c>
    </row>
    <row r="7" spans="1:2">
      <c r="A7" s="4" t="s">
        <v>172</v>
      </c>
      <c r="B7" s="9">
        <f>NORMSINV(EOQ_CSL)</f>
        <v>0</v>
      </c>
    </row>
    <row r="8" spans="1:2">
      <c r="A8" s="4" t="s">
        <v>173</v>
      </c>
      <c r="B8" s="9">
        <f>B7*B6</f>
        <v>0</v>
      </c>
    </row>
    <row r="9" spans="1:2">
      <c r="A9" s="4" t="s">
        <v>174</v>
      </c>
      <c r="B9" s="9">
        <f>IF(EOQ_MODE="Automatique",B8,EOQ_SS_MAN)</f>
        <v>0</v>
      </c>
    </row>
    <row r="10" spans="1:2">
      <c r="A10" s="3" t="s">
        <v>175</v>
      </c>
      <c r="B10" s="9">
        <f>B5*EOQ_L + B9</f>
        <v>0</v>
      </c>
    </row>
    <row r="11" spans="1:2">
      <c r="A11" s="4" t="s">
        <v>176</v>
      </c>
      <c r="B11" s="9">
        <f>IF(B5&gt;0, B10/B5, 0)</f>
        <v>0</v>
      </c>
    </row>
    <row r="13" spans="1:2">
      <c r="A13" s="4" t="s">
        <v>177</v>
      </c>
      <c r="B13" s="9">
        <f>B3/2 + B9</f>
        <v>0</v>
      </c>
    </row>
    <row r="14" spans="1:2">
      <c r="A14" s="4" t="s">
        <v>178</v>
      </c>
      <c r="B14" s="13">
        <f>EOQ_S*B4</f>
        <v>0</v>
      </c>
    </row>
    <row r="15" spans="1:2">
      <c r="A15" s="4" t="s">
        <v>179</v>
      </c>
      <c r="B15" s="13">
        <f>EOQ_h*EOQ_C*B13</f>
        <v>0</v>
      </c>
    </row>
    <row r="16" spans="1:2">
      <c r="A16" s="3" t="s">
        <v>180</v>
      </c>
      <c r="B16" s="13">
        <f>B14+B15</f>
        <v>0</v>
      </c>
    </row>
  </sheetData>
  <pageMargins left="0.4" right="0.4" top="0.6" bottom="0.6" header="0.3" footer="0.3"/>
  <pageSetup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30"/>
  <sheetViews>
    <sheetView workbookViewId="0"/>
  </sheetViews>
  <sheetFormatPr defaultRowHeight="15"/>
  <cols>
    <col min="1" max="1" width="44.7109375" customWidth="1"/>
    <col min="2" max="4" width="22.7109375" customWidth="1"/>
  </cols>
  <sheetData>
    <row r="1" spans="1:4" ht="26" customHeight="1">
      <c r="A1" s="1" t="s">
        <v>181</v>
      </c>
      <c r="B1" s="1"/>
      <c r="C1" s="1"/>
      <c r="D1" s="1"/>
    </row>
    <row r="3" spans="1:4">
      <c r="A3" s="3" t="s">
        <v>182</v>
      </c>
    </row>
    <row r="4" spans="1:4">
      <c r="A4" s="14" t="s">
        <v>128</v>
      </c>
      <c r="B4" s="15">
        <f>TCO!B26</f>
        <v>0</v>
      </c>
    </row>
    <row r="5" spans="1:4">
      <c r="A5" s="14" t="s">
        <v>129</v>
      </c>
      <c r="B5" s="15">
        <f>TCO!B27</f>
        <v>0</v>
      </c>
    </row>
    <row r="6" spans="1:4">
      <c r="A6" s="14" t="s">
        <v>131</v>
      </c>
      <c r="B6" s="15">
        <f>TCO!B29</f>
        <v>0</v>
      </c>
    </row>
    <row r="7" spans="1:4">
      <c r="A7" s="14" t="s">
        <v>183</v>
      </c>
      <c r="B7" s="16">
        <f>TCO!B30</f>
        <v>0</v>
      </c>
    </row>
    <row r="9" spans="1:4">
      <c r="A9" s="3" t="s">
        <v>184</v>
      </c>
    </row>
    <row r="10" spans="1:4">
      <c r="A10" s="14" t="s">
        <v>141</v>
      </c>
      <c r="B10" s="15">
        <f>ABC!B12</f>
        <v>0</v>
      </c>
    </row>
    <row r="11" spans="1:4">
      <c r="A11" s="14" t="s">
        <v>142</v>
      </c>
      <c r="B11" s="15">
        <f>ABC!B13</f>
        <v>0</v>
      </c>
    </row>
    <row r="12" spans="1:4">
      <c r="A12" s="14" t="s">
        <v>143</v>
      </c>
      <c r="B12" s="19">
        <f>ABC!B14</f>
        <v>0</v>
      </c>
    </row>
    <row r="14" spans="1:4">
      <c r="A14" s="3" t="s">
        <v>185</v>
      </c>
    </row>
    <row r="15" spans="1:4">
      <c r="A15" s="14" t="s">
        <v>186</v>
      </c>
      <c r="B15" s="15">
        <f>Landed!B9</f>
        <v>0</v>
      </c>
    </row>
    <row r="17" spans="1:2">
      <c r="A17" s="3" t="s">
        <v>187</v>
      </c>
    </row>
    <row r="18" spans="1:2">
      <c r="A18" s="14" t="s">
        <v>188</v>
      </c>
      <c r="B18" s="15">
        <f>Downtime!B5</f>
        <v>0</v>
      </c>
    </row>
    <row r="20" spans="1:2">
      <c r="A20" s="3" t="s">
        <v>189</v>
      </c>
    </row>
    <row r="21" spans="1:2">
      <c r="A21" s="14" t="s">
        <v>190</v>
      </c>
      <c r="B21" s="15">
        <f>COQ!B9</f>
        <v>0</v>
      </c>
    </row>
    <row r="23" spans="1:2">
      <c r="A23" s="3" t="s">
        <v>191</v>
      </c>
    </row>
    <row r="24" spans="1:2">
      <c r="A24" s="14" t="s">
        <v>192</v>
      </c>
      <c r="B24" s="16">
        <f>Make_or_Buy!B5</f>
        <v>0</v>
      </c>
    </row>
    <row r="25" spans="1:2">
      <c r="A25" s="14" t="s">
        <v>193</v>
      </c>
      <c r="B25" s="14">
        <f>IF(Make_or_Buy!B3&lt;Make_or_Buy!B4,"Interne moins cher","Externe moins cher")</f>
        <v>0</v>
      </c>
    </row>
    <row r="27" spans="1:2">
      <c r="A27" s="3" t="s">
        <v>194</v>
      </c>
    </row>
    <row r="28" spans="1:2">
      <c r="A28" s="14" t="s">
        <v>168</v>
      </c>
      <c r="B28" s="16">
        <f>EOQ!B3</f>
        <v>0</v>
      </c>
    </row>
    <row r="29" spans="1:2">
      <c r="A29" s="14" t="s">
        <v>175</v>
      </c>
      <c r="B29" s="16">
        <f>EOQ!B10</f>
        <v>0</v>
      </c>
    </row>
    <row r="30" spans="1:2">
      <c r="A30" s="14" t="s">
        <v>180</v>
      </c>
      <c r="B30" s="15">
        <f>EOQ!B16</f>
        <v>0</v>
      </c>
    </row>
  </sheetData>
  <mergeCells count="1">
    <mergeCell ref="A1:D1"/>
  </mergeCells>
  <pageMargins left="0.4" right="0.4" top="0.6" bottom="0.6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73</vt:i4>
      </vt:variant>
    </vt:vector>
  </HeadingPairs>
  <TitlesOfParts>
    <vt:vector size="83" baseType="lpstr">
      <vt:lpstr>Mode d'emploi</vt:lpstr>
      <vt:lpstr>Paramètres</vt:lpstr>
      <vt:lpstr>TCO</vt:lpstr>
      <vt:lpstr>ABC</vt:lpstr>
      <vt:lpstr>Landed</vt:lpstr>
      <vt:lpstr>Downtime</vt:lpstr>
      <vt:lpstr>COQ</vt:lpstr>
      <vt:lpstr>Make_or_Buy</vt:lpstr>
      <vt:lpstr>EOQ</vt:lpstr>
      <vt:lpstr>Dashboard</vt:lpstr>
      <vt:lpstr>ABC_A1C</vt:lpstr>
      <vt:lpstr>ABC_A1T</vt:lpstr>
      <vt:lpstr>ABC_A1U</vt:lpstr>
      <vt:lpstr>ABC_A2C</vt:lpstr>
      <vt:lpstr>ABC_A2T</vt:lpstr>
      <vt:lpstr>ABC_A2U</vt:lpstr>
      <vt:lpstr>ABC_A3C</vt:lpstr>
      <vt:lpstr>ABC_A3T</vt:lpstr>
      <vt:lpstr>ABC_A3U</vt:lpstr>
      <vt:lpstr>ABC_MAT</vt:lpstr>
      <vt:lpstr>ABC_MOH</vt:lpstr>
      <vt:lpstr>ABC_MOR</vt:lpstr>
      <vt:lpstr>ABC_PV</vt:lpstr>
      <vt:lpstr>CAP_A</vt:lpstr>
      <vt:lpstr>CAP_F</vt:lpstr>
      <vt:lpstr>CAP_I</vt:lpstr>
      <vt:lpstr>CAP_K</vt:lpstr>
      <vt:lpstr>CAP_T</vt:lpstr>
      <vt:lpstr>COQ_EVAL</vt:lpstr>
      <vt:lpstr>COQ_PREV</vt:lpstr>
      <vt:lpstr>COQ_RWK</vt:lpstr>
      <vt:lpstr>COQ_SCR</vt:lpstr>
      <vt:lpstr>COQ_TEXT</vt:lpstr>
      <vt:lpstr>COQ_TINT</vt:lpstr>
      <vt:lpstr>COQ_VOL</vt:lpstr>
      <vt:lpstr>COQ_WAR</vt:lpstr>
      <vt:lpstr>DISC</vt:lpstr>
      <vt:lpstr>DT_H</vt:lpstr>
      <vt:lpstr>DT_IDLE</vt:lpstr>
      <vt:lpstr>DT_MARG</vt:lpstr>
      <vt:lpstr>DT_PEN</vt:lpstr>
      <vt:lpstr>DT_UTIL</vt:lpstr>
      <vt:lpstr>END_DECOM</vt:lpstr>
      <vt:lpstr>END_RES</vt:lpstr>
      <vt:lpstr>EOQ_C</vt:lpstr>
      <vt:lpstr>EOQ_CSL</vt:lpstr>
      <vt:lpstr>EOQ_D</vt:lpstr>
      <vt:lpstr>EOQ_h</vt:lpstr>
      <vt:lpstr>EOQ_L</vt:lpstr>
      <vt:lpstr>EOQ_MODE</vt:lpstr>
      <vt:lpstr>EOQ_S</vt:lpstr>
      <vt:lpstr>EOQ_SIGD</vt:lpstr>
      <vt:lpstr>EOQ_SIGL</vt:lpstr>
      <vt:lpstr>EOQ_SS_MAN</vt:lpstr>
      <vt:lpstr>EOQ_WD</vt:lpstr>
      <vt:lpstr>HORIZON</vt:lpstr>
      <vt:lpstr>HRSY</vt:lpstr>
      <vt:lpstr>INFL</vt:lpstr>
      <vt:lpstr>LC_ASSR</vt:lpstr>
      <vt:lpstr>LC_CASSE</vt:lpstr>
      <vt:lpstr>LC_DUTY</vt:lpstr>
      <vt:lpstr>LC_FOBU</vt:lpstr>
      <vt:lpstr>LC_FRAIS</vt:lpstr>
      <vt:lpstr>LC_FRET</vt:lpstr>
      <vt:lpstr>LC_QLOT</vt:lpstr>
      <vt:lpstr>LOAN_N</vt:lpstr>
      <vt:lpstr>LOAN_PCT</vt:lpstr>
      <vt:lpstr>LOAN_R</vt:lpstr>
      <vt:lpstr>MOB_FIX</vt:lpstr>
      <vt:lpstr>MOB_PBUY</vt:lpstr>
      <vt:lpstr>MOB_TBUY</vt:lpstr>
      <vt:lpstr>MOB_VARU</vt:lpstr>
      <vt:lpstr>MOB_VOL</vt:lpstr>
      <vt:lpstr>OP_CO2</vt:lpstr>
      <vt:lpstr>OP_CONS</vt:lpstr>
      <vt:lpstr>OP_DT_EURH</vt:lpstr>
      <vt:lpstr>OP_DT_H</vt:lpstr>
      <vt:lpstr>OP_EN</vt:lpstr>
      <vt:lpstr>OP_FTE</vt:lpstr>
      <vt:lpstr>OP_FTEC</vt:lpstr>
      <vt:lpstr>OP_INS_PCT</vt:lpstr>
      <vt:lpstr>OP_LIC</vt:lpstr>
      <vt:lpstr>OP_MA_PCT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2025-10-09T06:55:11Z</dcterms:created>
  <dcterms:modified xsi:type="dcterms:W3CDTF">2025-10-09T06:55:11Z</dcterms:modified>
</cp:coreProperties>
</file>