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ables" sheetId="1" state="visible" r:id="rId1"/>
    <sheet xmlns:r="http://schemas.openxmlformats.org/officeDocument/2006/relationships" name="Contacts" sheetId="2" state="visible" r:id="rId2"/>
    <sheet xmlns:r="http://schemas.openxmlformats.org/officeDocument/2006/relationships" name="Employes" sheetId="3" state="visible" r:id="rId3"/>
    <sheet xmlns:r="http://schemas.openxmlformats.org/officeDocument/2006/relationships" name="JournalCadeaux" sheetId="4" state="visible" r:id="rId4"/>
  </sheets>
  <definedNames>
    <definedName name="Liste_TypeContact">=Tables!$B$4:$B$9</definedName>
    <definedName name="Liste_Relation">=Tables!$B$11:$B$16</definedName>
    <definedName name="Liste_Departement">=Tables!$B$18:$B$23</definedName>
    <definedName name="Liste_Pays">=Tables!$B$25:$B$33</definedName>
    <definedName name="Liste_Devise">=Tables!$B$35:$B$39</definedName>
    <definedName name="Liste_TypeCadeau">=Tables!$B$41:$B$48</definedName>
    <definedName name="Liste_Statut">=Tables!$B$50:$B$57</definedName>
    <definedName name="Liste_Mode">=Tables!$B$59:$B$60</definedName>
    <definedName name="Liste_Sensibilite">=Tables!$B$62:$B$63</definedName>
    <definedName name="FX_CCY">=Tables!$D$5:$D$9</definedName>
    <definedName name="FX_RATES">=Tables!$E$5:$E$9</definedName>
    <definedName name="POLICY_KEY">=Tables!$G$5:$G$10</definedName>
    <definedName name="POLICY_VAL">=Tables!$H$5:$H$10</definedName>
    <definedName name="Liste_Contacts">=Contacts!$B$4:$B$500</definedName>
    <definedName name="Liste_Employes">=Employes!$B$4:$B$500</definedName>
    <definedName name="Liste_Segment">=Tables!$B$65:$B$69</definedName>
    <definedName name="Liste_Tier">=Tables!$B$71:$B$73</definedName>
    <definedName name="Liste_StatutContact">=Tables!$B$75:$B$77</definedName>
    <definedName name="_xlnm._FilterDatabase" localSheetId="1" hidden="1">'Contacts'!$A$3:$V$67</definedName>
    <definedName name="_xlnm._FilterDatabase" localSheetId="3" hidden="1">'JournalCadeaux'!$A$6:$X$60</definedName>
    <definedName name="_xlnm.Print_Area" localSheetId="3">'JournalCadeaux'!$A$1:$X$45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dd/mm/yyyy"/>
    <numFmt numFmtId="165" formatCode="yyyy-mm-dd"/>
  </numFmts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</fonts>
  <fills count="5">
    <fill>
      <patternFill/>
    </fill>
    <fill>
      <patternFill patternType="gray125"/>
    </fill>
    <fill>
      <patternFill patternType="solid">
        <fgColor rgb="000F766E"/>
      </patternFill>
    </fill>
    <fill>
      <patternFill patternType="solid">
        <fgColor rgb="00E5E7EB"/>
      </patternFill>
    </fill>
    <fill>
      <patternFill patternType="solid">
        <fgColor rgb="00EEF2FF"/>
      </patternFill>
    </fill>
  </fills>
  <borders count="2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2" fillId="0" borderId="0" pivotButton="0" quotePrefix="0" xfId="0"/>
    <xf numFmtId="0" fontId="2" fillId="4" borderId="1" pivotButton="0" quotePrefix="0" xfId="0"/>
    <xf numFmtId="0" fontId="0" fillId="0" borderId="1" pivotButton="0" quotePrefix="0" xfId="0"/>
    <xf numFmtId="0" fontId="0" fillId="0" borderId="1" applyAlignment="1" pivotButton="0" quotePrefix="0" xfId="0">
      <alignment vertical="center" wrapText="1"/>
    </xf>
    <xf numFmtId="164" fontId="0" fillId="0" borderId="1" applyAlignment="1" pivotButton="0" quotePrefix="0" xfId="0">
      <alignment vertical="center" wrapText="1"/>
    </xf>
    <xf numFmtId="4" fontId="0" fillId="0" borderId="1" applyAlignment="1" pivotButton="0" quotePrefix="0" xfId="0">
      <alignment vertical="center" wrapText="1"/>
    </xf>
    <xf numFmtId="0" fontId="2" fillId="4" borderId="0" pivotButton="0" quotePrefix="0" xfId="0"/>
    <xf numFmtId="164" fontId="0" fillId="0" borderId="0" pivotButton="0" quotePrefix="0" xfId="0"/>
    <xf numFmtId="164" fontId="0" fillId="0" borderId="1" applyAlignment="1" pivotButton="0" quotePrefix="0" xfId="0">
      <alignment vertical="center" wrapText="1"/>
    </xf>
  </cellXfs>
  <cellStyles count="1">
    <cellStyle name="Normal" xfId="0" builtinId="0" hidden="0"/>
  </cellStyles>
  <dxfs count="12">
    <dxf>
      <fill>
        <patternFill patternType="solid">
          <fgColor rgb="00F1F5F9"/>
          <bgColor rgb="00F1F5F9"/>
        </patternFill>
      </fill>
    </dxf>
    <dxf>
      <fill>
        <patternFill patternType="solid">
          <fgColor rgb="00FFF2CC"/>
          <bgColor rgb="00FFF2CC"/>
        </patternFill>
      </fill>
    </dxf>
    <dxf>
      <fill>
        <patternFill patternType="solid">
          <fgColor rgb="00D9EAD3"/>
          <bgColor rgb="00D9EAD3"/>
        </patternFill>
      </fill>
    </dxf>
    <dxf>
      <fill>
        <patternFill patternType="solid">
          <fgColor rgb="00F8D7DA"/>
          <bgColor rgb="00F8D7DA"/>
        </patternFill>
      </fill>
    </dxf>
    <dxf>
      <fill>
        <patternFill patternType="solid">
          <fgColor rgb="00DCE6F1"/>
          <bgColor rgb="00DCE6F1"/>
        </patternFill>
      </fill>
    </dxf>
    <dxf>
      <fill>
        <patternFill patternType="solid">
          <fgColor rgb="00E3F2FD"/>
          <bgColor rgb="00E3F2FD"/>
        </patternFill>
      </fill>
    </dxf>
    <dxf>
      <fill>
        <patternFill patternType="solid">
          <fgColor rgb="00E6FFE6"/>
          <bgColor rgb="00E6FFE6"/>
        </patternFill>
      </fill>
    </dxf>
    <dxf>
      <fill>
        <patternFill patternType="solid">
          <fgColor rgb="00EEEEEE"/>
          <bgColor rgb="00EEEEEE"/>
        </patternFill>
      </fill>
    </dxf>
    <dxf>
      <fill>
        <patternFill patternType="solid">
          <fgColor rgb="00F4CCCC"/>
        </patternFill>
      </fill>
    </dxf>
    <dxf>
      <fill>
        <patternFill patternType="solid">
          <fgColor rgb="00FAD7E0"/>
        </patternFill>
      </fill>
    </dxf>
    <dxf>
      <fill>
        <patternFill patternType="solid">
          <fgColor rgb="00FCE4E4"/>
        </patternFill>
      </fill>
    </dxf>
    <dxf>
      <fill>
        <patternFill patternType="solid">
          <fgColor rgb="00EDE9FE"/>
          <bgColor rgb="00EDE9F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ables/table1.xml><?xml version="1.0" encoding="utf-8"?>
<table xmlns="http://schemas.openxmlformats.org/spreadsheetml/2006/main" id="1" name="t_contacts" displayName="t_contacts" ref="A3:V67" headerRowCount="1">
  <autoFilter ref="A3:V67"/>
  <tableColumns count="22">
    <tableColumn id="1" name="ID"/>
    <tableColumn id="2" name="Entité / Contact"/>
    <tableColumn id="3" name="Type"/>
    <tableColumn id="4" name="Fonction"/>
    <tableColumn id="5" name="Société / Organisation"/>
    <tableColumn id="6" name="Département (interne)"/>
    <tableColumn id="7" name="Email"/>
    <tableColumn id="8" name="Téléphone"/>
    <tableColumn id="9" name="Adresse 1"/>
    <tableColumn id="10" name="Adresse 2"/>
    <tableColumn id="11" name="CP"/>
    <tableColumn id="12" name="Ville"/>
    <tableColumn id="13" name="Pays"/>
    <tableColumn id="14" name="Sensibilité"/>
    <tableColumn id="15" name="Consentement (Oui/Non)"/>
    <tableColumn id="16" name="Notes"/>
    <tableColumn id="17" name="Segment"/>
    <tableColumn id="18" name="Tier (A/B/C)"/>
    <tableColumn id="19" name="Relation"/>
    <tableColumn id="20" name="Région"/>
    <tableColumn id="21" name="Dernier contact"/>
    <tableColumn id="22" name="Statut contact"/>
  </tableColumns>
  <tableStyleInfo name="TableStyleMedium9" showRowStripes="1" showColumnStripes="0"/>
</table>
</file>

<file path=xl/tables/table2.xml><?xml version="1.0" encoding="utf-8"?>
<table xmlns="http://schemas.openxmlformats.org/spreadsheetml/2006/main" id="2" name="t_cadeaux" displayName="t_cadeaux" ref="A6:X60" headerRowCount="1">
  <autoFilter ref="A6:X60"/>
  <tableColumns count="24">
    <tableColumn id="1" name="ID"/>
    <tableColumn id="2" name="Date"/>
    <tableColumn id="3" name="Mode"/>
    <tableColumn id="4" name="Type cadeau"/>
    <tableColumn id="5" name="Description"/>
    <tableColumn id="6" name="Montant (Devise)"/>
    <tableColumn id="7" name="Devise"/>
    <tableColumn id="8" name="Taux EUR"/>
    <tableColumn id="9" name="Valeur EUR"/>
    <tableColumn id="10" name="Pays"/>
    <tableColumn id="11" name="Lieu/Évènement"/>
    <tableColumn id="12" name="Relation"/>
    <tableColumn id="13" name="Bénéficiaire (Contact)"/>
    <tableColumn id="14" name="Donneur (Employé)"/>
    <tableColumn id="15" name="Statut"/>
    <tableColumn id="16" name="Approver (email)"/>
    <tableColumn id="17" name="Date approbation"/>
    <tableColumn id="18" name="N° approbation"/>
    <tableColumn id="19" name="Plafond politique (EUR)"/>
    <tableColumn id="20" name="Plafond annuel dest. (EUR)"/>
    <tableColumn id="21" name="Cumul année par contact (EUR)"/>
    <tableColumn id="22" name="Conformité"/>
    <tableColumn id="23" name="Preuve/Lien"/>
    <tableColumn id="24" name="Notes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7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LISTES &amp; POLITIQUES</t>
        </is>
      </c>
    </row>
    <row r="2"/>
    <row r="3">
      <c r="A3" s="2" t="n"/>
      <c r="B3" s="2" t="n"/>
    </row>
    <row r="4">
      <c r="A4" t="inlineStr">
        <is>
          <t>TypeContact</t>
        </is>
      </c>
      <c r="B4" t="inlineStr">
        <is>
          <t>Client</t>
        </is>
      </c>
      <c r="D4" s="3" t="inlineStr">
        <is>
          <t>Devise</t>
        </is>
      </c>
      <c r="E4" s="3" t="inlineStr">
        <is>
          <t>TauxEUR</t>
        </is>
      </c>
      <c r="G4" s="3" t="inlineStr">
        <is>
          <t>Key(Type|Pays)</t>
        </is>
      </c>
      <c r="H4" s="3" t="inlineStr">
        <is>
          <t>PlafondEUR</t>
        </is>
      </c>
    </row>
    <row r="5">
      <c r="B5" t="inlineStr">
        <is>
          <t>Prospect</t>
        </is>
      </c>
      <c r="D5" t="inlineStr">
        <is>
          <t>EUR</t>
        </is>
      </c>
      <c r="E5" t="n">
        <v>1</v>
      </c>
      <c r="G5" t="inlineStr">
        <is>
          <t>Repas|FRANCE</t>
        </is>
      </c>
      <c r="H5" t="n">
        <v>80</v>
      </c>
    </row>
    <row r="6">
      <c r="B6" t="inlineStr">
        <is>
          <t>Fournisseur</t>
        </is>
      </c>
      <c r="D6" t="inlineStr">
        <is>
          <t>USD</t>
        </is>
      </c>
      <c r="E6" t="n">
        <v>0.92</v>
      </c>
      <c r="G6" t="inlineStr">
        <is>
          <t>Hospitalité|FRANCE</t>
        </is>
      </c>
      <c r="H6" t="n">
        <v>150</v>
      </c>
    </row>
    <row r="7">
      <c r="B7" t="inlineStr">
        <is>
          <t>Partenaire</t>
        </is>
      </c>
      <c r="D7" t="inlineStr">
        <is>
          <t>GBP</t>
        </is>
      </c>
      <c r="E7" t="n">
        <v>1.16</v>
      </c>
      <c r="G7" t="inlineStr">
        <is>
          <t>Billetterie|FRANCE</t>
        </is>
      </c>
      <c r="H7" t="n">
        <v>100</v>
      </c>
    </row>
    <row r="8">
      <c r="B8" t="inlineStr">
        <is>
          <t>Institution</t>
        </is>
      </c>
      <c r="D8" t="inlineStr">
        <is>
          <t>CHF</t>
        </is>
      </c>
      <c r="E8" t="n">
        <v>1.04</v>
      </c>
      <c r="G8" t="inlineStr">
        <is>
          <t>Don caritatif|FRANCE</t>
        </is>
      </c>
      <c r="H8" t="n">
        <v>200</v>
      </c>
    </row>
    <row r="9">
      <c r="B9" t="inlineStr">
        <is>
          <t>Interne</t>
        </is>
      </c>
      <c r="D9" t="inlineStr">
        <is>
          <t>MAD</t>
        </is>
      </c>
      <c r="E9" t="n">
        <v>0.093</v>
      </c>
      <c r="G9" t="inlineStr">
        <is>
          <t>Objet promotionnel|ANY</t>
        </is>
      </c>
      <c r="H9" t="n">
        <v>50</v>
      </c>
    </row>
    <row r="10">
      <c r="G10" t="inlineStr">
        <is>
          <t>Autre|ANY</t>
        </is>
      </c>
      <c r="H10" t="n">
        <v>100</v>
      </c>
    </row>
    <row r="11">
      <c r="A11" t="inlineStr">
        <is>
          <t>Relation</t>
        </is>
      </c>
      <c r="B11" t="inlineStr">
        <is>
          <t>Client</t>
        </is>
      </c>
    </row>
    <row r="12">
      <c r="B12" t="inlineStr">
        <is>
          <t>Prospect</t>
        </is>
      </c>
      <c r="G12" t="inlineStr">
        <is>
          <t>PlafondAnnuelDestinataireEUR</t>
        </is>
      </c>
      <c r="H12" t="n">
        <v>150</v>
      </c>
    </row>
    <row r="13">
      <c r="B13" t="inlineStr">
        <is>
          <t>Fournisseur</t>
        </is>
      </c>
    </row>
    <row r="14">
      <c r="B14" t="inlineStr">
        <is>
          <t>Partenaire</t>
        </is>
      </c>
    </row>
    <row r="15">
      <c r="B15" t="inlineStr">
        <is>
          <t>Institution</t>
        </is>
      </c>
    </row>
    <row r="16">
      <c r="B16" t="inlineStr">
        <is>
          <t>Interne</t>
        </is>
      </c>
    </row>
    <row r="18">
      <c r="A18" t="inlineStr">
        <is>
          <t>Departement</t>
        </is>
      </c>
      <c r="B18" t="inlineStr">
        <is>
          <t>Commercial</t>
        </is>
      </c>
    </row>
    <row r="19">
      <c r="B19" t="inlineStr">
        <is>
          <t>Marketing</t>
        </is>
      </c>
    </row>
    <row r="20">
      <c r="B20" t="inlineStr">
        <is>
          <t>Finance</t>
        </is>
      </c>
    </row>
    <row r="21">
      <c r="B21" t="inlineStr">
        <is>
          <t>RH</t>
        </is>
      </c>
    </row>
    <row r="22">
      <c r="B22" t="inlineStr">
        <is>
          <t>IT</t>
        </is>
      </c>
    </row>
    <row r="23">
      <c r="B23" t="inlineStr">
        <is>
          <t>Direction</t>
        </is>
      </c>
    </row>
    <row r="25">
      <c r="A25" t="inlineStr">
        <is>
          <t>Pays</t>
        </is>
      </c>
      <c r="B25" t="inlineStr">
        <is>
          <t>FRANCE</t>
        </is>
      </c>
    </row>
    <row r="26">
      <c r="B26" t="inlineStr">
        <is>
          <t>BELGIQUE</t>
        </is>
      </c>
    </row>
    <row r="27">
      <c r="B27" t="inlineStr">
        <is>
          <t>SUISSE</t>
        </is>
      </c>
    </row>
    <row r="28">
      <c r="B28" t="inlineStr">
        <is>
          <t>ESPAGNE</t>
        </is>
      </c>
    </row>
    <row r="29">
      <c r="B29" t="inlineStr">
        <is>
          <t>ALLEMAGNE</t>
        </is>
      </c>
    </row>
    <row r="30">
      <c r="B30" t="inlineStr">
        <is>
          <t>ITALIE</t>
        </is>
      </c>
    </row>
    <row r="31">
      <c r="B31" t="inlineStr">
        <is>
          <t>ROYAUME-UNI</t>
        </is>
      </c>
    </row>
    <row r="32">
      <c r="B32" t="inlineStr">
        <is>
          <t>USA</t>
        </is>
      </c>
    </row>
    <row r="33">
      <c r="B33" t="inlineStr">
        <is>
          <t>MAROC</t>
        </is>
      </c>
    </row>
    <row r="35">
      <c r="A35" t="inlineStr">
        <is>
          <t>Devise</t>
        </is>
      </c>
      <c r="B35" t="inlineStr">
        <is>
          <t>EUR</t>
        </is>
      </c>
    </row>
    <row r="36">
      <c r="B36" t="inlineStr">
        <is>
          <t>USD</t>
        </is>
      </c>
    </row>
    <row r="37">
      <c r="B37" t="inlineStr">
        <is>
          <t>GBP</t>
        </is>
      </c>
    </row>
    <row r="38">
      <c r="B38" t="inlineStr">
        <is>
          <t>CHF</t>
        </is>
      </c>
    </row>
    <row r="39">
      <c r="B39" t="inlineStr">
        <is>
          <t>MAD</t>
        </is>
      </c>
    </row>
    <row r="41">
      <c r="A41" t="inlineStr">
        <is>
          <t>TypeCadeau</t>
        </is>
      </c>
      <c r="B41" t="inlineStr">
        <is>
          <t>Objet promotionnel</t>
        </is>
      </c>
    </row>
    <row r="42">
      <c r="B42" t="inlineStr">
        <is>
          <t>Repas</t>
        </is>
      </c>
    </row>
    <row r="43">
      <c r="B43" t="inlineStr">
        <is>
          <t>Hospitalité</t>
        </is>
      </c>
    </row>
    <row r="44">
      <c r="B44" t="inlineStr">
        <is>
          <t>Billetterie</t>
        </is>
      </c>
    </row>
    <row r="45">
      <c r="B45" t="inlineStr">
        <is>
          <t>Transport</t>
        </is>
      </c>
    </row>
    <row r="46">
      <c r="B46" t="inlineStr">
        <is>
          <t>Hébergement</t>
        </is>
      </c>
    </row>
    <row r="47">
      <c r="B47" t="inlineStr">
        <is>
          <t>Don caritatif</t>
        </is>
      </c>
    </row>
    <row r="48">
      <c r="B48" t="inlineStr">
        <is>
          <t>Autre</t>
        </is>
      </c>
    </row>
    <row r="50">
      <c r="A50" t="inlineStr">
        <is>
          <t>Statut</t>
        </is>
      </c>
      <c r="B50" t="inlineStr">
        <is>
          <t>Proposé</t>
        </is>
      </c>
    </row>
    <row r="51">
      <c r="B51" t="inlineStr">
        <is>
          <t>En attente approbation</t>
        </is>
      </c>
    </row>
    <row r="52">
      <c r="B52" t="inlineStr">
        <is>
          <t>Approuvé</t>
        </is>
      </c>
    </row>
    <row r="53">
      <c r="B53" t="inlineStr">
        <is>
          <t>Refusé</t>
        </is>
      </c>
    </row>
    <row r="54">
      <c r="B54" t="inlineStr">
        <is>
          <t>Offert</t>
        </is>
      </c>
    </row>
    <row r="55">
      <c r="B55" t="inlineStr">
        <is>
          <t>Reçu</t>
        </is>
      </c>
    </row>
    <row r="56">
      <c r="B56" t="inlineStr">
        <is>
          <t>Remboursé</t>
        </is>
      </c>
    </row>
    <row r="57">
      <c r="B57" t="inlineStr">
        <is>
          <t>Archivé</t>
        </is>
      </c>
    </row>
    <row r="59">
      <c r="A59" t="inlineStr">
        <is>
          <t>Mode</t>
        </is>
      </c>
      <c r="B59" t="inlineStr">
        <is>
          <t>Offert</t>
        </is>
      </c>
    </row>
    <row r="60">
      <c r="B60" t="inlineStr">
        <is>
          <t>Reçu</t>
        </is>
      </c>
    </row>
    <row r="62">
      <c r="A62" t="inlineStr">
        <is>
          <t>Sensibilite</t>
        </is>
      </c>
      <c r="B62" t="inlineStr">
        <is>
          <t>Normal</t>
        </is>
      </c>
    </row>
    <row r="63">
      <c r="B63" t="inlineStr">
        <is>
          <t>Sensible / PEP</t>
        </is>
      </c>
    </row>
    <row r="65">
      <c r="A65" t="inlineStr">
        <is>
          <t>Segment</t>
        </is>
      </c>
      <c r="B65" t="inlineStr">
        <is>
          <t>B2B</t>
        </is>
      </c>
    </row>
    <row r="66">
      <c r="B66" t="inlineStr">
        <is>
          <t>B2G</t>
        </is>
      </c>
    </row>
    <row r="67">
      <c r="B67" t="inlineStr">
        <is>
          <t>B2C</t>
        </is>
      </c>
    </row>
    <row r="68">
      <c r="B68" t="inlineStr">
        <is>
          <t>Partenaire</t>
        </is>
      </c>
    </row>
    <row r="69">
      <c r="B69" t="inlineStr">
        <is>
          <t>Interne</t>
        </is>
      </c>
    </row>
    <row r="71">
      <c r="A71" t="inlineStr">
        <is>
          <t>Tier</t>
        </is>
      </c>
      <c r="B71" t="inlineStr">
        <is>
          <t>A</t>
        </is>
      </c>
    </row>
    <row r="72">
      <c r="B72" t="inlineStr">
        <is>
          <t>B</t>
        </is>
      </c>
    </row>
    <row r="73">
      <c r="B73" t="inlineStr">
        <is>
          <t>C</t>
        </is>
      </c>
    </row>
    <row r="75">
      <c r="A75" t="inlineStr">
        <is>
          <t>StatutContact</t>
        </is>
      </c>
      <c r="B75" t="inlineStr">
        <is>
          <t>Actif</t>
        </is>
      </c>
    </row>
    <row r="76">
      <c r="B76" t="inlineStr">
        <is>
          <t>Inactif</t>
        </is>
      </c>
    </row>
    <row r="77">
      <c r="B77" t="inlineStr">
        <is>
          <t>À surveiller</t>
        </is>
      </c>
    </row>
  </sheetData>
  <mergeCells count="1">
    <mergeCell ref="A1:H2"/>
  </mergeCells>
  <pageMargins left="0.4" right="0.4" top="0.6" bottom="0.6" header="0.3" footer="0.3"/>
  <pageSetup orientation="portrait" paperSize="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V67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8" customWidth="1" min="1" max="1"/>
    <col width="28" customWidth="1" min="2" max="2"/>
    <col width="14" customWidth="1" min="3" max="3"/>
    <col width="16" customWidth="1" min="4" max="4"/>
    <col width="22" customWidth="1" min="5" max="5"/>
    <col width="18" customWidth="1" min="6" max="6"/>
    <col width="26" customWidth="1" min="7" max="7"/>
    <col width="16" customWidth="1" min="8" max="8"/>
    <col width="26" customWidth="1" min="9" max="9"/>
    <col width="22" customWidth="1" min="10" max="10"/>
    <col width="10" customWidth="1" min="11" max="11"/>
    <col width="18" customWidth="1" min="12" max="12"/>
    <col width="14" customWidth="1" min="13" max="13"/>
    <col width="16" customWidth="1" min="14" max="14"/>
    <col width="16" customWidth="1" min="15" max="15"/>
    <col width="26" customWidth="1" min="16" max="16"/>
    <col width="16" customWidth="1" min="17" max="17"/>
    <col width="16" customWidth="1" min="18" max="18"/>
    <col width="16" customWidth="1" min="19" max="19"/>
    <col width="16" customWidth="1" min="20" max="20"/>
    <col width="16" customWidth="1" min="21" max="21"/>
    <col width="16" customWidth="1" min="22" max="22"/>
  </cols>
  <sheetData>
    <row r="1">
      <c r="A1" s="1" t="inlineStr">
        <is>
          <t>GESTION DES CONTACTS</t>
        </is>
      </c>
    </row>
    <row r="2"/>
    <row r="3">
      <c r="A3" s="4" t="inlineStr">
        <is>
          <t>ID</t>
        </is>
      </c>
      <c r="B3" s="4" t="inlineStr">
        <is>
          <t>Entité / Contact</t>
        </is>
      </c>
      <c r="C3" s="4" t="inlineStr">
        <is>
          <t>Type</t>
        </is>
      </c>
      <c r="D3" s="4" t="inlineStr">
        <is>
          <t>Fonction</t>
        </is>
      </c>
      <c r="E3" s="4" t="inlineStr">
        <is>
          <t>Société / Organisation</t>
        </is>
      </c>
      <c r="F3" s="4" t="inlineStr">
        <is>
          <t>Département (interne)</t>
        </is>
      </c>
      <c r="G3" s="4" t="inlineStr">
        <is>
          <t>Email</t>
        </is>
      </c>
      <c r="H3" s="4" t="inlineStr">
        <is>
          <t>Téléphone</t>
        </is>
      </c>
      <c r="I3" s="4" t="inlineStr">
        <is>
          <t>Adresse 1</t>
        </is>
      </c>
      <c r="J3" s="4" t="inlineStr">
        <is>
          <t>Adresse 2</t>
        </is>
      </c>
      <c r="K3" s="4" t="inlineStr">
        <is>
          <t>CP</t>
        </is>
      </c>
      <c r="L3" s="4" t="inlineStr">
        <is>
          <t>Ville</t>
        </is>
      </c>
      <c r="M3" s="4" t="inlineStr">
        <is>
          <t>Pays</t>
        </is>
      </c>
      <c r="N3" s="4" t="inlineStr">
        <is>
          <t>Sensibilité</t>
        </is>
      </c>
      <c r="O3" s="4" t="inlineStr">
        <is>
          <t>Consentement (Oui/Non)</t>
        </is>
      </c>
      <c r="P3" s="4" t="inlineStr">
        <is>
          <t>Notes</t>
        </is>
      </c>
      <c r="Q3" s="9" t="inlineStr">
        <is>
          <t>Segment</t>
        </is>
      </c>
      <c r="R3" s="9" t="inlineStr">
        <is>
          <t>Tier (A/B/C)</t>
        </is>
      </c>
      <c r="S3" s="9" t="inlineStr">
        <is>
          <t>Relation</t>
        </is>
      </c>
      <c r="T3" s="9" t="inlineStr">
        <is>
          <t>Région</t>
        </is>
      </c>
      <c r="U3" s="9" t="inlineStr">
        <is>
          <t>Dernier contact</t>
        </is>
      </c>
      <c r="V3" s="9" t="inlineStr">
        <is>
          <t>Statut contact</t>
        </is>
      </c>
    </row>
    <row r="4">
      <c r="A4" s="5" t="inlineStr">
        <is>
          <t>C0001</t>
        </is>
      </c>
      <c r="B4" s="5" t="inlineStr">
        <is>
          <t>Jean Martin</t>
        </is>
      </c>
      <c r="C4" s="5" t="inlineStr">
        <is>
          <t>Client</t>
        </is>
      </c>
      <c r="D4" s="5" t="inlineStr">
        <is>
          <t>Directeur Achats</t>
        </is>
      </c>
      <c r="E4" s="5" t="inlineStr">
        <is>
          <t>Société Alpha</t>
        </is>
      </c>
      <c r="F4" s="5" t="inlineStr"/>
      <c r="G4" s="5" t="inlineStr">
        <is>
          <t>jean.martin@alpha.com</t>
        </is>
      </c>
      <c r="H4" s="5" t="inlineStr">
        <is>
          <t>+33 1 44 00 00 01</t>
        </is>
      </c>
      <c r="I4" s="5" t="inlineStr">
        <is>
          <t>10 rue Victor</t>
        </is>
      </c>
      <c r="J4" s="5" t="inlineStr"/>
      <c r="K4" s="5" t="inlineStr">
        <is>
          <t>75011</t>
        </is>
      </c>
      <c r="L4" s="5" t="inlineStr">
        <is>
          <t>Paris</t>
        </is>
      </c>
      <c r="M4" s="5" t="inlineStr">
        <is>
          <t>FRANCE</t>
        </is>
      </c>
      <c r="N4" s="5" t="inlineStr">
        <is>
          <t>Normal</t>
        </is>
      </c>
      <c r="O4" s="5" t="inlineStr">
        <is>
          <t>Oui</t>
        </is>
      </c>
      <c r="P4" s="5" t="inlineStr"/>
    </row>
    <row r="5">
      <c r="A5" s="5" t="inlineStr">
        <is>
          <t>C0002</t>
        </is>
      </c>
      <c r="B5" s="5" t="inlineStr">
        <is>
          <t>Sara Benali</t>
        </is>
      </c>
      <c r="C5" s="5" t="inlineStr">
        <is>
          <t>Prospect</t>
        </is>
      </c>
      <c r="D5" s="5" t="inlineStr">
        <is>
          <t>COO</t>
        </is>
      </c>
      <c r="E5" s="5" t="inlineStr">
        <is>
          <t>Startup Nova</t>
        </is>
      </c>
      <c r="F5" s="5" t="inlineStr"/>
      <c r="G5" s="5" t="inlineStr">
        <is>
          <t>sara@nova.io</t>
        </is>
      </c>
      <c r="H5" s="5" t="inlineStr">
        <is>
          <t>+33 6 22 11 33 44</t>
        </is>
      </c>
      <c r="I5" s="5" t="inlineStr">
        <is>
          <t>2 rue des Arts</t>
        </is>
      </c>
      <c r="J5" s="5" t="inlineStr"/>
      <c r="K5" s="5" t="inlineStr">
        <is>
          <t>69001</t>
        </is>
      </c>
      <c r="L5" s="5" t="inlineStr">
        <is>
          <t>Lyon</t>
        </is>
      </c>
      <c r="M5" s="5" t="inlineStr">
        <is>
          <t>FRANCE</t>
        </is>
      </c>
      <c r="N5" s="5" t="inlineStr">
        <is>
          <t>Normal</t>
        </is>
      </c>
      <c r="O5" s="5" t="inlineStr">
        <is>
          <t>Oui</t>
        </is>
      </c>
      <c r="P5" s="5" t="inlineStr"/>
    </row>
    <row r="6">
      <c r="A6" s="5" t="inlineStr">
        <is>
          <t>C0003</t>
        </is>
      </c>
      <c r="B6" s="5" t="inlineStr">
        <is>
          <t>Préfecture de Police de Paris</t>
        </is>
      </c>
      <c r="C6" s="5" t="inlineStr">
        <is>
          <t>Institution</t>
        </is>
      </c>
      <c r="D6" s="5" t="inlineStr">
        <is>
          <t>Service marchés</t>
        </is>
      </c>
      <c r="E6" s="5" t="inlineStr">
        <is>
          <t>PPP</t>
        </is>
      </c>
      <c r="F6" s="5" t="inlineStr"/>
      <c r="G6" s="5" t="inlineStr">
        <is>
          <t>contact@ppp.gouv.fr</t>
        </is>
      </c>
      <c r="H6" s="5" t="inlineStr"/>
      <c r="I6" s="5" t="inlineStr">
        <is>
          <t>1 rue de Lutèce</t>
        </is>
      </c>
      <c r="J6" s="5" t="inlineStr"/>
      <c r="K6" s="5" t="inlineStr">
        <is>
          <t>75004</t>
        </is>
      </c>
      <c r="L6" s="5" t="inlineStr">
        <is>
          <t>Paris</t>
        </is>
      </c>
      <c r="M6" s="5" t="inlineStr">
        <is>
          <t>FRANCE</t>
        </is>
      </c>
      <c r="N6" s="5" t="inlineStr">
        <is>
          <t>Sensible / PEP</t>
        </is>
      </c>
      <c r="O6" s="5" t="inlineStr">
        <is>
          <t>Non</t>
        </is>
      </c>
      <c r="P6" s="5" t="inlineStr"/>
    </row>
    <row r="7">
      <c r="A7" s="5" t="inlineStr">
        <is>
          <t>C0004</t>
        </is>
      </c>
      <c r="B7" s="5" t="inlineStr">
        <is>
          <t>David Brown</t>
        </is>
      </c>
      <c r="C7" s="5" t="inlineStr">
        <is>
          <t>Fournisseur</t>
        </is>
      </c>
      <c r="D7" s="5" t="inlineStr">
        <is>
          <t>Sales Manager</t>
        </is>
      </c>
      <c r="E7" s="5" t="inlineStr">
        <is>
          <t>Acme Ltd</t>
        </is>
      </c>
      <c r="F7" s="5" t="inlineStr"/>
      <c r="G7" s="5" t="inlineStr">
        <is>
          <t>d.brown@acme.co.uk</t>
        </is>
      </c>
      <c r="H7" s="5" t="inlineStr">
        <is>
          <t>+44 20 77 000 111</t>
        </is>
      </c>
      <c r="I7" s="5" t="inlineStr">
        <is>
          <t>1 Bishopgate</t>
        </is>
      </c>
      <c r="J7" s="5" t="inlineStr"/>
      <c r="K7" s="5" t="inlineStr">
        <is>
          <t>EC2</t>
        </is>
      </c>
      <c r="L7" s="5" t="inlineStr">
        <is>
          <t>London</t>
        </is>
      </c>
      <c r="M7" s="5" t="inlineStr">
        <is>
          <t>ROYAUME-UNI</t>
        </is>
      </c>
      <c r="N7" s="5" t="inlineStr">
        <is>
          <t>Normal</t>
        </is>
      </c>
      <c r="O7" s="5" t="inlineStr">
        <is>
          <t>Oui</t>
        </is>
      </c>
      <c r="P7" s="5" t="inlineStr"/>
    </row>
    <row r="8">
      <c r="A8" t="inlineStr">
        <is>
          <t>C0005</t>
        </is>
      </c>
      <c r="B8" t="inlineStr">
        <is>
          <t>Alice Durand</t>
        </is>
      </c>
      <c r="C8" t="inlineStr">
        <is>
          <t>Client</t>
        </is>
      </c>
      <c r="D8" t="inlineStr">
        <is>
          <t>Chef de Projet</t>
        </is>
      </c>
      <c r="E8" t="inlineStr">
        <is>
          <t>Société Atlas</t>
        </is>
      </c>
      <c r="F8" t="inlineStr"/>
      <c r="G8" t="inlineStr">
        <is>
          <t>a.durand@atlas.com</t>
        </is>
      </c>
      <c r="H8" t="inlineStr">
        <is>
          <t>+33 1 15 13 39 51</t>
        </is>
      </c>
      <c r="I8" t="inlineStr">
        <is>
          <t>76 rue de la Paix</t>
        </is>
      </c>
      <c r="J8" t="inlineStr"/>
      <c r="K8" t="inlineStr"/>
      <c r="L8" t="inlineStr">
        <is>
          <t>Londres</t>
        </is>
      </c>
      <c r="M8" t="inlineStr">
        <is>
          <t>SUISSE</t>
        </is>
      </c>
      <c r="N8" t="inlineStr">
        <is>
          <t>Normal</t>
        </is>
      </c>
      <c r="O8" t="inlineStr">
        <is>
          <t>Oui</t>
        </is>
      </c>
      <c r="P8" t="inlineStr"/>
      <c r="Q8" t="inlineStr">
        <is>
          <t>Partenaire</t>
        </is>
      </c>
      <c r="R8" t="inlineStr">
        <is>
          <t>C</t>
        </is>
      </c>
      <c r="S8" t="inlineStr">
        <is>
          <t>Institution</t>
        </is>
      </c>
      <c r="T8" t="inlineStr">
        <is>
          <t>BRE</t>
        </is>
      </c>
      <c r="U8" s="10" t="n">
        <v>45867</v>
      </c>
      <c r="V8" t="inlineStr">
        <is>
          <t>Actif</t>
        </is>
      </c>
    </row>
    <row r="9">
      <c r="A9" t="inlineStr">
        <is>
          <t>C0006</t>
        </is>
      </c>
      <c r="B9" t="inlineStr">
        <is>
          <t>Maya Lopez</t>
        </is>
      </c>
      <c r="C9" t="inlineStr">
        <is>
          <t>Fournisseur</t>
        </is>
      </c>
      <c r="D9" t="inlineStr">
        <is>
          <t>Chef de Projet</t>
        </is>
      </c>
      <c r="E9" t="inlineStr">
        <is>
          <t>Mairie Neon</t>
        </is>
      </c>
      <c r="F9" t="inlineStr"/>
      <c r="G9" t="inlineStr">
        <is>
          <t>m.lopez@neon.com</t>
        </is>
      </c>
      <c r="H9" t="inlineStr">
        <is>
          <t>+33 6 31 38 87 38</t>
        </is>
      </c>
      <c r="I9" t="inlineStr">
        <is>
          <t>70 rue du Temple</t>
        </is>
      </c>
      <c r="J9" t="inlineStr"/>
      <c r="K9" t="inlineStr"/>
      <c r="L9" t="inlineStr">
        <is>
          <t>Casablanca</t>
        </is>
      </c>
      <c r="M9" t="inlineStr">
        <is>
          <t>ITALIE</t>
        </is>
      </c>
      <c r="N9" t="inlineStr">
        <is>
          <t>Normal</t>
        </is>
      </c>
      <c r="O9" t="inlineStr">
        <is>
          <t>Oui</t>
        </is>
      </c>
      <c r="P9" t="inlineStr"/>
      <c r="Q9" t="inlineStr">
        <is>
          <t>B2G</t>
        </is>
      </c>
      <c r="R9" t="inlineStr">
        <is>
          <t>A</t>
        </is>
      </c>
      <c r="S9" t="inlineStr">
        <is>
          <t>Institution</t>
        </is>
      </c>
      <c r="T9" t="inlineStr">
        <is>
          <t>BRE</t>
        </is>
      </c>
      <c r="U9" s="10" t="n">
        <v>45828</v>
      </c>
      <c r="V9" t="inlineStr">
        <is>
          <t>Inactif</t>
        </is>
      </c>
    </row>
    <row r="10">
      <c r="A10" t="inlineStr">
        <is>
          <t>C0007</t>
        </is>
      </c>
      <c r="B10" t="inlineStr">
        <is>
          <t>Sara Benali</t>
        </is>
      </c>
      <c r="C10" t="inlineStr">
        <is>
          <t>Fournisseur</t>
        </is>
      </c>
      <c r="D10" t="inlineStr">
        <is>
          <t>DAF</t>
        </is>
      </c>
      <c r="E10" t="inlineStr">
        <is>
          <t>Cabinet Lumen</t>
        </is>
      </c>
      <c r="F10" t="inlineStr"/>
      <c r="G10" t="inlineStr">
        <is>
          <t>s.benali@lumen.com</t>
        </is>
      </c>
      <c r="H10" t="inlineStr">
        <is>
          <t>+33 8 17 91 86 50</t>
        </is>
      </c>
      <c r="I10" t="inlineStr">
        <is>
          <t>84 rue Voltaire</t>
        </is>
      </c>
      <c r="J10" t="inlineStr">
        <is>
          <t>Etage 3</t>
        </is>
      </c>
      <c r="K10" t="inlineStr"/>
      <c r="L10" t="inlineStr">
        <is>
          <t>New York</t>
        </is>
      </c>
      <c r="M10" t="inlineStr">
        <is>
          <t>ITALIE</t>
        </is>
      </c>
      <c r="N10" t="inlineStr">
        <is>
          <t>Normal</t>
        </is>
      </c>
      <c r="O10" t="inlineStr">
        <is>
          <t>Oui</t>
        </is>
      </c>
      <c r="P10" t="inlineStr"/>
      <c r="Q10" t="inlineStr">
        <is>
          <t>B2G</t>
        </is>
      </c>
      <c r="R10" t="inlineStr">
        <is>
          <t>C</t>
        </is>
      </c>
      <c r="S10" t="inlineStr">
        <is>
          <t>Partenaire</t>
        </is>
      </c>
      <c r="T10" t="inlineStr">
        <is>
          <t>MENA</t>
        </is>
      </c>
      <c r="U10" s="10" t="n">
        <v>45787</v>
      </c>
      <c r="V10" t="inlineStr">
        <is>
          <t>Inactif</t>
        </is>
      </c>
    </row>
    <row r="11">
      <c r="A11" t="inlineStr">
        <is>
          <t>C0008</t>
        </is>
      </c>
      <c r="B11" t="inlineStr">
        <is>
          <t>Nadia Haddad</t>
        </is>
      </c>
      <c r="C11" t="inlineStr">
        <is>
          <t>Fournisseur</t>
        </is>
      </c>
      <c r="D11" t="inlineStr">
        <is>
          <t>CTO</t>
        </is>
      </c>
      <c r="E11" t="inlineStr">
        <is>
          <t>Cabinet Nova</t>
        </is>
      </c>
      <c r="F11" t="inlineStr"/>
      <c r="G11" t="inlineStr">
        <is>
          <t>n.haddad@nova.com</t>
        </is>
      </c>
      <c r="H11" t="inlineStr">
        <is>
          <t>+33 3 62 47 10 62</t>
        </is>
      </c>
      <c r="I11" t="inlineStr">
        <is>
          <t>9 rue Voltaire</t>
        </is>
      </c>
      <c r="J11" t="inlineStr">
        <is>
          <t>Etage 3</t>
        </is>
      </c>
      <c r="K11" t="inlineStr"/>
      <c r="L11" t="inlineStr">
        <is>
          <t>Genève</t>
        </is>
      </c>
      <c r="M11" t="inlineStr">
        <is>
          <t>USA</t>
        </is>
      </c>
      <c r="N11" t="inlineStr">
        <is>
          <t>Normal</t>
        </is>
      </c>
      <c r="O11" t="inlineStr">
        <is>
          <t>Oui</t>
        </is>
      </c>
      <c r="P11" t="inlineStr"/>
      <c r="Q11" t="inlineStr">
        <is>
          <t>B2G</t>
        </is>
      </c>
      <c r="R11" t="inlineStr">
        <is>
          <t>B</t>
        </is>
      </c>
      <c r="S11" t="inlineStr">
        <is>
          <t>Interne</t>
        </is>
      </c>
      <c r="T11" t="inlineStr">
        <is>
          <t>IDF</t>
        </is>
      </c>
      <c r="U11" s="10" t="n">
        <v>45795</v>
      </c>
      <c r="V11" t="inlineStr">
        <is>
          <t>Actif</t>
        </is>
      </c>
    </row>
    <row r="12">
      <c r="A12" t="inlineStr">
        <is>
          <t>C0009</t>
        </is>
      </c>
      <c r="B12" t="inlineStr">
        <is>
          <t>Jean Lopez</t>
        </is>
      </c>
      <c r="C12" t="inlineStr">
        <is>
          <t>Partenaire</t>
        </is>
      </c>
      <c r="D12" t="inlineStr">
        <is>
          <t>Acheteur</t>
        </is>
      </c>
      <c r="E12" t="inlineStr">
        <is>
          <t>Cabinet Omega</t>
        </is>
      </c>
      <c r="F12" t="inlineStr"/>
      <c r="G12" t="inlineStr">
        <is>
          <t>j.lopez@omega.com</t>
        </is>
      </c>
      <c r="H12" t="inlineStr">
        <is>
          <t>+33 5 69 31 64 11</t>
        </is>
      </c>
      <c r="I12" t="inlineStr">
        <is>
          <t>62 rue Victor</t>
        </is>
      </c>
      <c r="J12" t="inlineStr">
        <is>
          <t>Appt. 12</t>
        </is>
      </c>
      <c r="K12" t="inlineStr"/>
      <c r="L12" t="inlineStr">
        <is>
          <t>Bruxelles</t>
        </is>
      </c>
      <c r="M12" t="inlineStr">
        <is>
          <t>BELGIQUE</t>
        </is>
      </c>
      <c r="N12" t="inlineStr">
        <is>
          <t>Normal</t>
        </is>
      </c>
      <c r="O12" t="inlineStr">
        <is>
          <t>Oui</t>
        </is>
      </c>
      <c r="P12" t="inlineStr"/>
      <c r="Q12" t="inlineStr">
        <is>
          <t>Interne</t>
        </is>
      </c>
      <c r="R12" t="inlineStr">
        <is>
          <t>B</t>
        </is>
      </c>
      <c r="S12" t="inlineStr">
        <is>
          <t>Client</t>
        </is>
      </c>
      <c r="T12" t="inlineStr">
        <is>
          <t>BRE</t>
        </is>
      </c>
      <c r="U12" s="10" t="n">
        <v>45802</v>
      </c>
      <c r="V12" t="inlineStr">
        <is>
          <t>Actif</t>
        </is>
      </c>
    </row>
    <row r="13">
      <c r="A13" t="inlineStr">
        <is>
          <t>C0010</t>
        </is>
      </c>
      <c r="B13" t="inlineStr">
        <is>
          <t>Jean Moreau</t>
        </is>
      </c>
      <c r="C13" t="inlineStr">
        <is>
          <t>Fournisseur</t>
        </is>
      </c>
      <c r="D13" t="inlineStr">
        <is>
          <t>Juriste</t>
        </is>
      </c>
      <c r="E13" t="inlineStr">
        <is>
          <t>Mairie Alpha</t>
        </is>
      </c>
      <c r="F13" t="inlineStr"/>
      <c r="G13" t="inlineStr">
        <is>
          <t>j.moreau@alpha.com</t>
        </is>
      </c>
      <c r="H13" t="inlineStr">
        <is>
          <t>+33 3 41 97 74 33</t>
        </is>
      </c>
      <c r="I13" t="inlineStr">
        <is>
          <t>60 rue de la République</t>
        </is>
      </c>
      <c r="J13" t="inlineStr">
        <is>
          <t>Appt. 12</t>
        </is>
      </c>
      <c r="K13" t="inlineStr"/>
      <c r="L13" t="inlineStr">
        <is>
          <t>Berlin</t>
        </is>
      </c>
      <c r="M13" t="inlineStr">
        <is>
          <t>ESPAGNE</t>
        </is>
      </c>
      <c r="N13" t="inlineStr">
        <is>
          <t>Sensible / PEP</t>
        </is>
      </c>
      <c r="O13" t="inlineStr">
        <is>
          <t>Oui</t>
        </is>
      </c>
      <c r="P13" t="inlineStr"/>
      <c r="Q13" t="inlineStr">
        <is>
          <t>B2C</t>
        </is>
      </c>
      <c r="R13" t="inlineStr">
        <is>
          <t>B</t>
        </is>
      </c>
      <c r="S13" t="inlineStr">
        <is>
          <t>Prospect</t>
        </is>
      </c>
      <c r="T13" t="inlineStr">
        <is>
          <t>BRE</t>
        </is>
      </c>
      <c r="U13" s="10" t="n">
        <v>45854</v>
      </c>
      <c r="V13" t="inlineStr">
        <is>
          <t>Inactif</t>
        </is>
      </c>
    </row>
    <row r="14">
      <c r="A14" t="inlineStr">
        <is>
          <t>C0011</t>
        </is>
      </c>
      <c r="B14" t="inlineStr">
        <is>
          <t>Nadia Nguyen</t>
        </is>
      </c>
      <c r="C14" t="inlineStr">
        <is>
          <t>Interne</t>
        </is>
      </c>
      <c r="D14" t="inlineStr">
        <is>
          <t>Juriste</t>
        </is>
      </c>
      <c r="E14" t="inlineStr">
        <is>
          <t>Groupe Beta</t>
        </is>
      </c>
      <c r="F14" t="inlineStr"/>
      <c r="G14" t="inlineStr">
        <is>
          <t>n.nguyen@beta.com</t>
        </is>
      </c>
      <c r="H14" t="inlineStr">
        <is>
          <t>+33 4 14 84 18 78</t>
        </is>
      </c>
      <c r="I14" t="inlineStr">
        <is>
          <t>81 rue du Temple</t>
        </is>
      </c>
      <c r="J14" t="inlineStr">
        <is>
          <t>Bât. B</t>
        </is>
      </c>
      <c r="K14" t="inlineStr"/>
      <c r="L14" t="inlineStr">
        <is>
          <t>Casablanca</t>
        </is>
      </c>
      <c r="M14" t="inlineStr">
        <is>
          <t>ROYAUME-UNI</t>
        </is>
      </c>
      <c r="N14" t="inlineStr">
        <is>
          <t>Normal</t>
        </is>
      </c>
      <c r="O14" t="inlineStr">
        <is>
          <t>Oui</t>
        </is>
      </c>
      <c r="P14" t="inlineStr"/>
      <c r="Q14" t="inlineStr">
        <is>
          <t>B2G</t>
        </is>
      </c>
      <c r="R14" t="inlineStr">
        <is>
          <t>A</t>
        </is>
      </c>
      <c r="S14" t="inlineStr">
        <is>
          <t>Interne</t>
        </is>
      </c>
      <c r="T14" t="inlineStr">
        <is>
          <t>PACA</t>
        </is>
      </c>
      <c r="U14" s="10" t="n">
        <v>45889</v>
      </c>
      <c r="V14" t="inlineStr">
        <is>
          <t>Actif</t>
        </is>
      </c>
    </row>
    <row r="15">
      <c r="A15" t="inlineStr">
        <is>
          <t>C0012</t>
        </is>
      </c>
      <c r="B15" t="inlineStr">
        <is>
          <t>Karim Durand</t>
        </is>
      </c>
      <c r="C15" t="inlineStr">
        <is>
          <t>Institution</t>
        </is>
      </c>
      <c r="D15" t="inlineStr">
        <is>
          <t>Directeur Achats</t>
        </is>
      </c>
      <c r="E15" t="inlineStr">
        <is>
          <t>Hôpital Alpha</t>
        </is>
      </c>
      <c r="F15" t="inlineStr"/>
      <c r="G15" t="inlineStr">
        <is>
          <t>k.durand@alpha.com</t>
        </is>
      </c>
      <c r="H15" t="inlineStr">
        <is>
          <t>+33 3 81 97 97 99</t>
        </is>
      </c>
      <c r="I15" t="inlineStr">
        <is>
          <t>81 rue Voltaire</t>
        </is>
      </c>
      <c r="J15" t="inlineStr">
        <is>
          <t>Bât. B</t>
        </is>
      </c>
      <c r="K15" t="inlineStr">
        <is>
          <t>75011</t>
        </is>
      </c>
      <c r="L15" t="inlineStr">
        <is>
          <t>Lyon</t>
        </is>
      </c>
      <c r="M15" t="inlineStr">
        <is>
          <t>FRANCE</t>
        </is>
      </c>
      <c r="N15" t="inlineStr">
        <is>
          <t>Sensible / PEP</t>
        </is>
      </c>
      <c r="O15" t="inlineStr">
        <is>
          <t>Oui</t>
        </is>
      </c>
      <c r="P15" t="inlineStr"/>
      <c r="Q15" t="inlineStr">
        <is>
          <t>B2G</t>
        </is>
      </c>
      <c r="R15" t="inlineStr">
        <is>
          <t>A</t>
        </is>
      </c>
      <c r="S15" t="inlineStr">
        <is>
          <t>Partenaire</t>
        </is>
      </c>
      <c r="T15" t="inlineStr">
        <is>
          <t>CVL</t>
        </is>
      </c>
      <c r="U15" s="10" t="n">
        <v>45897</v>
      </c>
      <c r="V15" t="inlineStr">
        <is>
          <t>Actif</t>
        </is>
      </c>
    </row>
    <row r="16">
      <c r="A16" t="inlineStr">
        <is>
          <t>C0013</t>
        </is>
      </c>
      <c r="B16" t="inlineStr">
        <is>
          <t>Nadia Moreau</t>
        </is>
      </c>
      <c r="C16" t="inlineStr">
        <is>
          <t>Institution</t>
        </is>
      </c>
      <c r="D16" t="inlineStr">
        <is>
          <t>Chef de Projet</t>
        </is>
      </c>
      <c r="E16" t="inlineStr">
        <is>
          <t>Société Cygne</t>
        </is>
      </c>
      <c r="F16" t="inlineStr"/>
      <c r="G16" t="inlineStr">
        <is>
          <t>n.moreau@cygne.com</t>
        </is>
      </c>
      <c r="H16" t="inlineStr">
        <is>
          <t>+33 6 79 21 42 31</t>
        </is>
      </c>
      <c r="I16" t="inlineStr">
        <is>
          <t>16 rue des Fleurs</t>
        </is>
      </c>
      <c r="J16" t="inlineStr">
        <is>
          <t>Bât. A</t>
        </is>
      </c>
      <c r="K16" t="inlineStr"/>
      <c r="L16" t="inlineStr">
        <is>
          <t>Bruxelles</t>
        </is>
      </c>
      <c r="M16" t="inlineStr">
        <is>
          <t>BELGIQUE</t>
        </is>
      </c>
      <c r="N16" t="inlineStr">
        <is>
          <t>Normal</t>
        </is>
      </c>
      <c r="O16" t="inlineStr">
        <is>
          <t>Oui</t>
        </is>
      </c>
      <c r="P16" t="inlineStr"/>
      <c r="Q16" t="inlineStr">
        <is>
          <t>B2G</t>
        </is>
      </c>
      <c r="R16" t="inlineStr">
        <is>
          <t>A</t>
        </is>
      </c>
      <c r="S16" t="inlineStr">
        <is>
          <t>Partenaire</t>
        </is>
      </c>
      <c r="T16" t="inlineStr">
        <is>
          <t>CVL</t>
        </is>
      </c>
      <c r="U16" s="10" t="n">
        <v>45948</v>
      </c>
      <c r="V16" t="inlineStr">
        <is>
          <t>À surveiller</t>
        </is>
      </c>
    </row>
    <row r="17">
      <c r="A17" t="inlineStr">
        <is>
          <t>C0014</t>
        </is>
      </c>
      <c r="B17" t="inlineStr">
        <is>
          <t>Lucie Moreau</t>
        </is>
      </c>
      <c r="C17" t="inlineStr">
        <is>
          <t>Fournisseur</t>
        </is>
      </c>
      <c r="D17" t="inlineStr">
        <is>
          <t>Juriste</t>
        </is>
      </c>
      <c r="E17" t="inlineStr">
        <is>
          <t>Banque Atlas</t>
        </is>
      </c>
      <c r="F17" t="inlineStr"/>
      <c r="G17" t="inlineStr">
        <is>
          <t>l.moreau@atlas.com</t>
        </is>
      </c>
      <c r="H17" t="inlineStr">
        <is>
          <t>+33 3 29 99 75 51</t>
        </is>
      </c>
      <c r="I17" t="inlineStr">
        <is>
          <t>46 rue de la République</t>
        </is>
      </c>
      <c r="J17" t="inlineStr">
        <is>
          <t>Etage 3</t>
        </is>
      </c>
      <c r="K17" t="inlineStr"/>
      <c r="L17" t="inlineStr">
        <is>
          <t>Berlin</t>
        </is>
      </c>
      <c r="M17" t="inlineStr">
        <is>
          <t>ESPAGNE</t>
        </is>
      </c>
      <c r="N17" t="inlineStr">
        <is>
          <t>Normal</t>
        </is>
      </c>
      <c r="O17" t="inlineStr">
        <is>
          <t>Oui</t>
        </is>
      </c>
      <c r="P17" t="inlineStr"/>
      <c r="Q17" t="inlineStr">
        <is>
          <t>Partenaire</t>
        </is>
      </c>
      <c r="R17" t="inlineStr">
        <is>
          <t>A</t>
        </is>
      </c>
      <c r="S17" t="inlineStr">
        <is>
          <t>Institution</t>
        </is>
      </c>
      <c r="T17" t="inlineStr">
        <is>
          <t>MENA</t>
        </is>
      </c>
      <c r="U17" s="10" t="n">
        <v>45911</v>
      </c>
      <c r="V17" t="inlineStr">
        <is>
          <t>Actif</t>
        </is>
      </c>
    </row>
    <row r="18">
      <c r="A18" t="inlineStr">
        <is>
          <t>C0015</t>
        </is>
      </c>
      <c r="B18" t="inlineStr">
        <is>
          <t>Maya Moreau</t>
        </is>
      </c>
      <c r="C18" t="inlineStr">
        <is>
          <t>Prospect</t>
        </is>
      </c>
      <c r="D18" t="inlineStr">
        <is>
          <t>Chef de Projet</t>
        </is>
      </c>
      <c r="E18" t="inlineStr">
        <is>
          <t>Agence Nova</t>
        </is>
      </c>
      <c r="F18" t="inlineStr"/>
      <c r="G18" t="inlineStr">
        <is>
          <t>m.moreau@nova.com</t>
        </is>
      </c>
      <c r="H18" t="inlineStr">
        <is>
          <t>+33 2 91 37 41 74</t>
        </is>
      </c>
      <c r="I18" t="inlineStr">
        <is>
          <t>11 rue de la Paix</t>
        </is>
      </c>
      <c r="J18" t="inlineStr"/>
      <c r="K18" t="inlineStr"/>
      <c r="L18" t="inlineStr">
        <is>
          <t>Berlin</t>
        </is>
      </c>
      <c r="M18" t="inlineStr">
        <is>
          <t>ALLEMAGNE</t>
        </is>
      </c>
      <c r="N18" t="inlineStr">
        <is>
          <t>Sensible / PEP</t>
        </is>
      </c>
      <c r="O18" t="inlineStr">
        <is>
          <t>Oui</t>
        </is>
      </c>
      <c r="P18" t="inlineStr"/>
      <c r="Q18" t="inlineStr">
        <is>
          <t>B2B</t>
        </is>
      </c>
      <c r="R18" t="inlineStr">
        <is>
          <t>B</t>
        </is>
      </c>
      <c r="S18" t="inlineStr">
        <is>
          <t>Client</t>
        </is>
      </c>
      <c r="T18" t="inlineStr">
        <is>
          <t>PACA</t>
        </is>
      </c>
      <c r="U18" s="10" t="n">
        <v>45846</v>
      </c>
      <c r="V18" t="inlineStr">
        <is>
          <t>Actif</t>
        </is>
      </c>
    </row>
    <row r="19">
      <c r="A19" t="inlineStr">
        <is>
          <t>C0016</t>
        </is>
      </c>
      <c r="B19" t="inlineStr">
        <is>
          <t>Samir Haddad</t>
        </is>
      </c>
      <c r="C19" t="inlineStr">
        <is>
          <t>Client</t>
        </is>
      </c>
      <c r="D19" t="inlineStr">
        <is>
          <t>CTO</t>
        </is>
      </c>
      <c r="E19" t="inlineStr">
        <is>
          <t>Ministère Lumen</t>
        </is>
      </c>
      <c r="F19" t="inlineStr"/>
      <c r="G19" t="inlineStr">
        <is>
          <t>s.haddad@lumen.com</t>
        </is>
      </c>
      <c r="H19" t="inlineStr">
        <is>
          <t>+33 5 27 62 75 42</t>
        </is>
      </c>
      <c r="I19" t="inlineStr">
        <is>
          <t>29 rue du Temple</t>
        </is>
      </c>
      <c r="J19" t="inlineStr"/>
      <c r="K19" t="inlineStr"/>
      <c r="L19" t="inlineStr">
        <is>
          <t>Bruxelles</t>
        </is>
      </c>
      <c r="M19" t="inlineStr">
        <is>
          <t>ALLEMAGNE</t>
        </is>
      </c>
      <c r="N19" t="inlineStr">
        <is>
          <t>Normal</t>
        </is>
      </c>
      <c r="O19" t="inlineStr">
        <is>
          <t>Oui</t>
        </is>
      </c>
      <c r="P19" t="inlineStr"/>
      <c r="Q19" t="inlineStr">
        <is>
          <t>B2G</t>
        </is>
      </c>
      <c r="R19" t="inlineStr">
        <is>
          <t>B</t>
        </is>
      </c>
      <c r="S19" t="inlineStr">
        <is>
          <t>Client</t>
        </is>
      </c>
      <c r="T19" t="inlineStr">
        <is>
          <t>PACA</t>
        </is>
      </c>
      <c r="U19" s="10" t="n">
        <v>45786</v>
      </c>
      <c r="V19" t="inlineStr">
        <is>
          <t>À surveiller</t>
        </is>
      </c>
    </row>
    <row r="20">
      <c r="A20" t="inlineStr">
        <is>
          <t>C0017</t>
        </is>
      </c>
      <c r="B20" t="inlineStr">
        <is>
          <t>David Durand</t>
        </is>
      </c>
      <c r="C20" t="inlineStr">
        <is>
          <t>Interne</t>
        </is>
      </c>
      <c r="D20" t="inlineStr">
        <is>
          <t>Directeur Achats</t>
        </is>
      </c>
      <c r="E20" t="inlineStr">
        <is>
          <t>Société Beta</t>
        </is>
      </c>
      <c r="F20" t="inlineStr"/>
      <c r="G20" t="inlineStr">
        <is>
          <t>d.durand@beta.com</t>
        </is>
      </c>
      <c r="H20" t="inlineStr">
        <is>
          <t>+33 5 38 54 46 54</t>
        </is>
      </c>
      <c r="I20" t="inlineStr">
        <is>
          <t>65 rue de la République</t>
        </is>
      </c>
      <c r="J20" t="inlineStr"/>
      <c r="K20" t="inlineStr"/>
      <c r="L20" t="inlineStr">
        <is>
          <t>Milan</t>
        </is>
      </c>
      <c r="M20" t="inlineStr">
        <is>
          <t>ITALIE</t>
        </is>
      </c>
      <c r="N20" t="inlineStr">
        <is>
          <t>Sensible / PEP</t>
        </is>
      </c>
      <c r="O20" t="inlineStr">
        <is>
          <t>Oui</t>
        </is>
      </c>
      <c r="P20" t="inlineStr"/>
      <c r="Q20" t="inlineStr">
        <is>
          <t>B2C</t>
        </is>
      </c>
      <c r="R20" t="inlineStr">
        <is>
          <t>B</t>
        </is>
      </c>
      <c r="S20" t="inlineStr">
        <is>
          <t>Prospect</t>
        </is>
      </c>
      <c r="T20" t="inlineStr">
        <is>
          <t>OCC</t>
        </is>
      </c>
      <c r="U20" s="10" t="n">
        <v>45893</v>
      </c>
      <c r="V20" t="inlineStr">
        <is>
          <t>Actif</t>
        </is>
      </c>
    </row>
    <row r="21">
      <c r="A21" t="inlineStr">
        <is>
          <t>C0018</t>
        </is>
      </c>
      <c r="B21" t="inlineStr">
        <is>
          <t>Nadia Ouali</t>
        </is>
      </c>
      <c r="C21" t="inlineStr">
        <is>
          <t>Prospect</t>
        </is>
      </c>
      <c r="D21" t="inlineStr">
        <is>
          <t>Acheteur</t>
        </is>
      </c>
      <c r="E21" t="inlineStr">
        <is>
          <t>Mairie Atlas</t>
        </is>
      </c>
      <c r="F21" t="inlineStr"/>
      <c r="G21" t="inlineStr">
        <is>
          <t>n.ouali@atlas.com</t>
        </is>
      </c>
      <c r="H21" t="inlineStr">
        <is>
          <t>+33 3 36 92 88 43</t>
        </is>
      </c>
      <c r="I21" t="inlineStr">
        <is>
          <t>61 rue Jean Jaurès</t>
        </is>
      </c>
      <c r="J21" t="inlineStr"/>
      <c r="K21" t="inlineStr">
        <is>
          <t>34000</t>
        </is>
      </c>
      <c r="L21" t="inlineStr">
        <is>
          <t>Montpellier</t>
        </is>
      </c>
      <c r="M21" t="inlineStr">
        <is>
          <t>FRANCE</t>
        </is>
      </c>
      <c r="N21" t="inlineStr">
        <is>
          <t>Sensible / PEP</t>
        </is>
      </c>
      <c r="O21" t="inlineStr">
        <is>
          <t>Oui</t>
        </is>
      </c>
      <c r="P21" t="inlineStr"/>
      <c r="Q21" t="inlineStr">
        <is>
          <t>B2B</t>
        </is>
      </c>
      <c r="R21" t="inlineStr">
        <is>
          <t>A</t>
        </is>
      </c>
      <c r="S21" t="inlineStr">
        <is>
          <t>Prospect</t>
        </is>
      </c>
      <c r="T21" t="inlineStr">
        <is>
          <t>OCC</t>
        </is>
      </c>
      <c r="U21" s="10" t="n">
        <v>45791</v>
      </c>
      <c r="V21" t="inlineStr">
        <is>
          <t>À surveiller</t>
        </is>
      </c>
    </row>
    <row r="22">
      <c r="A22" t="inlineStr">
        <is>
          <t>C0019</t>
        </is>
      </c>
      <c r="B22" t="inlineStr">
        <is>
          <t>David Lopez</t>
        </is>
      </c>
      <c r="C22" t="inlineStr">
        <is>
          <t>Client</t>
        </is>
      </c>
      <c r="D22" t="inlineStr">
        <is>
          <t>DAF</t>
        </is>
      </c>
      <c r="E22" t="inlineStr">
        <is>
          <t>Groupe Lumen</t>
        </is>
      </c>
      <c r="F22" t="inlineStr"/>
      <c r="G22" t="inlineStr">
        <is>
          <t>d.lopez@lumen.com</t>
        </is>
      </c>
      <c r="H22" t="inlineStr">
        <is>
          <t>+33 3 15 15 13 15</t>
        </is>
      </c>
      <c r="I22" t="inlineStr">
        <is>
          <t>1 rue Victor</t>
        </is>
      </c>
      <c r="J22" t="inlineStr">
        <is>
          <t>Appt. 12</t>
        </is>
      </c>
      <c r="K22" t="inlineStr"/>
      <c r="L22" t="inlineStr">
        <is>
          <t>Berlin</t>
        </is>
      </c>
      <c r="M22" t="inlineStr">
        <is>
          <t>ESPAGNE</t>
        </is>
      </c>
      <c r="N22" t="inlineStr">
        <is>
          <t>Normal</t>
        </is>
      </c>
      <c r="O22" t="inlineStr">
        <is>
          <t>Oui</t>
        </is>
      </c>
      <c r="P22" t="inlineStr"/>
      <c r="Q22" t="inlineStr">
        <is>
          <t>B2C</t>
        </is>
      </c>
      <c r="R22" t="inlineStr">
        <is>
          <t>B</t>
        </is>
      </c>
      <c r="S22" t="inlineStr">
        <is>
          <t>Client</t>
        </is>
      </c>
      <c r="T22" t="inlineStr">
        <is>
          <t>PACA</t>
        </is>
      </c>
      <c r="U22" s="10" t="n">
        <v>45833</v>
      </c>
      <c r="V22" t="inlineStr">
        <is>
          <t>Inactif</t>
        </is>
      </c>
    </row>
    <row r="23">
      <c r="A23" t="inlineStr">
        <is>
          <t>C0020</t>
        </is>
      </c>
      <c r="B23" t="inlineStr">
        <is>
          <t>Jean Moreau</t>
        </is>
      </c>
      <c r="C23" t="inlineStr">
        <is>
          <t>Interne</t>
        </is>
      </c>
      <c r="D23" t="inlineStr">
        <is>
          <t>Juriste</t>
        </is>
      </c>
      <c r="E23" t="inlineStr">
        <is>
          <t>Groupe Cygne</t>
        </is>
      </c>
      <c r="F23" t="inlineStr"/>
      <c r="G23" t="inlineStr">
        <is>
          <t>j.moreau@cygne.com</t>
        </is>
      </c>
      <c r="H23" t="inlineStr">
        <is>
          <t>+33 1 61 31 76 86</t>
        </is>
      </c>
      <c r="I23" t="inlineStr">
        <is>
          <t>42 rue de la République</t>
        </is>
      </c>
      <c r="J23" t="inlineStr"/>
      <c r="K23" t="inlineStr"/>
      <c r="L23" t="inlineStr">
        <is>
          <t>Berlin</t>
        </is>
      </c>
      <c r="M23" t="inlineStr">
        <is>
          <t>ALLEMAGNE</t>
        </is>
      </c>
      <c r="N23" t="inlineStr">
        <is>
          <t>Normal</t>
        </is>
      </c>
      <c r="O23" t="inlineStr">
        <is>
          <t>Oui</t>
        </is>
      </c>
      <c r="P23" t="inlineStr"/>
      <c r="Q23" t="inlineStr">
        <is>
          <t>Interne</t>
        </is>
      </c>
      <c r="R23" t="inlineStr">
        <is>
          <t>C</t>
        </is>
      </c>
      <c r="S23" t="inlineStr">
        <is>
          <t>Client</t>
        </is>
      </c>
      <c r="T23" t="inlineStr">
        <is>
          <t>BRE</t>
        </is>
      </c>
      <c r="U23" s="10" t="n">
        <v>45856</v>
      </c>
      <c r="V23" t="inlineStr">
        <is>
          <t>Actif</t>
        </is>
      </c>
    </row>
    <row r="24">
      <c r="A24" t="inlineStr">
        <is>
          <t>C0021</t>
        </is>
      </c>
      <c r="B24" t="inlineStr">
        <is>
          <t>David Haddad</t>
        </is>
      </c>
      <c r="C24" t="inlineStr">
        <is>
          <t>Fournisseur</t>
        </is>
      </c>
      <c r="D24" t="inlineStr">
        <is>
          <t>CTO</t>
        </is>
      </c>
      <c r="E24" t="inlineStr">
        <is>
          <t>Banque Cygne</t>
        </is>
      </c>
      <c r="F24" t="inlineStr"/>
      <c r="G24" t="inlineStr">
        <is>
          <t>d.haddad@cygne.com</t>
        </is>
      </c>
      <c r="H24" t="inlineStr">
        <is>
          <t>+33 1 29 17 65 66</t>
        </is>
      </c>
      <c r="I24" t="inlineStr">
        <is>
          <t>85 rue des Fleurs</t>
        </is>
      </c>
      <c r="J24" t="inlineStr"/>
      <c r="K24" t="inlineStr"/>
      <c r="L24" t="inlineStr">
        <is>
          <t>Casablanca</t>
        </is>
      </c>
      <c r="M24" t="inlineStr">
        <is>
          <t>MAROC</t>
        </is>
      </c>
      <c r="N24" t="inlineStr">
        <is>
          <t>Normal</t>
        </is>
      </c>
      <c r="O24" t="inlineStr">
        <is>
          <t>Oui</t>
        </is>
      </c>
      <c r="P24" t="inlineStr"/>
      <c r="Q24" t="inlineStr">
        <is>
          <t>Partenaire</t>
        </is>
      </c>
      <c r="R24" t="inlineStr">
        <is>
          <t>A</t>
        </is>
      </c>
      <c r="S24" t="inlineStr">
        <is>
          <t>Prospect</t>
        </is>
      </c>
      <c r="T24" t="inlineStr">
        <is>
          <t>BRE</t>
        </is>
      </c>
      <c r="U24" s="10" t="n">
        <v>45899</v>
      </c>
      <c r="V24" t="inlineStr">
        <is>
          <t>Actif</t>
        </is>
      </c>
    </row>
    <row r="25">
      <c r="A25" t="inlineStr">
        <is>
          <t>C0022</t>
        </is>
      </c>
      <c r="B25" t="inlineStr">
        <is>
          <t>Sara Ouali</t>
        </is>
      </c>
      <c r="C25" t="inlineStr">
        <is>
          <t>Fournisseur</t>
        </is>
      </c>
      <c r="D25" t="inlineStr">
        <is>
          <t>DG</t>
        </is>
      </c>
      <c r="E25" t="inlineStr">
        <is>
          <t>Agence Atlas</t>
        </is>
      </c>
      <c r="F25" t="inlineStr"/>
      <c r="G25" t="inlineStr">
        <is>
          <t>s.ouali@atlas.com</t>
        </is>
      </c>
      <c r="H25" t="inlineStr">
        <is>
          <t>+33 3 54 94 68 49</t>
        </is>
      </c>
      <c r="I25" t="inlineStr">
        <is>
          <t>67 rue Victor</t>
        </is>
      </c>
      <c r="J25" t="inlineStr">
        <is>
          <t>Etage 3</t>
        </is>
      </c>
      <c r="K25" t="inlineStr"/>
      <c r="L25" t="inlineStr">
        <is>
          <t>Barcelone</t>
        </is>
      </c>
      <c r="M25" t="inlineStr">
        <is>
          <t>SUISSE</t>
        </is>
      </c>
      <c r="N25" t="inlineStr">
        <is>
          <t>Normal</t>
        </is>
      </c>
      <c r="O25" t="inlineStr">
        <is>
          <t>Oui</t>
        </is>
      </c>
      <c r="P25" t="inlineStr"/>
      <c r="Q25" t="inlineStr">
        <is>
          <t>Partenaire</t>
        </is>
      </c>
      <c r="R25" t="inlineStr">
        <is>
          <t>A</t>
        </is>
      </c>
      <c r="S25" t="inlineStr">
        <is>
          <t>Partenaire</t>
        </is>
      </c>
      <c r="T25" t="inlineStr">
        <is>
          <t>PDL</t>
        </is>
      </c>
      <c r="U25" s="10" t="n">
        <v>45917</v>
      </c>
      <c r="V25" t="inlineStr">
        <is>
          <t>À surveiller</t>
        </is>
      </c>
    </row>
    <row r="26">
      <c r="A26" t="inlineStr">
        <is>
          <t>C0023</t>
        </is>
      </c>
      <c r="B26" t="inlineStr">
        <is>
          <t>Jean Durand</t>
        </is>
      </c>
      <c r="C26" t="inlineStr">
        <is>
          <t>Interne</t>
        </is>
      </c>
      <c r="D26" t="inlineStr">
        <is>
          <t>DAF</t>
        </is>
      </c>
      <c r="E26" t="inlineStr">
        <is>
          <t>Agence Omega</t>
        </is>
      </c>
      <c r="F26" t="inlineStr"/>
      <c r="G26" t="inlineStr">
        <is>
          <t>j.durand@omega.com</t>
        </is>
      </c>
      <c r="H26" t="inlineStr">
        <is>
          <t>+33 9 41 79 54 24</t>
        </is>
      </c>
      <c r="I26" t="inlineStr">
        <is>
          <t>16 rue de la République</t>
        </is>
      </c>
      <c r="J26" t="inlineStr"/>
      <c r="K26" t="inlineStr">
        <is>
          <t>69001</t>
        </is>
      </c>
      <c r="L26" t="inlineStr">
        <is>
          <t>Paris</t>
        </is>
      </c>
      <c r="M26" t="inlineStr">
        <is>
          <t>FRANCE</t>
        </is>
      </c>
      <c r="N26" t="inlineStr">
        <is>
          <t>Normal</t>
        </is>
      </c>
      <c r="O26" t="inlineStr">
        <is>
          <t>Oui</t>
        </is>
      </c>
      <c r="P26" t="inlineStr"/>
      <c r="Q26" t="inlineStr">
        <is>
          <t>B2G</t>
        </is>
      </c>
      <c r="R26" t="inlineStr">
        <is>
          <t>B</t>
        </is>
      </c>
      <c r="S26" t="inlineStr">
        <is>
          <t>Client</t>
        </is>
      </c>
      <c r="T26" t="inlineStr">
        <is>
          <t>OCC</t>
        </is>
      </c>
      <c r="U26" s="10" t="n">
        <v>45806</v>
      </c>
      <c r="V26" t="inlineStr">
        <is>
          <t>Inactif</t>
        </is>
      </c>
    </row>
    <row r="27">
      <c r="A27" t="inlineStr">
        <is>
          <t>C0024</t>
        </is>
      </c>
      <c r="B27" t="inlineStr">
        <is>
          <t>Sara Ouali</t>
        </is>
      </c>
      <c r="C27" t="inlineStr">
        <is>
          <t>Fournisseur</t>
        </is>
      </c>
      <c r="D27" t="inlineStr">
        <is>
          <t>CTO</t>
        </is>
      </c>
      <c r="E27" t="inlineStr">
        <is>
          <t>Banque Atlas</t>
        </is>
      </c>
      <c r="F27" t="inlineStr"/>
      <c r="G27" t="inlineStr">
        <is>
          <t>s.ouali@atlas.com</t>
        </is>
      </c>
      <c r="H27" t="inlineStr">
        <is>
          <t>+33 5 55 73 34 55</t>
        </is>
      </c>
      <c r="I27" t="inlineStr">
        <is>
          <t>87 rue Jean Jaurès</t>
        </is>
      </c>
      <c r="J27" t="inlineStr">
        <is>
          <t>Etage 3</t>
        </is>
      </c>
      <c r="K27" t="inlineStr"/>
      <c r="L27" t="inlineStr">
        <is>
          <t>Bruxelles</t>
        </is>
      </c>
      <c r="M27" t="inlineStr">
        <is>
          <t>SUISSE</t>
        </is>
      </c>
      <c r="N27" t="inlineStr">
        <is>
          <t>Normal</t>
        </is>
      </c>
      <c r="O27" t="inlineStr">
        <is>
          <t>Oui</t>
        </is>
      </c>
      <c r="P27" t="inlineStr"/>
      <c r="Q27" t="inlineStr">
        <is>
          <t>Partenaire</t>
        </is>
      </c>
      <c r="R27" t="inlineStr">
        <is>
          <t>A</t>
        </is>
      </c>
      <c r="S27" t="inlineStr">
        <is>
          <t>Prospect</t>
        </is>
      </c>
      <c r="T27" t="inlineStr">
        <is>
          <t>BRE</t>
        </is>
      </c>
      <c r="U27" s="10" t="n">
        <v>45841</v>
      </c>
      <c r="V27" t="inlineStr">
        <is>
          <t>À surveiller</t>
        </is>
      </c>
    </row>
    <row r="28">
      <c r="A28" t="inlineStr">
        <is>
          <t>C0025</t>
        </is>
      </c>
      <c r="B28" t="inlineStr">
        <is>
          <t>Maya Dupont</t>
        </is>
      </c>
      <c r="C28" t="inlineStr">
        <is>
          <t>Interne</t>
        </is>
      </c>
      <c r="D28" t="inlineStr">
        <is>
          <t>COO</t>
        </is>
      </c>
      <c r="E28" t="inlineStr">
        <is>
          <t>Agence Cygne</t>
        </is>
      </c>
      <c r="F28" t="inlineStr"/>
      <c r="G28" t="inlineStr">
        <is>
          <t>m.dupont@cygne.com</t>
        </is>
      </c>
      <c r="H28" t="inlineStr">
        <is>
          <t>+33 2 45 16 82 58</t>
        </is>
      </c>
      <c r="I28" t="inlineStr">
        <is>
          <t>72 rue Jean Jaurès</t>
        </is>
      </c>
      <c r="J28" t="inlineStr"/>
      <c r="K28" t="inlineStr"/>
      <c r="L28" t="inlineStr">
        <is>
          <t>New York</t>
        </is>
      </c>
      <c r="M28" t="inlineStr">
        <is>
          <t>ESPAGNE</t>
        </is>
      </c>
      <c r="N28" t="inlineStr">
        <is>
          <t>Normal</t>
        </is>
      </c>
      <c r="O28" t="inlineStr">
        <is>
          <t>Oui</t>
        </is>
      </c>
      <c r="P28" t="inlineStr"/>
      <c r="Q28" t="inlineStr">
        <is>
          <t>Partenaire</t>
        </is>
      </c>
      <c r="R28" t="inlineStr">
        <is>
          <t>B</t>
        </is>
      </c>
      <c r="S28" t="inlineStr">
        <is>
          <t>Institution</t>
        </is>
      </c>
      <c r="T28" t="inlineStr">
        <is>
          <t>GE</t>
        </is>
      </c>
      <c r="U28" s="10" t="n">
        <v>45802</v>
      </c>
      <c r="V28" t="inlineStr">
        <is>
          <t>Actif</t>
        </is>
      </c>
    </row>
    <row r="29">
      <c r="A29" t="inlineStr">
        <is>
          <t>C0026</t>
        </is>
      </c>
      <c r="B29" t="inlineStr">
        <is>
          <t>Jean Martin</t>
        </is>
      </c>
      <c r="C29" t="inlineStr">
        <is>
          <t>Client</t>
        </is>
      </c>
      <c r="D29" t="inlineStr">
        <is>
          <t>Acheteur</t>
        </is>
      </c>
      <c r="E29" t="inlineStr">
        <is>
          <t>Cabinet Nova</t>
        </is>
      </c>
      <c r="F29" t="inlineStr"/>
      <c r="G29" t="inlineStr">
        <is>
          <t>j.martin@nova.com</t>
        </is>
      </c>
      <c r="H29" t="inlineStr">
        <is>
          <t>+33 6 16 28 82 33</t>
        </is>
      </c>
      <c r="I29" t="inlineStr">
        <is>
          <t>73 rue du Temple</t>
        </is>
      </c>
      <c r="J29" t="inlineStr"/>
      <c r="K29" t="inlineStr"/>
      <c r="L29" t="inlineStr">
        <is>
          <t>Casablanca</t>
        </is>
      </c>
      <c r="M29" t="inlineStr">
        <is>
          <t>ALLEMAGNE</t>
        </is>
      </c>
      <c r="N29" t="inlineStr">
        <is>
          <t>Normal</t>
        </is>
      </c>
      <c r="O29" t="inlineStr">
        <is>
          <t>Oui</t>
        </is>
      </c>
      <c r="P29" t="inlineStr"/>
      <c r="Q29" t="inlineStr">
        <is>
          <t>B2C</t>
        </is>
      </c>
      <c r="R29" t="inlineStr">
        <is>
          <t>C</t>
        </is>
      </c>
      <c r="S29" t="inlineStr">
        <is>
          <t>Client</t>
        </is>
      </c>
      <c r="T29" t="inlineStr">
        <is>
          <t>EU</t>
        </is>
      </c>
      <c r="U29" s="10" t="n">
        <v>45787</v>
      </c>
      <c r="V29" t="inlineStr">
        <is>
          <t>À surveiller</t>
        </is>
      </c>
    </row>
    <row r="30">
      <c r="A30" t="inlineStr">
        <is>
          <t>C0027</t>
        </is>
      </c>
      <c r="B30" t="inlineStr">
        <is>
          <t>Lucie Durand</t>
        </is>
      </c>
      <c r="C30" t="inlineStr">
        <is>
          <t>Partenaire</t>
        </is>
      </c>
      <c r="D30" t="inlineStr">
        <is>
          <t>Responsable Com.</t>
        </is>
      </c>
      <c r="E30" t="inlineStr">
        <is>
          <t>Agence Beta</t>
        </is>
      </c>
      <c r="F30" t="inlineStr"/>
      <c r="G30" t="inlineStr">
        <is>
          <t>l.durand@beta.com</t>
        </is>
      </c>
      <c r="H30" t="inlineStr">
        <is>
          <t>+33 8 45 47 26 29</t>
        </is>
      </c>
      <c r="I30" t="inlineStr">
        <is>
          <t>72 rue Voltaire</t>
        </is>
      </c>
      <c r="J30" t="inlineStr">
        <is>
          <t>Appt. 12</t>
        </is>
      </c>
      <c r="K30" t="inlineStr"/>
      <c r="L30" t="inlineStr">
        <is>
          <t>Barcelone</t>
        </is>
      </c>
      <c r="M30" t="inlineStr">
        <is>
          <t>MAROC</t>
        </is>
      </c>
      <c r="N30" t="inlineStr">
        <is>
          <t>Normal</t>
        </is>
      </c>
      <c r="O30" t="inlineStr">
        <is>
          <t>Oui</t>
        </is>
      </c>
      <c r="P30" t="inlineStr"/>
      <c r="Q30" t="inlineStr">
        <is>
          <t>B2B</t>
        </is>
      </c>
      <c r="R30" t="inlineStr">
        <is>
          <t>B</t>
        </is>
      </c>
      <c r="S30" t="inlineStr">
        <is>
          <t>Fournisseur</t>
        </is>
      </c>
      <c r="T30" t="inlineStr">
        <is>
          <t>BRE</t>
        </is>
      </c>
      <c r="U30" s="10" t="n">
        <v>45948</v>
      </c>
      <c r="V30" t="inlineStr">
        <is>
          <t>À surveiller</t>
        </is>
      </c>
    </row>
    <row r="31">
      <c r="A31" t="inlineStr">
        <is>
          <t>C0028</t>
        </is>
      </c>
      <c r="B31" t="inlineStr">
        <is>
          <t>David Ouali</t>
        </is>
      </c>
      <c r="C31" t="inlineStr">
        <is>
          <t>Client</t>
        </is>
      </c>
      <c r="D31" t="inlineStr">
        <is>
          <t>DAF</t>
        </is>
      </c>
      <c r="E31" t="inlineStr">
        <is>
          <t>Mairie Cygne</t>
        </is>
      </c>
      <c r="F31" t="inlineStr"/>
      <c r="G31" t="inlineStr">
        <is>
          <t>d.ouali@cygne.com</t>
        </is>
      </c>
      <c r="H31" t="inlineStr">
        <is>
          <t>+33 6 10 81 89 32</t>
        </is>
      </c>
      <c r="I31" t="inlineStr">
        <is>
          <t>19 rue Voltaire</t>
        </is>
      </c>
      <c r="J31" t="inlineStr"/>
      <c r="K31" t="inlineStr"/>
      <c r="L31" t="inlineStr">
        <is>
          <t>Barcelone</t>
        </is>
      </c>
      <c r="M31" t="inlineStr">
        <is>
          <t>USA</t>
        </is>
      </c>
      <c r="N31" t="inlineStr">
        <is>
          <t>Normal</t>
        </is>
      </c>
      <c r="O31" t="inlineStr">
        <is>
          <t>Oui</t>
        </is>
      </c>
      <c r="P31" t="inlineStr"/>
      <c r="Q31" t="inlineStr">
        <is>
          <t>B2B</t>
        </is>
      </c>
      <c r="R31" t="inlineStr">
        <is>
          <t>C</t>
        </is>
      </c>
      <c r="S31" t="inlineStr">
        <is>
          <t>Prospect</t>
        </is>
      </c>
      <c r="T31" t="inlineStr">
        <is>
          <t>BRE</t>
        </is>
      </c>
      <c r="U31" s="10" t="n">
        <v>45865</v>
      </c>
      <c r="V31" t="inlineStr">
        <is>
          <t>Inactif</t>
        </is>
      </c>
    </row>
    <row r="32">
      <c r="A32" t="inlineStr">
        <is>
          <t>C0029</t>
        </is>
      </c>
      <c r="B32" t="inlineStr">
        <is>
          <t>Léa Dupont</t>
        </is>
      </c>
      <c r="C32" t="inlineStr">
        <is>
          <t>Partenaire</t>
        </is>
      </c>
      <c r="D32" t="inlineStr">
        <is>
          <t>Directeur Achats</t>
        </is>
      </c>
      <c r="E32" t="inlineStr">
        <is>
          <t>Banque Nova</t>
        </is>
      </c>
      <c r="F32" t="inlineStr"/>
      <c r="G32" t="inlineStr">
        <is>
          <t>l.dupont@nova.com</t>
        </is>
      </c>
      <c r="H32" t="inlineStr">
        <is>
          <t>+33 7 50 60 33 80</t>
        </is>
      </c>
      <c r="I32" t="inlineStr">
        <is>
          <t>6 rue Jean Jaurès</t>
        </is>
      </c>
      <c r="J32" t="inlineStr"/>
      <c r="K32" t="inlineStr"/>
      <c r="L32" t="inlineStr">
        <is>
          <t>Barcelone</t>
        </is>
      </c>
      <c r="M32" t="inlineStr">
        <is>
          <t>ITALIE</t>
        </is>
      </c>
      <c r="N32" t="inlineStr">
        <is>
          <t>Sensible / PEP</t>
        </is>
      </c>
      <c r="O32" t="inlineStr">
        <is>
          <t>Non</t>
        </is>
      </c>
      <c r="P32" t="inlineStr"/>
      <c r="Q32" t="inlineStr">
        <is>
          <t>Partenaire</t>
        </is>
      </c>
      <c r="R32" t="inlineStr">
        <is>
          <t>C</t>
        </is>
      </c>
      <c r="S32" t="inlineStr">
        <is>
          <t>Partenaire</t>
        </is>
      </c>
      <c r="T32" t="inlineStr">
        <is>
          <t>OCC</t>
        </is>
      </c>
      <c r="U32" s="10" t="n">
        <v>45936</v>
      </c>
      <c r="V32" t="inlineStr">
        <is>
          <t>À surveiller</t>
        </is>
      </c>
    </row>
    <row r="33">
      <c r="A33" t="inlineStr">
        <is>
          <t>C0030</t>
        </is>
      </c>
      <c r="B33" t="inlineStr">
        <is>
          <t>Léa Haddad</t>
        </is>
      </c>
      <c r="C33" t="inlineStr">
        <is>
          <t>Prospect</t>
        </is>
      </c>
      <c r="D33" t="inlineStr">
        <is>
          <t>Acheteur</t>
        </is>
      </c>
      <c r="E33" t="inlineStr">
        <is>
          <t>Société Omega</t>
        </is>
      </c>
      <c r="F33" t="inlineStr"/>
      <c r="G33" t="inlineStr">
        <is>
          <t>l.haddad@omega.com</t>
        </is>
      </c>
      <c r="H33" t="inlineStr">
        <is>
          <t>+33 7 39 76 58 76</t>
        </is>
      </c>
      <c r="I33" t="inlineStr">
        <is>
          <t>69 rue des Fleurs</t>
        </is>
      </c>
      <c r="J33" t="inlineStr">
        <is>
          <t>Bât. B</t>
        </is>
      </c>
      <c r="K33" t="inlineStr"/>
      <c r="L33" t="inlineStr">
        <is>
          <t>New York</t>
        </is>
      </c>
      <c r="M33" t="inlineStr">
        <is>
          <t>USA</t>
        </is>
      </c>
      <c r="N33" t="inlineStr">
        <is>
          <t>Normal</t>
        </is>
      </c>
      <c r="O33" t="inlineStr">
        <is>
          <t>Oui</t>
        </is>
      </c>
      <c r="P33" t="inlineStr"/>
      <c r="Q33" t="inlineStr">
        <is>
          <t>B2C</t>
        </is>
      </c>
      <c r="R33" t="inlineStr">
        <is>
          <t>B</t>
        </is>
      </c>
      <c r="S33" t="inlineStr">
        <is>
          <t>Partenaire</t>
        </is>
      </c>
      <c r="T33" t="inlineStr">
        <is>
          <t>OCC</t>
        </is>
      </c>
      <c r="U33" s="10" t="n">
        <v>45875</v>
      </c>
      <c r="V33" t="inlineStr">
        <is>
          <t>Inactif</t>
        </is>
      </c>
    </row>
    <row r="34">
      <c r="A34" t="inlineStr">
        <is>
          <t>C0031</t>
        </is>
      </c>
      <c r="B34" t="inlineStr">
        <is>
          <t>Sara Schmidt</t>
        </is>
      </c>
      <c r="C34" t="inlineStr">
        <is>
          <t>Prospect</t>
        </is>
      </c>
      <c r="D34" t="inlineStr">
        <is>
          <t>Chef de Projet</t>
        </is>
      </c>
      <c r="E34" t="inlineStr">
        <is>
          <t>Banque Atlas</t>
        </is>
      </c>
      <c r="F34" t="inlineStr"/>
      <c r="G34" t="inlineStr">
        <is>
          <t>s.schmidt@atlas.com</t>
        </is>
      </c>
      <c r="H34" t="inlineStr">
        <is>
          <t>+33 7 60 68 69 16</t>
        </is>
      </c>
      <c r="I34" t="inlineStr">
        <is>
          <t>38 rue du Temple</t>
        </is>
      </c>
      <c r="J34" t="inlineStr">
        <is>
          <t>Bât. B</t>
        </is>
      </c>
      <c r="K34" t="inlineStr"/>
      <c r="L34" t="inlineStr">
        <is>
          <t>Milan</t>
        </is>
      </c>
      <c r="M34" t="inlineStr">
        <is>
          <t>ALLEMAGNE</t>
        </is>
      </c>
      <c r="N34" t="inlineStr">
        <is>
          <t>Normal</t>
        </is>
      </c>
      <c r="O34" t="inlineStr">
        <is>
          <t>Oui</t>
        </is>
      </c>
      <c r="P34" t="inlineStr"/>
      <c r="Q34" t="inlineStr">
        <is>
          <t>Interne</t>
        </is>
      </c>
      <c r="R34" t="inlineStr">
        <is>
          <t>A</t>
        </is>
      </c>
      <c r="S34" t="inlineStr">
        <is>
          <t>Fournisseur</t>
        </is>
      </c>
      <c r="T34" t="inlineStr">
        <is>
          <t>NAQ</t>
        </is>
      </c>
      <c r="U34" s="10" t="n">
        <v>45831</v>
      </c>
      <c r="V34" t="inlineStr">
        <is>
          <t>À surveiller</t>
        </is>
      </c>
    </row>
    <row r="35">
      <c r="A35" t="inlineStr">
        <is>
          <t>C0032</t>
        </is>
      </c>
      <c r="B35" t="inlineStr">
        <is>
          <t>Nadia Nguyen</t>
        </is>
      </c>
      <c r="C35" t="inlineStr">
        <is>
          <t>Fournisseur</t>
        </is>
      </c>
      <c r="D35" t="inlineStr">
        <is>
          <t>DRH</t>
        </is>
      </c>
      <c r="E35" t="inlineStr">
        <is>
          <t>Banque Beta</t>
        </is>
      </c>
      <c r="F35" t="inlineStr"/>
      <c r="G35" t="inlineStr">
        <is>
          <t>n.nguyen@beta.com</t>
        </is>
      </c>
      <c r="H35" t="inlineStr">
        <is>
          <t>+33 5 39 25 60 34</t>
        </is>
      </c>
      <c r="I35" t="inlineStr">
        <is>
          <t>23 rue des Fleurs</t>
        </is>
      </c>
      <c r="J35" t="inlineStr">
        <is>
          <t>Appt. 12</t>
        </is>
      </c>
      <c r="K35" t="inlineStr"/>
      <c r="L35" t="inlineStr">
        <is>
          <t>Genève</t>
        </is>
      </c>
      <c r="M35" t="inlineStr">
        <is>
          <t>ESPAGNE</t>
        </is>
      </c>
      <c r="N35" t="inlineStr">
        <is>
          <t>Normal</t>
        </is>
      </c>
      <c r="O35" t="inlineStr">
        <is>
          <t>Oui</t>
        </is>
      </c>
      <c r="P35" t="inlineStr"/>
      <c r="Q35" t="inlineStr">
        <is>
          <t>Interne</t>
        </is>
      </c>
      <c r="R35" t="inlineStr">
        <is>
          <t>C</t>
        </is>
      </c>
      <c r="S35" t="inlineStr">
        <is>
          <t>Institution</t>
        </is>
      </c>
      <c r="T35" t="inlineStr">
        <is>
          <t>BRE</t>
        </is>
      </c>
      <c r="U35" s="10" t="n">
        <v>45819</v>
      </c>
      <c r="V35" t="inlineStr">
        <is>
          <t>Inactif</t>
        </is>
      </c>
    </row>
    <row r="36">
      <c r="A36" t="inlineStr">
        <is>
          <t>C0033</t>
        </is>
      </c>
      <c r="B36" t="inlineStr">
        <is>
          <t>Hugo Moreau</t>
        </is>
      </c>
      <c r="C36" t="inlineStr">
        <is>
          <t>Institution</t>
        </is>
      </c>
      <c r="D36" t="inlineStr">
        <is>
          <t>DRH</t>
        </is>
      </c>
      <c r="E36" t="inlineStr">
        <is>
          <t>Agence Alpha</t>
        </is>
      </c>
      <c r="F36" t="inlineStr"/>
      <c r="G36" t="inlineStr">
        <is>
          <t>h.moreau@alpha.com</t>
        </is>
      </c>
      <c r="H36" t="inlineStr">
        <is>
          <t>+33 2 75 90 84 19</t>
        </is>
      </c>
      <c r="I36" t="inlineStr">
        <is>
          <t>19 rue des Fleurs</t>
        </is>
      </c>
      <c r="J36" t="inlineStr">
        <is>
          <t>Bât. A</t>
        </is>
      </c>
      <c r="K36" t="inlineStr"/>
      <c r="L36" t="inlineStr">
        <is>
          <t>Milan</t>
        </is>
      </c>
      <c r="M36" t="inlineStr">
        <is>
          <t>ITALIE</t>
        </is>
      </c>
      <c r="N36" t="inlineStr">
        <is>
          <t>Normal</t>
        </is>
      </c>
      <c r="O36" t="inlineStr">
        <is>
          <t>Oui</t>
        </is>
      </c>
      <c r="P36" t="inlineStr"/>
      <c r="Q36" t="inlineStr">
        <is>
          <t>B2G</t>
        </is>
      </c>
      <c r="R36" t="inlineStr">
        <is>
          <t>C</t>
        </is>
      </c>
      <c r="S36" t="inlineStr">
        <is>
          <t>Client</t>
        </is>
      </c>
      <c r="T36" t="inlineStr">
        <is>
          <t>PDL</t>
        </is>
      </c>
      <c r="U36" s="10" t="n">
        <v>45847</v>
      </c>
      <c r="V36" t="inlineStr">
        <is>
          <t>Actif</t>
        </is>
      </c>
    </row>
    <row r="37">
      <c r="A37" t="inlineStr">
        <is>
          <t>C0034</t>
        </is>
      </c>
      <c r="B37" t="inlineStr">
        <is>
          <t>Alice Martin</t>
        </is>
      </c>
      <c r="C37" t="inlineStr">
        <is>
          <t>Prospect</t>
        </is>
      </c>
      <c r="D37" t="inlineStr">
        <is>
          <t>Directeur Achats</t>
        </is>
      </c>
      <c r="E37" t="inlineStr">
        <is>
          <t>Hôpital Omega</t>
        </is>
      </c>
      <c r="F37" t="inlineStr"/>
      <c r="G37" t="inlineStr">
        <is>
          <t>a.martin@omega.com</t>
        </is>
      </c>
      <c r="H37" t="inlineStr">
        <is>
          <t>+33 8 17 88 85 82</t>
        </is>
      </c>
      <c r="I37" t="inlineStr">
        <is>
          <t>1 rue de la Paix</t>
        </is>
      </c>
      <c r="J37" t="inlineStr">
        <is>
          <t>Bât. A</t>
        </is>
      </c>
      <c r="K37" t="inlineStr"/>
      <c r="L37" t="inlineStr">
        <is>
          <t>New York</t>
        </is>
      </c>
      <c r="M37" t="inlineStr">
        <is>
          <t>ALLEMAGNE</t>
        </is>
      </c>
      <c r="N37" t="inlineStr">
        <is>
          <t>Normal</t>
        </is>
      </c>
      <c r="O37" t="inlineStr">
        <is>
          <t>Oui</t>
        </is>
      </c>
      <c r="P37" t="inlineStr"/>
      <c r="Q37" t="inlineStr">
        <is>
          <t>B2B</t>
        </is>
      </c>
      <c r="R37" t="inlineStr">
        <is>
          <t>A</t>
        </is>
      </c>
      <c r="S37" t="inlineStr">
        <is>
          <t>Institution</t>
        </is>
      </c>
      <c r="T37" t="inlineStr">
        <is>
          <t>PACA</t>
        </is>
      </c>
      <c r="U37" s="10" t="n">
        <v>45907</v>
      </c>
      <c r="V37" t="inlineStr">
        <is>
          <t>Actif</t>
        </is>
      </c>
    </row>
    <row r="38">
      <c r="A38" t="inlineStr">
        <is>
          <t>C0035</t>
        </is>
      </c>
      <c r="B38" t="inlineStr">
        <is>
          <t>Samir Haddad</t>
        </is>
      </c>
      <c r="C38" t="inlineStr">
        <is>
          <t>Prospect</t>
        </is>
      </c>
      <c r="D38" t="inlineStr">
        <is>
          <t>Responsable Com.</t>
        </is>
      </c>
      <c r="E38" t="inlineStr">
        <is>
          <t>Agence Nova</t>
        </is>
      </c>
      <c r="F38" t="inlineStr"/>
      <c r="G38" t="inlineStr">
        <is>
          <t>s.haddad@nova.com</t>
        </is>
      </c>
      <c r="H38" t="inlineStr">
        <is>
          <t>+33 4 34 17 56 86</t>
        </is>
      </c>
      <c r="I38" t="inlineStr">
        <is>
          <t>79 rue Victor</t>
        </is>
      </c>
      <c r="J38" t="inlineStr">
        <is>
          <t>Bât. A</t>
        </is>
      </c>
      <c r="K38" t="inlineStr"/>
      <c r="L38" t="inlineStr">
        <is>
          <t>Londres</t>
        </is>
      </c>
      <c r="M38" t="inlineStr">
        <is>
          <t>ALLEMAGNE</t>
        </is>
      </c>
      <c r="N38" t="inlineStr">
        <is>
          <t>Normal</t>
        </is>
      </c>
      <c r="O38" t="inlineStr">
        <is>
          <t>Oui</t>
        </is>
      </c>
      <c r="P38" t="inlineStr"/>
      <c r="Q38" t="inlineStr">
        <is>
          <t>Partenaire</t>
        </is>
      </c>
      <c r="R38" t="inlineStr">
        <is>
          <t>C</t>
        </is>
      </c>
      <c r="S38" t="inlineStr">
        <is>
          <t>Interne</t>
        </is>
      </c>
      <c r="T38" t="inlineStr">
        <is>
          <t>BRE</t>
        </is>
      </c>
      <c r="U38" s="10" t="n">
        <v>45872</v>
      </c>
      <c r="V38" t="inlineStr">
        <is>
          <t>Actif</t>
        </is>
      </c>
    </row>
    <row r="39">
      <c r="A39" t="inlineStr">
        <is>
          <t>C0036</t>
        </is>
      </c>
      <c r="B39" t="inlineStr">
        <is>
          <t>Omar Moreau</t>
        </is>
      </c>
      <c r="C39" t="inlineStr">
        <is>
          <t>Institution</t>
        </is>
      </c>
      <c r="D39" t="inlineStr">
        <is>
          <t>Acheteur</t>
        </is>
      </c>
      <c r="E39" t="inlineStr">
        <is>
          <t>Mairie Nova</t>
        </is>
      </c>
      <c r="F39" t="inlineStr"/>
      <c r="G39" t="inlineStr">
        <is>
          <t>o.moreau@nova.com</t>
        </is>
      </c>
      <c r="H39" t="inlineStr">
        <is>
          <t>+33 4 70 84 25 93</t>
        </is>
      </c>
      <c r="I39" t="inlineStr">
        <is>
          <t>38 rue de la République</t>
        </is>
      </c>
      <c r="J39" t="inlineStr">
        <is>
          <t>Etage 3</t>
        </is>
      </c>
      <c r="K39" t="inlineStr"/>
      <c r="L39" t="inlineStr">
        <is>
          <t>Barcelone</t>
        </is>
      </c>
      <c r="M39" t="inlineStr">
        <is>
          <t>ESPAGNE</t>
        </is>
      </c>
      <c r="N39" t="inlineStr">
        <is>
          <t>Normal</t>
        </is>
      </c>
      <c r="O39" t="inlineStr">
        <is>
          <t>Oui</t>
        </is>
      </c>
      <c r="P39" t="inlineStr"/>
      <c r="Q39" t="inlineStr">
        <is>
          <t>B2G</t>
        </is>
      </c>
      <c r="R39" t="inlineStr">
        <is>
          <t>A</t>
        </is>
      </c>
      <c r="S39" t="inlineStr">
        <is>
          <t>Interne</t>
        </is>
      </c>
      <c r="T39" t="inlineStr">
        <is>
          <t>ARA</t>
        </is>
      </c>
      <c r="U39" s="10" t="n">
        <v>45931</v>
      </c>
      <c r="V39" t="inlineStr">
        <is>
          <t>Actif</t>
        </is>
      </c>
    </row>
    <row r="40">
      <c r="A40" t="inlineStr">
        <is>
          <t>C0037</t>
        </is>
      </c>
      <c r="B40" t="inlineStr">
        <is>
          <t>Nadia Dupont</t>
        </is>
      </c>
      <c r="C40" t="inlineStr">
        <is>
          <t>Interne</t>
        </is>
      </c>
      <c r="D40" t="inlineStr">
        <is>
          <t>Acheteur</t>
        </is>
      </c>
      <c r="E40" t="inlineStr">
        <is>
          <t>Mairie Lumen</t>
        </is>
      </c>
      <c r="F40" t="inlineStr"/>
      <c r="G40" t="inlineStr">
        <is>
          <t>n.dupont@lumen.com</t>
        </is>
      </c>
      <c r="H40" t="inlineStr">
        <is>
          <t>+33 9 69 30 85 19</t>
        </is>
      </c>
      <c r="I40" t="inlineStr">
        <is>
          <t>28 rue Voltaire</t>
        </is>
      </c>
      <c r="J40" t="inlineStr">
        <is>
          <t>Bât. B</t>
        </is>
      </c>
      <c r="K40" t="inlineStr"/>
      <c r="L40" t="inlineStr">
        <is>
          <t>Bruxelles</t>
        </is>
      </c>
      <c r="M40" t="inlineStr">
        <is>
          <t>ROYAUME-UNI</t>
        </is>
      </c>
      <c r="N40" t="inlineStr">
        <is>
          <t>Normal</t>
        </is>
      </c>
      <c r="O40" t="inlineStr">
        <is>
          <t>Oui</t>
        </is>
      </c>
      <c r="P40" t="inlineStr"/>
      <c r="Q40" t="inlineStr">
        <is>
          <t>B2G</t>
        </is>
      </c>
      <c r="R40" t="inlineStr">
        <is>
          <t>C</t>
        </is>
      </c>
      <c r="S40" t="inlineStr">
        <is>
          <t>Prospect</t>
        </is>
      </c>
      <c r="T40" t="inlineStr">
        <is>
          <t>EU</t>
        </is>
      </c>
      <c r="U40" s="10" t="n">
        <v>45913</v>
      </c>
      <c r="V40" t="inlineStr">
        <is>
          <t>Actif</t>
        </is>
      </c>
    </row>
    <row r="41">
      <c r="A41" t="inlineStr">
        <is>
          <t>C0038</t>
        </is>
      </c>
      <c r="B41" t="inlineStr">
        <is>
          <t>Nadia Nguyen</t>
        </is>
      </c>
      <c r="C41" t="inlineStr">
        <is>
          <t>Client</t>
        </is>
      </c>
      <c r="D41" t="inlineStr">
        <is>
          <t>Responsable Com.</t>
        </is>
      </c>
      <c r="E41" t="inlineStr">
        <is>
          <t>Mairie Lumen</t>
        </is>
      </c>
      <c r="F41" t="inlineStr"/>
      <c r="G41" t="inlineStr">
        <is>
          <t>n.nguyen@lumen.com</t>
        </is>
      </c>
      <c r="H41" t="inlineStr">
        <is>
          <t>+33 4 19 48 42 33</t>
        </is>
      </c>
      <c r="I41" t="inlineStr">
        <is>
          <t>61 rue Voltaire</t>
        </is>
      </c>
      <c r="J41" t="inlineStr"/>
      <c r="K41" t="inlineStr">
        <is>
          <t>33000</t>
        </is>
      </c>
      <c r="L41" t="inlineStr">
        <is>
          <t>Montpellier</t>
        </is>
      </c>
      <c r="M41" t="inlineStr">
        <is>
          <t>FRANCE</t>
        </is>
      </c>
      <c r="N41" t="inlineStr">
        <is>
          <t>Normal</t>
        </is>
      </c>
      <c r="O41" t="inlineStr">
        <is>
          <t>Oui</t>
        </is>
      </c>
      <c r="P41" t="inlineStr"/>
      <c r="Q41" t="inlineStr">
        <is>
          <t>B2B</t>
        </is>
      </c>
      <c r="R41" t="inlineStr">
        <is>
          <t>B</t>
        </is>
      </c>
      <c r="S41" t="inlineStr">
        <is>
          <t>Prospect</t>
        </is>
      </c>
      <c r="T41" t="inlineStr">
        <is>
          <t>ARA</t>
        </is>
      </c>
      <c r="U41" s="10" t="n">
        <v>45797</v>
      </c>
      <c r="V41" t="inlineStr">
        <is>
          <t>Actif</t>
        </is>
      </c>
    </row>
    <row r="42">
      <c r="A42" t="inlineStr">
        <is>
          <t>C0039</t>
        </is>
      </c>
      <c r="B42" t="inlineStr">
        <is>
          <t>Léa Ouali</t>
        </is>
      </c>
      <c r="C42" t="inlineStr">
        <is>
          <t>Partenaire</t>
        </is>
      </c>
      <c r="D42" t="inlineStr">
        <is>
          <t>DG</t>
        </is>
      </c>
      <c r="E42" t="inlineStr">
        <is>
          <t>Agence Omega</t>
        </is>
      </c>
      <c r="F42" t="inlineStr"/>
      <c r="G42" t="inlineStr">
        <is>
          <t>l.ouali@omega.com</t>
        </is>
      </c>
      <c r="H42" t="inlineStr">
        <is>
          <t>+33 1 96 22 68 19</t>
        </is>
      </c>
      <c r="I42" t="inlineStr">
        <is>
          <t>49 rue du Temple</t>
        </is>
      </c>
      <c r="J42" t="inlineStr">
        <is>
          <t>Appt. 12</t>
        </is>
      </c>
      <c r="K42" t="inlineStr"/>
      <c r="L42" t="inlineStr">
        <is>
          <t>Barcelone</t>
        </is>
      </c>
      <c r="M42" t="inlineStr">
        <is>
          <t>ALLEMAGNE</t>
        </is>
      </c>
      <c r="N42" t="inlineStr">
        <is>
          <t>Normal</t>
        </is>
      </c>
      <c r="O42" t="inlineStr">
        <is>
          <t>Oui</t>
        </is>
      </c>
      <c r="P42" t="inlineStr"/>
      <c r="Q42" t="inlineStr">
        <is>
          <t>Partenaire</t>
        </is>
      </c>
      <c r="R42" t="inlineStr">
        <is>
          <t>A</t>
        </is>
      </c>
      <c r="S42" t="inlineStr">
        <is>
          <t>Client</t>
        </is>
      </c>
      <c r="T42" t="inlineStr">
        <is>
          <t>OCC</t>
        </is>
      </c>
      <c r="U42" s="10" t="n">
        <v>45845</v>
      </c>
      <c r="V42" t="inlineStr">
        <is>
          <t>À surveiller</t>
        </is>
      </c>
    </row>
    <row r="43">
      <c r="A43" t="inlineStr">
        <is>
          <t>C0040</t>
        </is>
      </c>
      <c r="B43" t="inlineStr">
        <is>
          <t>Léa Martin</t>
        </is>
      </c>
      <c r="C43" t="inlineStr">
        <is>
          <t>Client</t>
        </is>
      </c>
      <c r="D43" t="inlineStr">
        <is>
          <t>Directeur Achats</t>
        </is>
      </c>
      <c r="E43" t="inlineStr">
        <is>
          <t>Hôpital Nova</t>
        </is>
      </c>
      <c r="F43" t="inlineStr"/>
      <c r="G43" t="inlineStr">
        <is>
          <t>l.martin@nova.com</t>
        </is>
      </c>
      <c r="H43" t="inlineStr">
        <is>
          <t>+33 1 45 80 49 34</t>
        </is>
      </c>
      <c r="I43" t="inlineStr">
        <is>
          <t>79 rue des Fleurs</t>
        </is>
      </c>
      <c r="J43" t="inlineStr">
        <is>
          <t>Bât. B</t>
        </is>
      </c>
      <c r="K43" t="inlineStr"/>
      <c r="L43" t="inlineStr">
        <is>
          <t>Genève</t>
        </is>
      </c>
      <c r="M43" t="inlineStr">
        <is>
          <t>ROYAUME-UNI</t>
        </is>
      </c>
      <c r="N43" t="inlineStr">
        <is>
          <t>Normal</t>
        </is>
      </c>
      <c r="O43" t="inlineStr">
        <is>
          <t>Oui</t>
        </is>
      </c>
      <c r="P43" t="inlineStr"/>
      <c r="Q43" t="inlineStr">
        <is>
          <t>Partenaire</t>
        </is>
      </c>
      <c r="R43" t="inlineStr">
        <is>
          <t>A</t>
        </is>
      </c>
      <c r="S43" t="inlineStr">
        <is>
          <t>Interne</t>
        </is>
      </c>
      <c r="T43" t="inlineStr">
        <is>
          <t>CVL</t>
        </is>
      </c>
      <c r="U43" s="10" t="n">
        <v>45876</v>
      </c>
      <c r="V43" t="inlineStr">
        <is>
          <t>À surveiller</t>
        </is>
      </c>
    </row>
    <row r="44">
      <c r="A44" t="inlineStr">
        <is>
          <t>C0041</t>
        </is>
      </c>
      <c r="B44" t="inlineStr">
        <is>
          <t>Hugo Benali</t>
        </is>
      </c>
      <c r="C44" t="inlineStr">
        <is>
          <t>Institution</t>
        </is>
      </c>
      <c r="D44" t="inlineStr">
        <is>
          <t>Chef de Projet</t>
        </is>
      </c>
      <c r="E44" t="inlineStr">
        <is>
          <t>Mairie Beta</t>
        </is>
      </c>
      <c r="F44" t="inlineStr"/>
      <c r="G44" t="inlineStr">
        <is>
          <t>h.benali@beta.com</t>
        </is>
      </c>
      <c r="H44" t="inlineStr">
        <is>
          <t>+33 8 68 31 33 28</t>
        </is>
      </c>
      <c r="I44" t="inlineStr">
        <is>
          <t>78 rue des Fleurs</t>
        </is>
      </c>
      <c r="J44" t="inlineStr"/>
      <c r="K44" t="inlineStr"/>
      <c r="L44" t="inlineStr">
        <is>
          <t>Londres</t>
        </is>
      </c>
      <c r="M44" t="inlineStr">
        <is>
          <t>ALLEMAGNE</t>
        </is>
      </c>
      <c r="N44" t="inlineStr">
        <is>
          <t>Normal</t>
        </is>
      </c>
      <c r="O44" t="inlineStr">
        <is>
          <t>Oui</t>
        </is>
      </c>
      <c r="P44" t="inlineStr"/>
      <c r="Q44" t="inlineStr">
        <is>
          <t>B2G</t>
        </is>
      </c>
      <c r="R44" t="inlineStr">
        <is>
          <t>C</t>
        </is>
      </c>
      <c r="S44" t="inlineStr">
        <is>
          <t>Prospect</t>
        </is>
      </c>
      <c r="T44" t="inlineStr">
        <is>
          <t>IDF</t>
        </is>
      </c>
      <c r="U44" s="10" t="n">
        <v>45913</v>
      </c>
      <c r="V44" t="inlineStr">
        <is>
          <t>Inactif</t>
        </is>
      </c>
    </row>
    <row r="45">
      <c r="A45" t="inlineStr">
        <is>
          <t>C0042</t>
        </is>
      </c>
      <c r="B45" t="inlineStr">
        <is>
          <t>Léa Lopez</t>
        </is>
      </c>
      <c r="C45" t="inlineStr">
        <is>
          <t>Institution</t>
        </is>
      </c>
      <c r="D45" t="inlineStr">
        <is>
          <t>Directeur Achats</t>
        </is>
      </c>
      <c r="E45" t="inlineStr">
        <is>
          <t>Cabinet Neon</t>
        </is>
      </c>
      <c r="F45" t="inlineStr"/>
      <c r="G45" t="inlineStr">
        <is>
          <t>l.lopez@neon.com</t>
        </is>
      </c>
      <c r="H45" t="inlineStr">
        <is>
          <t>+33 3 24 36 67 33</t>
        </is>
      </c>
      <c r="I45" t="inlineStr">
        <is>
          <t>41 rue Voltaire</t>
        </is>
      </c>
      <c r="J45" t="inlineStr">
        <is>
          <t>Bât. B</t>
        </is>
      </c>
      <c r="K45" t="inlineStr">
        <is>
          <t>33000</t>
        </is>
      </c>
      <c r="L45" t="inlineStr">
        <is>
          <t>Toulouse</t>
        </is>
      </c>
      <c r="M45" t="inlineStr">
        <is>
          <t>FRANCE</t>
        </is>
      </c>
      <c r="N45" t="inlineStr">
        <is>
          <t>Normal</t>
        </is>
      </c>
      <c r="O45" t="inlineStr">
        <is>
          <t>Oui</t>
        </is>
      </c>
      <c r="P45" t="inlineStr"/>
      <c r="Q45" t="inlineStr">
        <is>
          <t>B2G</t>
        </is>
      </c>
      <c r="R45" t="inlineStr">
        <is>
          <t>B</t>
        </is>
      </c>
      <c r="S45" t="inlineStr">
        <is>
          <t>Institution</t>
        </is>
      </c>
      <c r="T45" t="inlineStr">
        <is>
          <t>NAQ</t>
        </is>
      </c>
      <c r="U45" s="10" t="n">
        <v>45817</v>
      </c>
      <c r="V45" t="inlineStr">
        <is>
          <t>Actif</t>
        </is>
      </c>
    </row>
    <row r="46">
      <c r="A46" t="inlineStr">
        <is>
          <t>C0043</t>
        </is>
      </c>
      <c r="B46" t="inlineStr">
        <is>
          <t>Lucie Martin</t>
        </is>
      </c>
      <c r="C46" t="inlineStr">
        <is>
          <t>Fournisseur</t>
        </is>
      </c>
      <c r="D46" t="inlineStr">
        <is>
          <t>Chef de Projet</t>
        </is>
      </c>
      <c r="E46" t="inlineStr">
        <is>
          <t>Mairie Atlas</t>
        </is>
      </c>
      <c r="F46" t="inlineStr"/>
      <c r="G46" t="inlineStr">
        <is>
          <t>l.martin@atlas.com</t>
        </is>
      </c>
      <c r="H46" t="inlineStr">
        <is>
          <t>+33 9 65 13 97 52</t>
        </is>
      </c>
      <c r="I46" t="inlineStr">
        <is>
          <t>38 rue du Temple</t>
        </is>
      </c>
      <c r="J46" t="inlineStr">
        <is>
          <t>Bât. A</t>
        </is>
      </c>
      <c r="K46" t="inlineStr"/>
      <c r="L46" t="inlineStr">
        <is>
          <t>Barcelone</t>
        </is>
      </c>
      <c r="M46" t="inlineStr">
        <is>
          <t>ALLEMAGNE</t>
        </is>
      </c>
      <c r="N46" t="inlineStr">
        <is>
          <t>Normal</t>
        </is>
      </c>
      <c r="O46" t="inlineStr">
        <is>
          <t>Oui</t>
        </is>
      </c>
      <c r="P46" t="inlineStr"/>
      <c r="Q46" t="inlineStr">
        <is>
          <t>Interne</t>
        </is>
      </c>
      <c r="R46" t="inlineStr">
        <is>
          <t>A</t>
        </is>
      </c>
      <c r="S46" t="inlineStr">
        <is>
          <t>Fournisseur</t>
        </is>
      </c>
      <c r="T46" t="inlineStr">
        <is>
          <t>PDL</t>
        </is>
      </c>
      <c r="U46" s="10" t="n">
        <v>45871</v>
      </c>
      <c r="V46" t="inlineStr">
        <is>
          <t>Actif</t>
        </is>
      </c>
    </row>
    <row r="47">
      <c r="A47" t="inlineStr">
        <is>
          <t>C0044</t>
        </is>
      </c>
      <c r="B47" t="inlineStr">
        <is>
          <t>Samir Schmidt</t>
        </is>
      </c>
      <c r="C47" t="inlineStr">
        <is>
          <t>Client</t>
        </is>
      </c>
      <c r="D47" t="inlineStr">
        <is>
          <t>Chef de Projet</t>
        </is>
      </c>
      <c r="E47" t="inlineStr">
        <is>
          <t>Agence Neon</t>
        </is>
      </c>
      <c r="F47" t="inlineStr"/>
      <c r="G47" t="inlineStr">
        <is>
          <t>s.schmidt@neon.com</t>
        </is>
      </c>
      <c r="H47" t="inlineStr">
        <is>
          <t>+33 5 25 13 95 30</t>
        </is>
      </c>
      <c r="I47" t="inlineStr">
        <is>
          <t>25 rue du Temple</t>
        </is>
      </c>
      <c r="J47" t="inlineStr">
        <is>
          <t>Etage 3</t>
        </is>
      </c>
      <c r="K47" t="inlineStr"/>
      <c r="L47" t="inlineStr">
        <is>
          <t>Berlin</t>
        </is>
      </c>
      <c r="M47" t="inlineStr">
        <is>
          <t>ALLEMAGNE</t>
        </is>
      </c>
      <c r="N47" t="inlineStr">
        <is>
          <t>Normal</t>
        </is>
      </c>
      <c r="O47" t="inlineStr">
        <is>
          <t>Oui</t>
        </is>
      </c>
      <c r="P47" t="inlineStr"/>
      <c r="Q47" t="inlineStr">
        <is>
          <t>Partenaire</t>
        </is>
      </c>
      <c r="R47" t="inlineStr">
        <is>
          <t>A</t>
        </is>
      </c>
      <c r="S47" t="inlineStr">
        <is>
          <t>Prospect</t>
        </is>
      </c>
      <c r="T47" t="inlineStr">
        <is>
          <t>BRE</t>
        </is>
      </c>
      <c r="U47" s="10" t="n">
        <v>45865</v>
      </c>
      <c r="V47" t="inlineStr">
        <is>
          <t>Actif</t>
        </is>
      </c>
    </row>
    <row r="48">
      <c r="A48" t="inlineStr">
        <is>
          <t>C0045</t>
        </is>
      </c>
      <c r="B48" t="inlineStr">
        <is>
          <t>Karim Nguyen</t>
        </is>
      </c>
      <c r="C48" t="inlineStr">
        <is>
          <t>Prospect</t>
        </is>
      </c>
      <c r="D48" t="inlineStr">
        <is>
          <t>CTO</t>
        </is>
      </c>
      <c r="E48" t="inlineStr">
        <is>
          <t>Groupe Beta</t>
        </is>
      </c>
      <c r="F48" t="inlineStr"/>
      <c r="G48" t="inlineStr">
        <is>
          <t>k.nguyen@beta.com</t>
        </is>
      </c>
      <c r="H48" t="inlineStr">
        <is>
          <t>+33 2 76 89 75 85</t>
        </is>
      </c>
      <c r="I48" t="inlineStr">
        <is>
          <t>34 rue de la République</t>
        </is>
      </c>
      <c r="J48" t="inlineStr">
        <is>
          <t>Bât. A</t>
        </is>
      </c>
      <c r="K48" t="inlineStr"/>
      <c r="L48" t="inlineStr">
        <is>
          <t>Barcelone</t>
        </is>
      </c>
      <c r="M48" t="inlineStr">
        <is>
          <t>SUISSE</t>
        </is>
      </c>
      <c r="N48" t="inlineStr">
        <is>
          <t>Normal</t>
        </is>
      </c>
      <c r="O48" t="inlineStr">
        <is>
          <t>Oui</t>
        </is>
      </c>
      <c r="P48" t="inlineStr"/>
      <c r="Q48" t="inlineStr">
        <is>
          <t>B2G</t>
        </is>
      </c>
      <c r="R48" t="inlineStr">
        <is>
          <t>B</t>
        </is>
      </c>
      <c r="S48" t="inlineStr">
        <is>
          <t>Institution</t>
        </is>
      </c>
      <c r="T48" t="inlineStr">
        <is>
          <t>BRE</t>
        </is>
      </c>
      <c r="U48" s="10" t="n">
        <v>45870</v>
      </c>
      <c r="V48" t="inlineStr">
        <is>
          <t>Inactif</t>
        </is>
      </c>
    </row>
    <row r="49">
      <c r="A49" t="inlineStr">
        <is>
          <t>C0046</t>
        </is>
      </c>
      <c r="B49" t="inlineStr">
        <is>
          <t>Sara Ouali</t>
        </is>
      </c>
      <c r="C49" t="inlineStr">
        <is>
          <t>Partenaire</t>
        </is>
      </c>
      <c r="D49" t="inlineStr">
        <is>
          <t>Acheteur</t>
        </is>
      </c>
      <c r="E49" t="inlineStr">
        <is>
          <t>Mairie Atlas</t>
        </is>
      </c>
      <c r="F49" t="inlineStr"/>
      <c r="G49" t="inlineStr">
        <is>
          <t>s.ouali@atlas.com</t>
        </is>
      </c>
      <c r="H49" t="inlineStr">
        <is>
          <t>+33 2 89 31 15 79</t>
        </is>
      </c>
      <c r="I49" t="inlineStr">
        <is>
          <t>94 rue de la Paix</t>
        </is>
      </c>
      <c r="J49" t="inlineStr"/>
      <c r="K49" t="inlineStr"/>
      <c r="L49" t="inlineStr">
        <is>
          <t>Berlin</t>
        </is>
      </c>
      <c r="M49" t="inlineStr">
        <is>
          <t>MAROC</t>
        </is>
      </c>
      <c r="N49" t="inlineStr">
        <is>
          <t>Sensible / PEP</t>
        </is>
      </c>
      <c r="O49" t="inlineStr">
        <is>
          <t>Oui</t>
        </is>
      </c>
      <c r="P49" t="inlineStr"/>
      <c r="Q49" t="inlineStr">
        <is>
          <t>B2B</t>
        </is>
      </c>
      <c r="R49" t="inlineStr">
        <is>
          <t>C</t>
        </is>
      </c>
      <c r="S49" t="inlineStr">
        <is>
          <t>Partenaire</t>
        </is>
      </c>
      <c r="T49" t="inlineStr">
        <is>
          <t>IDF</t>
        </is>
      </c>
      <c r="U49" s="10" t="n">
        <v>45816</v>
      </c>
      <c r="V49" t="inlineStr">
        <is>
          <t>Inactif</t>
        </is>
      </c>
    </row>
    <row r="50">
      <c r="A50" t="inlineStr">
        <is>
          <t>C0047</t>
        </is>
      </c>
      <c r="B50" t="inlineStr">
        <is>
          <t>Omar Benali</t>
        </is>
      </c>
      <c r="C50" t="inlineStr">
        <is>
          <t>Institution</t>
        </is>
      </c>
      <c r="D50" t="inlineStr">
        <is>
          <t>COO</t>
        </is>
      </c>
      <c r="E50" t="inlineStr">
        <is>
          <t>Société Omega</t>
        </is>
      </c>
      <c r="F50" t="inlineStr"/>
      <c r="G50" t="inlineStr">
        <is>
          <t>o.benali@omega.com</t>
        </is>
      </c>
      <c r="H50" t="inlineStr">
        <is>
          <t>+33 6 22 95 58 17</t>
        </is>
      </c>
      <c r="I50" t="inlineStr">
        <is>
          <t>37 rue de la Paix</t>
        </is>
      </c>
      <c r="J50" t="inlineStr">
        <is>
          <t>Bât. A</t>
        </is>
      </c>
      <c r="K50" t="inlineStr"/>
      <c r="L50" t="inlineStr">
        <is>
          <t>Barcelone</t>
        </is>
      </c>
      <c r="M50" t="inlineStr">
        <is>
          <t>ITALIE</t>
        </is>
      </c>
      <c r="N50" t="inlineStr">
        <is>
          <t>Normal</t>
        </is>
      </c>
      <c r="O50" t="inlineStr">
        <is>
          <t>Non</t>
        </is>
      </c>
      <c r="P50" t="inlineStr"/>
      <c r="Q50" t="inlineStr">
        <is>
          <t>B2G</t>
        </is>
      </c>
      <c r="R50" t="inlineStr">
        <is>
          <t>B</t>
        </is>
      </c>
      <c r="S50" t="inlineStr">
        <is>
          <t>Interne</t>
        </is>
      </c>
      <c r="T50" t="inlineStr">
        <is>
          <t>HDF</t>
        </is>
      </c>
      <c r="U50" s="10" t="n">
        <v>45944</v>
      </c>
      <c r="V50" t="inlineStr">
        <is>
          <t>Actif</t>
        </is>
      </c>
    </row>
    <row r="51">
      <c r="A51" t="inlineStr">
        <is>
          <t>C0048</t>
        </is>
      </c>
      <c r="B51" t="inlineStr">
        <is>
          <t>Maya Dupont</t>
        </is>
      </c>
      <c r="C51" t="inlineStr">
        <is>
          <t>Interne</t>
        </is>
      </c>
      <c r="D51" t="inlineStr">
        <is>
          <t>Responsable Com.</t>
        </is>
      </c>
      <c r="E51" t="inlineStr">
        <is>
          <t>Mairie Omega</t>
        </is>
      </c>
      <c r="F51" t="inlineStr"/>
      <c r="G51" t="inlineStr">
        <is>
          <t>m.dupont@omega.com</t>
        </is>
      </c>
      <c r="H51" t="inlineStr">
        <is>
          <t>+33 7 14 66 25 56</t>
        </is>
      </c>
      <c r="I51" t="inlineStr">
        <is>
          <t>81 rue de la République</t>
        </is>
      </c>
      <c r="J51" t="inlineStr">
        <is>
          <t>Appt. 12</t>
        </is>
      </c>
      <c r="K51" t="inlineStr"/>
      <c r="L51" t="inlineStr">
        <is>
          <t>Berlin</t>
        </is>
      </c>
      <c r="M51" t="inlineStr">
        <is>
          <t>ALLEMAGNE</t>
        </is>
      </c>
      <c r="N51" t="inlineStr">
        <is>
          <t>Normal</t>
        </is>
      </c>
      <c r="O51" t="inlineStr">
        <is>
          <t>Oui</t>
        </is>
      </c>
      <c r="P51" t="inlineStr"/>
      <c r="Q51" t="inlineStr">
        <is>
          <t>B2G</t>
        </is>
      </c>
      <c r="R51" t="inlineStr">
        <is>
          <t>C</t>
        </is>
      </c>
      <c r="S51" t="inlineStr">
        <is>
          <t>Fournisseur</t>
        </is>
      </c>
      <c r="T51" t="inlineStr">
        <is>
          <t>HDF</t>
        </is>
      </c>
      <c r="U51" s="10" t="n">
        <v>45951</v>
      </c>
      <c r="V51" t="inlineStr">
        <is>
          <t>Actif</t>
        </is>
      </c>
    </row>
    <row r="52">
      <c r="A52" t="inlineStr">
        <is>
          <t>C0049</t>
        </is>
      </c>
      <c r="B52" t="inlineStr">
        <is>
          <t>Hugo Schmidt</t>
        </is>
      </c>
      <c r="C52" t="inlineStr">
        <is>
          <t>Institution</t>
        </is>
      </c>
      <c r="D52" t="inlineStr">
        <is>
          <t>Directeur Achats</t>
        </is>
      </c>
      <c r="E52" t="inlineStr">
        <is>
          <t>Ministère Nova</t>
        </is>
      </c>
      <c r="F52" t="inlineStr"/>
      <c r="G52" t="inlineStr">
        <is>
          <t>h.schmidt@nova.com</t>
        </is>
      </c>
      <c r="H52" t="inlineStr">
        <is>
          <t>+33 5 65 80 53 38</t>
        </is>
      </c>
      <c r="I52" t="inlineStr">
        <is>
          <t>13 rue de la République</t>
        </is>
      </c>
      <c r="J52" t="inlineStr">
        <is>
          <t>Bât. A</t>
        </is>
      </c>
      <c r="K52" t="inlineStr"/>
      <c r="L52" t="inlineStr">
        <is>
          <t>Barcelone</t>
        </is>
      </c>
      <c r="M52" t="inlineStr">
        <is>
          <t>BELGIQUE</t>
        </is>
      </c>
      <c r="N52" t="inlineStr">
        <is>
          <t>Sensible / PEP</t>
        </is>
      </c>
      <c r="O52" t="inlineStr">
        <is>
          <t>Oui</t>
        </is>
      </c>
      <c r="P52" t="inlineStr"/>
      <c r="Q52" t="inlineStr">
        <is>
          <t>B2G</t>
        </is>
      </c>
      <c r="R52" t="inlineStr">
        <is>
          <t>B</t>
        </is>
      </c>
      <c r="S52" t="inlineStr">
        <is>
          <t>Partenaire</t>
        </is>
      </c>
      <c r="T52" t="inlineStr">
        <is>
          <t>MENA</t>
        </is>
      </c>
      <c r="U52" s="10" t="n">
        <v>45918</v>
      </c>
      <c r="V52" t="inlineStr">
        <is>
          <t>Actif</t>
        </is>
      </c>
    </row>
    <row r="53">
      <c r="A53" t="inlineStr">
        <is>
          <t>C0050</t>
        </is>
      </c>
      <c r="B53" t="inlineStr">
        <is>
          <t>Maya Durand</t>
        </is>
      </c>
      <c r="C53" t="inlineStr">
        <is>
          <t>Partenaire</t>
        </is>
      </c>
      <c r="D53" t="inlineStr">
        <is>
          <t>DG</t>
        </is>
      </c>
      <c r="E53" t="inlineStr">
        <is>
          <t>Société Omega</t>
        </is>
      </c>
      <c r="F53" t="inlineStr"/>
      <c r="G53" t="inlineStr">
        <is>
          <t>m.durand@omega.com</t>
        </is>
      </c>
      <c r="H53" t="inlineStr">
        <is>
          <t>+33 1 53 28 61 31</t>
        </is>
      </c>
      <c r="I53" t="inlineStr">
        <is>
          <t>86 rue de la Paix</t>
        </is>
      </c>
      <c r="J53" t="inlineStr">
        <is>
          <t>Bât. A</t>
        </is>
      </c>
      <c r="K53" t="inlineStr"/>
      <c r="L53" t="inlineStr">
        <is>
          <t>Milan</t>
        </is>
      </c>
      <c r="M53" t="inlineStr">
        <is>
          <t>ROYAUME-UNI</t>
        </is>
      </c>
      <c r="N53" t="inlineStr">
        <is>
          <t>Normal</t>
        </is>
      </c>
      <c r="O53" t="inlineStr">
        <is>
          <t>Oui</t>
        </is>
      </c>
      <c r="P53" t="inlineStr"/>
      <c r="Q53" t="inlineStr">
        <is>
          <t>Partenaire</t>
        </is>
      </c>
      <c r="R53" t="inlineStr">
        <is>
          <t>A</t>
        </is>
      </c>
      <c r="S53" t="inlineStr">
        <is>
          <t>Partenaire</t>
        </is>
      </c>
      <c r="T53" t="inlineStr">
        <is>
          <t>PACA</t>
        </is>
      </c>
      <c r="U53" s="10" t="n">
        <v>45831</v>
      </c>
      <c r="V53" t="inlineStr">
        <is>
          <t>À surveiller</t>
        </is>
      </c>
    </row>
    <row r="54">
      <c r="A54" t="inlineStr">
        <is>
          <t>C0051</t>
        </is>
      </c>
      <c r="B54" t="inlineStr">
        <is>
          <t>Léa Ouali</t>
        </is>
      </c>
      <c r="C54" t="inlineStr">
        <is>
          <t>Partenaire</t>
        </is>
      </c>
      <c r="D54" t="inlineStr">
        <is>
          <t>Acheteur</t>
        </is>
      </c>
      <c r="E54" t="inlineStr">
        <is>
          <t>Cabinet Neon</t>
        </is>
      </c>
      <c r="F54" t="inlineStr"/>
      <c r="G54" t="inlineStr">
        <is>
          <t>l.ouali@neon.com</t>
        </is>
      </c>
      <c r="H54" t="inlineStr">
        <is>
          <t>+33 6 75 91 63 42</t>
        </is>
      </c>
      <c r="I54" t="inlineStr">
        <is>
          <t>90 rue de la Paix</t>
        </is>
      </c>
      <c r="J54" t="inlineStr"/>
      <c r="K54" t="inlineStr"/>
      <c r="L54" t="inlineStr">
        <is>
          <t>Genève</t>
        </is>
      </c>
      <c r="M54" t="inlineStr">
        <is>
          <t>BELGIQUE</t>
        </is>
      </c>
      <c r="N54" t="inlineStr">
        <is>
          <t>Normal</t>
        </is>
      </c>
      <c r="O54" t="inlineStr">
        <is>
          <t>Oui</t>
        </is>
      </c>
      <c r="P54" t="inlineStr"/>
      <c r="Q54" t="inlineStr">
        <is>
          <t>B2C</t>
        </is>
      </c>
      <c r="R54" t="inlineStr">
        <is>
          <t>A</t>
        </is>
      </c>
      <c r="S54" t="inlineStr">
        <is>
          <t>Client</t>
        </is>
      </c>
      <c r="T54" t="inlineStr">
        <is>
          <t>PACA</t>
        </is>
      </c>
      <c r="U54" s="10" t="n">
        <v>45901</v>
      </c>
      <c r="V54" t="inlineStr">
        <is>
          <t>Inactif</t>
        </is>
      </c>
    </row>
    <row r="55">
      <c r="A55" t="inlineStr">
        <is>
          <t>C0052</t>
        </is>
      </c>
      <c r="B55" t="inlineStr">
        <is>
          <t>Maya Ouali</t>
        </is>
      </c>
      <c r="C55" t="inlineStr">
        <is>
          <t>Interne</t>
        </is>
      </c>
      <c r="D55" t="inlineStr">
        <is>
          <t>DG</t>
        </is>
      </c>
      <c r="E55" t="inlineStr">
        <is>
          <t>Cabinet Nova</t>
        </is>
      </c>
      <c r="F55" t="inlineStr"/>
      <c r="G55" t="inlineStr">
        <is>
          <t>m.ouali@nova.com</t>
        </is>
      </c>
      <c r="H55" t="inlineStr">
        <is>
          <t>+33 5 83 63 11 21</t>
        </is>
      </c>
      <c r="I55" t="inlineStr">
        <is>
          <t>58 rue Jean Jaurès</t>
        </is>
      </c>
      <c r="J55" t="inlineStr">
        <is>
          <t>Bât. A</t>
        </is>
      </c>
      <c r="K55" t="inlineStr"/>
      <c r="L55" t="inlineStr">
        <is>
          <t>Bruxelles</t>
        </is>
      </c>
      <c r="M55" t="inlineStr">
        <is>
          <t>ITALIE</t>
        </is>
      </c>
      <c r="N55" t="inlineStr">
        <is>
          <t>Normal</t>
        </is>
      </c>
      <c r="O55" t="inlineStr">
        <is>
          <t>Oui</t>
        </is>
      </c>
      <c r="P55" t="inlineStr"/>
      <c r="Q55" t="inlineStr">
        <is>
          <t>B2G</t>
        </is>
      </c>
      <c r="R55" t="inlineStr">
        <is>
          <t>B</t>
        </is>
      </c>
      <c r="S55" t="inlineStr">
        <is>
          <t>Interne</t>
        </is>
      </c>
      <c r="T55" t="inlineStr">
        <is>
          <t>PACA</t>
        </is>
      </c>
      <c r="U55" s="10" t="n">
        <v>45783</v>
      </c>
      <c r="V55" t="inlineStr">
        <is>
          <t>Inactif</t>
        </is>
      </c>
    </row>
    <row r="56">
      <c r="A56" t="inlineStr">
        <is>
          <t>C0053</t>
        </is>
      </c>
      <c r="B56" t="inlineStr">
        <is>
          <t>Nadia Nguyen</t>
        </is>
      </c>
      <c r="C56" t="inlineStr">
        <is>
          <t>Client</t>
        </is>
      </c>
      <c r="D56" t="inlineStr">
        <is>
          <t>DRH</t>
        </is>
      </c>
      <c r="E56" t="inlineStr">
        <is>
          <t>Agence Atlas</t>
        </is>
      </c>
      <c r="F56" t="inlineStr"/>
      <c r="G56" t="inlineStr">
        <is>
          <t>n.nguyen@atlas.com</t>
        </is>
      </c>
      <c r="H56" t="inlineStr">
        <is>
          <t>+33 5 85 93 79 43</t>
        </is>
      </c>
      <c r="I56" t="inlineStr">
        <is>
          <t>93 rue Jean Jaurès</t>
        </is>
      </c>
      <c r="J56" t="inlineStr">
        <is>
          <t>Etage 3</t>
        </is>
      </c>
      <c r="K56" t="inlineStr"/>
      <c r="L56" t="inlineStr">
        <is>
          <t>Genève</t>
        </is>
      </c>
      <c r="M56" t="inlineStr">
        <is>
          <t>ITALIE</t>
        </is>
      </c>
      <c r="N56" t="inlineStr">
        <is>
          <t>Sensible / PEP</t>
        </is>
      </c>
      <c r="O56" t="inlineStr">
        <is>
          <t>Oui</t>
        </is>
      </c>
      <c r="P56" t="inlineStr"/>
      <c r="Q56" t="inlineStr">
        <is>
          <t>Interne</t>
        </is>
      </c>
      <c r="R56" t="inlineStr">
        <is>
          <t>B</t>
        </is>
      </c>
      <c r="S56" t="inlineStr">
        <is>
          <t>Fournisseur</t>
        </is>
      </c>
      <c r="T56" t="inlineStr">
        <is>
          <t>CVL</t>
        </is>
      </c>
      <c r="U56" s="10" t="n">
        <v>45920</v>
      </c>
      <c r="V56" t="inlineStr">
        <is>
          <t>Inactif</t>
        </is>
      </c>
    </row>
    <row r="57">
      <c r="A57" t="inlineStr">
        <is>
          <t>C0054</t>
        </is>
      </c>
      <c r="B57" t="inlineStr">
        <is>
          <t>Hugo Ouali</t>
        </is>
      </c>
      <c r="C57" t="inlineStr">
        <is>
          <t>Institution</t>
        </is>
      </c>
      <c r="D57" t="inlineStr">
        <is>
          <t>Acheteur</t>
        </is>
      </c>
      <c r="E57" t="inlineStr">
        <is>
          <t>Ministère Cygne</t>
        </is>
      </c>
      <c r="F57" t="inlineStr"/>
      <c r="G57" t="inlineStr">
        <is>
          <t>h.ouali@cygne.com</t>
        </is>
      </c>
      <c r="H57" t="inlineStr">
        <is>
          <t>+33 4 35 11 27 10</t>
        </is>
      </c>
      <c r="I57" t="inlineStr">
        <is>
          <t>7 rue de la Paix</t>
        </is>
      </c>
      <c r="J57" t="inlineStr">
        <is>
          <t>Appt. 12</t>
        </is>
      </c>
      <c r="K57" t="inlineStr"/>
      <c r="L57" t="inlineStr">
        <is>
          <t>Casablanca</t>
        </is>
      </c>
      <c r="M57" t="inlineStr">
        <is>
          <t>BELGIQUE</t>
        </is>
      </c>
      <c r="N57" t="inlineStr">
        <is>
          <t>Normal</t>
        </is>
      </c>
      <c r="O57" t="inlineStr">
        <is>
          <t>Oui</t>
        </is>
      </c>
      <c r="P57" t="inlineStr"/>
      <c r="Q57" t="inlineStr">
        <is>
          <t>B2G</t>
        </is>
      </c>
      <c r="R57" t="inlineStr">
        <is>
          <t>A</t>
        </is>
      </c>
      <c r="S57" t="inlineStr">
        <is>
          <t>Fournisseur</t>
        </is>
      </c>
      <c r="T57" t="inlineStr">
        <is>
          <t>PACA</t>
        </is>
      </c>
      <c r="U57" s="10" t="n">
        <v>45912</v>
      </c>
      <c r="V57" t="inlineStr">
        <is>
          <t>Inactif</t>
        </is>
      </c>
    </row>
    <row r="58">
      <c r="A58" t="inlineStr">
        <is>
          <t>C0055</t>
        </is>
      </c>
      <c r="B58" t="inlineStr">
        <is>
          <t>Alice Ouali</t>
        </is>
      </c>
      <c r="C58" t="inlineStr">
        <is>
          <t>Interne</t>
        </is>
      </c>
      <c r="D58" t="inlineStr">
        <is>
          <t>Responsable Com.</t>
        </is>
      </c>
      <c r="E58" t="inlineStr">
        <is>
          <t>Cabinet Omega</t>
        </is>
      </c>
      <c r="F58" t="inlineStr"/>
      <c r="G58" t="inlineStr">
        <is>
          <t>a.ouali@omega.com</t>
        </is>
      </c>
      <c r="H58" t="inlineStr">
        <is>
          <t>+33 2 60 81 72 82</t>
        </is>
      </c>
      <c r="I58" t="inlineStr">
        <is>
          <t>32 rue Jean Jaurès</t>
        </is>
      </c>
      <c r="J58" t="inlineStr">
        <is>
          <t>Bât. A</t>
        </is>
      </c>
      <c r="K58" t="inlineStr"/>
      <c r="L58" t="inlineStr">
        <is>
          <t>Milan</t>
        </is>
      </c>
      <c r="M58" t="inlineStr">
        <is>
          <t>SUISSE</t>
        </is>
      </c>
      <c r="N58" t="inlineStr">
        <is>
          <t>Normal</t>
        </is>
      </c>
      <c r="O58" t="inlineStr">
        <is>
          <t>Oui</t>
        </is>
      </c>
      <c r="P58" t="inlineStr"/>
      <c r="Q58" t="inlineStr">
        <is>
          <t>B2B</t>
        </is>
      </c>
      <c r="R58" t="inlineStr">
        <is>
          <t>A</t>
        </is>
      </c>
      <c r="S58" t="inlineStr">
        <is>
          <t>Partenaire</t>
        </is>
      </c>
      <c r="T58" t="inlineStr">
        <is>
          <t>MENA</t>
        </is>
      </c>
      <c r="U58" s="10" t="n">
        <v>45853</v>
      </c>
      <c r="V58" t="inlineStr">
        <is>
          <t>Inactif</t>
        </is>
      </c>
    </row>
    <row r="59">
      <c r="A59" t="inlineStr">
        <is>
          <t>C0056</t>
        </is>
      </c>
      <c r="B59" t="inlineStr">
        <is>
          <t>Karim Haddad</t>
        </is>
      </c>
      <c r="C59" t="inlineStr">
        <is>
          <t>Interne</t>
        </is>
      </c>
      <c r="D59" t="inlineStr">
        <is>
          <t>Responsable Com.</t>
        </is>
      </c>
      <c r="E59" t="inlineStr">
        <is>
          <t>Hôpital Omega</t>
        </is>
      </c>
      <c r="F59" t="inlineStr"/>
      <c r="G59" t="inlineStr">
        <is>
          <t>k.haddad@omega.com</t>
        </is>
      </c>
      <c r="H59" t="inlineStr">
        <is>
          <t>+33 5 23 10 14 16</t>
        </is>
      </c>
      <c r="I59" t="inlineStr">
        <is>
          <t>54 rue des Fleurs</t>
        </is>
      </c>
      <c r="J59" t="inlineStr">
        <is>
          <t>Appt. 12</t>
        </is>
      </c>
      <c r="K59" t="inlineStr"/>
      <c r="L59" t="inlineStr">
        <is>
          <t>Barcelone</t>
        </is>
      </c>
      <c r="M59" t="inlineStr">
        <is>
          <t>BELGIQUE</t>
        </is>
      </c>
      <c r="N59" t="inlineStr">
        <is>
          <t>Normal</t>
        </is>
      </c>
      <c r="O59" t="inlineStr">
        <is>
          <t>Oui</t>
        </is>
      </c>
      <c r="P59" t="inlineStr"/>
      <c r="Q59" t="inlineStr">
        <is>
          <t>B2G</t>
        </is>
      </c>
      <c r="R59" t="inlineStr">
        <is>
          <t>A</t>
        </is>
      </c>
      <c r="S59" t="inlineStr">
        <is>
          <t>Fournisseur</t>
        </is>
      </c>
      <c r="T59" t="inlineStr">
        <is>
          <t>MENA</t>
        </is>
      </c>
      <c r="U59" s="10" t="n">
        <v>45825</v>
      </c>
      <c r="V59" t="inlineStr">
        <is>
          <t>Inactif</t>
        </is>
      </c>
    </row>
    <row r="60">
      <c r="A60" t="inlineStr">
        <is>
          <t>C0057</t>
        </is>
      </c>
      <c r="B60" t="inlineStr">
        <is>
          <t>Nadia Dupont</t>
        </is>
      </c>
      <c r="C60" t="inlineStr">
        <is>
          <t>Interne</t>
        </is>
      </c>
      <c r="D60" t="inlineStr">
        <is>
          <t>CTO</t>
        </is>
      </c>
      <c r="E60" t="inlineStr">
        <is>
          <t>Groupe Cygne</t>
        </is>
      </c>
      <c r="F60" t="inlineStr"/>
      <c r="G60" t="inlineStr">
        <is>
          <t>n.dupont@cygne.com</t>
        </is>
      </c>
      <c r="H60" t="inlineStr">
        <is>
          <t>+33 3 61 62 84 95</t>
        </is>
      </c>
      <c r="I60" t="inlineStr">
        <is>
          <t>20 rue Jean Jaurès</t>
        </is>
      </c>
      <c r="J60" t="inlineStr">
        <is>
          <t>Bât. B</t>
        </is>
      </c>
      <c r="K60" t="inlineStr">
        <is>
          <t>75011</t>
        </is>
      </c>
      <c r="L60" t="inlineStr">
        <is>
          <t>Toulouse</t>
        </is>
      </c>
      <c r="M60" t="inlineStr">
        <is>
          <t>FRANCE</t>
        </is>
      </c>
      <c r="N60" t="inlineStr">
        <is>
          <t>Normal</t>
        </is>
      </c>
      <c r="O60" t="inlineStr">
        <is>
          <t>Oui</t>
        </is>
      </c>
      <c r="P60" t="inlineStr"/>
      <c r="Q60" t="inlineStr">
        <is>
          <t>Partenaire</t>
        </is>
      </c>
      <c r="R60" t="inlineStr">
        <is>
          <t>B</t>
        </is>
      </c>
      <c r="S60" t="inlineStr">
        <is>
          <t>Interne</t>
        </is>
      </c>
      <c r="T60" t="inlineStr">
        <is>
          <t>OCC</t>
        </is>
      </c>
      <c r="U60" s="10" t="n">
        <v>45912</v>
      </c>
      <c r="V60" t="inlineStr">
        <is>
          <t>Inactif</t>
        </is>
      </c>
    </row>
    <row r="61">
      <c r="A61" t="inlineStr">
        <is>
          <t>C0058</t>
        </is>
      </c>
      <c r="B61" t="inlineStr">
        <is>
          <t>Hugo Dupont</t>
        </is>
      </c>
      <c r="C61" t="inlineStr">
        <is>
          <t>Client</t>
        </is>
      </c>
      <c r="D61" t="inlineStr">
        <is>
          <t>COO</t>
        </is>
      </c>
      <c r="E61" t="inlineStr">
        <is>
          <t>Société Nova</t>
        </is>
      </c>
      <c r="F61" t="inlineStr"/>
      <c r="G61" t="inlineStr">
        <is>
          <t>h.dupont@nova.com</t>
        </is>
      </c>
      <c r="H61" t="inlineStr">
        <is>
          <t>+33 7 96 46 87 44</t>
        </is>
      </c>
      <c r="I61" t="inlineStr">
        <is>
          <t>27 rue des Fleurs</t>
        </is>
      </c>
      <c r="J61" t="inlineStr">
        <is>
          <t>Bât. A</t>
        </is>
      </c>
      <c r="K61" t="inlineStr">
        <is>
          <t>44000</t>
        </is>
      </c>
      <c r="L61" t="inlineStr">
        <is>
          <t>Bordeaux</t>
        </is>
      </c>
      <c r="M61" t="inlineStr">
        <is>
          <t>FRANCE</t>
        </is>
      </c>
      <c r="N61" t="inlineStr">
        <is>
          <t>Normal</t>
        </is>
      </c>
      <c r="O61" t="inlineStr">
        <is>
          <t>Oui</t>
        </is>
      </c>
      <c r="P61" t="inlineStr"/>
      <c r="Q61" t="inlineStr">
        <is>
          <t>Partenaire</t>
        </is>
      </c>
      <c r="R61" t="inlineStr">
        <is>
          <t>A</t>
        </is>
      </c>
      <c r="S61" t="inlineStr">
        <is>
          <t>Prospect</t>
        </is>
      </c>
      <c r="T61" t="inlineStr">
        <is>
          <t>PACA</t>
        </is>
      </c>
      <c r="U61" s="10" t="n">
        <v>45915</v>
      </c>
      <c r="V61" t="inlineStr">
        <is>
          <t>À surveiller</t>
        </is>
      </c>
    </row>
    <row r="62">
      <c r="A62" t="inlineStr">
        <is>
          <t>C0059</t>
        </is>
      </c>
      <c r="B62" t="inlineStr">
        <is>
          <t>Alice Moreau</t>
        </is>
      </c>
      <c r="C62" t="inlineStr">
        <is>
          <t>Institution</t>
        </is>
      </c>
      <c r="D62" t="inlineStr">
        <is>
          <t>CTO</t>
        </is>
      </c>
      <c r="E62" t="inlineStr">
        <is>
          <t>Hôpital Omega</t>
        </is>
      </c>
      <c r="F62" t="inlineStr"/>
      <c r="G62" t="inlineStr">
        <is>
          <t>a.moreau@omega.com</t>
        </is>
      </c>
      <c r="H62" t="inlineStr">
        <is>
          <t>+33 7 82 54 21 40</t>
        </is>
      </c>
      <c r="I62" t="inlineStr">
        <is>
          <t>10 rue Voltaire</t>
        </is>
      </c>
      <c r="J62" t="inlineStr">
        <is>
          <t>Bât. B</t>
        </is>
      </c>
      <c r="K62" t="inlineStr"/>
      <c r="L62" t="inlineStr">
        <is>
          <t>Genève</t>
        </is>
      </c>
      <c r="M62" t="inlineStr">
        <is>
          <t>ROYAUME-UNI</t>
        </is>
      </c>
      <c r="N62" t="inlineStr">
        <is>
          <t>Sensible / PEP</t>
        </is>
      </c>
      <c r="O62" t="inlineStr">
        <is>
          <t>Oui</t>
        </is>
      </c>
      <c r="P62" t="inlineStr"/>
      <c r="Q62" t="inlineStr">
        <is>
          <t>B2G</t>
        </is>
      </c>
      <c r="R62" t="inlineStr">
        <is>
          <t>A</t>
        </is>
      </c>
      <c r="S62" t="inlineStr">
        <is>
          <t>Prospect</t>
        </is>
      </c>
      <c r="T62" t="inlineStr">
        <is>
          <t>GE</t>
        </is>
      </c>
      <c r="U62" s="10" t="n">
        <v>45772</v>
      </c>
      <c r="V62" t="inlineStr">
        <is>
          <t>Actif</t>
        </is>
      </c>
    </row>
    <row r="63">
      <c r="A63" t="inlineStr">
        <is>
          <t>C0060</t>
        </is>
      </c>
      <c r="B63" t="inlineStr">
        <is>
          <t>Omar Nguyen</t>
        </is>
      </c>
      <c r="C63" t="inlineStr">
        <is>
          <t>Prospect</t>
        </is>
      </c>
      <c r="D63" t="inlineStr">
        <is>
          <t>Directeur Achats</t>
        </is>
      </c>
      <c r="E63" t="inlineStr">
        <is>
          <t>Mairie Atlas</t>
        </is>
      </c>
      <c r="F63" t="inlineStr"/>
      <c r="G63" t="inlineStr">
        <is>
          <t>o.nguyen@atlas.com</t>
        </is>
      </c>
      <c r="H63" t="inlineStr">
        <is>
          <t>+33 9 23 57 87 80</t>
        </is>
      </c>
      <c r="I63" t="inlineStr">
        <is>
          <t>13 rue de la République</t>
        </is>
      </c>
      <c r="J63" t="inlineStr">
        <is>
          <t>Bât. A</t>
        </is>
      </c>
      <c r="K63" t="inlineStr"/>
      <c r="L63" t="inlineStr">
        <is>
          <t>Bruxelles</t>
        </is>
      </c>
      <c r="M63" t="inlineStr">
        <is>
          <t>MAROC</t>
        </is>
      </c>
      <c r="N63" t="inlineStr">
        <is>
          <t>Normal</t>
        </is>
      </c>
      <c r="O63" t="inlineStr">
        <is>
          <t>Oui</t>
        </is>
      </c>
      <c r="P63" t="inlineStr"/>
      <c r="Q63" t="inlineStr">
        <is>
          <t>Interne</t>
        </is>
      </c>
      <c r="R63" t="inlineStr">
        <is>
          <t>B</t>
        </is>
      </c>
      <c r="S63" t="inlineStr">
        <is>
          <t>Partenaire</t>
        </is>
      </c>
      <c r="T63" t="inlineStr">
        <is>
          <t>NAQ</t>
        </is>
      </c>
      <c r="U63" s="10" t="n">
        <v>45919</v>
      </c>
      <c r="V63" t="inlineStr">
        <is>
          <t>Actif</t>
        </is>
      </c>
    </row>
    <row r="64">
      <c r="A64" t="inlineStr">
        <is>
          <t>C0061</t>
        </is>
      </c>
      <c r="B64" t="inlineStr">
        <is>
          <t>Léa Lopez</t>
        </is>
      </c>
      <c r="C64" t="inlineStr">
        <is>
          <t>Interne</t>
        </is>
      </c>
      <c r="D64" t="inlineStr">
        <is>
          <t>CTO</t>
        </is>
      </c>
      <c r="E64" t="inlineStr">
        <is>
          <t>Agence Atlas</t>
        </is>
      </c>
      <c r="F64" t="inlineStr"/>
      <c r="G64" t="inlineStr">
        <is>
          <t>l.lopez@atlas.com</t>
        </is>
      </c>
      <c r="H64" t="inlineStr">
        <is>
          <t>+33 3 84 14 11 32</t>
        </is>
      </c>
      <c r="I64" t="inlineStr">
        <is>
          <t>30 rue des Fleurs</t>
        </is>
      </c>
      <c r="J64" t="inlineStr">
        <is>
          <t>Bât. A</t>
        </is>
      </c>
      <c r="K64" t="inlineStr"/>
      <c r="L64" t="inlineStr">
        <is>
          <t>Milan</t>
        </is>
      </c>
      <c r="M64" t="inlineStr">
        <is>
          <t>BELGIQUE</t>
        </is>
      </c>
      <c r="N64" t="inlineStr">
        <is>
          <t>Normal</t>
        </is>
      </c>
      <c r="O64" t="inlineStr">
        <is>
          <t>Oui</t>
        </is>
      </c>
      <c r="P64" t="inlineStr"/>
      <c r="Q64" t="inlineStr">
        <is>
          <t>B2B</t>
        </is>
      </c>
      <c r="R64" t="inlineStr">
        <is>
          <t>C</t>
        </is>
      </c>
      <c r="S64" t="inlineStr">
        <is>
          <t>Institution</t>
        </is>
      </c>
      <c r="T64" t="inlineStr">
        <is>
          <t>GE</t>
        </is>
      </c>
      <c r="U64" s="10" t="n">
        <v>45798</v>
      </c>
      <c r="V64" t="inlineStr">
        <is>
          <t>Actif</t>
        </is>
      </c>
    </row>
    <row r="65">
      <c r="A65" t="inlineStr">
        <is>
          <t>C0062</t>
        </is>
      </c>
      <c r="B65" t="inlineStr">
        <is>
          <t>Lucie Ouali</t>
        </is>
      </c>
      <c r="C65" t="inlineStr">
        <is>
          <t>Client</t>
        </is>
      </c>
      <c r="D65" t="inlineStr">
        <is>
          <t>DAF</t>
        </is>
      </c>
      <c r="E65" t="inlineStr">
        <is>
          <t>Ministère Beta</t>
        </is>
      </c>
      <c r="F65" t="inlineStr"/>
      <c r="G65" t="inlineStr">
        <is>
          <t>l.ouali@beta.com</t>
        </is>
      </c>
      <c r="H65" t="inlineStr">
        <is>
          <t>+33 8 84 57 84 36</t>
        </is>
      </c>
      <c r="I65" t="inlineStr">
        <is>
          <t>6 rue Jean Jaurès</t>
        </is>
      </c>
      <c r="J65" t="inlineStr">
        <is>
          <t>Appt. 12</t>
        </is>
      </c>
      <c r="K65" t="inlineStr"/>
      <c r="L65" t="inlineStr">
        <is>
          <t>Londres</t>
        </is>
      </c>
      <c r="M65" t="inlineStr">
        <is>
          <t>MAROC</t>
        </is>
      </c>
      <c r="N65" t="inlineStr">
        <is>
          <t>Normal</t>
        </is>
      </c>
      <c r="O65" t="inlineStr">
        <is>
          <t>Oui</t>
        </is>
      </c>
      <c r="P65" t="inlineStr"/>
      <c r="Q65" t="inlineStr">
        <is>
          <t>B2C</t>
        </is>
      </c>
      <c r="R65" t="inlineStr">
        <is>
          <t>A</t>
        </is>
      </c>
      <c r="S65" t="inlineStr">
        <is>
          <t>Partenaire</t>
        </is>
      </c>
      <c r="T65" t="inlineStr">
        <is>
          <t>NAQ</t>
        </is>
      </c>
      <c r="U65" s="10" t="n">
        <v>45949</v>
      </c>
      <c r="V65" t="inlineStr">
        <is>
          <t>À surveiller</t>
        </is>
      </c>
    </row>
    <row r="66">
      <c r="A66" t="inlineStr">
        <is>
          <t>C0063</t>
        </is>
      </c>
      <c r="B66" t="inlineStr">
        <is>
          <t>Jean Lopez</t>
        </is>
      </c>
      <c r="C66" t="inlineStr">
        <is>
          <t>Interne</t>
        </is>
      </c>
      <c r="D66" t="inlineStr">
        <is>
          <t>DAF</t>
        </is>
      </c>
      <c r="E66" t="inlineStr">
        <is>
          <t>Hôpital Cygne</t>
        </is>
      </c>
      <c r="F66" t="inlineStr"/>
      <c r="G66" t="inlineStr">
        <is>
          <t>j.lopez@cygne.com</t>
        </is>
      </c>
      <c r="H66" t="inlineStr">
        <is>
          <t>+33 9 10 48 17 85</t>
        </is>
      </c>
      <c r="I66" t="inlineStr">
        <is>
          <t>89 rue Jean Jaurès</t>
        </is>
      </c>
      <c r="J66" t="inlineStr">
        <is>
          <t>Bât. B</t>
        </is>
      </c>
      <c r="K66" t="inlineStr"/>
      <c r="L66" t="inlineStr">
        <is>
          <t>Berlin</t>
        </is>
      </c>
      <c r="M66" t="inlineStr">
        <is>
          <t>SUISSE</t>
        </is>
      </c>
      <c r="N66" t="inlineStr">
        <is>
          <t>Normal</t>
        </is>
      </c>
      <c r="O66" t="inlineStr">
        <is>
          <t>Oui</t>
        </is>
      </c>
      <c r="P66" t="inlineStr"/>
      <c r="Q66" t="inlineStr">
        <is>
          <t>B2C</t>
        </is>
      </c>
      <c r="R66" t="inlineStr">
        <is>
          <t>C</t>
        </is>
      </c>
      <c r="S66" t="inlineStr">
        <is>
          <t>Client</t>
        </is>
      </c>
      <c r="T66" t="inlineStr">
        <is>
          <t>OCC</t>
        </is>
      </c>
      <c r="U66" s="10" t="n">
        <v>45939</v>
      </c>
      <c r="V66" t="inlineStr">
        <is>
          <t>À surveiller</t>
        </is>
      </c>
    </row>
    <row r="67">
      <c r="A67" t="inlineStr">
        <is>
          <t>C0064</t>
        </is>
      </c>
      <c r="B67" t="inlineStr">
        <is>
          <t>Alice Benali</t>
        </is>
      </c>
      <c r="C67" t="inlineStr">
        <is>
          <t>Prospect</t>
        </is>
      </c>
      <c r="D67" t="inlineStr">
        <is>
          <t>Responsable Com.</t>
        </is>
      </c>
      <c r="E67" t="inlineStr">
        <is>
          <t>Cabinet Omega</t>
        </is>
      </c>
      <c r="F67" t="inlineStr"/>
      <c r="G67" t="inlineStr">
        <is>
          <t>a.benali@omega.com</t>
        </is>
      </c>
      <c r="H67" t="inlineStr">
        <is>
          <t>+33 7 42 54 15 34</t>
        </is>
      </c>
      <c r="I67" t="inlineStr">
        <is>
          <t>51 rue de la Paix</t>
        </is>
      </c>
      <c r="J67" t="inlineStr">
        <is>
          <t>Bât. B</t>
        </is>
      </c>
      <c r="K67" t="inlineStr"/>
      <c r="L67" t="inlineStr">
        <is>
          <t>Casablanca</t>
        </is>
      </c>
      <c r="M67" t="inlineStr">
        <is>
          <t>ALLEMAGNE</t>
        </is>
      </c>
      <c r="N67" t="inlineStr">
        <is>
          <t>Normal</t>
        </is>
      </c>
      <c r="O67" t="inlineStr">
        <is>
          <t>Oui</t>
        </is>
      </c>
      <c r="P67" t="inlineStr"/>
      <c r="Q67" t="inlineStr">
        <is>
          <t>B2G</t>
        </is>
      </c>
      <c r="R67" t="inlineStr">
        <is>
          <t>B</t>
        </is>
      </c>
      <c r="S67" t="inlineStr">
        <is>
          <t>Institution</t>
        </is>
      </c>
      <c r="T67" t="inlineStr">
        <is>
          <t>ARA</t>
        </is>
      </c>
      <c r="U67" s="10" t="n">
        <v>45837</v>
      </c>
      <c r="V67" t="inlineStr">
        <is>
          <t>Inactif</t>
        </is>
      </c>
    </row>
  </sheetData>
  <autoFilter ref="A3:V67"/>
  <mergeCells count="1">
    <mergeCell ref="A1:P2"/>
  </mergeCells>
  <conditionalFormatting sqref="A4:V4">
    <cfRule type="expression" priority="1" dxfId="9">
      <formula>$N4="Sensible / PEP"</formula>
    </cfRule>
  </conditionalFormatting>
  <conditionalFormatting sqref="A5:V5">
    <cfRule type="expression" priority="2" dxfId="9">
      <formula>$N5="Sensible / PEP"</formula>
    </cfRule>
  </conditionalFormatting>
  <conditionalFormatting sqref="A6:V6">
    <cfRule type="expression" priority="3" dxfId="9">
      <formula>$N6="Sensible / PEP"</formula>
    </cfRule>
  </conditionalFormatting>
  <conditionalFormatting sqref="A7:V7">
    <cfRule type="expression" priority="4" dxfId="9">
      <formula>$N7="Sensible / PEP"</formula>
    </cfRule>
  </conditionalFormatting>
  <conditionalFormatting sqref="A8:V8">
    <cfRule type="expression" priority="5" dxfId="9">
      <formula>$N8="Sensible / PEP"</formula>
    </cfRule>
  </conditionalFormatting>
  <conditionalFormatting sqref="A9:V9">
    <cfRule type="expression" priority="6" dxfId="9">
      <formula>$N9="Sensible / PEP"</formula>
    </cfRule>
  </conditionalFormatting>
  <conditionalFormatting sqref="A10:V10">
    <cfRule type="expression" priority="7" dxfId="9">
      <formula>$N10="Sensible / PEP"</formula>
    </cfRule>
  </conditionalFormatting>
  <conditionalFormatting sqref="A11:V11">
    <cfRule type="expression" priority="8" dxfId="9">
      <formula>$N11="Sensible / PEP"</formula>
    </cfRule>
  </conditionalFormatting>
  <conditionalFormatting sqref="A12:V12">
    <cfRule type="expression" priority="9" dxfId="9">
      <formula>$N12="Sensible / PEP"</formula>
    </cfRule>
  </conditionalFormatting>
  <conditionalFormatting sqref="A13:V13">
    <cfRule type="expression" priority="10" dxfId="9">
      <formula>$N13="Sensible / PEP"</formula>
    </cfRule>
  </conditionalFormatting>
  <conditionalFormatting sqref="A14:V14">
    <cfRule type="expression" priority="11" dxfId="9">
      <formula>$N14="Sensible / PEP"</formula>
    </cfRule>
  </conditionalFormatting>
  <conditionalFormatting sqref="A15:V15">
    <cfRule type="expression" priority="12" dxfId="9">
      <formula>$N15="Sensible / PEP"</formula>
    </cfRule>
  </conditionalFormatting>
  <conditionalFormatting sqref="A16:V16">
    <cfRule type="expression" priority="13" dxfId="9">
      <formula>$N16="Sensible / PEP"</formula>
    </cfRule>
  </conditionalFormatting>
  <conditionalFormatting sqref="A17:V17">
    <cfRule type="expression" priority="14" dxfId="9">
      <formula>$N17="Sensible / PEP"</formula>
    </cfRule>
  </conditionalFormatting>
  <conditionalFormatting sqref="A18:V18">
    <cfRule type="expression" priority="15" dxfId="9">
      <formula>$N18="Sensible / PEP"</formula>
    </cfRule>
  </conditionalFormatting>
  <conditionalFormatting sqref="A19:V19">
    <cfRule type="expression" priority="16" dxfId="9">
      <formula>$N19="Sensible / PEP"</formula>
    </cfRule>
  </conditionalFormatting>
  <conditionalFormatting sqref="A20:V20">
    <cfRule type="expression" priority="17" dxfId="9">
      <formula>$N20="Sensible / PEP"</formula>
    </cfRule>
  </conditionalFormatting>
  <conditionalFormatting sqref="A21:V21">
    <cfRule type="expression" priority="18" dxfId="9">
      <formula>$N21="Sensible / PEP"</formula>
    </cfRule>
  </conditionalFormatting>
  <conditionalFormatting sqref="A22:V22">
    <cfRule type="expression" priority="19" dxfId="9">
      <formula>$N22="Sensible / PEP"</formula>
    </cfRule>
  </conditionalFormatting>
  <conditionalFormatting sqref="A23:V23">
    <cfRule type="expression" priority="20" dxfId="9">
      <formula>$N23="Sensible / PEP"</formula>
    </cfRule>
  </conditionalFormatting>
  <conditionalFormatting sqref="A24:V24">
    <cfRule type="expression" priority="21" dxfId="9">
      <formula>$N24="Sensible / PEP"</formula>
    </cfRule>
  </conditionalFormatting>
  <conditionalFormatting sqref="A25:V25">
    <cfRule type="expression" priority="22" dxfId="9">
      <formula>$N25="Sensible / PEP"</formula>
    </cfRule>
  </conditionalFormatting>
  <conditionalFormatting sqref="A26:V26">
    <cfRule type="expression" priority="23" dxfId="9">
      <formula>$N26="Sensible / PEP"</formula>
    </cfRule>
  </conditionalFormatting>
  <conditionalFormatting sqref="A27:V27">
    <cfRule type="expression" priority="24" dxfId="9">
      <formula>$N27="Sensible / PEP"</formula>
    </cfRule>
  </conditionalFormatting>
  <conditionalFormatting sqref="A28:V28">
    <cfRule type="expression" priority="25" dxfId="9">
      <formula>$N28="Sensible / PEP"</formula>
    </cfRule>
  </conditionalFormatting>
  <conditionalFormatting sqref="A29:V29">
    <cfRule type="expression" priority="26" dxfId="9">
      <formula>$N29="Sensible / PEP"</formula>
    </cfRule>
  </conditionalFormatting>
  <conditionalFormatting sqref="A30:V30">
    <cfRule type="expression" priority="27" dxfId="9">
      <formula>$N30="Sensible / PEP"</formula>
    </cfRule>
  </conditionalFormatting>
  <conditionalFormatting sqref="A31:V31">
    <cfRule type="expression" priority="28" dxfId="9">
      <formula>$N31="Sensible / PEP"</formula>
    </cfRule>
  </conditionalFormatting>
  <conditionalFormatting sqref="A32:V32">
    <cfRule type="expression" priority="29" dxfId="9">
      <formula>$N32="Sensible / PEP"</formula>
    </cfRule>
  </conditionalFormatting>
  <conditionalFormatting sqref="A33:V33">
    <cfRule type="expression" priority="30" dxfId="9">
      <formula>$N33="Sensible / PEP"</formula>
    </cfRule>
  </conditionalFormatting>
  <conditionalFormatting sqref="A34:V34">
    <cfRule type="expression" priority="31" dxfId="9">
      <formula>$N34="Sensible / PEP"</formula>
    </cfRule>
  </conditionalFormatting>
  <conditionalFormatting sqref="A35:V35">
    <cfRule type="expression" priority="32" dxfId="9">
      <formula>$N35="Sensible / PEP"</formula>
    </cfRule>
  </conditionalFormatting>
  <conditionalFormatting sqref="A36:V36">
    <cfRule type="expression" priority="33" dxfId="9">
      <formula>$N36="Sensible / PEP"</formula>
    </cfRule>
  </conditionalFormatting>
  <conditionalFormatting sqref="A37:V37">
    <cfRule type="expression" priority="34" dxfId="9">
      <formula>$N37="Sensible / PEP"</formula>
    </cfRule>
  </conditionalFormatting>
  <conditionalFormatting sqref="A38:V38">
    <cfRule type="expression" priority="35" dxfId="9">
      <formula>$N38="Sensible / PEP"</formula>
    </cfRule>
  </conditionalFormatting>
  <conditionalFormatting sqref="A39:V39">
    <cfRule type="expression" priority="36" dxfId="9">
      <formula>$N39="Sensible / PEP"</formula>
    </cfRule>
  </conditionalFormatting>
  <conditionalFormatting sqref="A40:V40">
    <cfRule type="expression" priority="37" dxfId="9">
      <formula>$N40="Sensible / PEP"</formula>
    </cfRule>
  </conditionalFormatting>
  <conditionalFormatting sqref="A41:V41">
    <cfRule type="expression" priority="38" dxfId="9">
      <formula>$N41="Sensible / PEP"</formula>
    </cfRule>
  </conditionalFormatting>
  <conditionalFormatting sqref="A42:V42">
    <cfRule type="expression" priority="39" dxfId="9">
      <formula>$N42="Sensible / PEP"</formula>
    </cfRule>
  </conditionalFormatting>
  <conditionalFormatting sqref="A43:V43">
    <cfRule type="expression" priority="40" dxfId="9">
      <formula>$N43="Sensible / PEP"</formula>
    </cfRule>
  </conditionalFormatting>
  <conditionalFormatting sqref="A44:V44">
    <cfRule type="expression" priority="41" dxfId="9">
      <formula>$N44="Sensible / PEP"</formula>
    </cfRule>
  </conditionalFormatting>
  <conditionalFormatting sqref="A45:V45">
    <cfRule type="expression" priority="42" dxfId="9">
      <formula>$N45="Sensible / PEP"</formula>
    </cfRule>
  </conditionalFormatting>
  <conditionalFormatting sqref="A46:V46">
    <cfRule type="expression" priority="43" dxfId="9">
      <formula>$N46="Sensible / PEP"</formula>
    </cfRule>
  </conditionalFormatting>
  <conditionalFormatting sqref="A47:V47">
    <cfRule type="expression" priority="44" dxfId="9">
      <formula>$N47="Sensible / PEP"</formula>
    </cfRule>
  </conditionalFormatting>
  <conditionalFormatting sqref="A48:V48">
    <cfRule type="expression" priority="45" dxfId="9">
      <formula>$N48="Sensible / PEP"</formula>
    </cfRule>
  </conditionalFormatting>
  <conditionalFormatting sqref="A49:V49">
    <cfRule type="expression" priority="46" dxfId="9">
      <formula>$N49="Sensible / PEP"</formula>
    </cfRule>
  </conditionalFormatting>
  <conditionalFormatting sqref="A50:V50">
    <cfRule type="expression" priority="47" dxfId="9">
      <formula>$N50="Sensible / PEP"</formula>
    </cfRule>
  </conditionalFormatting>
  <conditionalFormatting sqref="A51:V51">
    <cfRule type="expression" priority="48" dxfId="9">
      <formula>$N51="Sensible / PEP"</formula>
    </cfRule>
  </conditionalFormatting>
  <conditionalFormatting sqref="A52:V52">
    <cfRule type="expression" priority="49" dxfId="9">
      <formula>$N52="Sensible / PEP"</formula>
    </cfRule>
  </conditionalFormatting>
  <conditionalFormatting sqref="A53:V53">
    <cfRule type="expression" priority="50" dxfId="9">
      <formula>$N53="Sensible / PEP"</formula>
    </cfRule>
  </conditionalFormatting>
  <conditionalFormatting sqref="A54:V54">
    <cfRule type="expression" priority="51" dxfId="9">
      <formula>$N54="Sensible / PEP"</formula>
    </cfRule>
  </conditionalFormatting>
  <conditionalFormatting sqref="A55:V55">
    <cfRule type="expression" priority="52" dxfId="9">
      <formula>$N55="Sensible / PEP"</formula>
    </cfRule>
  </conditionalFormatting>
  <conditionalFormatting sqref="A56:V56">
    <cfRule type="expression" priority="53" dxfId="9">
      <formula>$N56="Sensible / PEP"</formula>
    </cfRule>
  </conditionalFormatting>
  <conditionalFormatting sqref="A57:V57">
    <cfRule type="expression" priority="54" dxfId="9">
      <formula>$N57="Sensible / PEP"</formula>
    </cfRule>
  </conditionalFormatting>
  <conditionalFormatting sqref="A58:V58">
    <cfRule type="expression" priority="55" dxfId="9">
      <formula>$N58="Sensible / PEP"</formula>
    </cfRule>
  </conditionalFormatting>
  <conditionalFormatting sqref="A59:V59">
    <cfRule type="expression" priority="56" dxfId="9">
      <formula>$N59="Sensible / PEP"</formula>
    </cfRule>
  </conditionalFormatting>
  <conditionalFormatting sqref="A60:V60">
    <cfRule type="expression" priority="57" dxfId="9">
      <formula>$N60="Sensible / PEP"</formula>
    </cfRule>
  </conditionalFormatting>
  <conditionalFormatting sqref="A61:V61">
    <cfRule type="expression" priority="58" dxfId="9">
      <formula>$N61="Sensible / PEP"</formula>
    </cfRule>
  </conditionalFormatting>
  <conditionalFormatting sqref="A62:V62">
    <cfRule type="expression" priority="59" dxfId="9">
      <formula>$N62="Sensible / PEP"</formula>
    </cfRule>
  </conditionalFormatting>
  <conditionalFormatting sqref="A63:V63">
    <cfRule type="expression" priority="60" dxfId="9">
      <formula>$N63="Sensible / PEP"</formula>
    </cfRule>
  </conditionalFormatting>
  <conditionalFormatting sqref="A64:V64">
    <cfRule type="expression" priority="61" dxfId="9">
      <formula>$N64="Sensible / PEP"</formula>
    </cfRule>
  </conditionalFormatting>
  <conditionalFormatting sqref="A65:V65">
    <cfRule type="expression" priority="62" dxfId="9">
      <formula>$N65="Sensible / PEP"</formula>
    </cfRule>
  </conditionalFormatting>
  <conditionalFormatting sqref="A66:V66">
    <cfRule type="expression" priority="63" dxfId="9">
      <formula>$N66="Sensible / PEP"</formula>
    </cfRule>
  </conditionalFormatting>
  <conditionalFormatting sqref="A67:V67">
    <cfRule type="expression" priority="64" dxfId="9">
      <formula>$N67="Sensible / PEP"</formula>
    </cfRule>
  </conditionalFormatting>
  <conditionalFormatting sqref="O4">
    <cfRule type="expression" priority="65" dxfId="10">
      <formula>O4="Non"</formula>
    </cfRule>
  </conditionalFormatting>
  <conditionalFormatting sqref="O5">
    <cfRule type="expression" priority="66" dxfId="10">
      <formula>O5="Non"</formula>
    </cfRule>
  </conditionalFormatting>
  <conditionalFormatting sqref="O6">
    <cfRule type="expression" priority="67" dxfId="10">
      <formula>O6="Non"</formula>
    </cfRule>
  </conditionalFormatting>
  <conditionalFormatting sqref="O7">
    <cfRule type="expression" priority="68" dxfId="10">
      <formula>O7="Non"</formula>
    </cfRule>
  </conditionalFormatting>
  <conditionalFormatting sqref="O8">
    <cfRule type="expression" priority="69" dxfId="10">
      <formula>O8="Non"</formula>
    </cfRule>
  </conditionalFormatting>
  <conditionalFormatting sqref="O9">
    <cfRule type="expression" priority="70" dxfId="10">
      <formula>O9="Non"</formula>
    </cfRule>
  </conditionalFormatting>
  <conditionalFormatting sqref="O10">
    <cfRule type="expression" priority="71" dxfId="10">
      <formula>O10="Non"</formula>
    </cfRule>
  </conditionalFormatting>
  <conditionalFormatting sqref="O11">
    <cfRule type="expression" priority="72" dxfId="10">
      <formula>O11="Non"</formula>
    </cfRule>
  </conditionalFormatting>
  <conditionalFormatting sqref="O12">
    <cfRule type="expression" priority="73" dxfId="10">
      <formula>O12="Non"</formula>
    </cfRule>
  </conditionalFormatting>
  <conditionalFormatting sqref="O13">
    <cfRule type="expression" priority="74" dxfId="10">
      <formula>O13="Non"</formula>
    </cfRule>
  </conditionalFormatting>
  <conditionalFormatting sqref="O14">
    <cfRule type="expression" priority="75" dxfId="10">
      <formula>O14="Non"</formula>
    </cfRule>
  </conditionalFormatting>
  <conditionalFormatting sqref="O15">
    <cfRule type="expression" priority="76" dxfId="10">
      <formula>O15="Non"</formula>
    </cfRule>
  </conditionalFormatting>
  <conditionalFormatting sqref="O16">
    <cfRule type="expression" priority="77" dxfId="10">
      <formula>O16="Non"</formula>
    </cfRule>
  </conditionalFormatting>
  <conditionalFormatting sqref="O17">
    <cfRule type="expression" priority="78" dxfId="10">
      <formula>O17="Non"</formula>
    </cfRule>
  </conditionalFormatting>
  <conditionalFormatting sqref="O18">
    <cfRule type="expression" priority="79" dxfId="10">
      <formula>O18="Non"</formula>
    </cfRule>
  </conditionalFormatting>
  <conditionalFormatting sqref="O19">
    <cfRule type="expression" priority="80" dxfId="10">
      <formula>O19="Non"</formula>
    </cfRule>
  </conditionalFormatting>
  <conditionalFormatting sqref="O20">
    <cfRule type="expression" priority="81" dxfId="10">
      <formula>O20="Non"</formula>
    </cfRule>
  </conditionalFormatting>
  <conditionalFormatting sqref="O21">
    <cfRule type="expression" priority="82" dxfId="10">
      <formula>O21="Non"</formula>
    </cfRule>
  </conditionalFormatting>
  <conditionalFormatting sqref="O22">
    <cfRule type="expression" priority="83" dxfId="10">
      <formula>O22="Non"</formula>
    </cfRule>
  </conditionalFormatting>
  <conditionalFormatting sqref="O23">
    <cfRule type="expression" priority="84" dxfId="10">
      <formula>O23="Non"</formula>
    </cfRule>
  </conditionalFormatting>
  <conditionalFormatting sqref="O24">
    <cfRule type="expression" priority="85" dxfId="10">
      <formula>O24="Non"</formula>
    </cfRule>
  </conditionalFormatting>
  <conditionalFormatting sqref="O25">
    <cfRule type="expression" priority="86" dxfId="10">
      <formula>O25="Non"</formula>
    </cfRule>
  </conditionalFormatting>
  <conditionalFormatting sqref="O26">
    <cfRule type="expression" priority="87" dxfId="10">
      <formula>O26="Non"</formula>
    </cfRule>
  </conditionalFormatting>
  <conditionalFormatting sqref="O27">
    <cfRule type="expression" priority="88" dxfId="10">
      <formula>O27="Non"</formula>
    </cfRule>
  </conditionalFormatting>
  <conditionalFormatting sqref="O28">
    <cfRule type="expression" priority="89" dxfId="10">
      <formula>O28="Non"</formula>
    </cfRule>
  </conditionalFormatting>
  <conditionalFormatting sqref="O29">
    <cfRule type="expression" priority="90" dxfId="10">
      <formula>O29="Non"</formula>
    </cfRule>
  </conditionalFormatting>
  <conditionalFormatting sqref="O30">
    <cfRule type="expression" priority="91" dxfId="10">
      <formula>O30="Non"</formula>
    </cfRule>
  </conditionalFormatting>
  <conditionalFormatting sqref="O31">
    <cfRule type="expression" priority="92" dxfId="10">
      <formula>O31="Non"</formula>
    </cfRule>
  </conditionalFormatting>
  <conditionalFormatting sqref="O32">
    <cfRule type="expression" priority="93" dxfId="10">
      <formula>O32="Non"</formula>
    </cfRule>
  </conditionalFormatting>
  <conditionalFormatting sqref="O33">
    <cfRule type="expression" priority="94" dxfId="10">
      <formula>O33="Non"</formula>
    </cfRule>
  </conditionalFormatting>
  <conditionalFormatting sqref="O34">
    <cfRule type="expression" priority="95" dxfId="10">
      <formula>O34="Non"</formula>
    </cfRule>
  </conditionalFormatting>
  <conditionalFormatting sqref="O35">
    <cfRule type="expression" priority="96" dxfId="10">
      <formula>O35="Non"</formula>
    </cfRule>
  </conditionalFormatting>
  <conditionalFormatting sqref="O36">
    <cfRule type="expression" priority="97" dxfId="10">
      <formula>O36="Non"</formula>
    </cfRule>
  </conditionalFormatting>
  <conditionalFormatting sqref="O37">
    <cfRule type="expression" priority="98" dxfId="10">
      <formula>O37="Non"</formula>
    </cfRule>
  </conditionalFormatting>
  <conditionalFormatting sqref="O38">
    <cfRule type="expression" priority="99" dxfId="10">
      <formula>O38="Non"</formula>
    </cfRule>
  </conditionalFormatting>
  <conditionalFormatting sqref="O39">
    <cfRule type="expression" priority="100" dxfId="10">
      <formula>O39="Non"</formula>
    </cfRule>
  </conditionalFormatting>
  <conditionalFormatting sqref="O40">
    <cfRule type="expression" priority="101" dxfId="10">
      <formula>O40="Non"</formula>
    </cfRule>
  </conditionalFormatting>
  <conditionalFormatting sqref="O41">
    <cfRule type="expression" priority="102" dxfId="10">
      <formula>O41="Non"</formula>
    </cfRule>
  </conditionalFormatting>
  <conditionalFormatting sqref="O42">
    <cfRule type="expression" priority="103" dxfId="10">
      <formula>O42="Non"</formula>
    </cfRule>
  </conditionalFormatting>
  <conditionalFormatting sqref="O43">
    <cfRule type="expression" priority="104" dxfId="10">
      <formula>O43="Non"</formula>
    </cfRule>
  </conditionalFormatting>
  <conditionalFormatting sqref="O44">
    <cfRule type="expression" priority="105" dxfId="10">
      <formula>O44="Non"</formula>
    </cfRule>
  </conditionalFormatting>
  <conditionalFormatting sqref="O45">
    <cfRule type="expression" priority="106" dxfId="10">
      <formula>O45="Non"</formula>
    </cfRule>
  </conditionalFormatting>
  <conditionalFormatting sqref="O46">
    <cfRule type="expression" priority="107" dxfId="10">
      <formula>O46="Non"</formula>
    </cfRule>
  </conditionalFormatting>
  <conditionalFormatting sqref="O47">
    <cfRule type="expression" priority="108" dxfId="10">
      <formula>O47="Non"</formula>
    </cfRule>
  </conditionalFormatting>
  <conditionalFormatting sqref="O48">
    <cfRule type="expression" priority="109" dxfId="10">
      <formula>O48="Non"</formula>
    </cfRule>
  </conditionalFormatting>
  <conditionalFormatting sqref="O49">
    <cfRule type="expression" priority="110" dxfId="10">
      <formula>O49="Non"</formula>
    </cfRule>
  </conditionalFormatting>
  <conditionalFormatting sqref="O50">
    <cfRule type="expression" priority="111" dxfId="10">
      <formula>O50="Non"</formula>
    </cfRule>
  </conditionalFormatting>
  <conditionalFormatting sqref="O51">
    <cfRule type="expression" priority="112" dxfId="10">
      <formula>O51="Non"</formula>
    </cfRule>
  </conditionalFormatting>
  <conditionalFormatting sqref="O52">
    <cfRule type="expression" priority="113" dxfId="10">
      <formula>O52="Non"</formula>
    </cfRule>
  </conditionalFormatting>
  <conditionalFormatting sqref="O53">
    <cfRule type="expression" priority="114" dxfId="10">
      <formula>O53="Non"</formula>
    </cfRule>
  </conditionalFormatting>
  <conditionalFormatting sqref="O54">
    <cfRule type="expression" priority="115" dxfId="10">
      <formula>O54="Non"</formula>
    </cfRule>
  </conditionalFormatting>
  <conditionalFormatting sqref="O55">
    <cfRule type="expression" priority="116" dxfId="10">
      <formula>O55="Non"</formula>
    </cfRule>
  </conditionalFormatting>
  <conditionalFormatting sqref="O56">
    <cfRule type="expression" priority="117" dxfId="10">
      <formula>O56="Non"</formula>
    </cfRule>
  </conditionalFormatting>
  <conditionalFormatting sqref="O57">
    <cfRule type="expression" priority="118" dxfId="10">
      <formula>O57="Non"</formula>
    </cfRule>
  </conditionalFormatting>
  <conditionalFormatting sqref="O58">
    <cfRule type="expression" priority="119" dxfId="10">
      <formula>O58="Non"</formula>
    </cfRule>
  </conditionalFormatting>
  <conditionalFormatting sqref="O59">
    <cfRule type="expression" priority="120" dxfId="10">
      <formula>O59="Non"</formula>
    </cfRule>
  </conditionalFormatting>
  <conditionalFormatting sqref="O60">
    <cfRule type="expression" priority="121" dxfId="10">
      <formula>O60="Non"</formula>
    </cfRule>
  </conditionalFormatting>
  <conditionalFormatting sqref="O61">
    <cfRule type="expression" priority="122" dxfId="10">
      <formula>O61="Non"</formula>
    </cfRule>
  </conditionalFormatting>
  <conditionalFormatting sqref="O62">
    <cfRule type="expression" priority="123" dxfId="10">
      <formula>O62="Non"</formula>
    </cfRule>
  </conditionalFormatting>
  <conditionalFormatting sqref="O63">
    <cfRule type="expression" priority="124" dxfId="10">
      <formula>O63="Non"</formula>
    </cfRule>
  </conditionalFormatting>
  <conditionalFormatting sqref="O64">
    <cfRule type="expression" priority="125" dxfId="10">
      <formula>O64="Non"</formula>
    </cfRule>
  </conditionalFormatting>
  <conditionalFormatting sqref="O65">
    <cfRule type="expression" priority="126" dxfId="10">
      <formula>O65="Non"</formula>
    </cfRule>
  </conditionalFormatting>
  <conditionalFormatting sqref="O66">
    <cfRule type="expression" priority="127" dxfId="10">
      <formula>O66="Non"</formula>
    </cfRule>
  </conditionalFormatting>
  <conditionalFormatting sqref="O67">
    <cfRule type="expression" priority="128" dxfId="10">
      <formula>O67="Non"</formula>
    </cfRule>
  </conditionalFormatting>
  <conditionalFormatting sqref="Q4:Q67">
    <cfRule type="containsText" priority="129" operator="containsText" dxfId="5" text="B2B"/>
    <cfRule type="containsText" priority="130" operator="containsText" dxfId="4" text="B2G"/>
    <cfRule type="containsText" priority="131" operator="containsText" dxfId="11" text="B2C"/>
    <cfRule type="containsText" priority="132" operator="containsText" dxfId="6" text="Partenaire"/>
    <cfRule type="containsText" priority="133" operator="containsText" dxfId="7" text="Interne"/>
  </conditionalFormatting>
  <conditionalFormatting sqref="R4:R67">
    <cfRule type="containsText" priority="134" operator="containsText" dxfId="2" text="A"/>
    <cfRule type="containsText" priority="135" operator="containsText" dxfId="1" text="B"/>
    <cfRule type="containsText" priority="136" operator="containsText" dxfId="0" text="C"/>
  </conditionalFormatting>
  <dataValidations count="9">
    <dataValidation sqref="C4:C300" showErrorMessage="1" showInputMessage="1" allowBlank="1" type="list">
      <formula1>=Liste_TypeContact</formula1>
    </dataValidation>
    <dataValidation sqref="F4:F300" showErrorMessage="1" showInputMessage="1" allowBlank="1" type="list">
      <formula1>=Liste_Departement</formula1>
    </dataValidation>
    <dataValidation sqref="M4:M300" showErrorMessage="1" showInputMessage="1" allowBlank="1" type="list">
      <formula1>=Liste_Pays</formula1>
    </dataValidation>
    <dataValidation sqref="N4:N300" showErrorMessage="1" showInputMessage="1" allowBlank="1" type="list">
      <formula1>=Liste_Sensibilite</formula1>
    </dataValidation>
    <dataValidation sqref="O4:O300" showErrorMessage="1" showInputMessage="1" allowBlank="1" type="list">
      <formula1>"Oui,Non"</formula1>
    </dataValidation>
    <dataValidation sqref="Q4:Q500" showErrorMessage="1" showInputMessage="1" allowBlank="1" type="list">
      <formula1>=Liste_Segment</formula1>
    </dataValidation>
    <dataValidation sqref="R4:R500" showErrorMessage="1" showInputMessage="1" allowBlank="1" type="list">
      <formula1>=Liste_Tier</formula1>
    </dataValidation>
    <dataValidation sqref="S4:S500" showErrorMessage="1" showInputMessage="1" allowBlank="1" type="list">
      <formula1>=Liste_Relation</formula1>
    </dataValidation>
    <dataValidation sqref="V4:V500" showErrorMessage="1" showInputMessage="1" allowBlank="1" type="list">
      <formula1>=Liste_StatutContact</formula1>
    </dataValidation>
  </dataValidations>
  <pageMargins left="0.4" right="0.4" top="0.6" bottom="0.6" header="0.3" footer="0.3"/>
  <pageSetup orientation="portrait" paperSize="9" fitToHeight="1" fitToWidth="1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cols>
    <col width="8" customWidth="1" min="1" max="1"/>
    <col width="22" customWidth="1" min="2" max="2"/>
    <col width="16" customWidth="1" min="3" max="3"/>
    <col width="28" customWidth="1" min="4" max="4"/>
    <col width="22" customWidth="1" min="5" max="5"/>
  </cols>
  <sheetData>
    <row r="1">
      <c r="A1" s="1" t="inlineStr">
        <is>
          <t>EMPLOYÉS (INTERNE)</t>
        </is>
      </c>
    </row>
    <row r="2"/>
    <row r="3">
      <c r="A3" s="4" t="inlineStr">
        <is>
          <t>ID</t>
        </is>
      </c>
      <c r="B3" s="4" t="inlineStr">
        <is>
          <t>Nom</t>
        </is>
      </c>
      <c r="C3" s="4" t="inlineStr">
        <is>
          <t>Département</t>
        </is>
      </c>
      <c r="D3" s="4" t="inlineStr">
        <is>
          <t>Email</t>
        </is>
      </c>
      <c r="E3" s="4" t="inlineStr">
        <is>
          <t>Manager</t>
        </is>
      </c>
    </row>
    <row r="4">
      <c r="A4" s="5" t="inlineStr">
        <is>
          <t>E001</t>
        </is>
      </c>
      <c r="B4" s="5" t="inlineStr">
        <is>
          <t>Alice Dupont</t>
        </is>
      </c>
      <c r="C4" s="5" t="inlineStr">
        <is>
          <t>Commercial</t>
        </is>
      </c>
      <c r="D4" s="5" t="inlineStr">
        <is>
          <t>alice.dupont@entreprise.fr</t>
        </is>
      </c>
      <c r="E4" s="5" t="inlineStr">
        <is>
          <t>m.bernard@entreprise.fr</t>
        </is>
      </c>
    </row>
    <row r="5">
      <c r="A5" s="5" t="inlineStr">
        <is>
          <t>E002</t>
        </is>
      </c>
      <c r="B5" s="5" t="inlineStr">
        <is>
          <t>Karim Ouali</t>
        </is>
      </c>
      <c r="C5" s="5" t="inlineStr">
        <is>
          <t>Marketing</t>
        </is>
      </c>
      <c r="D5" s="5" t="inlineStr">
        <is>
          <t>karim.ouali@entreprise.fr</t>
        </is>
      </c>
      <c r="E5" s="5" t="inlineStr">
        <is>
          <t>m.bernard@entreprise.fr</t>
        </is>
      </c>
    </row>
    <row r="6">
      <c r="A6" s="5" t="inlineStr">
        <is>
          <t>E003</t>
        </is>
      </c>
      <c r="B6" s="5" t="inlineStr">
        <is>
          <t>Léa Moreau</t>
        </is>
      </c>
      <c r="C6" s="5" t="inlineStr">
        <is>
          <t>Finance</t>
        </is>
      </c>
      <c r="D6" s="5" t="inlineStr">
        <is>
          <t>lea.moreau@entreprise.fr</t>
        </is>
      </c>
      <c r="E6" s="5" t="inlineStr">
        <is>
          <t>d.petit@entreprise.fr</t>
        </is>
      </c>
    </row>
    <row r="7">
      <c r="A7" s="5" t="inlineStr">
        <is>
          <t>E004</t>
        </is>
      </c>
      <c r="B7" s="5" t="inlineStr">
        <is>
          <t>Samir Haddad</t>
        </is>
      </c>
      <c r="C7" s="5" t="inlineStr">
        <is>
          <t>RH</t>
        </is>
      </c>
      <c r="D7" s="5" t="inlineStr">
        <is>
          <t>samir.haddad@entreprise.fr</t>
        </is>
      </c>
      <c r="E7" s="5" t="inlineStr">
        <is>
          <t>d.petit@entreprise.fr</t>
        </is>
      </c>
    </row>
  </sheetData>
  <mergeCells count="1">
    <mergeCell ref="A1:E2"/>
  </mergeCells>
  <pageMargins left="0.4" right="0.4" top="0.6" bottom="0.6" header="0.3" footer="0.3"/>
  <pageSetup orientation="portrait" paperSize="9" fitToHeight="1" fitToWidth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X60"/>
  <sheetViews>
    <sheetView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8" customWidth="1" min="1" max="1"/>
    <col width="12" customWidth="1" min="2" max="2"/>
    <col width="12" customWidth="1" min="3" max="3"/>
    <col width="16" customWidth="1" min="4" max="4"/>
    <col width="28" customWidth="1" min="5" max="5"/>
    <col width="16" customWidth="1" min="6" max="6"/>
    <col width="10" customWidth="1" min="7" max="7"/>
    <col width="10" customWidth="1" min="8" max="8"/>
    <col width="14" customWidth="1" min="9" max="9"/>
    <col width="14" customWidth="1" min="10" max="10"/>
    <col width="22" customWidth="1" min="11" max="11"/>
    <col width="14" customWidth="1" min="12" max="12"/>
    <col width="26" customWidth="1" min="13" max="13"/>
    <col width="20" customWidth="1" min="14" max="14"/>
    <col width="20" customWidth="1" min="15" max="15"/>
    <col width="26" customWidth="1" min="16" max="16"/>
    <col width="14" customWidth="1" min="17" max="17"/>
    <col width="16" customWidth="1" min="18" max="18"/>
    <col width="18" customWidth="1" min="19" max="19"/>
    <col width="20" customWidth="1" min="20" max="20"/>
    <col width="24" customWidth="1" min="21" max="21"/>
    <col width="14" customWidth="1" min="22" max="22"/>
    <col width="28" customWidth="1" min="23" max="23"/>
    <col width="24" customWidth="1" min="24" max="24"/>
  </cols>
  <sheetData>
    <row r="1">
      <c r="A1" s="1" t="inlineStr">
        <is>
          <t>SUIVI DES CADEAUX D'AFFAIRES</t>
        </is>
      </c>
    </row>
    <row r="2"/>
    <row r="6">
      <c r="A6" s="4" t="inlineStr">
        <is>
          <t>ID</t>
        </is>
      </c>
      <c r="B6" s="4" t="inlineStr">
        <is>
          <t>Date</t>
        </is>
      </c>
      <c r="C6" s="4" t="inlineStr">
        <is>
          <t>Mode</t>
        </is>
      </c>
      <c r="D6" s="4" t="inlineStr">
        <is>
          <t>Type cadeau</t>
        </is>
      </c>
      <c r="E6" s="4" t="inlineStr">
        <is>
          <t>Description</t>
        </is>
      </c>
      <c r="F6" s="4" t="inlineStr">
        <is>
          <t>Montant (Devise)</t>
        </is>
      </c>
      <c r="G6" s="4" t="inlineStr">
        <is>
          <t>Devise</t>
        </is>
      </c>
      <c r="H6" s="4" t="inlineStr">
        <is>
          <t>Taux EUR</t>
        </is>
      </c>
      <c r="I6" s="4" t="inlineStr">
        <is>
          <t>Valeur EUR</t>
        </is>
      </c>
      <c r="J6" s="4" t="inlineStr">
        <is>
          <t>Pays</t>
        </is>
      </c>
      <c r="K6" s="4" t="inlineStr">
        <is>
          <t>Lieu/Évènement</t>
        </is>
      </c>
      <c r="L6" s="4" t="inlineStr">
        <is>
          <t>Relation</t>
        </is>
      </c>
      <c r="M6" s="4" t="inlineStr">
        <is>
          <t>Bénéficiaire (Contact)</t>
        </is>
      </c>
      <c r="N6" s="4" t="inlineStr">
        <is>
          <t>Donneur (Employé)</t>
        </is>
      </c>
      <c r="O6" s="4" t="inlineStr">
        <is>
          <t>Statut</t>
        </is>
      </c>
      <c r="P6" s="4" t="inlineStr">
        <is>
          <t>Approver (email)</t>
        </is>
      </c>
      <c r="Q6" s="4" t="inlineStr">
        <is>
          <t>Date approbation</t>
        </is>
      </c>
      <c r="R6" s="4" t="inlineStr">
        <is>
          <t>N° approbation</t>
        </is>
      </c>
      <c r="S6" s="4" t="inlineStr">
        <is>
          <t>Plafond politique (EUR)</t>
        </is>
      </c>
      <c r="T6" s="4" t="inlineStr">
        <is>
          <t>Plafond annuel dest. (EUR)</t>
        </is>
      </c>
      <c r="U6" s="4" t="inlineStr">
        <is>
          <t>Cumul année par contact (EUR)</t>
        </is>
      </c>
      <c r="V6" s="4" t="inlineStr">
        <is>
          <t>Conformité</t>
        </is>
      </c>
      <c r="W6" s="4" t="inlineStr">
        <is>
          <t>Preuve/Lien</t>
        </is>
      </c>
      <c r="X6" s="4" t="inlineStr">
        <is>
          <t>Notes</t>
        </is>
      </c>
    </row>
    <row r="7">
      <c r="A7" s="6">
        <f>TEXT(1,"0000")</f>
        <v/>
      </c>
      <c r="B7" s="11" t="n">
        <v>45898</v>
      </c>
      <c r="C7" s="6" t="inlineStr">
        <is>
          <t>Offert</t>
        </is>
      </c>
      <c r="D7" s="6" t="inlineStr">
        <is>
          <t>Repas</t>
        </is>
      </c>
      <c r="E7" s="6" t="inlineStr">
        <is>
          <t>Déjeuner — cas 100</t>
        </is>
      </c>
      <c r="F7" s="8" t="n">
        <v>20</v>
      </c>
      <c r="G7" s="6" t="inlineStr">
        <is>
          <t>EUR</t>
        </is>
      </c>
      <c r="H7" s="6">
        <f>IFERROR(XLOOKUP($G7,FX_CCY,FX_RATES),1)</f>
        <v/>
      </c>
      <c r="I7" s="8">
        <f>$F7*$H7</f>
        <v/>
      </c>
      <c r="J7" s="6" t="inlineStr">
        <is>
          <t>SUISSE</t>
        </is>
      </c>
      <c r="K7" s="6" t="inlineStr">
        <is>
          <t>Salon X</t>
        </is>
      </c>
      <c r="L7" s="6" t="inlineStr">
        <is>
          <t>Partenaire</t>
        </is>
      </c>
      <c r="M7" s="6" t="inlineStr">
        <is>
          <t>Sara Benali</t>
        </is>
      </c>
      <c r="N7" s="6" t="inlineStr">
        <is>
          <t>Alice Dupont</t>
        </is>
      </c>
      <c r="O7" s="6" t="inlineStr">
        <is>
          <t>Approuvé</t>
        </is>
      </c>
      <c r="P7" s="6" t="inlineStr">
        <is>
          <t>m.bernard@entreprise.fr</t>
        </is>
      </c>
      <c r="Q7" s="11">
        <f>IF($O7="Approuvé",TODAY()-MOD(0,5),"")</f>
        <v/>
      </c>
      <c r="R7" s="6">
        <f>IF($O7="Approuvé","APR-1000","")</f>
        <v/>
      </c>
      <c r="S7" s="8">
        <f>IFERROR(XLOOKUP($D7&amp;"|"&amp;$J7,POLICY_KEY,POLICY_VAL, XLOOKUP($D7&amp;"|ANY",POLICY_KEY,POLICY_VAL,100)),100)</f>
        <v/>
      </c>
      <c r="T7" s="8">
        <f>Tables!$H$12</f>
        <v/>
      </c>
      <c r="U7" s="8">
        <f>SUMIFS($I$7:$I$500,$M$7:$M$500,$M7,YEAR($B$7:$B$500),YEAR($B7))</f>
        <v/>
      </c>
      <c r="V7" s="6">
        <f>IF(AND($I7&lt;=$S7,$U7&lt;=$T7),"Conforme","Dépassé")</f>
        <v/>
      </c>
      <c r="W7" s="6" t="inlineStr">
        <is>
          <t>link://dms/cadeaux/1000</t>
        </is>
      </c>
      <c r="X7" s="6" t="inlineStr"/>
    </row>
    <row r="8">
      <c r="A8" s="6">
        <f>TEXT(2,"0000")</f>
        <v/>
      </c>
      <c r="B8" s="11" t="n">
        <v>45899</v>
      </c>
      <c r="C8" s="6" t="inlineStr">
        <is>
          <t>Reçu</t>
        </is>
      </c>
      <c r="D8" s="6" t="inlineStr">
        <is>
          <t>Hospitalité</t>
        </is>
      </c>
      <c r="E8" s="6" t="inlineStr">
        <is>
          <t>Goodies — cas 101</t>
        </is>
      </c>
      <c r="F8" s="8" t="n">
        <v>35</v>
      </c>
      <c r="G8" s="6" t="inlineStr">
        <is>
          <t>USD</t>
        </is>
      </c>
      <c r="H8" s="6">
        <f>IFERROR(XLOOKUP($G8,FX_CCY,FX_RATES),1)</f>
        <v/>
      </c>
      <c r="I8" s="8">
        <f>$F8*$H8</f>
        <v/>
      </c>
      <c r="J8" s="6" t="inlineStr">
        <is>
          <t>ESPAGNE</t>
        </is>
      </c>
      <c r="K8" s="6" t="inlineStr">
        <is>
          <t>Match Y</t>
        </is>
      </c>
      <c r="L8" s="6" t="inlineStr">
        <is>
          <t>Institution</t>
        </is>
      </c>
      <c r="M8" s="6" t="inlineStr">
        <is>
          <t>David Brown</t>
        </is>
      </c>
      <c r="N8" s="6" t="inlineStr">
        <is>
          <t>Karim Ouali</t>
        </is>
      </c>
      <c r="O8" s="6" t="inlineStr">
        <is>
          <t>Refusé</t>
        </is>
      </c>
      <c r="P8" s="6" t="inlineStr">
        <is>
          <t>m.bernard@entreprise.fr</t>
        </is>
      </c>
      <c r="Q8" s="11">
        <f>IF($O8="Approuvé",TODAY()-MOD(1,5),"")</f>
        <v/>
      </c>
      <c r="R8" s="6">
        <f>IF($O8="Approuvé","APR-1001","")</f>
        <v/>
      </c>
      <c r="S8" s="8">
        <f>IFERROR(XLOOKUP($D8&amp;"|"&amp;$J8,POLICY_KEY,POLICY_VAL, XLOOKUP($D8&amp;"|ANY",POLICY_KEY,POLICY_VAL,100)),100)</f>
        <v/>
      </c>
      <c r="T8" s="8">
        <f>Tables!$H$12</f>
        <v/>
      </c>
      <c r="U8" s="8">
        <f>SUMIFS($I$7:$I$500,$M$7:$M$500,$M8,YEAR($B$7:$B$500),YEAR($B8))</f>
        <v/>
      </c>
      <c r="V8" s="6">
        <f>IF(AND($I8&lt;=$S8,$U8&lt;=$T8),"Conforme","Dépassé")</f>
        <v/>
      </c>
      <c r="W8" s="6" t="inlineStr">
        <is>
          <t>link://dms/cadeaux/1001</t>
        </is>
      </c>
      <c r="X8" s="6" t="inlineStr">
        <is>
          <t>Justificatif joint</t>
        </is>
      </c>
    </row>
    <row r="9">
      <c r="A9" s="6">
        <f>TEXT(3,"0000")</f>
        <v/>
      </c>
      <c r="B9" s="11" t="n">
        <v>45900</v>
      </c>
      <c r="C9" s="6" t="inlineStr">
        <is>
          <t>Offert</t>
        </is>
      </c>
      <c r="D9" s="6" t="inlineStr">
        <is>
          <t>Billetterie</t>
        </is>
      </c>
      <c r="E9" s="6" t="inlineStr">
        <is>
          <t>Billet — cas 102</t>
        </is>
      </c>
      <c r="F9" s="8" t="n">
        <v>50</v>
      </c>
      <c r="G9" s="6" t="inlineStr">
        <is>
          <t>GBP</t>
        </is>
      </c>
      <c r="H9" s="6">
        <f>IFERROR(XLOOKUP($G9,FX_CCY,FX_RATES),1)</f>
        <v/>
      </c>
      <c r="I9" s="8">
        <f>$F9*$H9</f>
        <v/>
      </c>
      <c r="J9" s="6" t="inlineStr">
        <is>
          <t>ALLEMAGNE</t>
        </is>
      </c>
      <c r="K9" s="6" t="inlineStr">
        <is>
          <t>Conférence Z</t>
        </is>
      </c>
      <c r="L9" s="6" t="inlineStr">
        <is>
          <t>Interne</t>
        </is>
      </c>
      <c r="M9" s="6" t="inlineStr">
        <is>
          <t>Sara Benali</t>
        </is>
      </c>
      <c r="N9" s="6" t="inlineStr">
        <is>
          <t>Léa Moreau</t>
        </is>
      </c>
      <c r="O9" s="6" t="inlineStr">
        <is>
          <t>Offert</t>
        </is>
      </c>
      <c r="P9" s="6" t="inlineStr">
        <is>
          <t>m.bernard@entreprise.fr</t>
        </is>
      </c>
      <c r="Q9" s="11">
        <f>IF($O9="Approuvé",TODAY()-MOD(2,5),"")</f>
        <v/>
      </c>
      <c r="R9" s="6">
        <f>IF($O9="Approuvé","APR-1002","")</f>
        <v/>
      </c>
      <c r="S9" s="8">
        <f>IFERROR(XLOOKUP($D9&amp;"|"&amp;$J9,POLICY_KEY,POLICY_VAL, XLOOKUP($D9&amp;"|ANY",POLICY_KEY,POLICY_VAL,100)),100)</f>
        <v/>
      </c>
      <c r="T9" s="8">
        <f>Tables!$H$12</f>
        <v/>
      </c>
      <c r="U9" s="8">
        <f>SUMIFS($I$7:$I$500,$M$7:$M$500,$M9,YEAR($B$7:$B$500),YEAR($B9))</f>
        <v/>
      </c>
      <c r="V9" s="6">
        <f>IF(AND($I9&lt;=$S9,$U9&lt;=$T9),"Conforme","Dépassé")</f>
        <v/>
      </c>
      <c r="W9" s="6" t="inlineStr">
        <is>
          <t>link://dms/cadeaux/1002</t>
        </is>
      </c>
      <c r="X9" s="6" t="inlineStr">
        <is>
          <t>À valider</t>
        </is>
      </c>
    </row>
    <row r="10">
      <c r="A10" s="6">
        <f>TEXT(4,"0000")</f>
        <v/>
      </c>
      <c r="B10" s="11" t="n">
        <v>45901</v>
      </c>
      <c r="C10" s="6" t="inlineStr">
        <is>
          <t>Reçu</t>
        </is>
      </c>
      <c r="D10" s="6" t="inlineStr">
        <is>
          <t>Transport</t>
        </is>
      </c>
      <c r="E10" s="6" t="inlineStr">
        <is>
          <t>Hébergement — cas 103</t>
        </is>
      </c>
      <c r="F10" s="8" t="n">
        <v>65</v>
      </c>
      <c r="G10" s="6" t="inlineStr">
        <is>
          <t>CHF</t>
        </is>
      </c>
      <c r="H10" s="6">
        <f>IFERROR(XLOOKUP($G10,FX_CCY,FX_RATES),1)</f>
        <v/>
      </c>
      <c r="I10" s="8">
        <f>$F10*$H10</f>
        <v/>
      </c>
      <c r="J10" s="6" t="inlineStr">
        <is>
          <t>ITALIE</t>
        </is>
      </c>
      <c r="K10" s="6" t="inlineStr">
        <is>
          <t>RDV</t>
        </is>
      </c>
      <c r="L10" s="6" t="inlineStr">
        <is>
          <t>Client</t>
        </is>
      </c>
      <c r="M10" s="6" t="inlineStr">
        <is>
          <t>David Brown</t>
        </is>
      </c>
      <c r="N10" s="6" t="inlineStr">
        <is>
          <t>Samir Haddad</t>
        </is>
      </c>
      <c r="O10" s="6" t="inlineStr">
        <is>
          <t>Reçu</t>
        </is>
      </c>
      <c r="P10" s="6" t="inlineStr">
        <is>
          <t>m.bernard@entreprise.fr</t>
        </is>
      </c>
      <c r="Q10" s="11">
        <f>IF($O10="Approuvé",TODAY()-MOD(3,5),"")</f>
        <v/>
      </c>
      <c r="R10" s="6">
        <f>IF($O10="Approuvé","APR-1003","")</f>
        <v/>
      </c>
      <c r="S10" s="8">
        <f>IFERROR(XLOOKUP($D10&amp;"|"&amp;$J10,POLICY_KEY,POLICY_VAL, XLOOKUP($D10&amp;"|ANY",POLICY_KEY,POLICY_VAL,100)),100)</f>
        <v/>
      </c>
      <c r="T10" s="8">
        <f>Tables!$H$12</f>
        <v/>
      </c>
      <c r="U10" s="8">
        <f>SUMIFS($I$7:$I$500,$M$7:$M$500,$M10,YEAR($B$7:$B$500),YEAR($B10))</f>
        <v/>
      </c>
      <c r="V10" s="6">
        <f>IF(AND($I10&lt;=$S10,$U10&lt;=$T10),"Conforme","Dépassé")</f>
        <v/>
      </c>
      <c r="W10" s="6" t="inlineStr">
        <is>
          <t>link://dms/cadeaux/1003</t>
        </is>
      </c>
      <c r="X10" s="6" t="inlineStr">
        <is>
          <t>Note interne</t>
        </is>
      </c>
    </row>
    <row r="11">
      <c r="A11" s="6">
        <f>TEXT(5,"0000")</f>
        <v/>
      </c>
      <c r="B11" s="11" t="n">
        <v>45902</v>
      </c>
      <c r="C11" s="6" t="inlineStr">
        <is>
          <t>Offert</t>
        </is>
      </c>
      <c r="D11" s="6" t="inlineStr">
        <is>
          <t>Hébergement</t>
        </is>
      </c>
      <c r="E11" s="6" t="inlineStr">
        <is>
          <t>Taxi — cas 104</t>
        </is>
      </c>
      <c r="F11" s="8" t="n">
        <v>80</v>
      </c>
      <c r="G11" s="6" t="inlineStr">
        <is>
          <t>MAD</t>
        </is>
      </c>
      <c r="H11" s="6">
        <f>IFERROR(XLOOKUP($G11,FX_CCY,FX_RATES),1)</f>
        <v/>
      </c>
      <c r="I11" s="8">
        <f>$F11*$H11</f>
        <v/>
      </c>
      <c r="J11" s="6" t="inlineStr">
        <is>
          <t>ROYAUME-UNI</t>
        </is>
      </c>
      <c r="K11" s="6" t="inlineStr">
        <is>
          <t>Salon X</t>
        </is>
      </c>
      <c r="L11" s="6" t="inlineStr">
        <is>
          <t>Prospect</t>
        </is>
      </c>
      <c r="M11" s="6" t="inlineStr">
        <is>
          <t>Sara Benali</t>
        </is>
      </c>
      <c r="N11" s="6" t="inlineStr">
        <is>
          <t>Alice Dupont</t>
        </is>
      </c>
      <c r="O11" s="6" t="inlineStr">
        <is>
          <t>Remboursé</t>
        </is>
      </c>
      <c r="P11" s="6" t="inlineStr">
        <is>
          <t>m.bernard@entreprise.fr</t>
        </is>
      </c>
      <c r="Q11" s="11">
        <f>IF($O11="Approuvé",TODAY()-MOD(4,5),"")</f>
        <v/>
      </c>
      <c r="R11" s="6">
        <f>IF($O11="Approuvé","APR-1004","")</f>
        <v/>
      </c>
      <c r="S11" s="8">
        <f>IFERROR(XLOOKUP($D11&amp;"|"&amp;$J11,POLICY_KEY,POLICY_VAL, XLOOKUP($D11&amp;"|ANY",POLICY_KEY,POLICY_VAL,100)),100)</f>
        <v/>
      </c>
      <c r="T11" s="8">
        <f>Tables!$H$12</f>
        <v/>
      </c>
      <c r="U11" s="8">
        <f>SUMIFS($I$7:$I$500,$M$7:$M$500,$M11,YEAR($B$7:$B$500),YEAR($B11))</f>
        <v/>
      </c>
      <c r="V11" s="6">
        <f>IF(AND($I11&lt;=$S11,$U11&lt;=$T11),"Conforme","Dépassé")</f>
        <v/>
      </c>
      <c r="W11" s="6" t="inlineStr">
        <is>
          <t>link://dms/cadeaux/1004</t>
        </is>
      </c>
      <c r="X11" s="6" t="inlineStr"/>
    </row>
    <row r="12">
      <c r="A12" s="6">
        <f>TEXT(6,"0000")</f>
        <v/>
      </c>
      <c r="B12" s="11" t="n">
        <v>45903</v>
      </c>
      <c r="C12" s="6" t="inlineStr">
        <is>
          <t>Reçu</t>
        </is>
      </c>
      <c r="D12" s="6" t="inlineStr">
        <is>
          <t>Don caritatif</t>
        </is>
      </c>
      <c r="E12" s="6" t="inlineStr">
        <is>
          <t>Dons — cas 105</t>
        </is>
      </c>
      <c r="F12" s="8" t="n">
        <v>95</v>
      </c>
      <c r="G12" s="6" t="inlineStr">
        <is>
          <t>EUR</t>
        </is>
      </c>
      <c r="H12" s="6">
        <f>IFERROR(XLOOKUP($G12,FX_CCY,FX_RATES),1)</f>
        <v/>
      </c>
      <c r="I12" s="8">
        <f>$F12*$H12</f>
        <v/>
      </c>
      <c r="J12" s="6" t="inlineStr">
        <is>
          <t>USA</t>
        </is>
      </c>
      <c r="K12" s="6" t="inlineStr">
        <is>
          <t>Match Y</t>
        </is>
      </c>
      <c r="L12" s="6" t="inlineStr">
        <is>
          <t>Fournisseur</t>
        </is>
      </c>
      <c r="M12" s="6" t="inlineStr">
        <is>
          <t>David Brown</t>
        </is>
      </c>
      <c r="N12" s="6" t="inlineStr">
        <is>
          <t>Karim Ouali</t>
        </is>
      </c>
      <c r="O12" s="6" t="inlineStr">
        <is>
          <t>Archivé</t>
        </is>
      </c>
      <c r="P12" s="6" t="inlineStr">
        <is>
          <t>m.bernard@entreprise.fr</t>
        </is>
      </c>
      <c r="Q12" s="11">
        <f>IF($O12="Approuvé",TODAY()-MOD(5,5),"")</f>
        <v/>
      </c>
      <c r="R12" s="6">
        <f>IF($O12="Approuvé","APR-1005","")</f>
        <v/>
      </c>
      <c r="S12" s="8">
        <f>IFERROR(XLOOKUP($D12&amp;"|"&amp;$J12,POLICY_KEY,POLICY_VAL, XLOOKUP($D12&amp;"|ANY",POLICY_KEY,POLICY_VAL,100)),100)</f>
        <v/>
      </c>
      <c r="T12" s="8">
        <f>Tables!$H$12</f>
        <v/>
      </c>
      <c r="U12" s="8">
        <f>SUMIFS($I$7:$I$500,$M$7:$M$500,$M12,YEAR($B$7:$B$500),YEAR($B12))</f>
        <v/>
      </c>
      <c r="V12" s="6">
        <f>IF(AND($I12&lt;=$S12,$U12&lt;=$T12),"Conforme","Dépassé")</f>
        <v/>
      </c>
      <c r="W12" s="6" t="inlineStr">
        <is>
          <t>link://dms/cadeaux/1005</t>
        </is>
      </c>
      <c r="X12" s="6" t="inlineStr">
        <is>
          <t>Justificatif joint</t>
        </is>
      </c>
    </row>
    <row r="13">
      <c r="A13" s="6">
        <f>TEXT(7,"0000")</f>
        <v/>
      </c>
      <c r="B13" s="11" t="n">
        <v>45904</v>
      </c>
      <c r="C13" s="6" t="inlineStr">
        <is>
          <t>Offert</t>
        </is>
      </c>
      <c r="D13" s="6" t="inlineStr">
        <is>
          <t>Autre</t>
        </is>
      </c>
      <c r="E13" s="6" t="inlineStr">
        <is>
          <t>Déjeuner — cas 106</t>
        </is>
      </c>
      <c r="F13" s="8" t="n">
        <v>110</v>
      </c>
      <c r="G13" s="6" t="inlineStr">
        <is>
          <t>USD</t>
        </is>
      </c>
      <c r="H13" s="6">
        <f>IFERROR(XLOOKUP($G13,FX_CCY,FX_RATES),1)</f>
        <v/>
      </c>
      <c r="I13" s="8">
        <f>$F13*$H13</f>
        <v/>
      </c>
      <c r="J13" s="6" t="inlineStr">
        <is>
          <t>MAROC</t>
        </is>
      </c>
      <c r="K13" s="6" t="inlineStr">
        <is>
          <t>Conférence Z</t>
        </is>
      </c>
      <c r="L13" s="6" t="inlineStr">
        <is>
          <t>Partenaire</t>
        </is>
      </c>
      <c r="M13" s="6" t="inlineStr">
        <is>
          <t>Sara Benali</t>
        </is>
      </c>
      <c r="N13" s="6" t="inlineStr">
        <is>
          <t>Léa Moreau</t>
        </is>
      </c>
      <c r="O13" s="6" t="inlineStr">
        <is>
          <t>Proposé</t>
        </is>
      </c>
      <c r="P13" s="6" t="inlineStr">
        <is>
          <t>m.bernard@entreprise.fr</t>
        </is>
      </c>
      <c r="Q13" s="11">
        <f>IF($O13="Approuvé",TODAY()-MOD(6,5),"")</f>
        <v/>
      </c>
      <c r="R13" s="6">
        <f>IF($O13="Approuvé","APR-1006","")</f>
        <v/>
      </c>
      <c r="S13" s="8">
        <f>IFERROR(XLOOKUP($D13&amp;"|"&amp;$J13,POLICY_KEY,POLICY_VAL, XLOOKUP($D13&amp;"|ANY",POLICY_KEY,POLICY_VAL,100)),100)</f>
        <v/>
      </c>
      <c r="T13" s="8">
        <f>Tables!$H$12</f>
        <v/>
      </c>
      <c r="U13" s="8">
        <f>SUMIFS($I$7:$I$500,$M$7:$M$500,$M13,YEAR($B$7:$B$500),YEAR($B13))</f>
        <v/>
      </c>
      <c r="V13" s="6">
        <f>IF(AND($I13&lt;=$S13,$U13&lt;=$T13),"Conforme","Dépassé")</f>
        <v/>
      </c>
      <c r="W13" s="6" t="inlineStr">
        <is>
          <t>link://dms/cadeaux/1006</t>
        </is>
      </c>
      <c r="X13" s="6" t="inlineStr">
        <is>
          <t>À valider</t>
        </is>
      </c>
    </row>
    <row r="14">
      <c r="A14" s="6">
        <f>TEXT(8,"0000")</f>
        <v/>
      </c>
      <c r="B14" s="11" t="n">
        <v>45905</v>
      </c>
      <c r="C14" s="6" t="inlineStr">
        <is>
          <t>Reçu</t>
        </is>
      </c>
      <c r="D14" s="6" t="inlineStr">
        <is>
          <t>Objet promotionnel</t>
        </is>
      </c>
      <c r="E14" s="6" t="inlineStr">
        <is>
          <t>Goodies — cas 107</t>
        </is>
      </c>
      <c r="F14" s="8" t="n">
        <v>20</v>
      </c>
      <c r="G14" s="6" t="inlineStr">
        <is>
          <t>GBP</t>
        </is>
      </c>
      <c r="H14" s="6">
        <f>IFERROR(XLOOKUP($G14,FX_CCY,FX_RATES),1)</f>
        <v/>
      </c>
      <c r="I14" s="8">
        <f>$F14*$H14</f>
        <v/>
      </c>
      <c r="J14" s="6" t="inlineStr">
        <is>
          <t>FRANCE</t>
        </is>
      </c>
      <c r="K14" s="6" t="inlineStr">
        <is>
          <t>RDV</t>
        </is>
      </c>
      <c r="L14" s="6" t="inlineStr">
        <is>
          <t>Institution</t>
        </is>
      </c>
      <c r="M14" s="6" t="inlineStr">
        <is>
          <t>David Brown</t>
        </is>
      </c>
      <c r="N14" s="6" t="inlineStr">
        <is>
          <t>Samir Haddad</t>
        </is>
      </c>
      <c r="O14" s="6" t="inlineStr">
        <is>
          <t>En attente approbation</t>
        </is>
      </c>
      <c r="P14" s="6" t="inlineStr">
        <is>
          <t>m.bernard@entreprise.fr</t>
        </is>
      </c>
      <c r="Q14" s="11">
        <f>IF($O14="Approuvé",TODAY()-MOD(7,5),"")</f>
        <v/>
      </c>
      <c r="R14" s="6">
        <f>IF($O14="Approuvé","APR-1007","")</f>
        <v/>
      </c>
      <c r="S14" s="8">
        <f>IFERROR(XLOOKUP($D14&amp;"|"&amp;$J14,POLICY_KEY,POLICY_VAL, XLOOKUP($D14&amp;"|ANY",POLICY_KEY,POLICY_VAL,100)),100)</f>
        <v/>
      </c>
      <c r="T14" s="8">
        <f>Tables!$H$12</f>
        <v/>
      </c>
      <c r="U14" s="8">
        <f>SUMIFS($I$7:$I$500,$M$7:$M$500,$M14,YEAR($B$7:$B$500),YEAR($B14))</f>
        <v/>
      </c>
      <c r="V14" s="6">
        <f>IF(AND($I14&lt;=$S14,$U14&lt;=$T14),"Conforme","Dépassé")</f>
        <v/>
      </c>
      <c r="W14" s="6" t="inlineStr">
        <is>
          <t>link://dms/cadeaux/1007</t>
        </is>
      </c>
      <c r="X14" s="6" t="inlineStr">
        <is>
          <t>Note interne</t>
        </is>
      </c>
    </row>
    <row r="15">
      <c r="A15" s="6">
        <f>TEXT(9,"0000")</f>
        <v/>
      </c>
      <c r="B15" s="11" t="n">
        <v>45906</v>
      </c>
      <c r="C15" s="6" t="inlineStr">
        <is>
          <t>Offert</t>
        </is>
      </c>
      <c r="D15" s="6" t="inlineStr">
        <is>
          <t>Repas</t>
        </is>
      </c>
      <c r="E15" s="6" t="inlineStr">
        <is>
          <t>Billet — cas 108</t>
        </is>
      </c>
      <c r="F15" s="8" t="n">
        <v>35</v>
      </c>
      <c r="G15" s="6" t="inlineStr">
        <is>
          <t>CHF</t>
        </is>
      </c>
      <c r="H15" s="6">
        <f>IFERROR(XLOOKUP($G15,FX_CCY,FX_RATES),1)</f>
        <v/>
      </c>
      <c r="I15" s="8">
        <f>$F15*$H15</f>
        <v/>
      </c>
      <c r="J15" s="6" t="inlineStr">
        <is>
          <t>BELGIQUE</t>
        </is>
      </c>
      <c r="K15" s="6" t="inlineStr">
        <is>
          <t>Salon X</t>
        </is>
      </c>
      <c r="L15" s="6" t="inlineStr">
        <is>
          <t>Interne</t>
        </is>
      </c>
      <c r="M15" s="6" t="inlineStr">
        <is>
          <t>Sara Benali</t>
        </is>
      </c>
      <c r="N15" s="6" t="inlineStr">
        <is>
          <t>Alice Dupont</t>
        </is>
      </c>
      <c r="O15" s="6" t="inlineStr">
        <is>
          <t>Approuvé</t>
        </is>
      </c>
      <c r="P15" s="6" t="inlineStr">
        <is>
          <t>m.bernard@entreprise.fr</t>
        </is>
      </c>
      <c r="Q15" s="11">
        <f>IF($O15="Approuvé",TODAY()-MOD(8,5),"")</f>
        <v/>
      </c>
      <c r="R15" s="6">
        <f>IF($O15="Approuvé","APR-1008","")</f>
        <v/>
      </c>
      <c r="S15" s="8">
        <f>IFERROR(XLOOKUP($D15&amp;"|"&amp;$J15,POLICY_KEY,POLICY_VAL, XLOOKUP($D15&amp;"|ANY",POLICY_KEY,POLICY_VAL,100)),100)</f>
        <v/>
      </c>
      <c r="T15" s="8">
        <f>Tables!$H$12</f>
        <v/>
      </c>
      <c r="U15" s="8">
        <f>SUMIFS($I$7:$I$500,$M$7:$M$500,$M15,YEAR($B$7:$B$500),YEAR($B15))</f>
        <v/>
      </c>
      <c r="V15" s="6">
        <f>IF(AND($I15&lt;=$S15,$U15&lt;=$T15),"Conforme","Dépassé")</f>
        <v/>
      </c>
      <c r="W15" s="6" t="inlineStr">
        <is>
          <t>link://dms/cadeaux/1008</t>
        </is>
      </c>
      <c r="X15" s="6" t="inlineStr"/>
    </row>
    <row r="16">
      <c r="A16" s="6">
        <f>TEXT(10,"0000")</f>
        <v/>
      </c>
      <c r="B16" s="11" t="n">
        <v>45907</v>
      </c>
      <c r="C16" s="6" t="inlineStr">
        <is>
          <t>Reçu</t>
        </is>
      </c>
      <c r="D16" s="6" t="inlineStr">
        <is>
          <t>Hospitalité</t>
        </is>
      </c>
      <c r="E16" s="6" t="inlineStr">
        <is>
          <t>Hébergement — cas 109</t>
        </is>
      </c>
      <c r="F16" s="8" t="n">
        <v>50</v>
      </c>
      <c r="G16" s="6" t="inlineStr">
        <is>
          <t>MAD</t>
        </is>
      </c>
      <c r="H16" s="6">
        <f>IFERROR(XLOOKUP($G16,FX_CCY,FX_RATES),1)</f>
        <v/>
      </c>
      <c r="I16" s="8">
        <f>$F16*$H16</f>
        <v/>
      </c>
      <c r="J16" s="6" t="inlineStr">
        <is>
          <t>SUISSE</t>
        </is>
      </c>
      <c r="K16" s="6" t="inlineStr">
        <is>
          <t>Match Y</t>
        </is>
      </c>
      <c r="L16" s="6" t="inlineStr">
        <is>
          <t>Client</t>
        </is>
      </c>
      <c r="M16" s="6" t="inlineStr">
        <is>
          <t>David Brown</t>
        </is>
      </c>
      <c r="N16" s="6" t="inlineStr">
        <is>
          <t>Karim Ouali</t>
        </is>
      </c>
      <c r="O16" s="6" t="inlineStr">
        <is>
          <t>Refusé</t>
        </is>
      </c>
      <c r="P16" s="6" t="inlineStr">
        <is>
          <t>m.bernard@entreprise.fr</t>
        </is>
      </c>
      <c r="Q16" s="11">
        <f>IF($O16="Approuvé",TODAY()-MOD(9,5),"")</f>
        <v/>
      </c>
      <c r="R16" s="6">
        <f>IF($O16="Approuvé","APR-1009","")</f>
        <v/>
      </c>
      <c r="S16" s="8">
        <f>IFERROR(XLOOKUP($D16&amp;"|"&amp;$J16,POLICY_KEY,POLICY_VAL, XLOOKUP($D16&amp;"|ANY",POLICY_KEY,POLICY_VAL,100)),100)</f>
        <v/>
      </c>
      <c r="T16" s="8">
        <f>Tables!$H$12</f>
        <v/>
      </c>
      <c r="U16" s="8">
        <f>SUMIFS($I$7:$I$500,$M$7:$M$500,$M16,YEAR($B$7:$B$500),YEAR($B16))</f>
        <v/>
      </c>
      <c r="V16" s="6">
        <f>IF(AND($I16&lt;=$S16,$U16&lt;=$T16),"Conforme","Dépassé")</f>
        <v/>
      </c>
      <c r="W16" s="6" t="inlineStr">
        <is>
          <t>link://dms/cadeaux/1009</t>
        </is>
      </c>
      <c r="X16" s="6" t="inlineStr">
        <is>
          <t>Justificatif joint</t>
        </is>
      </c>
    </row>
    <row r="17">
      <c r="A17" s="6">
        <f>TEXT(11,"0000")</f>
        <v/>
      </c>
      <c r="B17" s="11" t="n">
        <v>45908</v>
      </c>
      <c r="C17" s="6" t="inlineStr">
        <is>
          <t>Offert</t>
        </is>
      </c>
      <c r="D17" s="6" t="inlineStr">
        <is>
          <t>Billetterie</t>
        </is>
      </c>
      <c r="E17" s="6" t="inlineStr">
        <is>
          <t>Taxi — cas 110</t>
        </is>
      </c>
      <c r="F17" s="8" t="n">
        <v>65</v>
      </c>
      <c r="G17" s="6" t="inlineStr">
        <is>
          <t>EUR</t>
        </is>
      </c>
      <c r="H17" s="6">
        <f>IFERROR(XLOOKUP($G17,FX_CCY,FX_RATES),1)</f>
        <v/>
      </c>
      <c r="I17" s="8">
        <f>$F17*$H17</f>
        <v/>
      </c>
      <c r="J17" s="6" t="inlineStr">
        <is>
          <t>ESPAGNE</t>
        </is>
      </c>
      <c r="K17" s="6" t="inlineStr">
        <is>
          <t>Conférence Z</t>
        </is>
      </c>
      <c r="L17" s="6" t="inlineStr">
        <is>
          <t>Prospect</t>
        </is>
      </c>
      <c r="M17" s="6" t="inlineStr">
        <is>
          <t>Sara Benali</t>
        </is>
      </c>
      <c r="N17" s="6" t="inlineStr">
        <is>
          <t>Léa Moreau</t>
        </is>
      </c>
      <c r="O17" s="6" t="inlineStr">
        <is>
          <t>Offert</t>
        </is>
      </c>
      <c r="P17" s="6" t="inlineStr">
        <is>
          <t>m.bernard@entreprise.fr</t>
        </is>
      </c>
      <c r="Q17" s="11">
        <f>IF($O17="Approuvé",TODAY()-MOD(10,5),"")</f>
        <v/>
      </c>
      <c r="R17" s="6">
        <f>IF($O17="Approuvé","APR-1010","")</f>
        <v/>
      </c>
      <c r="S17" s="8">
        <f>IFERROR(XLOOKUP($D17&amp;"|"&amp;$J17,POLICY_KEY,POLICY_VAL, XLOOKUP($D17&amp;"|ANY",POLICY_KEY,POLICY_VAL,100)),100)</f>
        <v/>
      </c>
      <c r="T17" s="8">
        <f>Tables!$H$12</f>
        <v/>
      </c>
      <c r="U17" s="8">
        <f>SUMIFS($I$7:$I$500,$M$7:$M$500,$M17,YEAR($B$7:$B$500),YEAR($B17))</f>
        <v/>
      </c>
      <c r="V17" s="6">
        <f>IF(AND($I17&lt;=$S17,$U17&lt;=$T17),"Conforme","Dépassé")</f>
        <v/>
      </c>
      <c r="W17" s="6" t="inlineStr">
        <is>
          <t>link://dms/cadeaux/1010</t>
        </is>
      </c>
      <c r="X17" s="6" t="inlineStr">
        <is>
          <t>À valider</t>
        </is>
      </c>
    </row>
    <row r="18">
      <c r="A18" s="6">
        <f>TEXT(12,"0000")</f>
        <v/>
      </c>
      <c r="B18" s="11" t="n">
        <v>45909</v>
      </c>
      <c r="C18" s="6" t="inlineStr">
        <is>
          <t>Reçu</t>
        </is>
      </c>
      <c r="D18" s="6" t="inlineStr">
        <is>
          <t>Transport</t>
        </is>
      </c>
      <c r="E18" s="6" t="inlineStr">
        <is>
          <t>Dons — cas 111</t>
        </is>
      </c>
      <c r="F18" s="8" t="n">
        <v>80</v>
      </c>
      <c r="G18" s="6" t="inlineStr">
        <is>
          <t>USD</t>
        </is>
      </c>
      <c r="H18" s="6">
        <f>IFERROR(XLOOKUP($G18,FX_CCY,FX_RATES),1)</f>
        <v/>
      </c>
      <c r="I18" s="8">
        <f>$F18*$H18</f>
        <v/>
      </c>
      <c r="J18" s="6" t="inlineStr">
        <is>
          <t>ALLEMAGNE</t>
        </is>
      </c>
      <c r="K18" s="6" t="inlineStr">
        <is>
          <t>RDV</t>
        </is>
      </c>
      <c r="L18" s="6" t="inlineStr">
        <is>
          <t>Fournisseur</t>
        </is>
      </c>
      <c r="M18" s="6" t="inlineStr">
        <is>
          <t>David Brown</t>
        </is>
      </c>
      <c r="N18" s="6" t="inlineStr">
        <is>
          <t>Samir Haddad</t>
        </is>
      </c>
      <c r="O18" s="6" t="inlineStr">
        <is>
          <t>Reçu</t>
        </is>
      </c>
      <c r="P18" s="6" t="inlineStr">
        <is>
          <t>m.bernard@entreprise.fr</t>
        </is>
      </c>
      <c r="Q18" s="11">
        <f>IF($O18="Approuvé",TODAY()-MOD(11,5),"")</f>
        <v/>
      </c>
      <c r="R18" s="6">
        <f>IF($O18="Approuvé","APR-1011","")</f>
        <v/>
      </c>
      <c r="S18" s="8">
        <f>IFERROR(XLOOKUP($D18&amp;"|"&amp;$J18,POLICY_KEY,POLICY_VAL, XLOOKUP($D18&amp;"|ANY",POLICY_KEY,POLICY_VAL,100)),100)</f>
        <v/>
      </c>
      <c r="T18" s="8">
        <f>Tables!$H$12</f>
        <v/>
      </c>
      <c r="U18" s="8">
        <f>SUMIFS($I$7:$I$500,$M$7:$M$500,$M18,YEAR($B$7:$B$500),YEAR($B18))</f>
        <v/>
      </c>
      <c r="V18" s="6">
        <f>IF(AND($I18&lt;=$S18,$U18&lt;=$T18),"Conforme","Dépassé")</f>
        <v/>
      </c>
      <c r="W18" s="6" t="inlineStr">
        <is>
          <t>link://dms/cadeaux/1011</t>
        </is>
      </c>
      <c r="X18" s="6" t="inlineStr">
        <is>
          <t>Note interne</t>
        </is>
      </c>
    </row>
    <row r="19">
      <c r="A19" s="6">
        <f>TEXT(13,"0000")</f>
        <v/>
      </c>
      <c r="B19" s="11" t="n">
        <v>45910</v>
      </c>
      <c r="C19" s="6" t="inlineStr">
        <is>
          <t>Offert</t>
        </is>
      </c>
      <c r="D19" s="6" t="inlineStr">
        <is>
          <t>Hébergement</t>
        </is>
      </c>
      <c r="E19" s="6" t="inlineStr">
        <is>
          <t>Déjeuner — cas 112</t>
        </is>
      </c>
      <c r="F19" s="8" t="n">
        <v>95</v>
      </c>
      <c r="G19" s="6" t="inlineStr">
        <is>
          <t>GBP</t>
        </is>
      </c>
      <c r="H19" s="6">
        <f>IFERROR(XLOOKUP($G19,FX_CCY,FX_RATES),1)</f>
        <v/>
      </c>
      <c r="I19" s="8">
        <f>$F19*$H19</f>
        <v/>
      </c>
      <c r="J19" s="6" t="inlineStr">
        <is>
          <t>ITALIE</t>
        </is>
      </c>
      <c r="K19" s="6" t="inlineStr">
        <is>
          <t>Salon X</t>
        </is>
      </c>
      <c r="L19" s="6" t="inlineStr">
        <is>
          <t>Partenaire</t>
        </is>
      </c>
      <c r="M19" s="6" t="inlineStr">
        <is>
          <t>Sara Benali</t>
        </is>
      </c>
      <c r="N19" s="6" t="inlineStr">
        <is>
          <t>Alice Dupont</t>
        </is>
      </c>
      <c r="O19" s="6" t="inlineStr">
        <is>
          <t>Remboursé</t>
        </is>
      </c>
      <c r="P19" s="6" t="inlineStr">
        <is>
          <t>m.bernard@entreprise.fr</t>
        </is>
      </c>
      <c r="Q19" s="11">
        <f>IF($O19="Approuvé",TODAY()-MOD(12,5),"")</f>
        <v/>
      </c>
      <c r="R19" s="6">
        <f>IF($O19="Approuvé","APR-1012","")</f>
        <v/>
      </c>
      <c r="S19" s="8">
        <f>IFERROR(XLOOKUP($D19&amp;"|"&amp;$J19,POLICY_KEY,POLICY_VAL, XLOOKUP($D19&amp;"|ANY",POLICY_KEY,POLICY_VAL,100)),100)</f>
        <v/>
      </c>
      <c r="T19" s="8">
        <f>Tables!$H$12</f>
        <v/>
      </c>
      <c r="U19" s="8">
        <f>SUMIFS($I$7:$I$500,$M$7:$M$500,$M19,YEAR($B$7:$B$500),YEAR($B19))</f>
        <v/>
      </c>
      <c r="V19" s="6">
        <f>IF(AND($I19&lt;=$S19,$U19&lt;=$T19),"Conforme","Dépassé")</f>
        <v/>
      </c>
      <c r="W19" s="6" t="inlineStr">
        <is>
          <t>link://dms/cadeaux/1012</t>
        </is>
      </c>
      <c r="X19" s="6" t="inlineStr"/>
    </row>
    <row r="20">
      <c r="A20" s="6">
        <f>TEXT(14,"0000")</f>
        <v/>
      </c>
      <c r="B20" s="11" t="n">
        <v>45911</v>
      </c>
      <c r="C20" s="6" t="inlineStr">
        <is>
          <t>Reçu</t>
        </is>
      </c>
      <c r="D20" s="6" t="inlineStr">
        <is>
          <t>Don caritatif</t>
        </is>
      </c>
      <c r="E20" s="6" t="inlineStr">
        <is>
          <t>Goodies — cas 113</t>
        </is>
      </c>
      <c r="F20" s="8" t="n">
        <v>110</v>
      </c>
      <c r="G20" s="6" t="inlineStr">
        <is>
          <t>CHF</t>
        </is>
      </c>
      <c r="H20" s="6">
        <f>IFERROR(XLOOKUP($G20,FX_CCY,FX_RATES),1)</f>
        <v/>
      </c>
      <c r="I20" s="8">
        <f>$F20*$H20</f>
        <v/>
      </c>
      <c r="J20" s="6" t="inlineStr">
        <is>
          <t>ROYAUME-UNI</t>
        </is>
      </c>
      <c r="K20" s="6" t="inlineStr">
        <is>
          <t>Match Y</t>
        </is>
      </c>
      <c r="L20" s="6" t="inlineStr">
        <is>
          <t>Institution</t>
        </is>
      </c>
      <c r="M20" s="6" t="inlineStr">
        <is>
          <t>David Brown</t>
        </is>
      </c>
      <c r="N20" s="6" t="inlineStr">
        <is>
          <t>Karim Ouali</t>
        </is>
      </c>
      <c r="O20" s="6" t="inlineStr">
        <is>
          <t>Archivé</t>
        </is>
      </c>
      <c r="P20" s="6" t="inlineStr">
        <is>
          <t>m.bernard@entreprise.fr</t>
        </is>
      </c>
      <c r="Q20" s="11">
        <f>IF($O20="Approuvé",TODAY()-MOD(13,5),"")</f>
        <v/>
      </c>
      <c r="R20" s="6">
        <f>IF($O20="Approuvé","APR-1013","")</f>
        <v/>
      </c>
      <c r="S20" s="8">
        <f>IFERROR(XLOOKUP($D20&amp;"|"&amp;$J20,POLICY_KEY,POLICY_VAL, XLOOKUP($D20&amp;"|ANY",POLICY_KEY,POLICY_VAL,100)),100)</f>
        <v/>
      </c>
      <c r="T20" s="8">
        <f>Tables!$H$12</f>
        <v/>
      </c>
      <c r="U20" s="8">
        <f>SUMIFS($I$7:$I$500,$M$7:$M$500,$M20,YEAR($B$7:$B$500),YEAR($B20))</f>
        <v/>
      </c>
      <c r="V20" s="6">
        <f>IF(AND($I20&lt;=$S20,$U20&lt;=$T20),"Conforme","Dépassé")</f>
        <v/>
      </c>
      <c r="W20" s="6" t="inlineStr">
        <is>
          <t>link://dms/cadeaux/1013</t>
        </is>
      </c>
      <c r="X20" s="6" t="inlineStr">
        <is>
          <t>Justificatif joint</t>
        </is>
      </c>
    </row>
    <row r="21">
      <c r="A21" s="6">
        <f>TEXT(15,"0000")</f>
        <v/>
      </c>
      <c r="B21" s="11" t="n">
        <v>45912</v>
      </c>
      <c r="C21" s="6" t="inlineStr">
        <is>
          <t>Offert</t>
        </is>
      </c>
      <c r="D21" s="6" t="inlineStr">
        <is>
          <t>Autre</t>
        </is>
      </c>
      <c r="E21" s="6" t="inlineStr">
        <is>
          <t>Billet — cas 114</t>
        </is>
      </c>
      <c r="F21" s="8" t="n">
        <v>20</v>
      </c>
      <c r="G21" s="6" t="inlineStr">
        <is>
          <t>MAD</t>
        </is>
      </c>
      <c r="H21" s="6">
        <f>IFERROR(XLOOKUP($G21,FX_CCY,FX_RATES),1)</f>
        <v/>
      </c>
      <c r="I21" s="8">
        <f>$F21*$H21</f>
        <v/>
      </c>
      <c r="J21" s="6" t="inlineStr">
        <is>
          <t>USA</t>
        </is>
      </c>
      <c r="K21" s="6" t="inlineStr">
        <is>
          <t>Conférence Z</t>
        </is>
      </c>
      <c r="L21" s="6" t="inlineStr">
        <is>
          <t>Interne</t>
        </is>
      </c>
      <c r="M21" s="6" t="inlineStr">
        <is>
          <t>Sara Benali</t>
        </is>
      </c>
      <c r="N21" s="6" t="inlineStr">
        <is>
          <t>Léa Moreau</t>
        </is>
      </c>
      <c r="O21" s="6" t="inlineStr">
        <is>
          <t>Proposé</t>
        </is>
      </c>
      <c r="P21" s="6" t="inlineStr">
        <is>
          <t>m.bernard@entreprise.fr</t>
        </is>
      </c>
      <c r="Q21" s="11">
        <f>IF($O21="Approuvé",TODAY()-MOD(14,5),"")</f>
        <v/>
      </c>
      <c r="R21" s="6">
        <f>IF($O21="Approuvé","APR-1014","")</f>
        <v/>
      </c>
      <c r="S21" s="8">
        <f>IFERROR(XLOOKUP($D21&amp;"|"&amp;$J21,POLICY_KEY,POLICY_VAL, XLOOKUP($D21&amp;"|ANY",POLICY_KEY,POLICY_VAL,100)),100)</f>
        <v/>
      </c>
      <c r="T21" s="8">
        <f>Tables!$H$12</f>
        <v/>
      </c>
      <c r="U21" s="8">
        <f>SUMIFS($I$7:$I$500,$M$7:$M$500,$M21,YEAR($B$7:$B$500),YEAR($B21))</f>
        <v/>
      </c>
      <c r="V21" s="6">
        <f>IF(AND($I21&lt;=$S21,$U21&lt;=$T21),"Conforme","Dépassé")</f>
        <v/>
      </c>
      <c r="W21" s="6" t="inlineStr">
        <is>
          <t>link://dms/cadeaux/1014</t>
        </is>
      </c>
      <c r="X21" s="6" t="inlineStr">
        <is>
          <t>À valider</t>
        </is>
      </c>
    </row>
    <row r="22">
      <c r="A22" s="6">
        <f>TEXT(16,"0000")</f>
        <v/>
      </c>
      <c r="B22" s="11" t="n">
        <v>45913</v>
      </c>
      <c r="C22" s="6" t="inlineStr">
        <is>
          <t>Reçu</t>
        </is>
      </c>
      <c r="D22" s="6" t="inlineStr">
        <is>
          <t>Objet promotionnel</t>
        </is>
      </c>
      <c r="E22" s="6" t="inlineStr">
        <is>
          <t>Hébergement — cas 115</t>
        </is>
      </c>
      <c r="F22" s="8" t="n">
        <v>35</v>
      </c>
      <c r="G22" s="6" t="inlineStr">
        <is>
          <t>EUR</t>
        </is>
      </c>
      <c r="H22" s="6">
        <f>IFERROR(XLOOKUP($G22,FX_CCY,FX_RATES),1)</f>
        <v/>
      </c>
      <c r="I22" s="8">
        <f>$F22*$H22</f>
        <v/>
      </c>
      <c r="J22" s="6" t="inlineStr">
        <is>
          <t>MAROC</t>
        </is>
      </c>
      <c r="K22" s="6" t="inlineStr">
        <is>
          <t>RDV</t>
        </is>
      </c>
      <c r="L22" s="6" t="inlineStr">
        <is>
          <t>Client</t>
        </is>
      </c>
      <c r="M22" s="6" t="inlineStr">
        <is>
          <t>David Brown</t>
        </is>
      </c>
      <c r="N22" s="6" t="inlineStr">
        <is>
          <t>Samir Haddad</t>
        </is>
      </c>
      <c r="O22" s="6" t="inlineStr">
        <is>
          <t>En attente approbation</t>
        </is>
      </c>
      <c r="P22" s="6" t="inlineStr">
        <is>
          <t>m.bernard@entreprise.fr</t>
        </is>
      </c>
      <c r="Q22" s="11">
        <f>IF($O22="Approuvé",TODAY()-MOD(15,5),"")</f>
        <v/>
      </c>
      <c r="R22" s="6">
        <f>IF($O22="Approuvé","APR-1015","")</f>
        <v/>
      </c>
      <c r="S22" s="8">
        <f>IFERROR(XLOOKUP($D22&amp;"|"&amp;$J22,POLICY_KEY,POLICY_VAL, XLOOKUP($D22&amp;"|ANY",POLICY_KEY,POLICY_VAL,100)),100)</f>
        <v/>
      </c>
      <c r="T22" s="8">
        <f>Tables!$H$12</f>
        <v/>
      </c>
      <c r="U22" s="8">
        <f>SUMIFS($I$7:$I$500,$M$7:$M$500,$M22,YEAR($B$7:$B$500),YEAR($B22))</f>
        <v/>
      </c>
      <c r="V22" s="6">
        <f>IF(AND($I22&lt;=$S22,$U22&lt;=$T22),"Conforme","Dépassé")</f>
        <v/>
      </c>
      <c r="W22" s="6" t="inlineStr">
        <is>
          <t>link://dms/cadeaux/1015</t>
        </is>
      </c>
      <c r="X22" s="6" t="inlineStr">
        <is>
          <t>Note interne</t>
        </is>
      </c>
    </row>
    <row r="23">
      <c r="A23" s="6">
        <f>TEXT(17,"0000")</f>
        <v/>
      </c>
      <c r="B23" s="11" t="n">
        <v>45914</v>
      </c>
      <c r="C23" s="6" t="inlineStr">
        <is>
          <t>Offert</t>
        </is>
      </c>
      <c r="D23" s="6" t="inlineStr">
        <is>
          <t>Repas</t>
        </is>
      </c>
      <c r="E23" s="6" t="inlineStr">
        <is>
          <t>Taxi — cas 116</t>
        </is>
      </c>
      <c r="F23" s="8" t="n">
        <v>50</v>
      </c>
      <c r="G23" s="6" t="inlineStr">
        <is>
          <t>USD</t>
        </is>
      </c>
      <c r="H23" s="6">
        <f>IFERROR(XLOOKUP($G23,FX_CCY,FX_RATES),1)</f>
        <v/>
      </c>
      <c r="I23" s="8">
        <f>$F23*$H23</f>
        <v/>
      </c>
      <c r="J23" s="6" t="inlineStr">
        <is>
          <t>FRANCE</t>
        </is>
      </c>
      <c r="K23" s="6" t="inlineStr">
        <is>
          <t>Salon X</t>
        </is>
      </c>
      <c r="L23" s="6" t="inlineStr">
        <is>
          <t>Prospect</t>
        </is>
      </c>
      <c r="M23" s="6" t="inlineStr">
        <is>
          <t>Sara Benali</t>
        </is>
      </c>
      <c r="N23" s="6" t="inlineStr">
        <is>
          <t>Alice Dupont</t>
        </is>
      </c>
      <c r="O23" s="6" t="inlineStr">
        <is>
          <t>Approuvé</t>
        </is>
      </c>
      <c r="P23" s="6" t="inlineStr">
        <is>
          <t>m.bernard@entreprise.fr</t>
        </is>
      </c>
      <c r="Q23" s="11">
        <f>IF($O23="Approuvé",TODAY()-MOD(16,5),"")</f>
        <v/>
      </c>
      <c r="R23" s="6">
        <f>IF($O23="Approuvé","APR-1016","")</f>
        <v/>
      </c>
      <c r="S23" s="8">
        <f>IFERROR(XLOOKUP($D23&amp;"|"&amp;$J23,POLICY_KEY,POLICY_VAL, XLOOKUP($D23&amp;"|ANY",POLICY_KEY,POLICY_VAL,100)),100)</f>
        <v/>
      </c>
      <c r="T23" s="8">
        <f>Tables!$H$12</f>
        <v/>
      </c>
      <c r="U23" s="8">
        <f>SUMIFS($I$7:$I$500,$M$7:$M$500,$M23,YEAR($B$7:$B$500),YEAR($B23))</f>
        <v/>
      </c>
      <c r="V23" s="6">
        <f>IF(AND($I23&lt;=$S23,$U23&lt;=$T23),"Conforme","Dépassé")</f>
        <v/>
      </c>
      <c r="W23" s="6" t="inlineStr">
        <is>
          <t>link://dms/cadeaux/1016</t>
        </is>
      </c>
      <c r="X23" s="6" t="inlineStr"/>
    </row>
    <row r="24">
      <c r="A24" s="6">
        <f>TEXT(18,"0000")</f>
        <v/>
      </c>
      <c r="B24" s="11" t="n">
        <v>45915</v>
      </c>
      <c r="C24" s="6" t="inlineStr">
        <is>
          <t>Reçu</t>
        </is>
      </c>
      <c r="D24" s="6" t="inlineStr">
        <is>
          <t>Hospitalité</t>
        </is>
      </c>
      <c r="E24" s="6" t="inlineStr">
        <is>
          <t>Dons — cas 117</t>
        </is>
      </c>
      <c r="F24" s="8" t="n">
        <v>65</v>
      </c>
      <c r="G24" s="6" t="inlineStr">
        <is>
          <t>GBP</t>
        </is>
      </c>
      <c r="H24" s="6">
        <f>IFERROR(XLOOKUP($G24,FX_CCY,FX_RATES),1)</f>
        <v/>
      </c>
      <c r="I24" s="8">
        <f>$F24*$H24</f>
        <v/>
      </c>
      <c r="J24" s="6" t="inlineStr">
        <is>
          <t>BELGIQUE</t>
        </is>
      </c>
      <c r="K24" s="6" t="inlineStr">
        <is>
          <t>Match Y</t>
        </is>
      </c>
      <c r="L24" s="6" t="inlineStr">
        <is>
          <t>Fournisseur</t>
        </is>
      </c>
      <c r="M24" s="6" t="inlineStr">
        <is>
          <t>David Brown</t>
        </is>
      </c>
      <c r="N24" s="6" t="inlineStr">
        <is>
          <t>Karim Ouali</t>
        </is>
      </c>
      <c r="O24" s="6" t="inlineStr">
        <is>
          <t>Refusé</t>
        </is>
      </c>
      <c r="P24" s="6" t="inlineStr">
        <is>
          <t>m.bernard@entreprise.fr</t>
        </is>
      </c>
      <c r="Q24" s="11">
        <f>IF($O24="Approuvé",TODAY()-MOD(17,5),"")</f>
        <v/>
      </c>
      <c r="R24" s="6">
        <f>IF($O24="Approuvé","APR-1017","")</f>
        <v/>
      </c>
      <c r="S24" s="8">
        <f>IFERROR(XLOOKUP($D24&amp;"|"&amp;$J24,POLICY_KEY,POLICY_VAL, XLOOKUP($D24&amp;"|ANY",POLICY_KEY,POLICY_VAL,100)),100)</f>
        <v/>
      </c>
      <c r="T24" s="8">
        <f>Tables!$H$12</f>
        <v/>
      </c>
      <c r="U24" s="8">
        <f>SUMIFS($I$7:$I$500,$M$7:$M$500,$M24,YEAR($B$7:$B$500),YEAR($B24))</f>
        <v/>
      </c>
      <c r="V24" s="6">
        <f>IF(AND($I24&lt;=$S24,$U24&lt;=$T24),"Conforme","Dépassé")</f>
        <v/>
      </c>
      <c r="W24" s="6" t="inlineStr">
        <is>
          <t>link://dms/cadeaux/1017</t>
        </is>
      </c>
      <c r="X24" s="6" t="inlineStr">
        <is>
          <t>Justificatif joint</t>
        </is>
      </c>
    </row>
    <row r="25">
      <c r="A25" s="6">
        <f>TEXT(19,"0000")</f>
        <v/>
      </c>
      <c r="B25" s="11" t="n">
        <v>45916</v>
      </c>
      <c r="C25" s="6" t="inlineStr">
        <is>
          <t>Offert</t>
        </is>
      </c>
      <c r="D25" s="6" t="inlineStr">
        <is>
          <t>Billetterie</t>
        </is>
      </c>
      <c r="E25" s="6" t="inlineStr">
        <is>
          <t>Déjeuner — cas 118</t>
        </is>
      </c>
      <c r="F25" s="8" t="n">
        <v>80</v>
      </c>
      <c r="G25" s="6" t="inlineStr">
        <is>
          <t>CHF</t>
        </is>
      </c>
      <c r="H25" s="6">
        <f>IFERROR(XLOOKUP($G25,FX_CCY,FX_RATES),1)</f>
        <v/>
      </c>
      <c r="I25" s="8">
        <f>$F25*$H25</f>
        <v/>
      </c>
      <c r="J25" s="6" t="inlineStr">
        <is>
          <t>SUISSE</t>
        </is>
      </c>
      <c r="K25" s="6" t="inlineStr">
        <is>
          <t>Conférence Z</t>
        </is>
      </c>
      <c r="L25" s="6" t="inlineStr">
        <is>
          <t>Partenaire</t>
        </is>
      </c>
      <c r="M25" s="6" t="inlineStr">
        <is>
          <t>Sara Benali</t>
        </is>
      </c>
      <c r="N25" s="6" t="inlineStr">
        <is>
          <t>Léa Moreau</t>
        </is>
      </c>
      <c r="O25" s="6" t="inlineStr">
        <is>
          <t>Offert</t>
        </is>
      </c>
      <c r="P25" s="6" t="inlineStr">
        <is>
          <t>m.bernard@entreprise.fr</t>
        </is>
      </c>
      <c r="Q25" s="11">
        <f>IF($O25="Approuvé",TODAY()-MOD(18,5),"")</f>
        <v/>
      </c>
      <c r="R25" s="6">
        <f>IF($O25="Approuvé","APR-1018","")</f>
        <v/>
      </c>
      <c r="S25" s="8">
        <f>IFERROR(XLOOKUP($D25&amp;"|"&amp;$J25,POLICY_KEY,POLICY_VAL, XLOOKUP($D25&amp;"|ANY",POLICY_KEY,POLICY_VAL,100)),100)</f>
        <v/>
      </c>
      <c r="T25" s="8">
        <f>Tables!$H$12</f>
        <v/>
      </c>
      <c r="U25" s="8">
        <f>SUMIFS($I$7:$I$500,$M$7:$M$500,$M25,YEAR($B$7:$B$500),YEAR($B25))</f>
        <v/>
      </c>
      <c r="V25" s="6">
        <f>IF(AND($I25&lt;=$S25,$U25&lt;=$T25),"Conforme","Dépassé")</f>
        <v/>
      </c>
      <c r="W25" s="6" t="inlineStr">
        <is>
          <t>link://dms/cadeaux/1018</t>
        </is>
      </c>
      <c r="X25" s="6" t="inlineStr">
        <is>
          <t>À valider</t>
        </is>
      </c>
    </row>
    <row r="26">
      <c r="A26" s="6">
        <f>TEXT(20,"0000")</f>
        <v/>
      </c>
      <c r="B26" s="11" t="n">
        <v>45917</v>
      </c>
      <c r="C26" s="6" t="inlineStr">
        <is>
          <t>Reçu</t>
        </is>
      </c>
      <c r="D26" s="6" t="inlineStr">
        <is>
          <t>Transport</t>
        </is>
      </c>
      <c r="E26" s="6" t="inlineStr">
        <is>
          <t>Goodies — cas 119</t>
        </is>
      </c>
      <c r="F26" s="8" t="n">
        <v>95</v>
      </c>
      <c r="G26" s="6" t="inlineStr">
        <is>
          <t>MAD</t>
        </is>
      </c>
      <c r="H26" s="6">
        <f>IFERROR(XLOOKUP($G26,FX_CCY,FX_RATES),1)</f>
        <v/>
      </c>
      <c r="I26" s="8">
        <f>$F26*$H26</f>
        <v/>
      </c>
      <c r="J26" s="6" t="inlineStr">
        <is>
          <t>ESPAGNE</t>
        </is>
      </c>
      <c r="K26" s="6" t="inlineStr">
        <is>
          <t>RDV</t>
        </is>
      </c>
      <c r="L26" s="6" t="inlineStr">
        <is>
          <t>Institution</t>
        </is>
      </c>
      <c r="M26" s="6" t="inlineStr">
        <is>
          <t>David Brown</t>
        </is>
      </c>
      <c r="N26" s="6" t="inlineStr">
        <is>
          <t>Samir Haddad</t>
        </is>
      </c>
      <c r="O26" s="6" t="inlineStr">
        <is>
          <t>Reçu</t>
        </is>
      </c>
      <c r="P26" s="6" t="inlineStr">
        <is>
          <t>m.bernard@entreprise.fr</t>
        </is>
      </c>
      <c r="Q26" s="11">
        <f>IF($O26="Approuvé",TODAY()-MOD(19,5),"")</f>
        <v/>
      </c>
      <c r="R26" s="6">
        <f>IF($O26="Approuvé","APR-1019","")</f>
        <v/>
      </c>
      <c r="S26" s="8">
        <f>IFERROR(XLOOKUP($D26&amp;"|"&amp;$J26,POLICY_KEY,POLICY_VAL, XLOOKUP($D26&amp;"|ANY",POLICY_KEY,POLICY_VAL,100)),100)</f>
        <v/>
      </c>
      <c r="T26" s="8">
        <f>Tables!$H$12</f>
        <v/>
      </c>
      <c r="U26" s="8">
        <f>SUMIFS($I$7:$I$500,$M$7:$M$500,$M26,YEAR($B$7:$B$500),YEAR($B26))</f>
        <v/>
      </c>
      <c r="V26" s="6">
        <f>IF(AND($I26&lt;=$S26,$U26&lt;=$T26),"Conforme","Dépassé")</f>
        <v/>
      </c>
      <c r="W26" s="6" t="inlineStr">
        <is>
          <t>link://dms/cadeaux/1019</t>
        </is>
      </c>
      <c r="X26" s="6" t="inlineStr">
        <is>
          <t>Note interne</t>
        </is>
      </c>
    </row>
    <row r="27">
      <c r="A27" s="6">
        <f>TEXT(21,"0000")</f>
        <v/>
      </c>
      <c r="B27" s="11" t="n">
        <v>45918</v>
      </c>
      <c r="C27" s="6" t="inlineStr">
        <is>
          <t>Offert</t>
        </is>
      </c>
      <c r="D27" s="6" t="inlineStr">
        <is>
          <t>Hébergement</t>
        </is>
      </c>
      <c r="E27" s="6" t="inlineStr">
        <is>
          <t>Billet — cas 120</t>
        </is>
      </c>
      <c r="F27" s="8" t="n">
        <v>110</v>
      </c>
      <c r="G27" s="6" t="inlineStr">
        <is>
          <t>EUR</t>
        </is>
      </c>
      <c r="H27" s="6">
        <f>IFERROR(XLOOKUP($G27,FX_CCY,FX_RATES),1)</f>
        <v/>
      </c>
      <c r="I27" s="8">
        <f>$F27*$H27</f>
        <v/>
      </c>
      <c r="J27" s="6" t="inlineStr">
        <is>
          <t>ALLEMAGNE</t>
        </is>
      </c>
      <c r="K27" s="6" t="inlineStr">
        <is>
          <t>Salon X</t>
        </is>
      </c>
      <c r="L27" s="6" t="inlineStr">
        <is>
          <t>Interne</t>
        </is>
      </c>
      <c r="M27" s="6" t="inlineStr">
        <is>
          <t>Sara Benali</t>
        </is>
      </c>
      <c r="N27" s="6" t="inlineStr">
        <is>
          <t>Alice Dupont</t>
        </is>
      </c>
      <c r="O27" s="6" t="inlineStr">
        <is>
          <t>Remboursé</t>
        </is>
      </c>
      <c r="P27" s="6" t="inlineStr">
        <is>
          <t>m.bernard@entreprise.fr</t>
        </is>
      </c>
      <c r="Q27" s="11">
        <f>IF($O27="Approuvé",TODAY()-MOD(20,5),"")</f>
        <v/>
      </c>
      <c r="R27" s="6">
        <f>IF($O27="Approuvé","APR-1020","")</f>
        <v/>
      </c>
      <c r="S27" s="8">
        <f>IFERROR(XLOOKUP($D27&amp;"|"&amp;$J27,POLICY_KEY,POLICY_VAL, XLOOKUP($D27&amp;"|ANY",POLICY_KEY,POLICY_VAL,100)),100)</f>
        <v/>
      </c>
      <c r="T27" s="8">
        <f>Tables!$H$12</f>
        <v/>
      </c>
      <c r="U27" s="8">
        <f>SUMIFS($I$7:$I$500,$M$7:$M$500,$M27,YEAR($B$7:$B$500),YEAR($B27))</f>
        <v/>
      </c>
      <c r="V27" s="6">
        <f>IF(AND($I27&lt;=$S27,$U27&lt;=$T27),"Conforme","Dépassé")</f>
        <v/>
      </c>
      <c r="W27" s="6" t="inlineStr">
        <is>
          <t>link://dms/cadeaux/1020</t>
        </is>
      </c>
      <c r="X27" s="6" t="inlineStr"/>
    </row>
    <row r="28">
      <c r="A28" s="6">
        <f>TEXT(22,"0000")</f>
        <v/>
      </c>
      <c r="B28" s="11" t="n">
        <v>45919</v>
      </c>
      <c r="C28" s="6" t="inlineStr">
        <is>
          <t>Reçu</t>
        </is>
      </c>
      <c r="D28" s="6" t="inlineStr">
        <is>
          <t>Don caritatif</t>
        </is>
      </c>
      <c r="E28" s="6" t="inlineStr">
        <is>
          <t>Hébergement — cas 121</t>
        </is>
      </c>
      <c r="F28" s="8" t="n">
        <v>20</v>
      </c>
      <c r="G28" s="6" t="inlineStr">
        <is>
          <t>USD</t>
        </is>
      </c>
      <c r="H28" s="6">
        <f>IFERROR(XLOOKUP($G28,FX_CCY,FX_RATES),1)</f>
        <v/>
      </c>
      <c r="I28" s="8">
        <f>$F28*$H28</f>
        <v/>
      </c>
      <c r="J28" s="6" t="inlineStr">
        <is>
          <t>ITALIE</t>
        </is>
      </c>
      <c r="K28" s="6" t="inlineStr">
        <is>
          <t>Match Y</t>
        </is>
      </c>
      <c r="L28" s="6" t="inlineStr">
        <is>
          <t>Client</t>
        </is>
      </c>
      <c r="M28" s="6" t="inlineStr">
        <is>
          <t>David Brown</t>
        </is>
      </c>
      <c r="N28" s="6" t="inlineStr">
        <is>
          <t>Karim Ouali</t>
        </is>
      </c>
      <c r="O28" s="6" t="inlineStr">
        <is>
          <t>Archivé</t>
        </is>
      </c>
      <c r="P28" s="6" t="inlineStr">
        <is>
          <t>m.bernard@entreprise.fr</t>
        </is>
      </c>
      <c r="Q28" s="11">
        <f>IF($O28="Approuvé",TODAY()-MOD(21,5),"")</f>
        <v/>
      </c>
      <c r="R28" s="6">
        <f>IF($O28="Approuvé","APR-1021","")</f>
        <v/>
      </c>
      <c r="S28" s="8">
        <f>IFERROR(XLOOKUP($D28&amp;"|"&amp;$J28,POLICY_KEY,POLICY_VAL, XLOOKUP($D28&amp;"|ANY",POLICY_KEY,POLICY_VAL,100)),100)</f>
        <v/>
      </c>
      <c r="T28" s="8">
        <f>Tables!$H$12</f>
        <v/>
      </c>
      <c r="U28" s="8">
        <f>SUMIFS($I$7:$I$500,$M$7:$M$500,$M28,YEAR($B$7:$B$500),YEAR($B28))</f>
        <v/>
      </c>
      <c r="V28" s="6">
        <f>IF(AND($I28&lt;=$S28,$U28&lt;=$T28),"Conforme","Dépassé")</f>
        <v/>
      </c>
      <c r="W28" s="6" t="inlineStr">
        <is>
          <t>link://dms/cadeaux/1021</t>
        </is>
      </c>
      <c r="X28" s="6" t="inlineStr">
        <is>
          <t>Justificatif joint</t>
        </is>
      </c>
    </row>
    <row r="29">
      <c r="A29" s="6">
        <f>TEXT(23,"0000")</f>
        <v/>
      </c>
      <c r="B29" s="11" t="n">
        <v>45920</v>
      </c>
      <c r="C29" s="6" t="inlineStr">
        <is>
          <t>Offert</t>
        </is>
      </c>
      <c r="D29" s="6" t="inlineStr">
        <is>
          <t>Autre</t>
        </is>
      </c>
      <c r="E29" s="6" t="inlineStr">
        <is>
          <t>Taxi — cas 122</t>
        </is>
      </c>
      <c r="F29" s="8" t="n">
        <v>35</v>
      </c>
      <c r="G29" s="6" t="inlineStr">
        <is>
          <t>GBP</t>
        </is>
      </c>
      <c r="H29" s="6">
        <f>IFERROR(XLOOKUP($G29,FX_CCY,FX_RATES),1)</f>
        <v/>
      </c>
      <c r="I29" s="8">
        <f>$F29*$H29</f>
        <v/>
      </c>
      <c r="J29" s="6" t="inlineStr">
        <is>
          <t>ROYAUME-UNI</t>
        </is>
      </c>
      <c r="K29" s="6" t="inlineStr">
        <is>
          <t>Conférence Z</t>
        </is>
      </c>
      <c r="L29" s="6" t="inlineStr">
        <is>
          <t>Prospect</t>
        </is>
      </c>
      <c r="M29" s="6" t="inlineStr">
        <is>
          <t>Sara Benali</t>
        </is>
      </c>
      <c r="N29" s="6" t="inlineStr">
        <is>
          <t>Léa Moreau</t>
        </is>
      </c>
      <c r="O29" s="6" t="inlineStr">
        <is>
          <t>Proposé</t>
        </is>
      </c>
      <c r="P29" s="6" t="inlineStr">
        <is>
          <t>m.bernard@entreprise.fr</t>
        </is>
      </c>
      <c r="Q29" s="11">
        <f>IF($O29="Approuvé",TODAY()-MOD(22,5),"")</f>
        <v/>
      </c>
      <c r="R29" s="6">
        <f>IF($O29="Approuvé","APR-1022","")</f>
        <v/>
      </c>
      <c r="S29" s="8">
        <f>IFERROR(XLOOKUP($D29&amp;"|"&amp;$J29,POLICY_KEY,POLICY_VAL, XLOOKUP($D29&amp;"|ANY",POLICY_KEY,POLICY_VAL,100)),100)</f>
        <v/>
      </c>
      <c r="T29" s="8">
        <f>Tables!$H$12</f>
        <v/>
      </c>
      <c r="U29" s="8">
        <f>SUMIFS($I$7:$I$500,$M$7:$M$500,$M29,YEAR($B$7:$B$500),YEAR($B29))</f>
        <v/>
      </c>
      <c r="V29" s="6">
        <f>IF(AND($I29&lt;=$S29,$U29&lt;=$T29),"Conforme","Dépassé")</f>
        <v/>
      </c>
      <c r="W29" s="6" t="inlineStr">
        <is>
          <t>link://dms/cadeaux/1022</t>
        </is>
      </c>
      <c r="X29" s="6" t="inlineStr">
        <is>
          <t>À valider</t>
        </is>
      </c>
    </row>
    <row r="30">
      <c r="A30" s="6">
        <f>TEXT(24,"0000")</f>
        <v/>
      </c>
      <c r="B30" s="11" t="n">
        <v>45921</v>
      </c>
      <c r="C30" s="6" t="inlineStr">
        <is>
          <t>Reçu</t>
        </is>
      </c>
      <c r="D30" s="6" t="inlineStr">
        <is>
          <t>Objet promotionnel</t>
        </is>
      </c>
      <c r="E30" s="6" t="inlineStr">
        <is>
          <t>Dons — cas 123</t>
        </is>
      </c>
      <c r="F30" s="8" t="n">
        <v>50</v>
      </c>
      <c r="G30" s="6" t="inlineStr">
        <is>
          <t>CHF</t>
        </is>
      </c>
      <c r="H30" s="6">
        <f>IFERROR(XLOOKUP($G30,FX_CCY,FX_RATES),1)</f>
        <v/>
      </c>
      <c r="I30" s="8">
        <f>$F30*$H30</f>
        <v/>
      </c>
      <c r="J30" s="6" t="inlineStr">
        <is>
          <t>USA</t>
        </is>
      </c>
      <c r="K30" s="6" t="inlineStr">
        <is>
          <t>RDV</t>
        </is>
      </c>
      <c r="L30" s="6" t="inlineStr">
        <is>
          <t>Fournisseur</t>
        </is>
      </c>
      <c r="M30" s="6" t="inlineStr">
        <is>
          <t>David Brown</t>
        </is>
      </c>
      <c r="N30" s="6" t="inlineStr">
        <is>
          <t>Samir Haddad</t>
        </is>
      </c>
      <c r="O30" s="6" t="inlineStr">
        <is>
          <t>En attente approbation</t>
        </is>
      </c>
      <c r="P30" s="6" t="inlineStr">
        <is>
          <t>m.bernard@entreprise.fr</t>
        </is>
      </c>
      <c r="Q30" s="11">
        <f>IF($O30="Approuvé",TODAY()-MOD(23,5),"")</f>
        <v/>
      </c>
      <c r="R30" s="6">
        <f>IF($O30="Approuvé","APR-1023","")</f>
        <v/>
      </c>
      <c r="S30" s="8">
        <f>IFERROR(XLOOKUP($D30&amp;"|"&amp;$J30,POLICY_KEY,POLICY_VAL, XLOOKUP($D30&amp;"|ANY",POLICY_KEY,POLICY_VAL,100)),100)</f>
        <v/>
      </c>
      <c r="T30" s="8">
        <f>Tables!$H$12</f>
        <v/>
      </c>
      <c r="U30" s="8">
        <f>SUMIFS($I$7:$I$500,$M$7:$M$500,$M30,YEAR($B$7:$B$500),YEAR($B30))</f>
        <v/>
      </c>
      <c r="V30" s="6">
        <f>IF(AND($I30&lt;=$S30,$U30&lt;=$T30),"Conforme","Dépassé")</f>
        <v/>
      </c>
      <c r="W30" s="6" t="inlineStr">
        <is>
          <t>link://dms/cadeaux/1023</t>
        </is>
      </c>
      <c r="X30" s="6" t="inlineStr">
        <is>
          <t>Note interne</t>
        </is>
      </c>
    </row>
    <row r="31">
      <c r="A31" s="6">
        <f>TEXT(25,"0000")</f>
        <v/>
      </c>
      <c r="B31" s="11" t="n">
        <v>45922</v>
      </c>
      <c r="C31" s="6" t="inlineStr">
        <is>
          <t>Offert</t>
        </is>
      </c>
      <c r="D31" s="6" t="inlineStr">
        <is>
          <t>Repas</t>
        </is>
      </c>
      <c r="E31" s="6" t="inlineStr">
        <is>
          <t>Déjeuner — cas 124</t>
        </is>
      </c>
      <c r="F31" s="8" t="n">
        <v>65</v>
      </c>
      <c r="G31" s="6" t="inlineStr">
        <is>
          <t>MAD</t>
        </is>
      </c>
      <c r="H31" s="6">
        <f>IFERROR(XLOOKUP($G31,FX_CCY,FX_RATES),1)</f>
        <v/>
      </c>
      <c r="I31" s="8">
        <f>$F31*$H31</f>
        <v/>
      </c>
      <c r="J31" s="6" t="inlineStr">
        <is>
          <t>MAROC</t>
        </is>
      </c>
      <c r="K31" s="6" t="inlineStr">
        <is>
          <t>Salon X</t>
        </is>
      </c>
      <c r="L31" s="6" t="inlineStr">
        <is>
          <t>Partenaire</t>
        </is>
      </c>
      <c r="M31" s="6" t="inlineStr">
        <is>
          <t>Sara Benali</t>
        </is>
      </c>
      <c r="N31" s="6" t="inlineStr">
        <is>
          <t>Alice Dupont</t>
        </is>
      </c>
      <c r="O31" s="6" t="inlineStr">
        <is>
          <t>Approuvé</t>
        </is>
      </c>
      <c r="P31" s="6" t="inlineStr">
        <is>
          <t>m.bernard@entreprise.fr</t>
        </is>
      </c>
      <c r="Q31" s="11">
        <f>IF($O31="Approuvé",TODAY()-MOD(24,5),"")</f>
        <v/>
      </c>
      <c r="R31" s="6">
        <f>IF($O31="Approuvé","APR-1024","")</f>
        <v/>
      </c>
      <c r="S31" s="8">
        <f>IFERROR(XLOOKUP($D31&amp;"|"&amp;$J31,POLICY_KEY,POLICY_VAL, XLOOKUP($D31&amp;"|ANY",POLICY_KEY,POLICY_VAL,100)),100)</f>
        <v/>
      </c>
      <c r="T31" s="8">
        <f>Tables!$H$12</f>
        <v/>
      </c>
      <c r="U31" s="8">
        <f>SUMIFS($I$7:$I$500,$M$7:$M$500,$M31,YEAR($B$7:$B$500),YEAR($B31))</f>
        <v/>
      </c>
      <c r="V31" s="6">
        <f>IF(AND($I31&lt;=$S31,$U31&lt;=$T31),"Conforme","Dépassé")</f>
        <v/>
      </c>
      <c r="W31" s="6" t="inlineStr">
        <is>
          <t>link://dms/cadeaux/1024</t>
        </is>
      </c>
      <c r="X31" s="6" t="inlineStr"/>
    </row>
    <row r="32">
      <c r="A32" s="6">
        <f>TEXT(26,"0000")</f>
        <v/>
      </c>
      <c r="B32" s="11" t="n">
        <v>45923</v>
      </c>
      <c r="C32" s="6" t="inlineStr">
        <is>
          <t>Reçu</t>
        </is>
      </c>
      <c r="D32" s="6" t="inlineStr">
        <is>
          <t>Hospitalité</t>
        </is>
      </c>
      <c r="E32" s="6" t="inlineStr">
        <is>
          <t>Goodies — cas 125</t>
        </is>
      </c>
      <c r="F32" s="8" t="n">
        <v>80</v>
      </c>
      <c r="G32" s="6" t="inlineStr">
        <is>
          <t>EUR</t>
        </is>
      </c>
      <c r="H32" s="6">
        <f>IFERROR(XLOOKUP($G32,FX_CCY,FX_RATES),1)</f>
        <v/>
      </c>
      <c r="I32" s="8">
        <f>$F32*$H32</f>
        <v/>
      </c>
      <c r="J32" s="6" t="inlineStr">
        <is>
          <t>FRANCE</t>
        </is>
      </c>
      <c r="K32" s="6" t="inlineStr">
        <is>
          <t>Match Y</t>
        </is>
      </c>
      <c r="L32" s="6" t="inlineStr">
        <is>
          <t>Institution</t>
        </is>
      </c>
      <c r="M32" s="6" t="inlineStr">
        <is>
          <t>David Brown</t>
        </is>
      </c>
      <c r="N32" s="6" t="inlineStr">
        <is>
          <t>Karim Ouali</t>
        </is>
      </c>
      <c r="O32" s="6" t="inlineStr">
        <is>
          <t>Refusé</t>
        </is>
      </c>
      <c r="P32" s="6" t="inlineStr">
        <is>
          <t>m.bernard@entreprise.fr</t>
        </is>
      </c>
      <c r="Q32" s="11">
        <f>IF($O32="Approuvé",TODAY()-MOD(25,5),"")</f>
        <v/>
      </c>
      <c r="R32" s="6">
        <f>IF($O32="Approuvé","APR-1025","")</f>
        <v/>
      </c>
      <c r="S32" s="8">
        <f>IFERROR(XLOOKUP($D32&amp;"|"&amp;$J32,POLICY_KEY,POLICY_VAL, XLOOKUP($D32&amp;"|ANY",POLICY_KEY,POLICY_VAL,100)),100)</f>
        <v/>
      </c>
      <c r="T32" s="8">
        <f>Tables!$H$12</f>
        <v/>
      </c>
      <c r="U32" s="8">
        <f>SUMIFS($I$7:$I$500,$M$7:$M$500,$M32,YEAR($B$7:$B$500),YEAR($B32))</f>
        <v/>
      </c>
      <c r="V32" s="6">
        <f>IF(AND($I32&lt;=$S32,$U32&lt;=$T32),"Conforme","Dépassé")</f>
        <v/>
      </c>
      <c r="W32" s="6" t="inlineStr">
        <is>
          <t>link://dms/cadeaux/1025</t>
        </is>
      </c>
      <c r="X32" s="6" t="inlineStr">
        <is>
          <t>Justificatif joint</t>
        </is>
      </c>
    </row>
    <row r="33">
      <c r="A33" s="6">
        <f>TEXT(27,"0000")</f>
        <v/>
      </c>
      <c r="B33" s="11" t="n">
        <v>45924</v>
      </c>
      <c r="C33" s="6" t="inlineStr">
        <is>
          <t>Offert</t>
        </is>
      </c>
      <c r="D33" s="6" t="inlineStr">
        <is>
          <t>Billetterie</t>
        </is>
      </c>
      <c r="E33" s="6" t="inlineStr">
        <is>
          <t>Billet — cas 126</t>
        </is>
      </c>
      <c r="F33" s="8" t="n">
        <v>95</v>
      </c>
      <c r="G33" s="6" t="inlineStr">
        <is>
          <t>USD</t>
        </is>
      </c>
      <c r="H33" s="6">
        <f>IFERROR(XLOOKUP($G33,FX_CCY,FX_RATES),1)</f>
        <v/>
      </c>
      <c r="I33" s="8">
        <f>$F33*$H33</f>
        <v/>
      </c>
      <c r="J33" s="6" t="inlineStr">
        <is>
          <t>BELGIQUE</t>
        </is>
      </c>
      <c r="K33" s="6" t="inlineStr">
        <is>
          <t>Conférence Z</t>
        </is>
      </c>
      <c r="L33" s="6" t="inlineStr">
        <is>
          <t>Interne</t>
        </is>
      </c>
      <c r="M33" s="6" t="inlineStr">
        <is>
          <t>Sara Benali</t>
        </is>
      </c>
      <c r="N33" s="6" t="inlineStr">
        <is>
          <t>Léa Moreau</t>
        </is>
      </c>
      <c r="O33" s="6" t="inlineStr">
        <is>
          <t>Offert</t>
        </is>
      </c>
      <c r="P33" s="6" t="inlineStr">
        <is>
          <t>m.bernard@entreprise.fr</t>
        </is>
      </c>
      <c r="Q33" s="11">
        <f>IF($O33="Approuvé",TODAY()-MOD(26,5),"")</f>
        <v/>
      </c>
      <c r="R33" s="6">
        <f>IF($O33="Approuvé","APR-1026","")</f>
        <v/>
      </c>
      <c r="S33" s="8">
        <f>IFERROR(XLOOKUP($D33&amp;"|"&amp;$J33,POLICY_KEY,POLICY_VAL, XLOOKUP($D33&amp;"|ANY",POLICY_KEY,POLICY_VAL,100)),100)</f>
        <v/>
      </c>
      <c r="T33" s="8">
        <f>Tables!$H$12</f>
        <v/>
      </c>
      <c r="U33" s="8">
        <f>SUMIFS($I$7:$I$500,$M$7:$M$500,$M33,YEAR($B$7:$B$500),YEAR($B33))</f>
        <v/>
      </c>
      <c r="V33" s="6">
        <f>IF(AND($I33&lt;=$S33,$U33&lt;=$T33),"Conforme","Dépassé")</f>
        <v/>
      </c>
      <c r="W33" s="6" t="inlineStr">
        <is>
          <t>link://dms/cadeaux/1026</t>
        </is>
      </c>
      <c r="X33" s="6" t="inlineStr">
        <is>
          <t>À valider</t>
        </is>
      </c>
    </row>
    <row r="34">
      <c r="A34" s="6">
        <f>TEXT(28,"0000")</f>
        <v/>
      </c>
      <c r="B34" s="11" t="n">
        <v>45925</v>
      </c>
      <c r="C34" s="6" t="inlineStr">
        <is>
          <t>Reçu</t>
        </is>
      </c>
      <c r="D34" s="6" t="inlineStr">
        <is>
          <t>Transport</t>
        </is>
      </c>
      <c r="E34" s="6" t="inlineStr">
        <is>
          <t>Hébergement — cas 127</t>
        </is>
      </c>
      <c r="F34" s="8" t="n">
        <v>110</v>
      </c>
      <c r="G34" s="6" t="inlineStr">
        <is>
          <t>GBP</t>
        </is>
      </c>
      <c r="H34" s="6">
        <f>IFERROR(XLOOKUP($G34,FX_CCY,FX_RATES),1)</f>
        <v/>
      </c>
      <c r="I34" s="8">
        <f>$F34*$H34</f>
        <v/>
      </c>
      <c r="J34" s="6" t="inlineStr">
        <is>
          <t>SUISSE</t>
        </is>
      </c>
      <c r="K34" s="6" t="inlineStr">
        <is>
          <t>RDV</t>
        </is>
      </c>
      <c r="L34" s="6" t="inlineStr">
        <is>
          <t>Client</t>
        </is>
      </c>
      <c r="M34" s="6" t="inlineStr">
        <is>
          <t>David Brown</t>
        </is>
      </c>
      <c r="N34" s="6" t="inlineStr">
        <is>
          <t>Samir Haddad</t>
        </is>
      </c>
      <c r="O34" s="6" t="inlineStr">
        <is>
          <t>Reçu</t>
        </is>
      </c>
      <c r="P34" s="6" t="inlineStr">
        <is>
          <t>m.bernard@entreprise.fr</t>
        </is>
      </c>
      <c r="Q34" s="11">
        <f>IF($O34="Approuvé",TODAY()-MOD(27,5),"")</f>
        <v/>
      </c>
      <c r="R34" s="6">
        <f>IF($O34="Approuvé","APR-1027","")</f>
        <v/>
      </c>
      <c r="S34" s="8">
        <f>IFERROR(XLOOKUP($D34&amp;"|"&amp;$J34,POLICY_KEY,POLICY_VAL, XLOOKUP($D34&amp;"|ANY",POLICY_KEY,POLICY_VAL,100)),100)</f>
        <v/>
      </c>
      <c r="T34" s="8">
        <f>Tables!$H$12</f>
        <v/>
      </c>
      <c r="U34" s="8">
        <f>SUMIFS($I$7:$I$500,$M$7:$M$500,$M34,YEAR($B$7:$B$500),YEAR($B34))</f>
        <v/>
      </c>
      <c r="V34" s="6">
        <f>IF(AND($I34&lt;=$S34,$U34&lt;=$T34),"Conforme","Dépassé")</f>
        <v/>
      </c>
      <c r="W34" s="6" t="inlineStr">
        <is>
          <t>link://dms/cadeaux/1027</t>
        </is>
      </c>
      <c r="X34" s="6" t="inlineStr">
        <is>
          <t>Note interne</t>
        </is>
      </c>
    </row>
    <row r="35">
      <c r="A35" s="6">
        <f>TEXT(29,"0000")</f>
        <v/>
      </c>
      <c r="B35" s="11" t="n">
        <v>45926</v>
      </c>
      <c r="C35" s="6" t="inlineStr">
        <is>
          <t>Offert</t>
        </is>
      </c>
      <c r="D35" s="6" t="inlineStr">
        <is>
          <t>Hébergement</t>
        </is>
      </c>
      <c r="E35" s="6" t="inlineStr">
        <is>
          <t>Taxi — cas 128</t>
        </is>
      </c>
      <c r="F35" s="8" t="n">
        <v>20</v>
      </c>
      <c r="G35" s="6" t="inlineStr">
        <is>
          <t>CHF</t>
        </is>
      </c>
      <c r="H35" s="6">
        <f>IFERROR(XLOOKUP($G35,FX_CCY,FX_RATES),1)</f>
        <v/>
      </c>
      <c r="I35" s="8">
        <f>$F35*$H35</f>
        <v/>
      </c>
      <c r="J35" s="6" t="inlineStr">
        <is>
          <t>ESPAGNE</t>
        </is>
      </c>
      <c r="K35" s="6" t="inlineStr">
        <is>
          <t>Salon X</t>
        </is>
      </c>
      <c r="L35" s="6" t="inlineStr">
        <is>
          <t>Prospect</t>
        </is>
      </c>
      <c r="M35" s="6" t="inlineStr">
        <is>
          <t>Sara Benali</t>
        </is>
      </c>
      <c r="N35" s="6" t="inlineStr">
        <is>
          <t>Alice Dupont</t>
        </is>
      </c>
      <c r="O35" s="6" t="inlineStr">
        <is>
          <t>Remboursé</t>
        </is>
      </c>
      <c r="P35" s="6" t="inlineStr">
        <is>
          <t>m.bernard@entreprise.fr</t>
        </is>
      </c>
      <c r="Q35" s="11">
        <f>IF($O35="Approuvé",TODAY()-MOD(28,5),"")</f>
        <v/>
      </c>
      <c r="R35" s="6">
        <f>IF($O35="Approuvé","APR-1028","")</f>
        <v/>
      </c>
      <c r="S35" s="8">
        <f>IFERROR(XLOOKUP($D35&amp;"|"&amp;$J35,POLICY_KEY,POLICY_VAL, XLOOKUP($D35&amp;"|ANY",POLICY_KEY,POLICY_VAL,100)),100)</f>
        <v/>
      </c>
      <c r="T35" s="8">
        <f>Tables!$H$12</f>
        <v/>
      </c>
      <c r="U35" s="8">
        <f>SUMIFS($I$7:$I$500,$M$7:$M$500,$M35,YEAR($B$7:$B$500),YEAR($B35))</f>
        <v/>
      </c>
      <c r="V35" s="6">
        <f>IF(AND($I35&lt;=$S35,$U35&lt;=$T35),"Conforme","Dépassé")</f>
        <v/>
      </c>
      <c r="W35" s="6" t="inlineStr">
        <is>
          <t>link://dms/cadeaux/1028</t>
        </is>
      </c>
      <c r="X35" s="6" t="inlineStr"/>
    </row>
    <row r="36">
      <c r="A36" s="6">
        <f>TEXT(30,"0000")</f>
        <v/>
      </c>
      <c r="B36" s="11" t="n">
        <v>45927</v>
      </c>
      <c r="C36" s="6" t="inlineStr">
        <is>
          <t>Reçu</t>
        </is>
      </c>
      <c r="D36" s="6" t="inlineStr">
        <is>
          <t>Don caritatif</t>
        </is>
      </c>
      <c r="E36" s="6" t="inlineStr">
        <is>
          <t>Dons — cas 129</t>
        </is>
      </c>
      <c r="F36" s="8" t="n">
        <v>35</v>
      </c>
      <c r="G36" s="6" t="inlineStr">
        <is>
          <t>MAD</t>
        </is>
      </c>
      <c r="H36" s="6">
        <f>IFERROR(XLOOKUP($G36,FX_CCY,FX_RATES),1)</f>
        <v/>
      </c>
      <c r="I36" s="8">
        <f>$F36*$H36</f>
        <v/>
      </c>
      <c r="J36" s="6" t="inlineStr">
        <is>
          <t>ALLEMAGNE</t>
        </is>
      </c>
      <c r="K36" s="6" t="inlineStr">
        <is>
          <t>Match Y</t>
        </is>
      </c>
      <c r="L36" s="6" t="inlineStr">
        <is>
          <t>Fournisseur</t>
        </is>
      </c>
      <c r="M36" s="6" t="inlineStr">
        <is>
          <t>David Brown</t>
        </is>
      </c>
      <c r="N36" s="6" t="inlineStr">
        <is>
          <t>Karim Ouali</t>
        </is>
      </c>
      <c r="O36" s="6" t="inlineStr">
        <is>
          <t>Archivé</t>
        </is>
      </c>
      <c r="P36" s="6" t="inlineStr">
        <is>
          <t>m.bernard@entreprise.fr</t>
        </is>
      </c>
      <c r="Q36" s="11">
        <f>IF($O36="Approuvé",TODAY()-MOD(29,5),"")</f>
        <v/>
      </c>
      <c r="R36" s="6">
        <f>IF($O36="Approuvé","APR-1029","")</f>
        <v/>
      </c>
      <c r="S36" s="8">
        <f>IFERROR(XLOOKUP($D36&amp;"|"&amp;$J36,POLICY_KEY,POLICY_VAL, XLOOKUP($D36&amp;"|ANY",POLICY_KEY,POLICY_VAL,100)),100)</f>
        <v/>
      </c>
      <c r="T36" s="8">
        <f>Tables!$H$12</f>
        <v/>
      </c>
      <c r="U36" s="8">
        <f>SUMIFS($I$7:$I$500,$M$7:$M$500,$M36,YEAR($B$7:$B$500),YEAR($B36))</f>
        <v/>
      </c>
      <c r="V36" s="6">
        <f>IF(AND($I36&lt;=$S36,$U36&lt;=$T36),"Conforme","Dépassé")</f>
        <v/>
      </c>
      <c r="W36" s="6" t="inlineStr">
        <is>
          <t>link://dms/cadeaux/1029</t>
        </is>
      </c>
      <c r="X36" s="6" t="inlineStr">
        <is>
          <t>Justificatif joint</t>
        </is>
      </c>
    </row>
    <row r="37">
      <c r="A37" s="6">
        <f>TEXT(31,"0000")</f>
        <v/>
      </c>
      <c r="B37" s="11" t="n">
        <v>45928</v>
      </c>
      <c r="C37" s="6" t="inlineStr">
        <is>
          <t>Offert</t>
        </is>
      </c>
      <c r="D37" s="6" t="inlineStr">
        <is>
          <t>Autre</t>
        </is>
      </c>
      <c r="E37" s="6" t="inlineStr">
        <is>
          <t>Déjeuner — cas 130</t>
        </is>
      </c>
      <c r="F37" s="8" t="n">
        <v>50</v>
      </c>
      <c r="G37" s="6" t="inlineStr">
        <is>
          <t>EUR</t>
        </is>
      </c>
      <c r="H37" s="6">
        <f>IFERROR(XLOOKUP($G37,FX_CCY,FX_RATES),1)</f>
        <v/>
      </c>
      <c r="I37" s="8">
        <f>$F37*$H37</f>
        <v/>
      </c>
      <c r="J37" s="6" t="inlineStr">
        <is>
          <t>ITALIE</t>
        </is>
      </c>
      <c r="K37" s="6" t="inlineStr">
        <is>
          <t>Conférence Z</t>
        </is>
      </c>
      <c r="L37" s="6" t="inlineStr">
        <is>
          <t>Partenaire</t>
        </is>
      </c>
      <c r="M37" s="6" t="inlineStr">
        <is>
          <t>Sara Benali</t>
        </is>
      </c>
      <c r="N37" s="6" t="inlineStr">
        <is>
          <t>Léa Moreau</t>
        </is>
      </c>
      <c r="O37" s="6" t="inlineStr">
        <is>
          <t>Proposé</t>
        </is>
      </c>
      <c r="P37" s="6" t="inlineStr">
        <is>
          <t>m.bernard@entreprise.fr</t>
        </is>
      </c>
      <c r="Q37" s="11">
        <f>IF($O37="Approuvé",TODAY()-MOD(30,5),"")</f>
        <v/>
      </c>
      <c r="R37" s="6">
        <f>IF($O37="Approuvé","APR-1030","")</f>
        <v/>
      </c>
      <c r="S37" s="8">
        <f>IFERROR(XLOOKUP($D37&amp;"|"&amp;$J37,POLICY_KEY,POLICY_VAL, XLOOKUP($D37&amp;"|ANY",POLICY_KEY,POLICY_VAL,100)),100)</f>
        <v/>
      </c>
      <c r="T37" s="8">
        <f>Tables!$H$12</f>
        <v/>
      </c>
      <c r="U37" s="8">
        <f>SUMIFS($I$7:$I$500,$M$7:$M$500,$M37,YEAR($B$7:$B$500),YEAR($B37))</f>
        <v/>
      </c>
      <c r="V37" s="6">
        <f>IF(AND($I37&lt;=$S37,$U37&lt;=$T37),"Conforme","Dépassé")</f>
        <v/>
      </c>
      <c r="W37" s="6" t="inlineStr">
        <is>
          <t>link://dms/cadeaux/1030</t>
        </is>
      </c>
      <c r="X37" s="6" t="inlineStr">
        <is>
          <t>À valider</t>
        </is>
      </c>
    </row>
    <row r="38">
      <c r="A38" s="6">
        <f>TEXT(32,"0000")</f>
        <v/>
      </c>
      <c r="B38" s="11" t="n">
        <v>45929</v>
      </c>
      <c r="C38" s="6" t="inlineStr">
        <is>
          <t>Reçu</t>
        </is>
      </c>
      <c r="D38" s="6" t="inlineStr">
        <is>
          <t>Objet promotionnel</t>
        </is>
      </c>
      <c r="E38" s="6" t="inlineStr">
        <is>
          <t>Goodies — cas 131</t>
        </is>
      </c>
      <c r="F38" s="8" t="n">
        <v>65</v>
      </c>
      <c r="G38" s="6" t="inlineStr">
        <is>
          <t>USD</t>
        </is>
      </c>
      <c r="H38" s="6">
        <f>IFERROR(XLOOKUP($G38,FX_CCY,FX_RATES),1)</f>
        <v/>
      </c>
      <c r="I38" s="8">
        <f>$F38*$H38</f>
        <v/>
      </c>
      <c r="J38" s="6" t="inlineStr">
        <is>
          <t>ROYAUME-UNI</t>
        </is>
      </c>
      <c r="K38" s="6" t="inlineStr">
        <is>
          <t>RDV</t>
        </is>
      </c>
      <c r="L38" s="6" t="inlineStr">
        <is>
          <t>Institution</t>
        </is>
      </c>
      <c r="M38" s="6" t="inlineStr">
        <is>
          <t>David Brown</t>
        </is>
      </c>
      <c r="N38" s="6" t="inlineStr">
        <is>
          <t>Samir Haddad</t>
        </is>
      </c>
      <c r="O38" s="6" t="inlineStr">
        <is>
          <t>En attente approbation</t>
        </is>
      </c>
      <c r="P38" s="6" t="inlineStr">
        <is>
          <t>m.bernard@entreprise.fr</t>
        </is>
      </c>
      <c r="Q38" s="11">
        <f>IF($O38="Approuvé",TODAY()-MOD(31,5),"")</f>
        <v/>
      </c>
      <c r="R38" s="6">
        <f>IF($O38="Approuvé","APR-1031","")</f>
        <v/>
      </c>
      <c r="S38" s="8">
        <f>IFERROR(XLOOKUP($D38&amp;"|"&amp;$J38,POLICY_KEY,POLICY_VAL, XLOOKUP($D38&amp;"|ANY",POLICY_KEY,POLICY_VAL,100)),100)</f>
        <v/>
      </c>
      <c r="T38" s="8">
        <f>Tables!$H$12</f>
        <v/>
      </c>
      <c r="U38" s="8">
        <f>SUMIFS($I$7:$I$500,$M$7:$M$500,$M38,YEAR($B$7:$B$500),YEAR($B38))</f>
        <v/>
      </c>
      <c r="V38" s="6">
        <f>IF(AND($I38&lt;=$S38,$U38&lt;=$T38),"Conforme","Dépassé")</f>
        <v/>
      </c>
      <c r="W38" s="6" t="inlineStr">
        <is>
          <t>link://dms/cadeaux/1031</t>
        </is>
      </c>
      <c r="X38" s="6" t="inlineStr">
        <is>
          <t>Note interne</t>
        </is>
      </c>
    </row>
    <row r="39">
      <c r="A39" s="6">
        <f>TEXT(33,"0000")</f>
        <v/>
      </c>
      <c r="B39" s="11" t="n">
        <v>45930</v>
      </c>
      <c r="C39" s="6" t="inlineStr">
        <is>
          <t>Offert</t>
        </is>
      </c>
      <c r="D39" s="6" t="inlineStr">
        <is>
          <t>Repas</t>
        </is>
      </c>
      <c r="E39" s="6" t="inlineStr">
        <is>
          <t>Billet — cas 132</t>
        </is>
      </c>
      <c r="F39" s="8" t="n">
        <v>80</v>
      </c>
      <c r="G39" s="6" t="inlineStr">
        <is>
          <t>GBP</t>
        </is>
      </c>
      <c r="H39" s="6">
        <f>IFERROR(XLOOKUP($G39,FX_CCY,FX_RATES),1)</f>
        <v/>
      </c>
      <c r="I39" s="8">
        <f>$F39*$H39</f>
        <v/>
      </c>
      <c r="J39" s="6" t="inlineStr">
        <is>
          <t>USA</t>
        </is>
      </c>
      <c r="K39" s="6" t="inlineStr">
        <is>
          <t>Salon X</t>
        </is>
      </c>
      <c r="L39" s="6" t="inlineStr">
        <is>
          <t>Interne</t>
        </is>
      </c>
      <c r="M39" s="6" t="inlineStr">
        <is>
          <t>Sara Benali</t>
        </is>
      </c>
      <c r="N39" s="6" t="inlineStr">
        <is>
          <t>Alice Dupont</t>
        </is>
      </c>
      <c r="O39" s="6" t="inlineStr">
        <is>
          <t>Approuvé</t>
        </is>
      </c>
      <c r="P39" s="6" t="inlineStr">
        <is>
          <t>m.bernard@entreprise.fr</t>
        </is>
      </c>
      <c r="Q39" s="11">
        <f>IF($O39="Approuvé",TODAY()-MOD(32,5),"")</f>
        <v/>
      </c>
      <c r="R39" s="6">
        <f>IF($O39="Approuvé","APR-1032","")</f>
        <v/>
      </c>
      <c r="S39" s="8">
        <f>IFERROR(XLOOKUP($D39&amp;"|"&amp;$J39,POLICY_KEY,POLICY_VAL, XLOOKUP($D39&amp;"|ANY",POLICY_KEY,POLICY_VAL,100)),100)</f>
        <v/>
      </c>
      <c r="T39" s="8">
        <f>Tables!$H$12</f>
        <v/>
      </c>
      <c r="U39" s="8">
        <f>SUMIFS($I$7:$I$500,$M$7:$M$500,$M39,YEAR($B$7:$B$500),YEAR($B39))</f>
        <v/>
      </c>
      <c r="V39" s="6">
        <f>IF(AND($I39&lt;=$S39,$U39&lt;=$T39),"Conforme","Dépassé")</f>
        <v/>
      </c>
      <c r="W39" s="6" t="inlineStr">
        <is>
          <t>link://dms/cadeaux/1032</t>
        </is>
      </c>
      <c r="X39" s="6" t="inlineStr"/>
    </row>
    <row r="40">
      <c r="A40" s="6">
        <f>TEXT(34,"0000")</f>
        <v/>
      </c>
      <c r="B40" s="11" t="n">
        <v>45931</v>
      </c>
      <c r="C40" s="6" t="inlineStr">
        <is>
          <t>Reçu</t>
        </is>
      </c>
      <c r="D40" s="6" t="inlineStr">
        <is>
          <t>Hospitalité</t>
        </is>
      </c>
      <c r="E40" s="6" t="inlineStr">
        <is>
          <t>Hébergement — cas 133</t>
        </is>
      </c>
      <c r="F40" s="8" t="n">
        <v>95</v>
      </c>
      <c r="G40" s="6" t="inlineStr">
        <is>
          <t>CHF</t>
        </is>
      </c>
      <c r="H40" s="6">
        <f>IFERROR(XLOOKUP($G40,FX_CCY,FX_RATES),1)</f>
        <v/>
      </c>
      <c r="I40" s="8">
        <f>$F40*$H40</f>
        <v/>
      </c>
      <c r="J40" s="6" t="inlineStr">
        <is>
          <t>MAROC</t>
        </is>
      </c>
      <c r="K40" s="6" t="inlineStr">
        <is>
          <t>Match Y</t>
        </is>
      </c>
      <c r="L40" s="6" t="inlineStr">
        <is>
          <t>Client</t>
        </is>
      </c>
      <c r="M40" s="6" t="inlineStr">
        <is>
          <t>David Brown</t>
        </is>
      </c>
      <c r="N40" s="6" t="inlineStr">
        <is>
          <t>Karim Ouali</t>
        </is>
      </c>
      <c r="O40" s="6" t="inlineStr">
        <is>
          <t>Refusé</t>
        </is>
      </c>
      <c r="P40" s="6" t="inlineStr">
        <is>
          <t>m.bernard@entreprise.fr</t>
        </is>
      </c>
      <c r="Q40" s="11">
        <f>IF($O40="Approuvé",TODAY()-MOD(33,5),"")</f>
        <v/>
      </c>
      <c r="R40" s="6">
        <f>IF($O40="Approuvé","APR-1033","")</f>
        <v/>
      </c>
      <c r="S40" s="8">
        <f>IFERROR(XLOOKUP($D40&amp;"|"&amp;$J40,POLICY_KEY,POLICY_VAL, XLOOKUP($D40&amp;"|ANY",POLICY_KEY,POLICY_VAL,100)),100)</f>
        <v/>
      </c>
      <c r="T40" s="8">
        <f>Tables!$H$12</f>
        <v/>
      </c>
      <c r="U40" s="8">
        <f>SUMIFS($I$7:$I$500,$M$7:$M$500,$M40,YEAR($B$7:$B$500),YEAR($B40))</f>
        <v/>
      </c>
      <c r="V40" s="6">
        <f>IF(AND($I40&lt;=$S40,$U40&lt;=$T40),"Conforme","Dépassé")</f>
        <v/>
      </c>
      <c r="W40" s="6" t="inlineStr">
        <is>
          <t>link://dms/cadeaux/1033</t>
        </is>
      </c>
      <c r="X40" s="6" t="inlineStr">
        <is>
          <t>Justificatif joint</t>
        </is>
      </c>
    </row>
    <row r="41">
      <c r="A41" s="6">
        <f>TEXT(35,"0000")</f>
        <v/>
      </c>
      <c r="B41" s="11" t="n">
        <v>45932</v>
      </c>
      <c r="C41" s="6" t="inlineStr">
        <is>
          <t>Offert</t>
        </is>
      </c>
      <c r="D41" s="6" t="inlineStr">
        <is>
          <t>Billetterie</t>
        </is>
      </c>
      <c r="E41" s="6" t="inlineStr">
        <is>
          <t>Taxi — cas 134</t>
        </is>
      </c>
      <c r="F41" s="8" t="n">
        <v>110</v>
      </c>
      <c r="G41" s="6" t="inlineStr">
        <is>
          <t>MAD</t>
        </is>
      </c>
      <c r="H41" s="6">
        <f>IFERROR(XLOOKUP($G41,FX_CCY,FX_RATES),1)</f>
        <v/>
      </c>
      <c r="I41" s="8">
        <f>$F41*$H41</f>
        <v/>
      </c>
      <c r="J41" s="6" t="inlineStr">
        <is>
          <t>FRANCE</t>
        </is>
      </c>
      <c r="K41" s="6" t="inlineStr">
        <is>
          <t>Conférence Z</t>
        </is>
      </c>
      <c r="L41" s="6" t="inlineStr">
        <is>
          <t>Prospect</t>
        </is>
      </c>
      <c r="M41" s="6" t="inlineStr">
        <is>
          <t>Sara Benali</t>
        </is>
      </c>
      <c r="N41" s="6" t="inlineStr">
        <is>
          <t>Léa Moreau</t>
        </is>
      </c>
      <c r="O41" s="6" t="inlineStr">
        <is>
          <t>Offert</t>
        </is>
      </c>
      <c r="P41" s="6" t="inlineStr">
        <is>
          <t>m.bernard@entreprise.fr</t>
        </is>
      </c>
      <c r="Q41" s="11">
        <f>IF($O41="Approuvé",TODAY()-MOD(34,5),"")</f>
        <v/>
      </c>
      <c r="R41" s="6">
        <f>IF($O41="Approuvé","APR-1034","")</f>
        <v/>
      </c>
      <c r="S41" s="8">
        <f>IFERROR(XLOOKUP($D41&amp;"|"&amp;$J41,POLICY_KEY,POLICY_VAL, XLOOKUP($D41&amp;"|ANY",POLICY_KEY,POLICY_VAL,100)),100)</f>
        <v/>
      </c>
      <c r="T41" s="8">
        <f>Tables!$H$12</f>
        <v/>
      </c>
      <c r="U41" s="8">
        <f>SUMIFS($I$7:$I$500,$M$7:$M$500,$M41,YEAR($B$7:$B$500),YEAR($B41))</f>
        <v/>
      </c>
      <c r="V41" s="6">
        <f>IF(AND($I41&lt;=$S41,$U41&lt;=$T41),"Conforme","Dépassé")</f>
        <v/>
      </c>
      <c r="W41" s="6" t="inlineStr">
        <is>
          <t>link://dms/cadeaux/1034</t>
        </is>
      </c>
      <c r="X41" s="6" t="inlineStr">
        <is>
          <t>À valider</t>
        </is>
      </c>
    </row>
    <row r="42">
      <c r="A42" s="6">
        <f>TEXT(36,"0000")</f>
        <v/>
      </c>
      <c r="B42" s="11" t="n">
        <v>45933</v>
      </c>
      <c r="C42" s="6" t="inlineStr">
        <is>
          <t>Reçu</t>
        </is>
      </c>
      <c r="D42" s="6" t="inlineStr">
        <is>
          <t>Transport</t>
        </is>
      </c>
      <c r="E42" s="6" t="inlineStr">
        <is>
          <t>Dons — cas 135</t>
        </is>
      </c>
      <c r="F42" s="8" t="n">
        <v>20</v>
      </c>
      <c r="G42" s="6" t="inlineStr">
        <is>
          <t>EUR</t>
        </is>
      </c>
      <c r="H42" s="6">
        <f>IFERROR(XLOOKUP($G42,FX_CCY,FX_RATES),1)</f>
        <v/>
      </c>
      <c r="I42" s="8">
        <f>$F42*$H42</f>
        <v/>
      </c>
      <c r="J42" s="6" t="inlineStr">
        <is>
          <t>BELGIQUE</t>
        </is>
      </c>
      <c r="K42" s="6" t="inlineStr">
        <is>
          <t>RDV</t>
        </is>
      </c>
      <c r="L42" s="6" t="inlineStr">
        <is>
          <t>Fournisseur</t>
        </is>
      </c>
      <c r="M42" s="6" t="inlineStr">
        <is>
          <t>David Brown</t>
        </is>
      </c>
      <c r="N42" s="6" t="inlineStr">
        <is>
          <t>Samir Haddad</t>
        </is>
      </c>
      <c r="O42" s="6" t="inlineStr">
        <is>
          <t>Reçu</t>
        </is>
      </c>
      <c r="P42" s="6" t="inlineStr">
        <is>
          <t>m.bernard@entreprise.fr</t>
        </is>
      </c>
      <c r="Q42" s="11">
        <f>IF($O42="Approuvé",TODAY()-MOD(35,5),"")</f>
        <v/>
      </c>
      <c r="R42" s="6">
        <f>IF($O42="Approuvé","APR-1035","")</f>
        <v/>
      </c>
      <c r="S42" s="8">
        <f>IFERROR(XLOOKUP($D42&amp;"|"&amp;$J42,POLICY_KEY,POLICY_VAL, XLOOKUP($D42&amp;"|ANY",POLICY_KEY,POLICY_VAL,100)),100)</f>
        <v/>
      </c>
      <c r="T42" s="8">
        <f>Tables!$H$12</f>
        <v/>
      </c>
      <c r="U42" s="8">
        <f>SUMIFS($I$7:$I$500,$M$7:$M$500,$M42,YEAR($B$7:$B$500),YEAR($B42))</f>
        <v/>
      </c>
      <c r="V42" s="6">
        <f>IF(AND($I42&lt;=$S42,$U42&lt;=$T42),"Conforme","Dépassé")</f>
        <v/>
      </c>
      <c r="W42" s="6" t="inlineStr">
        <is>
          <t>link://dms/cadeaux/1035</t>
        </is>
      </c>
      <c r="X42" s="6" t="inlineStr">
        <is>
          <t>Note interne</t>
        </is>
      </c>
    </row>
    <row r="43">
      <c r="A43" s="6">
        <f>TEXT(37,"0000")</f>
        <v/>
      </c>
      <c r="B43" s="11" t="n">
        <v>45934</v>
      </c>
      <c r="C43" s="6" t="inlineStr">
        <is>
          <t>Offert</t>
        </is>
      </c>
      <c r="D43" s="6" t="inlineStr">
        <is>
          <t>Hébergement</t>
        </is>
      </c>
      <c r="E43" s="6" t="inlineStr">
        <is>
          <t>Déjeuner — cas 136</t>
        </is>
      </c>
      <c r="F43" s="8" t="n">
        <v>35</v>
      </c>
      <c r="G43" s="6" t="inlineStr">
        <is>
          <t>USD</t>
        </is>
      </c>
      <c r="H43" s="6">
        <f>IFERROR(XLOOKUP($G43,FX_CCY,FX_RATES),1)</f>
        <v/>
      </c>
      <c r="I43" s="8">
        <f>$F43*$H43</f>
        <v/>
      </c>
      <c r="J43" s="6" t="inlineStr">
        <is>
          <t>SUISSE</t>
        </is>
      </c>
      <c r="K43" s="6" t="inlineStr">
        <is>
          <t>Salon X</t>
        </is>
      </c>
      <c r="L43" s="6" t="inlineStr">
        <is>
          <t>Partenaire</t>
        </is>
      </c>
      <c r="M43" s="6" t="inlineStr">
        <is>
          <t>Sara Benali</t>
        </is>
      </c>
      <c r="N43" s="6" t="inlineStr">
        <is>
          <t>Alice Dupont</t>
        </is>
      </c>
      <c r="O43" s="6" t="inlineStr">
        <is>
          <t>Remboursé</t>
        </is>
      </c>
      <c r="P43" s="6" t="inlineStr">
        <is>
          <t>m.bernard@entreprise.fr</t>
        </is>
      </c>
      <c r="Q43" s="11">
        <f>IF($O43="Approuvé",TODAY()-MOD(36,5),"")</f>
        <v/>
      </c>
      <c r="R43" s="6">
        <f>IF($O43="Approuvé","APR-1036","")</f>
        <v/>
      </c>
      <c r="S43" s="8">
        <f>IFERROR(XLOOKUP($D43&amp;"|"&amp;$J43,POLICY_KEY,POLICY_VAL, XLOOKUP($D43&amp;"|ANY",POLICY_KEY,POLICY_VAL,100)),100)</f>
        <v/>
      </c>
      <c r="T43" s="8">
        <f>Tables!$H$12</f>
        <v/>
      </c>
      <c r="U43" s="8">
        <f>SUMIFS($I$7:$I$500,$M$7:$M$500,$M43,YEAR($B$7:$B$500),YEAR($B43))</f>
        <v/>
      </c>
      <c r="V43" s="6">
        <f>IF(AND($I43&lt;=$S43,$U43&lt;=$T43),"Conforme","Dépassé")</f>
        <v/>
      </c>
      <c r="W43" s="6" t="inlineStr">
        <is>
          <t>link://dms/cadeaux/1036</t>
        </is>
      </c>
      <c r="X43" s="6" t="inlineStr"/>
    </row>
    <row r="44">
      <c r="A44" s="6">
        <f>TEXT(38,"0000")</f>
        <v/>
      </c>
      <c r="B44" s="11" t="n">
        <v>45935</v>
      </c>
      <c r="C44" s="6" t="inlineStr">
        <is>
          <t>Reçu</t>
        </is>
      </c>
      <c r="D44" s="6" t="inlineStr">
        <is>
          <t>Don caritatif</t>
        </is>
      </c>
      <c r="E44" s="6" t="inlineStr">
        <is>
          <t>Goodies — cas 137</t>
        </is>
      </c>
      <c r="F44" s="8" t="n">
        <v>50</v>
      </c>
      <c r="G44" s="6" t="inlineStr">
        <is>
          <t>GBP</t>
        </is>
      </c>
      <c r="H44" s="6">
        <f>IFERROR(XLOOKUP($G44,FX_CCY,FX_RATES),1)</f>
        <v/>
      </c>
      <c r="I44" s="8">
        <f>$F44*$H44</f>
        <v/>
      </c>
      <c r="J44" s="6" t="inlineStr">
        <is>
          <t>ESPAGNE</t>
        </is>
      </c>
      <c r="K44" s="6" t="inlineStr">
        <is>
          <t>Match Y</t>
        </is>
      </c>
      <c r="L44" s="6" t="inlineStr">
        <is>
          <t>Institution</t>
        </is>
      </c>
      <c r="M44" s="6" t="inlineStr">
        <is>
          <t>David Brown</t>
        </is>
      </c>
      <c r="N44" s="6" t="inlineStr">
        <is>
          <t>Karim Ouali</t>
        </is>
      </c>
      <c r="O44" s="6" t="inlineStr">
        <is>
          <t>Archivé</t>
        </is>
      </c>
      <c r="P44" s="6" t="inlineStr">
        <is>
          <t>m.bernard@entreprise.fr</t>
        </is>
      </c>
      <c r="Q44" s="11">
        <f>IF($O44="Approuvé",TODAY()-MOD(37,5),"")</f>
        <v/>
      </c>
      <c r="R44" s="6">
        <f>IF($O44="Approuvé","APR-1037","")</f>
        <v/>
      </c>
      <c r="S44" s="8">
        <f>IFERROR(XLOOKUP($D44&amp;"|"&amp;$J44,POLICY_KEY,POLICY_VAL, XLOOKUP($D44&amp;"|ANY",POLICY_KEY,POLICY_VAL,100)),100)</f>
        <v/>
      </c>
      <c r="T44" s="8">
        <f>Tables!$H$12</f>
        <v/>
      </c>
      <c r="U44" s="8">
        <f>SUMIFS($I$7:$I$500,$M$7:$M$500,$M44,YEAR($B$7:$B$500),YEAR($B44))</f>
        <v/>
      </c>
      <c r="V44" s="6">
        <f>IF(AND($I44&lt;=$S44,$U44&lt;=$T44),"Conforme","Dépassé")</f>
        <v/>
      </c>
      <c r="W44" s="6" t="inlineStr">
        <is>
          <t>link://dms/cadeaux/1037</t>
        </is>
      </c>
      <c r="X44" s="6" t="inlineStr">
        <is>
          <t>Justificatif joint</t>
        </is>
      </c>
    </row>
    <row r="45">
      <c r="A45" s="6">
        <f>TEXT(39,"0000")</f>
        <v/>
      </c>
      <c r="B45" s="11" t="n">
        <v>45936</v>
      </c>
      <c r="C45" s="6" t="inlineStr">
        <is>
          <t>Offert</t>
        </is>
      </c>
      <c r="D45" s="6" t="inlineStr">
        <is>
          <t>Autre</t>
        </is>
      </c>
      <c r="E45" s="6" t="inlineStr">
        <is>
          <t>Billet — cas 138</t>
        </is>
      </c>
      <c r="F45" s="8" t="n">
        <v>65</v>
      </c>
      <c r="G45" s="6" t="inlineStr">
        <is>
          <t>CHF</t>
        </is>
      </c>
      <c r="H45" s="6">
        <f>IFERROR(XLOOKUP($G45,FX_CCY,FX_RATES),1)</f>
        <v/>
      </c>
      <c r="I45" s="8">
        <f>$F45*$H45</f>
        <v/>
      </c>
      <c r="J45" s="6" t="inlineStr">
        <is>
          <t>ALLEMAGNE</t>
        </is>
      </c>
      <c r="K45" s="6" t="inlineStr">
        <is>
          <t>Conférence Z</t>
        </is>
      </c>
      <c r="L45" s="6" t="inlineStr">
        <is>
          <t>Interne</t>
        </is>
      </c>
      <c r="M45" s="6" t="inlineStr">
        <is>
          <t>Sara Benali</t>
        </is>
      </c>
      <c r="N45" s="6" t="inlineStr">
        <is>
          <t>Léa Moreau</t>
        </is>
      </c>
      <c r="O45" s="6" t="inlineStr">
        <is>
          <t>Proposé</t>
        </is>
      </c>
      <c r="P45" s="6" t="inlineStr">
        <is>
          <t>m.bernard@entreprise.fr</t>
        </is>
      </c>
      <c r="Q45" s="11">
        <f>IF($O45="Approuvé",TODAY()-MOD(38,5),"")</f>
        <v/>
      </c>
      <c r="R45" s="6">
        <f>IF($O45="Approuvé","APR-1038","")</f>
        <v/>
      </c>
      <c r="S45" s="8">
        <f>IFERROR(XLOOKUP($D45&amp;"|"&amp;$J45,POLICY_KEY,POLICY_VAL, XLOOKUP($D45&amp;"|ANY",POLICY_KEY,POLICY_VAL,100)),100)</f>
        <v/>
      </c>
      <c r="T45" s="8">
        <f>Tables!$H$12</f>
        <v/>
      </c>
      <c r="U45" s="8">
        <f>SUMIFS($I$7:$I$500,$M$7:$M$500,$M45,YEAR($B$7:$B$500),YEAR($B45))</f>
        <v/>
      </c>
      <c r="V45" s="6">
        <f>IF(AND($I45&lt;=$S45,$U45&lt;=$T45),"Conforme","Dépassé")</f>
        <v/>
      </c>
      <c r="W45" s="6" t="inlineStr">
        <is>
          <t>link://dms/cadeaux/1038</t>
        </is>
      </c>
      <c r="X45" s="6" t="inlineStr">
        <is>
          <t>À valider</t>
        </is>
      </c>
    </row>
    <row r="46">
      <c r="A46" s="6">
        <f>TEXT(40,"0000")</f>
        <v/>
      </c>
      <c r="B46" s="11" t="n">
        <v>45937</v>
      </c>
      <c r="C46" s="6" t="inlineStr">
        <is>
          <t>Reçu</t>
        </is>
      </c>
      <c r="D46" s="6" t="inlineStr">
        <is>
          <t>Objet promotionnel</t>
        </is>
      </c>
      <c r="E46" s="6" t="inlineStr">
        <is>
          <t>Hébergement — cas 139</t>
        </is>
      </c>
      <c r="F46" s="8" t="n">
        <v>80</v>
      </c>
      <c r="G46" s="6" t="inlineStr">
        <is>
          <t>MAD</t>
        </is>
      </c>
      <c r="H46" s="6">
        <f>IFERROR(XLOOKUP($G46,FX_CCY,FX_RATES),1)</f>
        <v/>
      </c>
      <c r="I46" s="8">
        <f>$F46*$H46</f>
        <v/>
      </c>
      <c r="J46" s="6" t="inlineStr">
        <is>
          <t>ITALIE</t>
        </is>
      </c>
      <c r="K46" s="6" t="inlineStr">
        <is>
          <t>RDV</t>
        </is>
      </c>
      <c r="L46" s="6" t="inlineStr">
        <is>
          <t>Client</t>
        </is>
      </c>
      <c r="M46" s="6" t="inlineStr">
        <is>
          <t>David Brown</t>
        </is>
      </c>
      <c r="N46" s="6" t="inlineStr">
        <is>
          <t>Samir Haddad</t>
        </is>
      </c>
      <c r="O46" s="6" t="inlineStr">
        <is>
          <t>En attente approbation</t>
        </is>
      </c>
      <c r="P46" s="6" t="inlineStr">
        <is>
          <t>m.bernard@entreprise.fr</t>
        </is>
      </c>
      <c r="Q46" s="11">
        <f>IF($O46="Approuvé",TODAY()-MOD(39,5),"")</f>
        <v/>
      </c>
      <c r="R46" s="6">
        <f>IF($O46="Approuvé","APR-1039","")</f>
        <v/>
      </c>
      <c r="S46" s="8">
        <f>IFERROR(XLOOKUP($D46&amp;"|"&amp;$J46,POLICY_KEY,POLICY_VAL, XLOOKUP($D46&amp;"|ANY",POLICY_KEY,POLICY_VAL,100)),100)</f>
        <v/>
      </c>
      <c r="T46" s="8">
        <f>Tables!$H$12</f>
        <v/>
      </c>
      <c r="U46" s="8">
        <f>SUMIFS($I$7:$I$500,$M$7:$M$500,$M46,YEAR($B$7:$B$500),YEAR($B46))</f>
        <v/>
      </c>
      <c r="V46" s="6">
        <f>IF(AND($I46&lt;=$S46,$U46&lt;=$T46),"Conforme","Dépassé")</f>
        <v/>
      </c>
      <c r="W46" s="6" t="inlineStr">
        <is>
          <t>link://dms/cadeaux/1039</t>
        </is>
      </c>
      <c r="X46" s="6" t="inlineStr">
        <is>
          <t>Note interne</t>
        </is>
      </c>
    </row>
    <row r="47">
      <c r="A47" s="6">
        <f>TEXT(41,"0000")</f>
        <v/>
      </c>
      <c r="B47" s="11" t="n">
        <v>45938</v>
      </c>
      <c r="C47" s="6" t="inlineStr">
        <is>
          <t>Offert</t>
        </is>
      </c>
      <c r="D47" s="6" t="inlineStr">
        <is>
          <t>Repas</t>
        </is>
      </c>
      <c r="E47" s="6" t="inlineStr">
        <is>
          <t>Taxi — cas 140</t>
        </is>
      </c>
      <c r="F47" s="8" t="n">
        <v>95</v>
      </c>
      <c r="G47" s="6" t="inlineStr">
        <is>
          <t>EUR</t>
        </is>
      </c>
      <c r="H47" s="6">
        <f>IFERROR(XLOOKUP($G47,FX_CCY,FX_RATES),1)</f>
        <v/>
      </c>
      <c r="I47" s="8">
        <f>$F47*$H47</f>
        <v/>
      </c>
      <c r="J47" s="6" t="inlineStr">
        <is>
          <t>ROYAUME-UNI</t>
        </is>
      </c>
      <c r="K47" s="6" t="inlineStr">
        <is>
          <t>Salon X</t>
        </is>
      </c>
      <c r="L47" s="6" t="inlineStr">
        <is>
          <t>Prospect</t>
        </is>
      </c>
      <c r="M47" s="6" t="inlineStr">
        <is>
          <t>Sara Benali</t>
        </is>
      </c>
      <c r="N47" s="6" t="inlineStr">
        <is>
          <t>Alice Dupont</t>
        </is>
      </c>
      <c r="O47" s="6" t="inlineStr">
        <is>
          <t>Approuvé</t>
        </is>
      </c>
      <c r="P47" s="6" t="inlineStr">
        <is>
          <t>m.bernard@entreprise.fr</t>
        </is>
      </c>
      <c r="Q47" s="11">
        <f>IF($O47="Approuvé",TODAY()-MOD(40,5),"")</f>
        <v/>
      </c>
      <c r="R47" s="6">
        <f>IF($O47="Approuvé","APR-1040","")</f>
        <v/>
      </c>
      <c r="S47" s="8">
        <f>IFERROR(XLOOKUP($D47&amp;"|"&amp;$J47,POLICY_KEY,POLICY_VAL, XLOOKUP($D47&amp;"|ANY",POLICY_KEY,POLICY_VAL,100)),100)</f>
        <v/>
      </c>
      <c r="T47" s="8">
        <f>Tables!$H$12</f>
        <v/>
      </c>
      <c r="U47" s="8">
        <f>SUMIFS($I$7:$I$500,$M$7:$M$500,$M47,YEAR($B$7:$B$500),YEAR($B47))</f>
        <v/>
      </c>
      <c r="V47" s="6">
        <f>IF(AND($I47&lt;=$S47,$U47&lt;=$T47),"Conforme","Dépassé")</f>
        <v/>
      </c>
      <c r="W47" s="6" t="inlineStr">
        <is>
          <t>link://dms/cadeaux/1040</t>
        </is>
      </c>
      <c r="X47" s="6" t="inlineStr"/>
    </row>
    <row r="48">
      <c r="A48" s="6">
        <f>TEXT(42,"0000")</f>
        <v/>
      </c>
      <c r="B48" s="11" t="n">
        <v>45939</v>
      </c>
      <c r="C48" s="6" t="inlineStr">
        <is>
          <t>Reçu</t>
        </is>
      </c>
      <c r="D48" s="6" t="inlineStr">
        <is>
          <t>Hospitalité</t>
        </is>
      </c>
      <c r="E48" s="6" t="inlineStr">
        <is>
          <t>Dons — cas 141</t>
        </is>
      </c>
      <c r="F48" s="8" t="n">
        <v>110</v>
      </c>
      <c r="G48" s="6" t="inlineStr">
        <is>
          <t>USD</t>
        </is>
      </c>
      <c r="H48" s="6">
        <f>IFERROR(XLOOKUP($G48,FX_CCY,FX_RATES),1)</f>
        <v/>
      </c>
      <c r="I48" s="8">
        <f>$F48*$H48</f>
        <v/>
      </c>
      <c r="J48" s="6" t="inlineStr">
        <is>
          <t>USA</t>
        </is>
      </c>
      <c r="K48" s="6" t="inlineStr">
        <is>
          <t>Match Y</t>
        </is>
      </c>
      <c r="L48" s="6" t="inlineStr">
        <is>
          <t>Fournisseur</t>
        </is>
      </c>
      <c r="M48" s="6" t="inlineStr">
        <is>
          <t>David Brown</t>
        </is>
      </c>
      <c r="N48" s="6" t="inlineStr">
        <is>
          <t>Karim Ouali</t>
        </is>
      </c>
      <c r="O48" s="6" t="inlineStr">
        <is>
          <t>Refusé</t>
        </is>
      </c>
      <c r="P48" s="6" t="inlineStr">
        <is>
          <t>m.bernard@entreprise.fr</t>
        </is>
      </c>
      <c r="Q48" s="11">
        <f>IF($O48="Approuvé",TODAY()-MOD(41,5),"")</f>
        <v/>
      </c>
      <c r="R48" s="6">
        <f>IF($O48="Approuvé","APR-1041","")</f>
        <v/>
      </c>
      <c r="S48" s="8">
        <f>IFERROR(XLOOKUP($D48&amp;"|"&amp;$J48,POLICY_KEY,POLICY_VAL, XLOOKUP($D48&amp;"|ANY",POLICY_KEY,POLICY_VAL,100)),100)</f>
        <v/>
      </c>
      <c r="T48" s="8">
        <f>Tables!$H$12</f>
        <v/>
      </c>
      <c r="U48" s="8">
        <f>SUMIFS($I$7:$I$500,$M$7:$M$500,$M48,YEAR($B$7:$B$500),YEAR($B48))</f>
        <v/>
      </c>
      <c r="V48" s="6">
        <f>IF(AND($I48&lt;=$S48,$U48&lt;=$T48),"Conforme","Dépassé")</f>
        <v/>
      </c>
      <c r="W48" s="6" t="inlineStr">
        <is>
          <t>link://dms/cadeaux/1041</t>
        </is>
      </c>
      <c r="X48" s="6" t="inlineStr">
        <is>
          <t>Justificatif joint</t>
        </is>
      </c>
    </row>
    <row r="49">
      <c r="A49" s="6">
        <f>TEXT(43,"0000")</f>
        <v/>
      </c>
      <c r="B49" s="11" t="n">
        <v>45940</v>
      </c>
      <c r="C49" s="6" t="inlineStr">
        <is>
          <t>Offert</t>
        </is>
      </c>
      <c r="D49" s="6" t="inlineStr">
        <is>
          <t>Billetterie</t>
        </is>
      </c>
      <c r="E49" s="6" t="inlineStr">
        <is>
          <t>Déjeuner — cas 142</t>
        </is>
      </c>
      <c r="F49" s="8" t="n">
        <v>20</v>
      </c>
      <c r="G49" s="6" t="inlineStr">
        <is>
          <t>GBP</t>
        </is>
      </c>
      <c r="H49" s="6">
        <f>IFERROR(XLOOKUP($G49,FX_CCY,FX_RATES),1)</f>
        <v/>
      </c>
      <c r="I49" s="8">
        <f>$F49*$H49</f>
        <v/>
      </c>
      <c r="J49" s="6" t="inlineStr">
        <is>
          <t>MAROC</t>
        </is>
      </c>
      <c r="K49" s="6" t="inlineStr">
        <is>
          <t>Conférence Z</t>
        </is>
      </c>
      <c r="L49" s="6" t="inlineStr">
        <is>
          <t>Partenaire</t>
        </is>
      </c>
      <c r="M49" s="6" t="inlineStr">
        <is>
          <t>Sara Benali</t>
        </is>
      </c>
      <c r="N49" s="6" t="inlineStr">
        <is>
          <t>Léa Moreau</t>
        </is>
      </c>
      <c r="O49" s="6" t="inlineStr">
        <is>
          <t>Offert</t>
        </is>
      </c>
      <c r="P49" s="6" t="inlineStr">
        <is>
          <t>m.bernard@entreprise.fr</t>
        </is>
      </c>
      <c r="Q49" s="11">
        <f>IF($O49="Approuvé",TODAY()-MOD(42,5),"")</f>
        <v/>
      </c>
      <c r="R49" s="6">
        <f>IF($O49="Approuvé","APR-1042","")</f>
        <v/>
      </c>
      <c r="S49" s="8">
        <f>IFERROR(XLOOKUP($D49&amp;"|"&amp;$J49,POLICY_KEY,POLICY_VAL, XLOOKUP($D49&amp;"|ANY",POLICY_KEY,POLICY_VAL,100)),100)</f>
        <v/>
      </c>
      <c r="T49" s="8">
        <f>Tables!$H$12</f>
        <v/>
      </c>
      <c r="U49" s="8">
        <f>SUMIFS($I$7:$I$500,$M$7:$M$500,$M49,YEAR($B$7:$B$500),YEAR($B49))</f>
        <v/>
      </c>
      <c r="V49" s="6">
        <f>IF(AND($I49&lt;=$S49,$U49&lt;=$T49),"Conforme","Dépassé")</f>
        <v/>
      </c>
      <c r="W49" s="6" t="inlineStr">
        <is>
          <t>link://dms/cadeaux/1042</t>
        </is>
      </c>
      <c r="X49" s="6" t="inlineStr">
        <is>
          <t>À valider</t>
        </is>
      </c>
    </row>
    <row r="50">
      <c r="A50" s="6">
        <f>TEXT(44,"0000")</f>
        <v/>
      </c>
      <c r="B50" s="11" t="n">
        <v>45941</v>
      </c>
      <c r="C50" s="6" t="inlineStr">
        <is>
          <t>Reçu</t>
        </is>
      </c>
      <c r="D50" s="6" t="inlineStr">
        <is>
          <t>Transport</t>
        </is>
      </c>
      <c r="E50" s="6" t="inlineStr">
        <is>
          <t>Goodies — cas 143</t>
        </is>
      </c>
      <c r="F50" s="8" t="n">
        <v>35</v>
      </c>
      <c r="G50" s="6" t="inlineStr">
        <is>
          <t>CHF</t>
        </is>
      </c>
      <c r="H50" s="6">
        <f>IFERROR(XLOOKUP($G50,FX_CCY,FX_RATES),1)</f>
        <v/>
      </c>
      <c r="I50" s="8">
        <f>$F50*$H50</f>
        <v/>
      </c>
      <c r="J50" s="6" t="inlineStr">
        <is>
          <t>FRANCE</t>
        </is>
      </c>
      <c r="K50" s="6" t="inlineStr">
        <is>
          <t>RDV</t>
        </is>
      </c>
      <c r="L50" s="6" t="inlineStr">
        <is>
          <t>Institution</t>
        </is>
      </c>
      <c r="M50" s="6" t="inlineStr">
        <is>
          <t>David Brown</t>
        </is>
      </c>
      <c r="N50" s="6" t="inlineStr">
        <is>
          <t>Samir Haddad</t>
        </is>
      </c>
      <c r="O50" s="6" t="inlineStr">
        <is>
          <t>Reçu</t>
        </is>
      </c>
      <c r="P50" s="6" t="inlineStr">
        <is>
          <t>m.bernard@entreprise.fr</t>
        </is>
      </c>
      <c r="Q50" s="11">
        <f>IF($O50="Approuvé",TODAY()-MOD(43,5),"")</f>
        <v/>
      </c>
      <c r="R50" s="6">
        <f>IF($O50="Approuvé","APR-1043","")</f>
        <v/>
      </c>
      <c r="S50" s="8">
        <f>IFERROR(XLOOKUP($D50&amp;"|"&amp;$J50,POLICY_KEY,POLICY_VAL, XLOOKUP($D50&amp;"|ANY",POLICY_KEY,POLICY_VAL,100)),100)</f>
        <v/>
      </c>
      <c r="T50" s="8">
        <f>Tables!$H$12</f>
        <v/>
      </c>
      <c r="U50" s="8">
        <f>SUMIFS($I$7:$I$500,$M$7:$M$500,$M50,YEAR($B$7:$B$500),YEAR($B50))</f>
        <v/>
      </c>
      <c r="V50" s="6">
        <f>IF(AND($I50&lt;=$S50,$U50&lt;=$T50),"Conforme","Dépassé")</f>
        <v/>
      </c>
      <c r="W50" s="6" t="inlineStr">
        <is>
          <t>link://dms/cadeaux/1043</t>
        </is>
      </c>
      <c r="X50" s="6" t="inlineStr">
        <is>
          <t>Note interne</t>
        </is>
      </c>
    </row>
    <row r="51">
      <c r="A51" s="6">
        <f>TEXT(45,"0000")</f>
        <v/>
      </c>
      <c r="B51" s="11" t="n">
        <v>45942</v>
      </c>
      <c r="C51" s="6" t="inlineStr">
        <is>
          <t>Offert</t>
        </is>
      </c>
      <c r="D51" s="6" t="inlineStr">
        <is>
          <t>Hébergement</t>
        </is>
      </c>
      <c r="E51" s="6" t="inlineStr">
        <is>
          <t>Billet — cas 144</t>
        </is>
      </c>
      <c r="F51" s="8" t="n">
        <v>50</v>
      </c>
      <c r="G51" s="6" t="inlineStr">
        <is>
          <t>MAD</t>
        </is>
      </c>
      <c r="H51" s="6">
        <f>IFERROR(XLOOKUP($G51,FX_CCY,FX_RATES),1)</f>
        <v/>
      </c>
      <c r="I51" s="8">
        <f>$F51*$H51</f>
        <v/>
      </c>
      <c r="J51" s="6" t="inlineStr">
        <is>
          <t>BELGIQUE</t>
        </is>
      </c>
      <c r="K51" s="6" t="inlineStr">
        <is>
          <t>Salon X</t>
        </is>
      </c>
      <c r="L51" s="6" t="inlineStr">
        <is>
          <t>Interne</t>
        </is>
      </c>
      <c r="M51" s="6" t="inlineStr">
        <is>
          <t>Sara Benali</t>
        </is>
      </c>
      <c r="N51" s="6" t="inlineStr">
        <is>
          <t>Alice Dupont</t>
        </is>
      </c>
      <c r="O51" s="6" t="inlineStr">
        <is>
          <t>Remboursé</t>
        </is>
      </c>
      <c r="P51" s="6" t="inlineStr">
        <is>
          <t>m.bernard@entreprise.fr</t>
        </is>
      </c>
      <c r="Q51" s="11">
        <f>IF($O51="Approuvé",TODAY()-MOD(44,5),"")</f>
        <v/>
      </c>
      <c r="R51" s="6">
        <f>IF($O51="Approuvé","APR-1044","")</f>
        <v/>
      </c>
      <c r="S51" s="8">
        <f>IFERROR(XLOOKUP($D51&amp;"|"&amp;$J51,POLICY_KEY,POLICY_VAL, XLOOKUP($D51&amp;"|ANY",POLICY_KEY,POLICY_VAL,100)),100)</f>
        <v/>
      </c>
      <c r="T51" s="8">
        <f>Tables!$H$12</f>
        <v/>
      </c>
      <c r="U51" s="8">
        <f>SUMIFS($I$7:$I$500,$M$7:$M$500,$M51,YEAR($B$7:$B$500),YEAR($B51))</f>
        <v/>
      </c>
      <c r="V51" s="6">
        <f>IF(AND($I51&lt;=$S51,$U51&lt;=$T51),"Conforme","Dépassé")</f>
        <v/>
      </c>
      <c r="W51" s="6" t="inlineStr">
        <is>
          <t>link://dms/cadeaux/1044</t>
        </is>
      </c>
      <c r="X51" s="6" t="inlineStr"/>
    </row>
    <row r="52">
      <c r="A52" s="6">
        <f>TEXT(46,"0000")</f>
        <v/>
      </c>
      <c r="B52" s="11" t="n">
        <v>45943</v>
      </c>
      <c r="C52" s="6" t="inlineStr">
        <is>
          <t>Reçu</t>
        </is>
      </c>
      <c r="D52" s="6" t="inlineStr">
        <is>
          <t>Don caritatif</t>
        </is>
      </c>
      <c r="E52" s="6" t="inlineStr">
        <is>
          <t>Hébergement — cas 145</t>
        </is>
      </c>
      <c r="F52" s="8" t="n">
        <v>65</v>
      </c>
      <c r="G52" s="6" t="inlineStr">
        <is>
          <t>EUR</t>
        </is>
      </c>
      <c r="H52" s="6">
        <f>IFERROR(XLOOKUP($G52,FX_CCY,FX_RATES),1)</f>
        <v/>
      </c>
      <c r="I52" s="8">
        <f>$F52*$H52</f>
        <v/>
      </c>
      <c r="J52" s="6" t="inlineStr">
        <is>
          <t>SUISSE</t>
        </is>
      </c>
      <c r="K52" s="6" t="inlineStr">
        <is>
          <t>Match Y</t>
        </is>
      </c>
      <c r="L52" s="6" t="inlineStr">
        <is>
          <t>Client</t>
        </is>
      </c>
      <c r="M52" s="6" t="inlineStr">
        <is>
          <t>David Brown</t>
        </is>
      </c>
      <c r="N52" s="6" t="inlineStr">
        <is>
          <t>Karim Ouali</t>
        </is>
      </c>
      <c r="O52" s="6" t="inlineStr">
        <is>
          <t>Archivé</t>
        </is>
      </c>
      <c r="P52" s="6" t="inlineStr">
        <is>
          <t>m.bernard@entreprise.fr</t>
        </is>
      </c>
      <c r="Q52" s="11">
        <f>IF($O52="Approuvé",TODAY()-MOD(45,5),"")</f>
        <v/>
      </c>
      <c r="R52" s="6">
        <f>IF($O52="Approuvé","APR-1045","")</f>
        <v/>
      </c>
      <c r="S52" s="8">
        <f>IFERROR(XLOOKUP($D52&amp;"|"&amp;$J52,POLICY_KEY,POLICY_VAL, XLOOKUP($D52&amp;"|ANY",POLICY_KEY,POLICY_VAL,100)),100)</f>
        <v/>
      </c>
      <c r="T52" s="8">
        <f>Tables!$H$12</f>
        <v/>
      </c>
      <c r="U52" s="8">
        <f>SUMIFS($I$7:$I$500,$M$7:$M$500,$M52,YEAR($B$7:$B$500),YEAR($B52))</f>
        <v/>
      </c>
      <c r="V52" s="6">
        <f>IF(AND($I52&lt;=$S52,$U52&lt;=$T52),"Conforme","Dépassé")</f>
        <v/>
      </c>
      <c r="W52" s="6" t="inlineStr">
        <is>
          <t>link://dms/cadeaux/1045</t>
        </is>
      </c>
      <c r="X52" s="6" t="inlineStr">
        <is>
          <t>Justificatif joint</t>
        </is>
      </c>
    </row>
    <row r="53">
      <c r="A53" s="6">
        <f>TEXT(47,"0000")</f>
        <v/>
      </c>
      <c r="B53" s="11" t="n">
        <v>45944</v>
      </c>
      <c r="C53" s="6" t="inlineStr">
        <is>
          <t>Offert</t>
        </is>
      </c>
      <c r="D53" s="6" t="inlineStr">
        <is>
          <t>Autre</t>
        </is>
      </c>
      <c r="E53" s="6" t="inlineStr">
        <is>
          <t>Taxi — cas 146</t>
        </is>
      </c>
      <c r="F53" s="8" t="n">
        <v>80</v>
      </c>
      <c r="G53" s="6" t="inlineStr">
        <is>
          <t>USD</t>
        </is>
      </c>
      <c r="H53" s="6">
        <f>IFERROR(XLOOKUP($G53,FX_CCY,FX_RATES),1)</f>
        <v/>
      </c>
      <c r="I53" s="8">
        <f>$F53*$H53</f>
        <v/>
      </c>
      <c r="J53" s="6" t="inlineStr">
        <is>
          <t>ESPAGNE</t>
        </is>
      </c>
      <c r="K53" s="6" t="inlineStr">
        <is>
          <t>Conférence Z</t>
        </is>
      </c>
      <c r="L53" s="6" t="inlineStr">
        <is>
          <t>Prospect</t>
        </is>
      </c>
      <c r="M53" s="6" t="inlineStr">
        <is>
          <t>Sara Benali</t>
        </is>
      </c>
      <c r="N53" s="6" t="inlineStr">
        <is>
          <t>Léa Moreau</t>
        </is>
      </c>
      <c r="O53" s="6" t="inlineStr">
        <is>
          <t>Proposé</t>
        </is>
      </c>
      <c r="P53" s="6" t="inlineStr">
        <is>
          <t>m.bernard@entreprise.fr</t>
        </is>
      </c>
      <c r="Q53" s="11">
        <f>IF($O53="Approuvé",TODAY()-MOD(46,5),"")</f>
        <v/>
      </c>
      <c r="R53" s="6">
        <f>IF($O53="Approuvé","APR-1046","")</f>
        <v/>
      </c>
      <c r="S53" s="8">
        <f>IFERROR(XLOOKUP($D53&amp;"|"&amp;$J53,POLICY_KEY,POLICY_VAL, XLOOKUP($D53&amp;"|ANY",POLICY_KEY,POLICY_VAL,100)),100)</f>
        <v/>
      </c>
      <c r="T53" s="8">
        <f>Tables!$H$12</f>
        <v/>
      </c>
      <c r="U53" s="8">
        <f>SUMIFS($I$7:$I$500,$M$7:$M$500,$M53,YEAR($B$7:$B$500),YEAR($B53))</f>
        <v/>
      </c>
      <c r="V53" s="6">
        <f>IF(AND($I53&lt;=$S53,$U53&lt;=$T53),"Conforme","Dépassé")</f>
        <v/>
      </c>
      <c r="W53" s="6" t="inlineStr">
        <is>
          <t>link://dms/cadeaux/1046</t>
        </is>
      </c>
      <c r="X53" s="6" t="inlineStr">
        <is>
          <t>À valider</t>
        </is>
      </c>
    </row>
    <row r="54">
      <c r="A54" s="6">
        <f>TEXT(48,"0000")</f>
        <v/>
      </c>
      <c r="B54" s="11" t="n">
        <v>45945</v>
      </c>
      <c r="C54" s="6" t="inlineStr">
        <is>
          <t>Reçu</t>
        </is>
      </c>
      <c r="D54" s="6" t="inlineStr">
        <is>
          <t>Objet promotionnel</t>
        </is>
      </c>
      <c r="E54" s="6" t="inlineStr">
        <is>
          <t>Dons — cas 147</t>
        </is>
      </c>
      <c r="F54" s="8" t="n">
        <v>95</v>
      </c>
      <c r="G54" s="6" t="inlineStr">
        <is>
          <t>GBP</t>
        </is>
      </c>
      <c r="H54" s="6">
        <f>IFERROR(XLOOKUP($G54,FX_CCY,FX_RATES),1)</f>
        <v/>
      </c>
      <c r="I54" s="8">
        <f>$F54*$H54</f>
        <v/>
      </c>
      <c r="J54" s="6" t="inlineStr">
        <is>
          <t>ALLEMAGNE</t>
        </is>
      </c>
      <c r="K54" s="6" t="inlineStr">
        <is>
          <t>RDV</t>
        </is>
      </c>
      <c r="L54" s="6" t="inlineStr">
        <is>
          <t>Fournisseur</t>
        </is>
      </c>
      <c r="M54" s="6" t="inlineStr">
        <is>
          <t>David Brown</t>
        </is>
      </c>
      <c r="N54" s="6" t="inlineStr">
        <is>
          <t>Samir Haddad</t>
        </is>
      </c>
      <c r="O54" s="6" t="inlineStr">
        <is>
          <t>En attente approbation</t>
        </is>
      </c>
      <c r="P54" s="6" t="inlineStr">
        <is>
          <t>m.bernard@entreprise.fr</t>
        </is>
      </c>
      <c r="Q54" s="11">
        <f>IF($O54="Approuvé",TODAY()-MOD(47,5),"")</f>
        <v/>
      </c>
      <c r="R54" s="6">
        <f>IF($O54="Approuvé","APR-1047","")</f>
        <v/>
      </c>
      <c r="S54" s="8">
        <f>IFERROR(XLOOKUP($D54&amp;"|"&amp;$J54,POLICY_KEY,POLICY_VAL, XLOOKUP($D54&amp;"|ANY",POLICY_KEY,POLICY_VAL,100)),100)</f>
        <v/>
      </c>
      <c r="T54" s="8">
        <f>Tables!$H$12</f>
        <v/>
      </c>
      <c r="U54" s="8">
        <f>SUMIFS($I$7:$I$500,$M$7:$M$500,$M54,YEAR($B$7:$B$500),YEAR($B54))</f>
        <v/>
      </c>
      <c r="V54" s="6">
        <f>IF(AND($I54&lt;=$S54,$U54&lt;=$T54),"Conforme","Dépassé")</f>
        <v/>
      </c>
      <c r="W54" s="6" t="inlineStr">
        <is>
          <t>link://dms/cadeaux/1047</t>
        </is>
      </c>
      <c r="X54" s="6" t="inlineStr">
        <is>
          <t>Note interne</t>
        </is>
      </c>
    </row>
    <row r="55">
      <c r="A55" s="6">
        <f>TEXT(49,"0000")</f>
        <v/>
      </c>
      <c r="B55" s="11" t="n">
        <v>45946</v>
      </c>
      <c r="C55" s="6" t="inlineStr">
        <is>
          <t>Offert</t>
        </is>
      </c>
      <c r="D55" s="6" t="inlineStr">
        <is>
          <t>Repas</t>
        </is>
      </c>
      <c r="E55" s="6" t="inlineStr">
        <is>
          <t>Déjeuner — cas 148</t>
        </is>
      </c>
      <c r="F55" s="8" t="n">
        <v>110</v>
      </c>
      <c r="G55" s="6" t="inlineStr">
        <is>
          <t>CHF</t>
        </is>
      </c>
      <c r="H55" s="6">
        <f>IFERROR(XLOOKUP($G55,FX_CCY,FX_RATES),1)</f>
        <v/>
      </c>
      <c r="I55" s="8">
        <f>$F55*$H55</f>
        <v/>
      </c>
      <c r="J55" s="6" t="inlineStr">
        <is>
          <t>ITALIE</t>
        </is>
      </c>
      <c r="K55" s="6" t="inlineStr">
        <is>
          <t>Salon X</t>
        </is>
      </c>
      <c r="L55" s="6" t="inlineStr">
        <is>
          <t>Partenaire</t>
        </is>
      </c>
      <c r="M55" s="6" t="inlineStr">
        <is>
          <t>Sara Benali</t>
        </is>
      </c>
      <c r="N55" s="6" t="inlineStr">
        <is>
          <t>Alice Dupont</t>
        </is>
      </c>
      <c r="O55" s="6" t="inlineStr">
        <is>
          <t>Approuvé</t>
        </is>
      </c>
      <c r="P55" s="6" t="inlineStr">
        <is>
          <t>m.bernard@entreprise.fr</t>
        </is>
      </c>
      <c r="Q55" s="11">
        <f>IF($O55="Approuvé",TODAY()-MOD(48,5),"")</f>
        <v/>
      </c>
      <c r="R55" s="6">
        <f>IF($O55="Approuvé","APR-1048","")</f>
        <v/>
      </c>
      <c r="S55" s="8">
        <f>IFERROR(XLOOKUP($D55&amp;"|"&amp;$J55,POLICY_KEY,POLICY_VAL, XLOOKUP($D55&amp;"|ANY",POLICY_KEY,POLICY_VAL,100)),100)</f>
        <v/>
      </c>
      <c r="T55" s="8">
        <f>Tables!$H$12</f>
        <v/>
      </c>
      <c r="U55" s="8">
        <f>SUMIFS($I$7:$I$500,$M$7:$M$500,$M55,YEAR($B$7:$B$500),YEAR($B55))</f>
        <v/>
      </c>
      <c r="V55" s="6">
        <f>IF(AND($I55&lt;=$S55,$U55&lt;=$T55),"Conforme","Dépassé")</f>
        <v/>
      </c>
      <c r="W55" s="6" t="inlineStr">
        <is>
          <t>link://dms/cadeaux/1048</t>
        </is>
      </c>
      <c r="X55" s="6" t="inlineStr"/>
    </row>
    <row r="56">
      <c r="A56" s="6">
        <f>TEXT(50,"0000")</f>
        <v/>
      </c>
      <c r="B56" s="11" t="n">
        <v>45947</v>
      </c>
      <c r="C56" s="6" t="inlineStr">
        <is>
          <t>Reçu</t>
        </is>
      </c>
      <c r="D56" s="6" t="inlineStr">
        <is>
          <t>Hospitalité</t>
        </is>
      </c>
      <c r="E56" s="6" t="inlineStr">
        <is>
          <t>Goodies — cas 149</t>
        </is>
      </c>
      <c r="F56" s="8" t="n">
        <v>20</v>
      </c>
      <c r="G56" s="6" t="inlineStr">
        <is>
          <t>MAD</t>
        </is>
      </c>
      <c r="H56" s="6">
        <f>IFERROR(XLOOKUP($G56,FX_CCY,FX_RATES),1)</f>
        <v/>
      </c>
      <c r="I56" s="8">
        <f>$F56*$H56</f>
        <v/>
      </c>
      <c r="J56" s="6" t="inlineStr">
        <is>
          <t>ROYAUME-UNI</t>
        </is>
      </c>
      <c r="K56" s="6" t="inlineStr">
        <is>
          <t>Match Y</t>
        </is>
      </c>
      <c r="L56" s="6" t="inlineStr">
        <is>
          <t>Institution</t>
        </is>
      </c>
      <c r="M56" s="6" t="inlineStr">
        <is>
          <t>David Brown</t>
        </is>
      </c>
      <c r="N56" s="6" t="inlineStr">
        <is>
          <t>Karim Ouali</t>
        </is>
      </c>
      <c r="O56" s="6" t="inlineStr">
        <is>
          <t>Refusé</t>
        </is>
      </c>
      <c r="P56" s="6" t="inlineStr">
        <is>
          <t>m.bernard@entreprise.fr</t>
        </is>
      </c>
      <c r="Q56" s="11">
        <f>IF($O56="Approuvé",TODAY()-MOD(49,5),"")</f>
        <v/>
      </c>
      <c r="R56" s="6">
        <f>IF($O56="Approuvé","APR-1049","")</f>
        <v/>
      </c>
      <c r="S56" s="8">
        <f>IFERROR(XLOOKUP($D56&amp;"|"&amp;$J56,POLICY_KEY,POLICY_VAL, XLOOKUP($D56&amp;"|ANY",POLICY_KEY,POLICY_VAL,100)),100)</f>
        <v/>
      </c>
      <c r="T56" s="8">
        <f>Tables!$H$12</f>
        <v/>
      </c>
      <c r="U56" s="8">
        <f>SUMIFS($I$7:$I$500,$M$7:$M$500,$M56,YEAR($B$7:$B$500),YEAR($B56))</f>
        <v/>
      </c>
      <c r="V56" s="6">
        <f>IF(AND($I56&lt;=$S56,$U56&lt;=$T56),"Conforme","Dépassé")</f>
        <v/>
      </c>
      <c r="W56" s="6" t="inlineStr">
        <is>
          <t>link://dms/cadeaux/1049</t>
        </is>
      </c>
      <c r="X56" s="6" t="inlineStr">
        <is>
          <t>Justificatif joint</t>
        </is>
      </c>
    </row>
    <row r="57">
      <c r="A57" s="6">
        <f>TEXT(51,"0000")</f>
        <v/>
      </c>
      <c r="B57" s="11" t="n">
        <v>45948</v>
      </c>
      <c r="C57" s="6" t="inlineStr">
        <is>
          <t>Offert</t>
        </is>
      </c>
      <c r="D57" s="6" t="inlineStr">
        <is>
          <t>Billetterie</t>
        </is>
      </c>
      <c r="E57" s="6" t="inlineStr">
        <is>
          <t>Billet — cas 150</t>
        </is>
      </c>
      <c r="F57" s="8" t="n">
        <v>35</v>
      </c>
      <c r="G57" s="6" t="inlineStr">
        <is>
          <t>EUR</t>
        </is>
      </c>
      <c r="H57" s="6">
        <f>IFERROR(XLOOKUP($G57,FX_CCY,FX_RATES),1)</f>
        <v/>
      </c>
      <c r="I57" s="8">
        <f>$F57*$H57</f>
        <v/>
      </c>
      <c r="J57" s="6" t="inlineStr">
        <is>
          <t>USA</t>
        </is>
      </c>
      <c r="K57" s="6" t="inlineStr">
        <is>
          <t>Conférence Z</t>
        </is>
      </c>
      <c r="L57" s="6" t="inlineStr">
        <is>
          <t>Interne</t>
        </is>
      </c>
      <c r="M57" s="6" t="inlineStr">
        <is>
          <t>Sara Benali</t>
        </is>
      </c>
      <c r="N57" s="6" t="inlineStr">
        <is>
          <t>Léa Moreau</t>
        </is>
      </c>
      <c r="O57" s="6" t="inlineStr">
        <is>
          <t>Offert</t>
        </is>
      </c>
      <c r="P57" s="6" t="inlineStr">
        <is>
          <t>m.bernard@entreprise.fr</t>
        </is>
      </c>
      <c r="Q57" s="11">
        <f>IF($O57="Approuvé",TODAY()-MOD(50,5),"")</f>
        <v/>
      </c>
      <c r="R57" s="6">
        <f>IF($O57="Approuvé","APR-1050","")</f>
        <v/>
      </c>
      <c r="S57" s="8">
        <f>IFERROR(XLOOKUP($D57&amp;"|"&amp;$J57,POLICY_KEY,POLICY_VAL, XLOOKUP($D57&amp;"|ANY",POLICY_KEY,POLICY_VAL,100)),100)</f>
        <v/>
      </c>
      <c r="T57" s="8">
        <f>Tables!$H$12</f>
        <v/>
      </c>
      <c r="U57" s="8">
        <f>SUMIFS($I$7:$I$500,$M$7:$M$500,$M57,YEAR($B$7:$B$500),YEAR($B57))</f>
        <v/>
      </c>
      <c r="V57" s="6">
        <f>IF(AND($I57&lt;=$S57,$U57&lt;=$T57),"Conforme","Dépassé")</f>
        <v/>
      </c>
      <c r="W57" s="6" t="inlineStr">
        <is>
          <t>link://dms/cadeaux/1050</t>
        </is>
      </c>
      <c r="X57" s="6" t="inlineStr">
        <is>
          <t>À valider</t>
        </is>
      </c>
    </row>
    <row r="58">
      <c r="A58" s="6">
        <f>TEXT(52,"0000")</f>
        <v/>
      </c>
      <c r="B58" s="11" t="n">
        <v>45949</v>
      </c>
      <c r="C58" s="6" t="inlineStr">
        <is>
          <t>Reçu</t>
        </is>
      </c>
      <c r="D58" s="6" t="inlineStr">
        <is>
          <t>Transport</t>
        </is>
      </c>
      <c r="E58" s="6" t="inlineStr">
        <is>
          <t>Hébergement — cas 151</t>
        </is>
      </c>
      <c r="F58" s="8" t="n">
        <v>50</v>
      </c>
      <c r="G58" s="6" t="inlineStr">
        <is>
          <t>USD</t>
        </is>
      </c>
      <c r="H58" s="6">
        <f>IFERROR(XLOOKUP($G58,FX_CCY,FX_RATES),1)</f>
        <v/>
      </c>
      <c r="I58" s="8">
        <f>$F58*$H58</f>
        <v/>
      </c>
      <c r="J58" s="6" t="inlineStr">
        <is>
          <t>MAROC</t>
        </is>
      </c>
      <c r="K58" s="6" t="inlineStr">
        <is>
          <t>RDV</t>
        </is>
      </c>
      <c r="L58" s="6" t="inlineStr">
        <is>
          <t>Client</t>
        </is>
      </c>
      <c r="M58" s="6" t="inlineStr">
        <is>
          <t>David Brown</t>
        </is>
      </c>
      <c r="N58" s="6" t="inlineStr">
        <is>
          <t>Samir Haddad</t>
        </is>
      </c>
      <c r="O58" s="6" t="inlineStr">
        <is>
          <t>Reçu</t>
        </is>
      </c>
      <c r="P58" s="6" t="inlineStr">
        <is>
          <t>m.bernard@entreprise.fr</t>
        </is>
      </c>
      <c r="Q58" s="11">
        <f>IF($O58="Approuvé",TODAY()-MOD(51,5),"")</f>
        <v/>
      </c>
      <c r="R58" s="6">
        <f>IF($O58="Approuvé","APR-1051","")</f>
        <v/>
      </c>
      <c r="S58" s="8">
        <f>IFERROR(XLOOKUP($D58&amp;"|"&amp;$J58,POLICY_KEY,POLICY_VAL, XLOOKUP($D58&amp;"|ANY",POLICY_KEY,POLICY_VAL,100)),100)</f>
        <v/>
      </c>
      <c r="T58" s="8">
        <f>Tables!$H$12</f>
        <v/>
      </c>
      <c r="U58" s="8">
        <f>SUMIFS($I$7:$I$500,$M$7:$M$500,$M58,YEAR($B$7:$B$500),YEAR($B58))</f>
        <v/>
      </c>
      <c r="V58" s="6">
        <f>IF(AND($I58&lt;=$S58,$U58&lt;=$T58),"Conforme","Dépassé")</f>
        <v/>
      </c>
      <c r="W58" s="6" t="inlineStr">
        <is>
          <t>link://dms/cadeaux/1051</t>
        </is>
      </c>
      <c r="X58" s="6" t="inlineStr">
        <is>
          <t>Note interne</t>
        </is>
      </c>
    </row>
    <row r="59">
      <c r="A59" s="6">
        <f>TEXT(53,"0000")</f>
        <v/>
      </c>
      <c r="B59" s="11" t="n">
        <v>45950</v>
      </c>
      <c r="C59" s="6" t="inlineStr">
        <is>
          <t>Offert</t>
        </is>
      </c>
      <c r="D59" s="6" t="inlineStr">
        <is>
          <t>Hébergement</t>
        </is>
      </c>
      <c r="E59" s="6" t="inlineStr">
        <is>
          <t>Taxi — cas 152</t>
        </is>
      </c>
      <c r="F59" s="8" t="n">
        <v>65</v>
      </c>
      <c r="G59" s="6" t="inlineStr">
        <is>
          <t>GBP</t>
        </is>
      </c>
      <c r="H59" s="6">
        <f>IFERROR(XLOOKUP($G59,FX_CCY,FX_RATES),1)</f>
        <v/>
      </c>
      <c r="I59" s="8">
        <f>$F59*$H59</f>
        <v/>
      </c>
      <c r="J59" s="6" t="inlineStr">
        <is>
          <t>FRANCE</t>
        </is>
      </c>
      <c r="K59" s="6" t="inlineStr">
        <is>
          <t>Salon X</t>
        </is>
      </c>
      <c r="L59" s="6" t="inlineStr">
        <is>
          <t>Prospect</t>
        </is>
      </c>
      <c r="M59" s="6" t="inlineStr">
        <is>
          <t>Sara Benali</t>
        </is>
      </c>
      <c r="N59" s="6" t="inlineStr">
        <is>
          <t>Alice Dupont</t>
        </is>
      </c>
      <c r="O59" s="6" t="inlineStr">
        <is>
          <t>Remboursé</t>
        </is>
      </c>
      <c r="P59" s="6" t="inlineStr">
        <is>
          <t>m.bernard@entreprise.fr</t>
        </is>
      </c>
      <c r="Q59" s="11">
        <f>IF($O59="Approuvé",TODAY()-MOD(52,5),"")</f>
        <v/>
      </c>
      <c r="R59" s="6">
        <f>IF($O59="Approuvé","APR-1052","")</f>
        <v/>
      </c>
      <c r="S59" s="8">
        <f>IFERROR(XLOOKUP($D59&amp;"|"&amp;$J59,POLICY_KEY,POLICY_VAL, XLOOKUP($D59&amp;"|ANY",POLICY_KEY,POLICY_VAL,100)),100)</f>
        <v/>
      </c>
      <c r="T59" s="8">
        <f>Tables!$H$12</f>
        <v/>
      </c>
      <c r="U59" s="8">
        <f>SUMIFS($I$7:$I$500,$M$7:$M$500,$M59,YEAR($B$7:$B$500),YEAR($B59))</f>
        <v/>
      </c>
      <c r="V59" s="6">
        <f>IF(AND($I59&lt;=$S59,$U59&lt;=$T59),"Conforme","Dépassé")</f>
        <v/>
      </c>
      <c r="W59" s="6" t="inlineStr">
        <is>
          <t>link://dms/cadeaux/1052</t>
        </is>
      </c>
      <c r="X59" s="6" t="inlineStr"/>
    </row>
    <row r="60">
      <c r="A60" s="6">
        <f>TEXT(54,"0000")</f>
        <v/>
      </c>
      <c r="B60" s="11" t="n">
        <v>45951</v>
      </c>
      <c r="C60" s="6" t="inlineStr">
        <is>
          <t>Reçu</t>
        </is>
      </c>
      <c r="D60" s="6" t="inlineStr">
        <is>
          <t>Don caritatif</t>
        </is>
      </c>
      <c r="E60" s="6" t="inlineStr">
        <is>
          <t>Dons — cas 153</t>
        </is>
      </c>
      <c r="F60" s="8" t="n">
        <v>80</v>
      </c>
      <c r="G60" s="6" t="inlineStr">
        <is>
          <t>CHF</t>
        </is>
      </c>
      <c r="H60" s="6">
        <f>IFERROR(XLOOKUP($G60,FX_CCY,FX_RATES),1)</f>
        <v/>
      </c>
      <c r="I60" s="8">
        <f>$F60*$H60</f>
        <v/>
      </c>
      <c r="J60" s="6" t="inlineStr">
        <is>
          <t>BELGIQUE</t>
        </is>
      </c>
      <c r="K60" s="6" t="inlineStr">
        <is>
          <t>Match Y</t>
        </is>
      </c>
      <c r="L60" s="6" t="inlineStr">
        <is>
          <t>Fournisseur</t>
        </is>
      </c>
      <c r="M60" s="6" t="inlineStr">
        <is>
          <t>David Brown</t>
        </is>
      </c>
      <c r="N60" s="6" t="inlineStr">
        <is>
          <t>Karim Ouali</t>
        </is>
      </c>
      <c r="O60" s="6" t="inlineStr">
        <is>
          <t>Archivé</t>
        </is>
      </c>
      <c r="P60" s="6" t="inlineStr">
        <is>
          <t>m.bernard@entreprise.fr</t>
        </is>
      </c>
      <c r="Q60" s="11">
        <f>IF($O60="Approuvé",TODAY()-MOD(53,5),"")</f>
        <v/>
      </c>
      <c r="R60" s="6">
        <f>IF($O60="Approuvé","APR-1053","")</f>
        <v/>
      </c>
      <c r="S60" s="8">
        <f>IFERROR(XLOOKUP($D60&amp;"|"&amp;$J60,POLICY_KEY,POLICY_VAL, XLOOKUP($D60&amp;"|ANY",POLICY_KEY,POLICY_VAL,100)),100)</f>
        <v/>
      </c>
      <c r="T60" s="8">
        <f>Tables!$H$12</f>
        <v/>
      </c>
      <c r="U60" s="8">
        <f>SUMIFS($I$7:$I$500,$M$7:$M$500,$M60,YEAR($B$7:$B$500),YEAR($B60))</f>
        <v/>
      </c>
      <c r="V60" s="6">
        <f>IF(AND($I60&lt;=$S60,$U60&lt;=$T60),"Conforme","Dépassé")</f>
        <v/>
      </c>
      <c r="W60" s="6" t="inlineStr">
        <is>
          <t>link://dms/cadeaux/1053</t>
        </is>
      </c>
      <c r="X60" s="6" t="inlineStr">
        <is>
          <t>Justificatif joint</t>
        </is>
      </c>
    </row>
  </sheetData>
  <autoFilter ref="A6:X60"/>
  <mergeCells count="1">
    <mergeCell ref="A1:X2"/>
  </mergeCells>
  <conditionalFormatting sqref="O7:O60">
    <cfRule type="containsText" priority="1" operator="containsText" dxfId="0" text="Proposé"/>
    <cfRule type="containsText" priority="2" operator="containsText" dxfId="1" text="En attente approbation"/>
    <cfRule type="containsText" priority="3" operator="containsText" dxfId="2" text="Approuvé"/>
    <cfRule type="containsText" priority="4" operator="containsText" dxfId="3" text="Refusé"/>
    <cfRule type="containsText" priority="5" operator="containsText" dxfId="4" text="Offert"/>
    <cfRule type="containsText" priority="6" operator="containsText" dxfId="5" text="Reçu"/>
    <cfRule type="containsText" priority="7" operator="containsText" dxfId="6" text="Remboursé"/>
    <cfRule type="containsText" priority="8" operator="containsText" dxfId="7" text="Archivé"/>
  </conditionalFormatting>
  <conditionalFormatting sqref="V7">
    <cfRule type="expression" priority="9" dxfId="8" stopIfTrue="0">
      <formula>$V7="Dépassé"</formula>
    </cfRule>
  </conditionalFormatting>
  <conditionalFormatting sqref="V8">
    <cfRule type="expression" priority="10" dxfId="8" stopIfTrue="0">
      <formula>$V8="Dépassé"</formula>
    </cfRule>
  </conditionalFormatting>
  <conditionalFormatting sqref="V9">
    <cfRule type="expression" priority="11" dxfId="8" stopIfTrue="0">
      <formula>$V9="Dépassé"</formula>
    </cfRule>
  </conditionalFormatting>
  <conditionalFormatting sqref="V10">
    <cfRule type="expression" priority="12" dxfId="8" stopIfTrue="0">
      <formula>$V10="Dépassé"</formula>
    </cfRule>
  </conditionalFormatting>
  <conditionalFormatting sqref="V11">
    <cfRule type="expression" priority="13" dxfId="8" stopIfTrue="0">
      <formula>$V11="Dépassé"</formula>
    </cfRule>
  </conditionalFormatting>
  <conditionalFormatting sqref="V12">
    <cfRule type="expression" priority="14" dxfId="8" stopIfTrue="0">
      <formula>$V12="Dépassé"</formula>
    </cfRule>
  </conditionalFormatting>
  <conditionalFormatting sqref="V13">
    <cfRule type="expression" priority="15" dxfId="8" stopIfTrue="0">
      <formula>$V13="Dépassé"</formula>
    </cfRule>
  </conditionalFormatting>
  <conditionalFormatting sqref="V14">
    <cfRule type="expression" priority="16" dxfId="8" stopIfTrue="0">
      <formula>$V14="Dépassé"</formula>
    </cfRule>
  </conditionalFormatting>
  <conditionalFormatting sqref="V15">
    <cfRule type="expression" priority="17" dxfId="8" stopIfTrue="0">
      <formula>$V15="Dépassé"</formula>
    </cfRule>
  </conditionalFormatting>
  <conditionalFormatting sqref="V16">
    <cfRule type="expression" priority="18" dxfId="8" stopIfTrue="0">
      <formula>$V16="Dépassé"</formula>
    </cfRule>
  </conditionalFormatting>
  <conditionalFormatting sqref="V17">
    <cfRule type="expression" priority="19" dxfId="8" stopIfTrue="0">
      <formula>$V17="Dépassé"</formula>
    </cfRule>
  </conditionalFormatting>
  <conditionalFormatting sqref="V18">
    <cfRule type="expression" priority="20" dxfId="8" stopIfTrue="0">
      <formula>$V18="Dépassé"</formula>
    </cfRule>
  </conditionalFormatting>
  <conditionalFormatting sqref="V19">
    <cfRule type="expression" priority="21" dxfId="8" stopIfTrue="0">
      <formula>$V19="Dépassé"</formula>
    </cfRule>
  </conditionalFormatting>
  <conditionalFormatting sqref="V20">
    <cfRule type="expression" priority="22" dxfId="8" stopIfTrue="0">
      <formula>$V20="Dépassé"</formula>
    </cfRule>
  </conditionalFormatting>
  <conditionalFormatting sqref="V21">
    <cfRule type="expression" priority="23" dxfId="8" stopIfTrue="0">
      <formula>$V21="Dépassé"</formula>
    </cfRule>
  </conditionalFormatting>
  <conditionalFormatting sqref="V22">
    <cfRule type="expression" priority="24" dxfId="8" stopIfTrue="0">
      <formula>$V22="Dépassé"</formula>
    </cfRule>
  </conditionalFormatting>
  <conditionalFormatting sqref="V23">
    <cfRule type="expression" priority="25" dxfId="8" stopIfTrue="0">
      <formula>$V23="Dépassé"</formula>
    </cfRule>
  </conditionalFormatting>
  <conditionalFormatting sqref="V24">
    <cfRule type="expression" priority="26" dxfId="8" stopIfTrue="0">
      <formula>$V24="Dépassé"</formula>
    </cfRule>
  </conditionalFormatting>
  <conditionalFormatting sqref="V25">
    <cfRule type="expression" priority="27" dxfId="8" stopIfTrue="0">
      <formula>$V25="Dépassé"</formula>
    </cfRule>
  </conditionalFormatting>
  <conditionalFormatting sqref="V26">
    <cfRule type="expression" priority="28" dxfId="8" stopIfTrue="0">
      <formula>$V26="Dépassé"</formula>
    </cfRule>
  </conditionalFormatting>
  <conditionalFormatting sqref="V27">
    <cfRule type="expression" priority="29" dxfId="8" stopIfTrue="0">
      <formula>$V27="Dépassé"</formula>
    </cfRule>
  </conditionalFormatting>
  <conditionalFormatting sqref="V28">
    <cfRule type="expression" priority="30" dxfId="8" stopIfTrue="0">
      <formula>$V28="Dépassé"</formula>
    </cfRule>
  </conditionalFormatting>
  <conditionalFormatting sqref="V29">
    <cfRule type="expression" priority="31" dxfId="8" stopIfTrue="0">
      <formula>$V29="Dépassé"</formula>
    </cfRule>
  </conditionalFormatting>
  <conditionalFormatting sqref="V30">
    <cfRule type="expression" priority="32" dxfId="8" stopIfTrue="0">
      <formula>$V30="Dépassé"</formula>
    </cfRule>
  </conditionalFormatting>
  <conditionalFormatting sqref="V31">
    <cfRule type="expression" priority="33" dxfId="8" stopIfTrue="0">
      <formula>$V31="Dépassé"</formula>
    </cfRule>
  </conditionalFormatting>
  <conditionalFormatting sqref="V32">
    <cfRule type="expression" priority="34" dxfId="8" stopIfTrue="0">
      <formula>$V32="Dépassé"</formula>
    </cfRule>
  </conditionalFormatting>
  <conditionalFormatting sqref="V33">
    <cfRule type="expression" priority="35" dxfId="8" stopIfTrue="0">
      <formula>$V33="Dépassé"</formula>
    </cfRule>
  </conditionalFormatting>
  <conditionalFormatting sqref="V34">
    <cfRule type="expression" priority="36" dxfId="8" stopIfTrue="0">
      <formula>$V34="Dépassé"</formula>
    </cfRule>
  </conditionalFormatting>
  <conditionalFormatting sqref="V35">
    <cfRule type="expression" priority="37" dxfId="8" stopIfTrue="0">
      <formula>$V35="Dépassé"</formula>
    </cfRule>
  </conditionalFormatting>
  <conditionalFormatting sqref="V36">
    <cfRule type="expression" priority="38" dxfId="8" stopIfTrue="0">
      <formula>$V36="Dépassé"</formula>
    </cfRule>
  </conditionalFormatting>
  <conditionalFormatting sqref="V37">
    <cfRule type="expression" priority="39" dxfId="8" stopIfTrue="0">
      <formula>$V37="Dépassé"</formula>
    </cfRule>
  </conditionalFormatting>
  <conditionalFormatting sqref="V38">
    <cfRule type="expression" priority="40" dxfId="8" stopIfTrue="0">
      <formula>$V38="Dépassé"</formula>
    </cfRule>
  </conditionalFormatting>
  <conditionalFormatting sqref="V39">
    <cfRule type="expression" priority="41" dxfId="8" stopIfTrue="0">
      <formula>$V39="Dépassé"</formula>
    </cfRule>
  </conditionalFormatting>
  <conditionalFormatting sqref="V40">
    <cfRule type="expression" priority="42" dxfId="8" stopIfTrue="0">
      <formula>$V40="Dépassé"</formula>
    </cfRule>
  </conditionalFormatting>
  <conditionalFormatting sqref="V41">
    <cfRule type="expression" priority="43" dxfId="8" stopIfTrue="0">
      <formula>$V41="Dépassé"</formula>
    </cfRule>
  </conditionalFormatting>
  <conditionalFormatting sqref="V42">
    <cfRule type="expression" priority="44" dxfId="8" stopIfTrue="0">
      <formula>$V42="Dépassé"</formula>
    </cfRule>
  </conditionalFormatting>
  <conditionalFormatting sqref="V43">
    <cfRule type="expression" priority="45" dxfId="8" stopIfTrue="0">
      <formula>$V43="Dépassé"</formula>
    </cfRule>
  </conditionalFormatting>
  <conditionalFormatting sqref="V44">
    <cfRule type="expression" priority="46" dxfId="8" stopIfTrue="0">
      <formula>$V44="Dépassé"</formula>
    </cfRule>
  </conditionalFormatting>
  <conditionalFormatting sqref="V45">
    <cfRule type="expression" priority="47" dxfId="8" stopIfTrue="0">
      <formula>$V45="Dépassé"</formula>
    </cfRule>
  </conditionalFormatting>
  <conditionalFormatting sqref="V46">
    <cfRule type="expression" priority="48" dxfId="8" stopIfTrue="0">
      <formula>$V46="Dépassé"</formula>
    </cfRule>
  </conditionalFormatting>
  <conditionalFormatting sqref="V47">
    <cfRule type="expression" priority="49" dxfId="8" stopIfTrue="0">
      <formula>$V47="Dépassé"</formula>
    </cfRule>
  </conditionalFormatting>
  <conditionalFormatting sqref="V48">
    <cfRule type="expression" priority="50" dxfId="8" stopIfTrue="0">
      <formula>$V48="Dépassé"</formula>
    </cfRule>
  </conditionalFormatting>
  <conditionalFormatting sqref="V49">
    <cfRule type="expression" priority="51" dxfId="8" stopIfTrue="0">
      <formula>$V49="Dépassé"</formula>
    </cfRule>
  </conditionalFormatting>
  <conditionalFormatting sqref="V50">
    <cfRule type="expression" priority="52" dxfId="8" stopIfTrue="0">
      <formula>$V50="Dépassé"</formula>
    </cfRule>
  </conditionalFormatting>
  <conditionalFormatting sqref="V51">
    <cfRule type="expression" priority="53" dxfId="8" stopIfTrue="0">
      <formula>$V51="Dépassé"</formula>
    </cfRule>
  </conditionalFormatting>
  <conditionalFormatting sqref="V52">
    <cfRule type="expression" priority="54" dxfId="8" stopIfTrue="0">
      <formula>$V52="Dépassé"</formula>
    </cfRule>
  </conditionalFormatting>
  <conditionalFormatting sqref="V53">
    <cfRule type="expression" priority="55" dxfId="8" stopIfTrue="0">
      <formula>$V53="Dépassé"</formula>
    </cfRule>
  </conditionalFormatting>
  <conditionalFormatting sqref="V54">
    <cfRule type="expression" priority="56" dxfId="8" stopIfTrue="0">
      <formula>$V54="Dépassé"</formula>
    </cfRule>
  </conditionalFormatting>
  <conditionalFormatting sqref="V55">
    <cfRule type="expression" priority="57" dxfId="8" stopIfTrue="0">
      <formula>$V55="Dépassé"</formula>
    </cfRule>
  </conditionalFormatting>
  <conditionalFormatting sqref="V56">
    <cfRule type="expression" priority="58" dxfId="8" stopIfTrue="0">
      <formula>$V56="Dépassé"</formula>
    </cfRule>
  </conditionalFormatting>
  <conditionalFormatting sqref="V57">
    <cfRule type="expression" priority="59" dxfId="8" stopIfTrue="0">
      <formula>$V57="Dépassé"</formula>
    </cfRule>
  </conditionalFormatting>
  <conditionalFormatting sqref="V58">
    <cfRule type="expression" priority="60" dxfId="8" stopIfTrue="0">
      <formula>$V58="Dépassé"</formula>
    </cfRule>
  </conditionalFormatting>
  <conditionalFormatting sqref="V59">
    <cfRule type="expression" priority="61" dxfId="8" stopIfTrue="0">
      <formula>$V59="Dépassé"</formula>
    </cfRule>
  </conditionalFormatting>
  <conditionalFormatting sqref="V60">
    <cfRule type="expression" priority="62" dxfId="8" stopIfTrue="0">
      <formula>$V60="Dépassé"</formula>
    </cfRule>
  </conditionalFormatting>
  <dataValidations count="8">
    <dataValidation sqref="C7:C500" showErrorMessage="1" showInputMessage="1" allowBlank="1" type="list">
      <formula1>=Liste_Mode</formula1>
    </dataValidation>
    <dataValidation sqref="D7:D500" showErrorMessage="1" showInputMessage="1" allowBlank="1" type="list">
      <formula1>=Liste_TypeCadeau</formula1>
    </dataValidation>
    <dataValidation sqref="G7:G500" showErrorMessage="1" showInputMessage="1" allowBlank="1" type="list">
      <formula1>=Liste_Devise</formula1>
    </dataValidation>
    <dataValidation sqref="J7:J500" showErrorMessage="1" showInputMessage="1" allowBlank="1" type="list">
      <formula1>=Liste_Pays</formula1>
    </dataValidation>
    <dataValidation sqref="L7:L500" showErrorMessage="1" showInputMessage="1" allowBlank="1" type="list">
      <formula1>=Liste_Relation</formula1>
    </dataValidation>
    <dataValidation sqref="M7:M500" showErrorMessage="1" showInputMessage="1" allowBlank="1" type="list">
      <formula1>=Liste_Contacts</formula1>
    </dataValidation>
    <dataValidation sqref="N7:N500" showErrorMessage="1" showInputMessage="1" allowBlank="1" type="list">
      <formula1>=Liste_Employes</formula1>
    </dataValidation>
    <dataValidation sqref="O7:O500" showErrorMessage="1" showInputMessage="1" allowBlank="1" type="list">
      <formula1>=Liste_Statut</formula1>
    </dataValidation>
  </dataValidations>
  <pageMargins left="0.4" right="0.4" top="0.6" bottom="0.6" header="0.3" footer="0.3"/>
  <pageSetup orientation="portrait" paperSize="9" fitToHeight="1" fitToWidth="1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2025-10-21T15:40:48Z</dcterms:created>
  <dcterms:modified xmlns:dcterms="http://purl.org/dc/terms/" xmlns:xsi="http://www.w3.org/2001/XMLSchema-instance" xsi:type="dcterms:W3CDTF">2025-10-21T15:40:48Z</dcterms:modified>
</cp:coreProperties>
</file>