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  <Override PartName="/xl/worksheets/sheet4.xml" ContentType="application/vnd.openxmlformats-officedocument.spreadsheetml.worksheet+xml"/>
  <Override PartName="/xl/tables/table4.xml" ContentType="application/vnd.openxmlformats-officedocument.spreadsheetml.table+xml"/>
  <Override PartName="/xl/worksheets/sheet5.xml" ContentType="application/vnd.openxmlformats-officedocument.spreadsheetml.worksheet+xml"/>
  <Override PartName="/xl/tables/table5.xml" ContentType="application/vnd.openxmlformats-officedocument.spreadsheetml.table+xml"/>
  <Override PartName="/xl/worksheets/sheet6.xml" ContentType="application/vnd.openxmlformats-officedocument.spreadsheetml.worksheet+xml"/>
  <Override PartName="/xl/tables/table6.xml" ContentType="application/vnd.openxmlformats-officedocument.spreadsheetml.table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1.xml" ContentType="application/vnd.openxmlformats-officedocument.drawing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ables/table7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etres" sheetId="1" state="visible" r:id="rId1"/>
    <sheet xmlns:r="http://schemas.openxmlformats.org/officeDocument/2006/relationships" name="TMS_Tracker" sheetId="2" state="visible" r:id="rId2"/>
    <sheet xmlns:r="http://schemas.openxmlformats.org/officeDocument/2006/relationships" name="Milestones" sheetId="3" state="visible" r:id="rId3"/>
    <sheet xmlns:r="http://schemas.openxmlformats.org/officeDocument/2006/relationships" name="Incidents" sheetId="4" state="visible" r:id="rId4"/>
    <sheet xmlns:r="http://schemas.openxmlformats.org/officeDocument/2006/relationships" name="Carriers" sheetId="5" state="visible" r:id="rId5"/>
    <sheet xmlns:r="http://schemas.openxmlformats.org/officeDocument/2006/relationships" name="Rates" sheetId="6" state="visible" r:id="rId6"/>
    <sheet xmlns:r="http://schemas.openxmlformats.org/officeDocument/2006/relationships" name="KPIs" sheetId="7" state="visible" r:id="rId7"/>
    <sheet xmlns:r="http://schemas.openxmlformats.org/officeDocument/2006/relationships" name="Dashboard" sheetId="8" state="visible" r:id="rId8"/>
    <sheet xmlns:r="http://schemas.openxmlformats.org/officeDocument/2006/relationships" name="README" sheetId="9" state="visible" r:id="rId9"/>
    <sheet xmlns:r="http://schemas.openxmlformats.org/officeDocument/2006/relationships" name="FX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:mm:ss"/>
  </numFmts>
  <fonts count="5">
    <font>
      <name val="Calibri"/>
      <family val="2"/>
      <color theme="1"/>
      <sz val="11"/>
      <scheme val="minor"/>
    </font>
    <font>
      <b val="1"/>
      <color rgb="00FFFFFF"/>
    </font>
    <font>
      <b val="1"/>
    </font>
    <font>
      <b val="1"/>
      <sz val="14"/>
    </font>
    <font>
      <b val="1"/>
      <sz val="12"/>
    </font>
  </fonts>
  <fills count="4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D9E1F2"/>
      </patternFill>
    </fill>
  </fills>
  <borders count="2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1" fillId="2" borderId="0" applyAlignment="1" pivotButton="0" quotePrefix="0" xfId="0">
      <alignment horizontal="center" vertical="center" wrapText="1"/>
    </xf>
    <xf numFmtId="164" fontId="0" fillId="0" borderId="0" pivotButton="0" quotePrefix="0" xfId="0"/>
    <xf numFmtId="164" fontId="0" fillId="0" borderId="1" pivotButton="0" quotePrefix="0" xfId="0"/>
    <xf numFmtId="0" fontId="2" fillId="3" borderId="1" applyAlignment="1" pivotButton="0" quotePrefix="0" xfId="0">
      <alignment horizontal="center" vertical="center" wrapText="1"/>
    </xf>
    <xf numFmtId="10" fontId="0" fillId="0" borderId="1" pivotButton="0" quotePrefix="0" xfId="0"/>
    <xf numFmtId="0" fontId="3" fillId="0" borderId="0" pivotButton="0" quotePrefix="0" xfId="0"/>
    <xf numFmtId="0" fontId="2" fillId="3" borderId="0" applyAlignment="1" pivotButton="0" quotePrefix="0" xfId="0">
      <alignment horizontal="center" vertical="center" wrapText="1"/>
    </xf>
    <xf numFmtId="0" fontId="4" fillId="0" borderId="0" pivotButton="0" quotePrefix="0" xfId="0"/>
    <xf numFmtId="0" fontId="2" fillId="0" borderId="0" pivotButton="0" quotePrefix="0" xfId="0"/>
    <xf numFmtId="0" fontId="2" fillId="3" borderId="0" pivotButton="0" quotePrefix="0" xfId="0"/>
  </cellXfs>
  <cellStyles count="1">
    <cellStyle name="Normal" xfId="0" builtinId="0" hidden="0"/>
  </cellStyles>
  <dxfs count="9">
    <dxf>
      <fill>
        <patternFill patternType="solid">
          <fgColor rgb="00C6EFCE"/>
        </patternFill>
      </fill>
    </dxf>
    <dxf>
      <fill>
        <patternFill patternType="solid">
          <fgColor rgb="00FFC7CE"/>
        </patternFill>
      </fill>
    </dxf>
    <dxf>
      <fill>
        <patternFill patternType="solid">
          <fgColor rgb="00FFEB84"/>
        </patternFill>
      </fill>
    </dxf>
    <dxf>
      <fill>
        <patternFill patternType="solid">
          <fgColor rgb="00E7E6E6"/>
        </patternFill>
      </fill>
    </dxf>
    <dxf>
      <fill>
        <patternFill patternType="solid">
          <fgColor rgb="00BDD7EE"/>
        </patternFill>
      </fill>
    </dxf>
    <dxf>
      <fill>
        <patternFill patternType="solid">
          <fgColor rgb="00FCE4D6"/>
        </patternFill>
      </fill>
    </dxf>
    <dxf>
      <fill>
        <patternFill patternType="solid">
          <fgColor rgb="00D9E1F2"/>
        </patternFill>
      </fill>
    </dxf>
    <dxf>
      <fill>
        <patternFill patternType="solid">
          <fgColor rgb="00E4DFEC"/>
        </patternFill>
      </fill>
    </dxf>
    <dxf>
      <fill>
        <patternFill patternType="solid">
          <fgColor rgb="00F8D7DA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Expéditions par statut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'Dashboard'!$F$3:$F$8</f>
            </numRef>
          </cat>
          <val>
            <numRef>
              <f>'Dashboard'!$G$3:$G$8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Statut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Nb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OTIF (1 vs 0)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'Dashboard'!$F$11:$F$12</f>
            </numRef>
          </cat>
          <val>
            <numRef>
              <f>'Dashboard'!$G$11:$G$12</f>
            </numRef>
          </val>
        </ser>
        <dLbls>
          <showPercent val="1"/>
        </dLbls>
        <firstSliceAng val="0"/>
      </pieChart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Retard moyen par transporteur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'Dashboard'!$F$19:$F$23</f>
            </numRef>
          </cat>
          <val>
            <numRef>
              <f>'Dashboard'!$G$19:$G$23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Transporteur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Heures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drawing1.xml><?xml version="1.0" encoding="utf-8"?>
<wsDr xmlns="http://schemas.openxmlformats.org/drawingml/2006/spreadsheetDrawing">
  <oneCellAnchor>
    <from>
      <col>0</col>
      <colOff>0</colOff>
      <row>6</row>
      <rowOff>0</rowOff>
    </from>
    <ext cx="648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5</col>
      <colOff>0</colOff>
      <row>12</row>
      <rowOff>0</rowOff>
    </from>
    <ext cx="5040000" cy="36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0</col>
      <colOff>0</colOff>
      <row>18</row>
      <rowOff>0</rowOff>
    </from>
    <ext cx="6480000" cy="360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blParametres" displayName="tblParametres" ref="A1:K11" headerRowCount="1">
  <autoFilter ref="A1:K11"/>
  <tableColumns count="11">
    <tableColumn id="1" name="Liste"/>
    <tableColumn id="2" name="Valeur1"/>
    <tableColumn id="3" name="Valeur2"/>
    <tableColumn id="4" name="Valeur3"/>
    <tableColumn id="5" name="Valeur4"/>
    <tableColumn id="6" name="Valeur5"/>
    <tableColumn id="7" name="Valeur6"/>
    <tableColumn id="8" name="Valeur7"/>
    <tableColumn id="9" name="Valeur8"/>
    <tableColumn id="10" name="Valeur9"/>
    <tableColumn id="11" name="Valeur10"/>
  </tableColumns>
  <tableStyleInfo name="TableStyleMedium9" showRowStripes="1" showColumnStripes="0"/>
</table>
</file>

<file path=xl/tables/table2.xml><?xml version="1.0" encoding="utf-8"?>
<table xmlns="http://schemas.openxmlformats.org/spreadsheetml/2006/main" id="2" name="tblTMS" displayName="tblTMS" ref="A1:AU9" headerRowCount="1">
  <autoFilter ref="A1:AU9"/>
  <tableColumns count="47">
    <tableColumn id="1" name="ShipmentID"/>
    <tableColumn id="2" name="OrderID"/>
    <tableColumn id="3" name="Client"/>
    <tableColumn id="4" name="Orig_UNLOC"/>
    <tableColumn id="5" name="Dest_UNLOC"/>
    <tableColumn id="6" name="Lane"/>
    <tableColumn id="7" name="Mode"/>
    <tableColumn id="8" name="Incoterm"/>
    <tableColumn id="9" name="Carrier"/>
    <tableColumn id="10" name="ServiceLevel"/>
    <tableColumn id="11" name="BookingRef"/>
    <tableColumn id="12" name="Pickup_Promise"/>
    <tableColumn id="13" name="Delivery_Promise_Start"/>
    <tableColumn id="14" name="Delivery_Promise_End"/>
    <tableColumn id="15" name="Pickup_Actual"/>
    <tableColumn id="16" name="Delivery_Actual"/>
    <tableColumn id="17" name="ETA_Current"/>
    <tableColumn id="18" name="DeliveredFull(Yes/No)"/>
    <tableColumn id="19" name="Status"/>
    <tableColumn id="20" name="TrackingURL"/>
    <tableColumn id="21" name="Weight_kg"/>
    <tableColumn id="22" name="Volume_m3"/>
    <tableColumn id="23" name="Units"/>
    <tableColumn id="24" name="BaseCost"/>
    <tableColumn id="25" name="FuelSurcharge%"/>
    <tableColumn id="26" name="OtherCost"/>
    <tableColumn id="27" name="Currency"/>
    <tableColumn id="28" name="TotalCost"/>
    <tableColumn id="29" name="OTIF"/>
    <tableColumn id="30" name="DIFOT"/>
    <tableColumn id="31" name="TransitDays"/>
    <tableColumn id="32" name="DelayHours"/>
    <tableColumn id="33" name="SLA_Breach(O/N)"/>
    <tableColumn id="34" name="LateBucket"/>
    <tableColumn id="35" name="RateType"/>
    <tableColumn id="36" name="RateBase"/>
    <tableColumn id="37" name="RateFuel%"/>
    <tableColumn id="38" name="RateOther"/>
    <tableColumn id="39" name="RateCurrency"/>
    <tableColumn id="40" name="AutoTotalCost"/>
    <tableColumn id="41" name="FX_ToMAD"/>
    <tableColumn id="42" name="TotalCost_MAD"/>
    <tableColumn id="43" name="Priority"/>
    <tableColumn id="44" name="Risk"/>
    <tableColumn id="45" name="POD(Yes/No)"/>
    <tableColumn id="46" name="ETA_Risk"/>
    <tableColumn id="47" name="Aging_Days"/>
  </tableColumns>
  <tableStyleInfo name="TableStyleMedium9" showRowStripes="1" showColumnStripes="0"/>
</table>
</file>

<file path=xl/tables/table3.xml><?xml version="1.0" encoding="utf-8"?>
<table xmlns="http://schemas.openxmlformats.org/spreadsheetml/2006/main" id="3" name="tblMilestones" displayName="tblMilestones" ref="A1:F7" headerRowCount="1">
  <autoFilter ref="A1:F7"/>
  <tableColumns count="6">
    <tableColumn id="1" name="ShipmentID"/>
    <tableColumn id="2" name="Milestone"/>
    <tableColumn id="3" name="DateTime"/>
    <tableColumn id="4" name="Location"/>
    <tableColumn id="5" name="Proof(Ref/Scan)"/>
    <tableColumn id="6" name="Remarks"/>
  </tableColumns>
  <tableStyleInfo name="TableStyleMedium9" showRowStripes="1" showColumnStripes="0"/>
</table>
</file>

<file path=xl/tables/table4.xml><?xml version="1.0" encoding="utf-8"?>
<table xmlns="http://schemas.openxmlformats.org/spreadsheetml/2006/main" id="4" name="tblIncidents" displayName="tblIncidents" ref="A1:J3" headerRowCount="1">
  <autoFilter ref="A1:J3"/>
  <tableColumns count="10">
    <tableColumn id="1" name="IncidentID"/>
    <tableColumn id="2" name="ShipmentID"/>
    <tableColumn id="3" name="Type"/>
    <tableColumn id="4" name="Severity"/>
    <tableColumn id="5" name="Status"/>
    <tableColumn id="6" name="DetectedOn"/>
    <tableColumn id="7" name="Owner"/>
    <tableColumn id="8" name="DueDate"/>
    <tableColumn id="9" name="CostImpact"/>
    <tableColumn id="10" name="Notes"/>
  </tableColumns>
  <tableStyleInfo name="TableStyleMedium9" showRowStripes="1" showColumnStripes="0"/>
</table>
</file>

<file path=xl/tables/table5.xml><?xml version="1.0" encoding="utf-8"?>
<table xmlns="http://schemas.openxmlformats.org/spreadsheetml/2006/main" id="5" name="tblCarriers" displayName="tblCarriers" ref="A1:G6" headerRowCount="1">
  <autoFilter ref="A1:G6"/>
  <tableColumns count="7">
    <tableColumn id="1" name="Carrier"/>
    <tableColumn id="2" name="Mode"/>
    <tableColumn id="3" name="Email"/>
    <tableColumn id="4" name="Phone"/>
    <tableColumn id="5" name="OnTimeRate(%)"/>
    <tableColumn id="6" name="ClaimsRate(%)"/>
    <tableColumn id="7" name="Notes"/>
  </tableColumns>
  <tableStyleInfo name="TableStyleMedium9" showRowStripes="1" showColumnStripes="0"/>
</table>
</file>

<file path=xl/tables/table6.xml><?xml version="1.0" encoding="utf-8"?>
<table xmlns="http://schemas.openxmlformats.org/spreadsheetml/2006/main" id="6" name="tblRates" displayName="tblRates" ref="A1:K4" headerRowCount="1">
  <autoFilter ref="A1:K4"/>
  <tableColumns count="11">
    <tableColumn id="1" name="Lane"/>
    <tableColumn id="2" name="Mode"/>
    <tableColumn id="3" name="Carrier"/>
    <tableColumn id="4" name="RateType(per_kg/per_shipment)"/>
    <tableColumn id="5" name="BaseRate"/>
    <tableColumn id="6" name="Fuel%"/>
    <tableColumn id="7" name="OtherCost"/>
    <tableColumn id="8" name="Currency"/>
    <tableColumn id="9" name="ValidFrom"/>
    <tableColumn id="10" name="ValidTo"/>
    <tableColumn id="11" name="Notes"/>
  </tableColumns>
  <tableStyleInfo name="TableStyleMedium9" showRowStripes="1" showColumnStripes="0"/>
</table>
</file>

<file path=xl/tables/table7.xml><?xml version="1.0" encoding="utf-8"?>
<table xmlns="http://schemas.openxmlformats.org/spreadsheetml/2006/main" id="7" name="tblFX" displayName="tblFX" ref="A1:C5" headerRowCount="1">
  <autoFilter ref="A1:C5"/>
  <tableColumns count="3">
    <tableColumn id="1" name="None"/>
    <tableColumn id="2" name="None"/>
    <tableColumn id="3" name="None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8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10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selection activeCell="A1" sqref="A1"/>
    </sheetView>
  </sheetViews>
  <sheetFormatPr baseColWidth="8" defaultRowHeight="15"/>
  <cols>
    <col width="20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</cols>
  <sheetData>
    <row r="1">
      <c r="A1" s="1" t="inlineStr">
        <is>
          <t>Liste</t>
        </is>
      </c>
      <c r="B1" s="1" t="inlineStr">
        <is>
          <t>Valeur1</t>
        </is>
      </c>
      <c r="C1" s="1" t="inlineStr">
        <is>
          <t>Valeur2</t>
        </is>
      </c>
      <c r="D1" s="1" t="inlineStr">
        <is>
          <t>Valeur3</t>
        </is>
      </c>
      <c r="E1" s="1" t="inlineStr">
        <is>
          <t>Valeur4</t>
        </is>
      </c>
      <c r="F1" s="1" t="inlineStr">
        <is>
          <t>Valeur5</t>
        </is>
      </c>
      <c r="G1" s="1" t="inlineStr">
        <is>
          <t>Valeur6</t>
        </is>
      </c>
      <c r="H1" s="1" t="inlineStr">
        <is>
          <t>Valeur7</t>
        </is>
      </c>
      <c r="I1" s="1" t="inlineStr">
        <is>
          <t>Valeur8</t>
        </is>
      </c>
      <c r="J1" s="1" t="inlineStr">
        <is>
          <t>Valeur9</t>
        </is>
      </c>
      <c r="K1" s="1" t="inlineStr">
        <is>
          <t>Valeur10</t>
        </is>
      </c>
    </row>
    <row r="2">
      <c r="A2" s="2" t="inlineStr">
        <is>
          <t>Mode</t>
        </is>
      </c>
      <c r="B2" s="2" t="inlineStr">
        <is>
          <t>Route</t>
        </is>
      </c>
      <c r="C2" s="2" t="inlineStr">
        <is>
          <t>Air</t>
        </is>
      </c>
      <c r="D2" s="2" t="inlineStr">
        <is>
          <t>Mer</t>
        </is>
      </c>
      <c r="E2" s="2" t="inlineStr">
        <is>
          <t>Rail</t>
        </is>
      </c>
      <c r="F2" s="2" t="n"/>
      <c r="G2" s="2" t="n"/>
      <c r="H2" s="2" t="n"/>
      <c r="I2" s="2" t="n"/>
      <c r="J2" s="2" t="n"/>
      <c r="K2" s="2" t="n"/>
    </row>
    <row r="3">
      <c r="A3" s="2" t="inlineStr">
        <is>
          <t>Incoterm</t>
        </is>
      </c>
      <c r="B3" s="2" t="inlineStr">
        <is>
          <t>EXW</t>
        </is>
      </c>
      <c r="C3" s="2" t="inlineStr">
        <is>
          <t>FCA</t>
        </is>
      </c>
      <c r="D3" s="2" t="inlineStr">
        <is>
          <t>CPT</t>
        </is>
      </c>
      <c r="E3" s="2" t="inlineStr">
        <is>
          <t>CIP</t>
        </is>
      </c>
      <c r="F3" s="2" t="inlineStr">
        <is>
          <t>DAP</t>
        </is>
      </c>
      <c r="G3" s="2" t="inlineStr">
        <is>
          <t>DDP</t>
        </is>
      </c>
      <c r="H3" s="2" t="inlineStr">
        <is>
          <t>FOB</t>
        </is>
      </c>
      <c r="I3" s="2" t="inlineStr">
        <is>
          <t>CFR</t>
        </is>
      </c>
      <c r="J3" s="2" t="inlineStr">
        <is>
          <t>CIF</t>
        </is>
      </c>
      <c r="K3" s="2" t="n"/>
    </row>
    <row r="4">
      <c r="A4" s="2" t="inlineStr">
        <is>
          <t>Status</t>
        </is>
      </c>
      <c r="B4" s="2" t="inlineStr">
        <is>
          <t>Planned</t>
        </is>
      </c>
      <c r="C4" s="2" t="inlineStr">
        <is>
          <t>Booked</t>
        </is>
      </c>
      <c r="D4" s="2" t="inlineStr">
        <is>
          <t>Gate-Out</t>
        </is>
      </c>
      <c r="E4" s="2" t="inlineStr">
        <is>
          <t>In-Transit</t>
        </is>
      </c>
      <c r="F4" s="2" t="inlineStr">
        <is>
          <t>Arrival-Hub</t>
        </is>
      </c>
      <c r="G4" s="2" t="inlineStr">
        <is>
          <t>Customs-Cleared</t>
        </is>
      </c>
      <c r="H4" s="2" t="inlineStr">
        <is>
          <t>Out-for-Delivery</t>
        </is>
      </c>
      <c r="I4" s="2" t="inlineStr">
        <is>
          <t>Delivered</t>
        </is>
      </c>
      <c r="J4" s="2" t="inlineStr">
        <is>
          <t>On-Hold</t>
        </is>
      </c>
      <c r="K4" s="2" t="inlineStr">
        <is>
          <t>Canceled</t>
        </is>
      </c>
    </row>
    <row r="5">
      <c r="A5" s="2" t="inlineStr">
        <is>
          <t>Milestone</t>
        </is>
      </c>
      <c r="B5" s="2" t="inlineStr">
        <is>
          <t>PICKED</t>
        </is>
      </c>
      <c r="C5" s="2" t="inlineStr">
        <is>
          <t>DEPART_ORIGIN</t>
        </is>
      </c>
      <c r="D5" s="2" t="inlineStr">
        <is>
          <t>ARRIVE_HUB</t>
        </is>
      </c>
      <c r="E5" s="2" t="inlineStr">
        <is>
          <t>DEPART_HUB</t>
        </is>
      </c>
      <c r="F5" s="2" t="inlineStr">
        <is>
          <t>CUSTOMS_CLR</t>
        </is>
      </c>
      <c r="G5" s="2" t="inlineStr">
        <is>
          <t>OUT_FOR_DEL</t>
        </is>
      </c>
      <c r="H5" s="2" t="inlineStr">
        <is>
          <t>DELIVERED</t>
        </is>
      </c>
      <c r="I5" s="2" t="n"/>
      <c r="J5" s="2" t="n"/>
      <c r="K5" s="2" t="n"/>
    </row>
    <row r="6">
      <c r="A6" s="2" t="inlineStr">
        <is>
          <t>IncidentType</t>
        </is>
      </c>
      <c r="B6" s="2" t="inlineStr">
        <is>
          <t>retard</t>
        </is>
      </c>
      <c r="C6" s="2" t="inlineStr">
        <is>
          <t>avarie</t>
        </is>
      </c>
      <c r="D6" s="2" t="inlineStr">
        <is>
          <t>manquant</t>
        </is>
      </c>
      <c r="E6" s="2" t="inlineStr">
        <is>
          <t>douane</t>
        </is>
      </c>
      <c r="F6" s="2" t="inlineStr">
        <is>
          <t>adresse</t>
        </is>
      </c>
      <c r="G6" s="2" t="inlineStr">
        <is>
          <t>autre</t>
        </is>
      </c>
      <c r="H6" s="2" t="n"/>
      <c r="I6" s="2" t="n"/>
      <c r="J6" s="2" t="n"/>
      <c r="K6" s="2" t="n"/>
    </row>
    <row r="7">
      <c r="A7" s="2" t="inlineStr">
        <is>
          <t>Severity</t>
        </is>
      </c>
      <c r="B7" s="2" t="inlineStr">
        <is>
          <t>mineur</t>
        </is>
      </c>
      <c r="C7" s="2" t="inlineStr">
        <is>
          <t>majeur</t>
        </is>
      </c>
      <c r="D7" s="2" t="n"/>
      <c r="E7" s="2" t="n"/>
      <c r="F7" s="2" t="n"/>
      <c r="G7" s="2" t="n"/>
      <c r="H7" s="2" t="n"/>
      <c r="I7" s="2" t="n"/>
      <c r="J7" s="2" t="n"/>
      <c r="K7" s="2" t="n"/>
    </row>
    <row r="8">
      <c r="A8" s="2" t="inlineStr">
        <is>
          <t>IncidentStatus</t>
        </is>
      </c>
      <c r="B8" s="2" t="inlineStr">
        <is>
          <t>ouvert</t>
        </is>
      </c>
      <c r="C8" s="2" t="inlineStr">
        <is>
          <t>en cours</t>
        </is>
      </c>
      <c r="D8" s="2" t="inlineStr">
        <is>
          <t>clos</t>
        </is>
      </c>
      <c r="E8" s="2" t="n"/>
      <c r="F8" s="2" t="n"/>
      <c r="G8" s="2" t="n"/>
      <c r="H8" s="2" t="n"/>
      <c r="I8" s="2" t="n"/>
      <c r="J8" s="2" t="n"/>
      <c r="K8" s="2" t="n"/>
    </row>
    <row r="9">
      <c r="A9" s="2" t="inlineStr">
        <is>
          <t>ServiceLevel</t>
        </is>
      </c>
      <c r="B9" s="2" t="inlineStr">
        <is>
          <t>STANDARD</t>
        </is>
      </c>
      <c r="C9" s="2" t="inlineStr">
        <is>
          <t>EXPRESS</t>
        </is>
      </c>
      <c r="D9" s="2" t="inlineStr">
        <is>
          <t>NEXT-DAY</t>
        </is>
      </c>
      <c r="E9" s="2" t="n"/>
      <c r="F9" s="2" t="n"/>
      <c r="G9" s="2" t="n"/>
      <c r="H9" s="2" t="n"/>
      <c r="I9" s="2" t="n"/>
      <c r="J9" s="2" t="n"/>
      <c r="K9" s="2" t="n"/>
    </row>
    <row r="10">
      <c r="A10" s="2" t="inlineStr">
        <is>
          <t>Currency</t>
        </is>
      </c>
      <c r="B10" s="2" t="inlineStr">
        <is>
          <t>MAD</t>
        </is>
      </c>
      <c r="C10" s="2" t="inlineStr">
        <is>
          <t>EUR</t>
        </is>
      </c>
      <c r="D10" s="2" t="inlineStr">
        <is>
          <t>USD</t>
        </is>
      </c>
      <c r="E10" s="2" t="n"/>
      <c r="F10" s="2" t="n"/>
      <c r="G10" s="2" t="n"/>
      <c r="H10" s="2" t="n"/>
      <c r="I10" s="2" t="n"/>
      <c r="J10" s="2" t="n"/>
      <c r="K10" s="2" t="n"/>
    </row>
    <row r="11">
      <c r="A11" s="2" t="inlineStr">
        <is>
          <t>Carrier</t>
        </is>
      </c>
      <c r="B11" s="2" t="inlineStr">
        <is>
          <t>FastRoad</t>
        </is>
      </c>
      <c r="C11" s="2" t="inlineStr">
        <is>
          <t>SkyLift</t>
        </is>
      </c>
      <c r="D11" s="2" t="inlineStr">
        <is>
          <t>MASea</t>
        </is>
      </c>
      <c r="E11" s="2" t="inlineStr">
        <is>
          <t>RailLink</t>
        </is>
      </c>
      <c r="F11" s="2" t="inlineStr">
        <is>
          <t>Interne</t>
        </is>
      </c>
      <c r="G11" s="2" t="n"/>
      <c r="H11" s="2" t="n"/>
      <c r="I11" s="2" t="n"/>
      <c r="J11" s="2" t="n"/>
      <c r="K11" s="2" t="n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U9"/>
  <sheetViews>
    <sheetView workbookViewId="0">
      <selection activeCell="A1" sqref="A1"/>
    </sheetView>
  </sheetViews>
  <sheetFormatPr baseColWidth="8" defaultRowHeight="15"/>
  <cols>
    <col width="18" customWidth="1" min="1" max="1"/>
    <col width="16" customWidth="1" min="2" max="2"/>
    <col width="20" customWidth="1" min="3" max="3"/>
    <col width="12" customWidth="1" min="4" max="4"/>
    <col width="12" customWidth="1" min="5" max="5"/>
    <col width="16" customWidth="1" min="6" max="6"/>
    <col width="10" customWidth="1" min="7" max="7"/>
    <col width="10" customWidth="1" min="8" max="8"/>
    <col width="16" customWidth="1" min="9" max="9"/>
    <col width="14" customWidth="1" min="10" max="10"/>
    <col width="16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12" customWidth="1" min="18" max="18"/>
    <col width="14" customWidth="1" min="19" max="19"/>
    <col width="26" customWidth="1" min="20" max="20"/>
    <col width="12" customWidth="1" min="21" max="21"/>
    <col width="12" customWidth="1" min="22" max="22"/>
    <col width="10" customWidth="1" min="23" max="23"/>
    <col width="12" customWidth="1" min="24" max="24"/>
    <col width="14" customWidth="1" min="25" max="25"/>
    <col width="12" customWidth="1" min="26" max="26"/>
    <col width="10" customWidth="1" min="27" max="27"/>
    <col width="12" customWidth="1" min="28" max="28"/>
    <col width="8" customWidth="1" min="29" max="29"/>
    <col width="8" customWidth="1" min="30" max="30"/>
    <col width="12" customWidth="1" min="31" max="31"/>
    <col width="12" customWidth="1" min="32" max="32"/>
    <col width="12" customWidth="1" min="33" max="33"/>
    <col width="12" customWidth="1" min="34" max="34"/>
    <col width="12" customWidth="1" min="35" max="35"/>
    <col width="12" customWidth="1" min="36" max="36"/>
    <col width="12" customWidth="1" min="37" max="37"/>
    <col width="14" customWidth="1" min="38" max="38"/>
    <col width="10" customWidth="1" min="39" max="39"/>
    <col width="10" customWidth="1" min="40" max="40"/>
    <col width="12" customWidth="1" min="41" max="41"/>
    <col width="12" customWidth="1" min="42" max="42"/>
    <col width="12" customWidth="1" min="43" max="43"/>
  </cols>
  <sheetData>
    <row r="1">
      <c r="A1" s="3" t="inlineStr">
        <is>
          <t>ShipmentID</t>
        </is>
      </c>
      <c r="B1" s="3" t="inlineStr">
        <is>
          <t>OrderID</t>
        </is>
      </c>
      <c r="C1" s="3" t="inlineStr">
        <is>
          <t>Client</t>
        </is>
      </c>
      <c r="D1" s="3" t="inlineStr">
        <is>
          <t>Orig_UNLOC</t>
        </is>
      </c>
      <c r="E1" s="3" t="inlineStr">
        <is>
          <t>Dest_UNLOC</t>
        </is>
      </c>
      <c r="F1" s="3" t="inlineStr">
        <is>
          <t>Lane</t>
        </is>
      </c>
      <c r="G1" s="3" t="inlineStr">
        <is>
          <t>Mode</t>
        </is>
      </c>
      <c r="H1" s="3" t="inlineStr">
        <is>
          <t>Incoterm</t>
        </is>
      </c>
      <c r="I1" s="3" t="inlineStr">
        <is>
          <t>Carrier</t>
        </is>
      </c>
      <c r="J1" s="3" t="inlineStr">
        <is>
          <t>ServiceLevel</t>
        </is>
      </c>
      <c r="K1" s="3" t="inlineStr">
        <is>
          <t>BookingRef</t>
        </is>
      </c>
      <c r="L1" s="3" t="inlineStr">
        <is>
          <t>Pickup_Promise</t>
        </is>
      </c>
      <c r="M1" s="3" t="inlineStr">
        <is>
          <t>Delivery_Promise_Start</t>
        </is>
      </c>
      <c r="N1" s="3" t="inlineStr">
        <is>
          <t>Delivery_Promise_End</t>
        </is>
      </c>
      <c r="O1" s="3" t="inlineStr">
        <is>
          <t>Pickup_Actual</t>
        </is>
      </c>
      <c r="P1" s="3" t="inlineStr">
        <is>
          <t>Delivery_Actual</t>
        </is>
      </c>
      <c r="Q1" s="3" t="inlineStr">
        <is>
          <t>ETA_Current</t>
        </is>
      </c>
      <c r="R1" s="3" t="inlineStr">
        <is>
          <t>DeliveredFull(Yes/No)</t>
        </is>
      </c>
      <c r="S1" s="3" t="inlineStr">
        <is>
          <t>Status</t>
        </is>
      </c>
      <c r="T1" s="3" t="inlineStr">
        <is>
          <t>TrackingURL</t>
        </is>
      </c>
      <c r="U1" s="3" t="inlineStr">
        <is>
          <t>Weight_kg</t>
        </is>
      </c>
      <c r="V1" s="3" t="inlineStr">
        <is>
          <t>Volume_m3</t>
        </is>
      </c>
      <c r="W1" s="3" t="inlineStr">
        <is>
          <t>Units</t>
        </is>
      </c>
      <c r="X1" s="3" t="inlineStr">
        <is>
          <t>BaseCost</t>
        </is>
      </c>
      <c r="Y1" s="3" t="inlineStr">
        <is>
          <t>FuelSurcharge%</t>
        </is>
      </c>
      <c r="Z1" s="3" t="inlineStr">
        <is>
          <t>OtherCost</t>
        </is>
      </c>
      <c r="AA1" s="3" t="inlineStr">
        <is>
          <t>Currency</t>
        </is>
      </c>
      <c r="AB1" s="3" t="inlineStr">
        <is>
          <t>TotalCost</t>
        </is>
      </c>
      <c r="AC1" s="3" t="inlineStr">
        <is>
          <t>OTIF</t>
        </is>
      </c>
      <c r="AD1" s="3" t="inlineStr">
        <is>
          <t>DIFOT</t>
        </is>
      </c>
      <c r="AE1" s="3" t="inlineStr">
        <is>
          <t>TransitDays</t>
        </is>
      </c>
      <c r="AF1" s="3" t="inlineStr">
        <is>
          <t>DelayHours</t>
        </is>
      </c>
      <c r="AG1" s="3" t="inlineStr">
        <is>
          <t>SLA_Breach(O/N)</t>
        </is>
      </c>
      <c r="AH1" s="3" t="inlineStr">
        <is>
          <t>LateBucket</t>
        </is>
      </c>
      <c r="AI1" t="inlineStr">
        <is>
          <t>RateType</t>
        </is>
      </c>
      <c r="AJ1" t="inlineStr">
        <is>
          <t>RateBase</t>
        </is>
      </c>
      <c r="AK1" t="inlineStr">
        <is>
          <t>RateFuel%</t>
        </is>
      </c>
      <c r="AL1" t="inlineStr">
        <is>
          <t>RateOther</t>
        </is>
      </c>
      <c r="AM1" t="inlineStr">
        <is>
          <t>RateCurrency</t>
        </is>
      </c>
      <c r="AN1" t="inlineStr">
        <is>
          <t>AutoTotalCost</t>
        </is>
      </c>
      <c r="AO1" t="inlineStr">
        <is>
          <t>FX_ToMAD</t>
        </is>
      </c>
      <c r="AP1" t="inlineStr">
        <is>
          <t>TotalCost_MAD</t>
        </is>
      </c>
      <c r="AQ1" t="inlineStr">
        <is>
          <t>Priority</t>
        </is>
      </c>
      <c r="AR1" t="inlineStr">
        <is>
          <t>Risk</t>
        </is>
      </c>
      <c r="AS1" t="inlineStr">
        <is>
          <t>POD(Yes/No)</t>
        </is>
      </c>
      <c r="AT1" t="inlineStr">
        <is>
          <t>ETA_Risk</t>
        </is>
      </c>
      <c r="AU1" t="inlineStr">
        <is>
          <t>Aging_Days</t>
        </is>
      </c>
    </row>
    <row r="2">
      <c r="A2" t="inlineStr">
        <is>
          <t>EXP-250920-001</t>
        </is>
      </c>
      <c r="B2" t="inlineStr">
        <is>
          <t>ORD-7711</t>
        </is>
      </c>
      <c r="C2" t="inlineStr">
        <is>
          <t>Helios</t>
        </is>
      </c>
      <c r="D2" t="inlineStr">
        <is>
          <t>CASAB</t>
        </is>
      </c>
      <c r="E2" t="inlineStr">
        <is>
          <t>MARRA</t>
        </is>
      </c>
      <c r="F2">
        <f>D2&amp;"→"&amp;E2</f>
        <v/>
      </c>
      <c r="G2" t="inlineStr">
        <is>
          <t>Route</t>
        </is>
      </c>
      <c r="H2" t="inlineStr">
        <is>
          <t>DAP</t>
        </is>
      </c>
      <c r="I2" t="inlineStr">
        <is>
          <t>FastRoad</t>
        </is>
      </c>
      <c r="J2" t="inlineStr">
        <is>
          <t>STANDARD</t>
        </is>
      </c>
      <c r="K2" t="inlineStr">
        <is>
          <t>BRK-1001</t>
        </is>
      </c>
      <c r="L2" s="4" t="n">
        <v>45920.41666666666</v>
      </c>
      <c r="M2" s="4" t="n">
        <v>45921.91666666666</v>
      </c>
      <c r="N2" s="4" t="n">
        <v>45922.16666666666</v>
      </c>
      <c r="O2" s="4" t="n">
        <v>45920.41666666666</v>
      </c>
      <c r="P2" s="4" t="n">
        <v>45922.08333333334</v>
      </c>
      <c r="Q2" s="4" t="n">
        <v>45922.08333333334</v>
      </c>
      <c r="R2" t="inlineStr">
        <is>
          <t>Yes</t>
        </is>
      </c>
      <c r="S2" t="inlineStr">
        <is>
          <t>Delivered</t>
        </is>
      </c>
      <c r="U2" t="n">
        <v>1200</v>
      </c>
      <c r="V2" t="n">
        <v>3.2</v>
      </c>
      <c r="W2" t="n">
        <v>48</v>
      </c>
      <c r="X2" t="n">
        <v>1200</v>
      </c>
      <c r="Y2" t="n">
        <v>8</v>
      </c>
      <c r="Z2" t="n">
        <v>40</v>
      </c>
      <c r="AA2">
        <f>IF(AND(LEN(X2)&gt;0,LEN(Y2)&gt;0), X2*(1+Y2/100)+Z2, IF(LEN(X2)&gt;0, X2+Z2, ""))</f>
        <v/>
      </c>
      <c r="AC2">
        <f>IF(AND(R2="Yes", LEN(P2)&gt;0, LEN(M2)&gt;0, LEN(N2)&gt;0, P2&gt;=M2, P2&lt;=N2),1,0)</f>
        <v/>
      </c>
      <c r="AD2">
        <f>AC2</f>
        <v/>
      </c>
      <c r="AE2">
        <f>IF(AND(LEN(P2)&gt;0, LEN(O2)&gt;0), P2-O2, IF(AND(LEN(Q2)&gt;0, LEN(O2)&gt;0), Q2-O2, ""))</f>
        <v/>
      </c>
      <c r="AF2">
        <f>IF(AND(LEN(P2)&gt;0, LEN(N2)&gt;0, P2&gt;N2), (P2-N2)*24, IF(AND(LEN(Q2)&gt;0, LEN(N2)&gt;0, Q2&gt;N2), (Q2-N2)*24, 0))</f>
        <v/>
      </c>
      <c r="AG2">
        <f>IF(AE2&gt;0,"O","N")</f>
        <v/>
      </c>
      <c r="AH2">
        <f>IF(AC2=1,"OK", IF(AE2&lt;=0,"OK", IF(AE2&lt;=6,"0–6h", IF(AE2&lt;=24,"6–24h","&gt;24h"))))</f>
        <v/>
      </c>
      <c r="AI2">
        <f>XLOOKUP($F2&amp;$G2&amp;$I2, Rates!$A$2:$A$2000&amp;Rates!$B$2:$B$2000&amp;Rates!$C$2:$C$2000, Rates!$D$2:$D$2000, "")</f>
        <v/>
      </c>
      <c r="AJ2">
        <f>XLOOKUP($F2&amp;$G2&amp;$I2, Rates!$A$2:$A$2000&amp;Rates!$B$2:$B$2000&amp;Rates!$C$2:$C$2000, Rates!$E$2:$E$2000, "")</f>
        <v/>
      </c>
      <c r="AK2">
        <f>XLOOKUP($F2&amp;$G2&amp;$I2, Rates!$A$2:$A$2000&amp;Rates!$B$2:$B$2000&amp;Rates!$C$2:$C$2000, Rates!$F$2:$F$2000, "")</f>
        <v/>
      </c>
      <c r="AL2">
        <f>XLOOKUP($F2&amp;$G2&amp;$I2, Rates!$A$2:$A$2000&amp;Rates!$B$2:$B$2000&amp;Rates!$C$2:$C$2000, Rates!$G$2:$G$2000, "")</f>
        <v/>
      </c>
      <c r="AM2">
        <f>XLOOKUP($F2&amp;$G2&amp;$I2, Rates!$A$2:$A$2000&amp;Rates!$B$2:$B$2000&amp;Rates!$C$2:$C$2000, Rates!$H$2:$H$2000, "")</f>
        <v/>
      </c>
      <c r="AN2">
        <f>IF(LEN($X2)&gt;0, $X2*(1+$Y2/100)+$Z2, IF($AI2="per_kg", $U2*$AJ2*(1+$AK2/100)+$AL2, IF(LEN($AJ2)&gt;0, $AJ2*(1+$AK2/100)+$AL2, "")))</f>
        <v/>
      </c>
      <c r="AO2">
        <f>XLOOKUP(IF(LEN($X2)&gt;0,$AA2,$AM2), FX!$A$2:$A$10, FX!$B$2:$B$10, "")</f>
        <v/>
      </c>
      <c r="AP2">
        <f>IFERROR(IF(LEN($AN2)&gt;0, $AN2*$AO2, IF(LEN($AB2)&gt;0, $AB2*XLOOKUP($AA2,FX!$A$2:$A$10,FX!$B$2:$B$10,"")), ""), "")</f>
        <v/>
      </c>
      <c r="AR2">
        <f>IF($S2="On-Hold","HIGH", IF($AF2="O","HIGH", IF($AH2= "&gt;24h","HIGH", IF($AH2= "6–24h","MED","LOW"))))</f>
        <v/>
      </c>
      <c r="AT2">
        <f>IF(AND(LEN($Q2)&gt;0, LEN($N2)&gt;0, $Q2&gt;$N2, $S2&lt;&gt;"Delivered"), "ETA LATE", "")</f>
        <v/>
      </c>
      <c r="AU2">
        <f>IF($S2&lt;&gt;"Delivered", IF(LEN($O2)&gt;0, TODAY()-$O2, TODAY()-$L2), IF(AND(LEN($P2)&gt;0, LEN($O2)&gt;0), $P2-$O2, ""))</f>
        <v/>
      </c>
    </row>
    <row r="3">
      <c r="A3" t="inlineStr">
        <is>
          <t>EXP-250920-002</t>
        </is>
      </c>
      <c r="B3" t="inlineStr">
        <is>
          <t>ORD-7712</t>
        </is>
      </c>
      <c r="C3" t="inlineStr">
        <is>
          <t>Epsilon</t>
        </is>
      </c>
      <c r="D3" t="inlineStr">
        <is>
          <t>CASAB</t>
        </is>
      </c>
      <c r="E3" t="inlineStr">
        <is>
          <t>CDGPA</t>
        </is>
      </c>
      <c r="F3">
        <f>D3&amp;"→"&amp;E3</f>
        <v/>
      </c>
      <c r="G3" t="inlineStr">
        <is>
          <t>Air</t>
        </is>
      </c>
      <c r="H3" t="inlineStr">
        <is>
          <t>CIP</t>
        </is>
      </c>
      <c r="I3" t="inlineStr">
        <is>
          <t>SkyLift</t>
        </is>
      </c>
      <c r="J3" t="inlineStr">
        <is>
          <t>EXPRESS</t>
        </is>
      </c>
      <c r="K3" t="inlineStr">
        <is>
          <t>AWB-8899</t>
        </is>
      </c>
      <c r="L3" s="4" t="n">
        <v>45920.41666666666</v>
      </c>
      <c r="M3" s="4" t="n">
        <v>45922.91666666666</v>
      </c>
      <c r="N3" s="4" t="n">
        <v>45923.25</v>
      </c>
      <c r="O3" s="4" t="n">
        <v>45920.66666666666</v>
      </c>
      <c r="P3" s="4" t="n">
        <v>45923.375</v>
      </c>
      <c r="Q3" s="4" t="n">
        <v>45923.375</v>
      </c>
      <c r="R3" t="inlineStr">
        <is>
          <t>No</t>
        </is>
      </c>
      <c r="S3" t="inlineStr">
        <is>
          <t>Delivered</t>
        </is>
      </c>
      <c r="U3" t="n">
        <v>320</v>
      </c>
      <c r="V3" t="n">
        <v>1</v>
      </c>
      <c r="W3" t="n">
        <v>12</v>
      </c>
      <c r="X3" t="n">
        <v>4700</v>
      </c>
      <c r="Y3" t="n">
        <v>15</v>
      </c>
      <c r="Z3" t="n">
        <v>60</v>
      </c>
      <c r="AA3">
        <f>IF(AND(LEN(X3)&gt;0,LEN(Y3)&gt;0), X3*(1+Y3/100)+Z3, IF(LEN(X3)&gt;0, X3+Z3, ""))</f>
        <v/>
      </c>
      <c r="AC3">
        <f>IF(AND(R3="Yes", LEN(P3)&gt;0, LEN(M3)&gt;0, LEN(N3)&gt;0, P3&gt;=M3, P3&lt;=N3),1,0)</f>
        <v/>
      </c>
      <c r="AD3">
        <f>AC3</f>
        <v/>
      </c>
      <c r="AE3">
        <f>IF(AND(LEN(P3)&gt;0, LEN(O3)&gt;0), P3-O3, IF(AND(LEN(Q3)&gt;0, LEN(O3)&gt;0), Q3-O3, ""))</f>
        <v/>
      </c>
      <c r="AF3">
        <f>IF(AND(LEN(P3)&gt;0, LEN(N3)&gt;0, P3&gt;N3), (P3-N3)*24, IF(AND(LEN(Q3)&gt;0, LEN(N3)&gt;0, Q3&gt;N3), (Q3-N3)*24, 0))</f>
        <v/>
      </c>
      <c r="AG3">
        <f>IF(AE3&gt;0,"O","N")</f>
        <v/>
      </c>
      <c r="AH3">
        <f>IF(AC3=1,"OK", IF(AE3&lt;=0,"OK", IF(AE3&lt;=6,"0–6h", IF(AE3&lt;=24,"6–24h","&gt;24h"))))</f>
        <v/>
      </c>
      <c r="AI3">
        <f>XLOOKUP($F3&amp;$G3&amp;$I3, Rates!$A$2:$A$2000&amp;Rates!$B$2:$B$2000&amp;Rates!$C$2:$C$2000, Rates!$D$2:$D$2000, "")</f>
        <v/>
      </c>
      <c r="AJ3">
        <f>XLOOKUP($F3&amp;$G3&amp;$I3, Rates!$A$2:$A$2000&amp;Rates!$B$2:$B$2000&amp;Rates!$C$2:$C$2000, Rates!$E$2:$E$2000, "")</f>
        <v/>
      </c>
      <c r="AK3">
        <f>XLOOKUP($F3&amp;$G3&amp;$I3, Rates!$A$2:$A$2000&amp;Rates!$B$2:$B$2000&amp;Rates!$C$2:$C$2000, Rates!$F$2:$F$2000, "")</f>
        <v/>
      </c>
      <c r="AL3">
        <f>XLOOKUP($F3&amp;$G3&amp;$I3, Rates!$A$2:$A$2000&amp;Rates!$B$2:$B$2000&amp;Rates!$C$2:$C$2000, Rates!$G$2:$G$2000, "")</f>
        <v/>
      </c>
      <c r="AM3">
        <f>XLOOKUP($F3&amp;$G3&amp;$I3, Rates!$A$2:$A$2000&amp;Rates!$B$2:$B$2000&amp;Rates!$C$2:$C$2000, Rates!$H$2:$H$2000, "")</f>
        <v/>
      </c>
      <c r="AN3">
        <f>IF(LEN($X3)&gt;0, $X3*(1+$Y3/100)+$Z3, IF($AI3="per_kg", $U3*$AJ3*(1+$AK3/100)+$AL3, IF(LEN($AJ3)&gt;0, $AJ3*(1+$AK3/100)+$AL3, "")))</f>
        <v/>
      </c>
      <c r="AO3">
        <f>XLOOKUP(IF(LEN($X3)&gt;0,$AA3,$AM3), FX!$A$2:$A$10, FX!$B$2:$B$10, "")</f>
        <v/>
      </c>
      <c r="AP3">
        <f>IFERROR(IF(LEN($AN3)&gt;0, $AN3*$AO3, IF(LEN($AB3)&gt;0, $AB3*XLOOKUP($AA3,FX!$A$2:$A$10,FX!$B$2:$B$10,"")), ""), "")</f>
        <v/>
      </c>
      <c r="AR3">
        <f>IF($S3="On-Hold","HIGH", IF($AF3="O","HIGH", IF($AH3= "&gt;24h","HIGH", IF($AH3= "6–24h","MED","LOW"))))</f>
        <v/>
      </c>
      <c r="AT3">
        <f>IF(AND(LEN($Q3)&gt;0, LEN($N3)&gt;0, $Q3&gt;$N3, $S3&lt;&gt;"Delivered"), "ETA LATE", "")</f>
        <v/>
      </c>
      <c r="AU3">
        <f>IF($S3&lt;&gt;"Delivered", IF(LEN($O3)&gt;0, TODAY()-$O3, TODAY()-$L3), IF(AND(LEN($P3)&gt;0, LEN($O3)&gt;0), $P3-$O3, ""))</f>
        <v/>
      </c>
    </row>
    <row r="4">
      <c r="A4" t="inlineStr">
        <is>
          <t>EXP-250918-003</t>
        </is>
      </c>
      <c r="B4" t="inlineStr">
        <is>
          <t>ORD-6620</t>
        </is>
      </c>
      <c r="C4" t="inlineStr">
        <is>
          <t>GreenGrid</t>
        </is>
      </c>
      <c r="D4" t="inlineStr">
        <is>
          <t>TNGPT</t>
        </is>
      </c>
      <c r="E4" t="inlineStr">
        <is>
          <t>RTMDK</t>
        </is>
      </c>
      <c r="F4">
        <f>D4&amp;"→"&amp;E4</f>
        <v/>
      </c>
      <c r="G4" t="inlineStr">
        <is>
          <t>Mer</t>
        </is>
      </c>
      <c r="H4" t="inlineStr">
        <is>
          <t>DAP</t>
        </is>
      </c>
      <c r="I4" t="inlineStr">
        <is>
          <t>MASea</t>
        </is>
      </c>
      <c r="J4" t="inlineStr">
        <is>
          <t>STANDARD</t>
        </is>
      </c>
      <c r="K4" t="inlineStr">
        <is>
          <t>MBL-5511</t>
        </is>
      </c>
      <c r="L4" s="4" t="n">
        <v>45918.41666666666</v>
      </c>
      <c r="M4" s="4" t="n">
        <v>45928.41666666666</v>
      </c>
      <c r="N4" s="4" t="n">
        <v>45928.91666666666</v>
      </c>
      <c r="O4" s="4" t="n">
        <v>45919.41666666666</v>
      </c>
      <c r="P4" s="4" t="n">
        <v>45928.83333333334</v>
      </c>
      <c r="Q4" s="4" t="n">
        <v>45928.83333333334</v>
      </c>
      <c r="R4" t="inlineStr">
        <is>
          <t>Yes</t>
        </is>
      </c>
      <c r="S4" t="inlineStr">
        <is>
          <t>Delivered</t>
        </is>
      </c>
      <c r="U4" t="n">
        <v>5400</v>
      </c>
      <c r="V4" t="n">
        <v>28</v>
      </c>
      <c r="W4" t="n">
        <v>4</v>
      </c>
      <c r="X4" t="n">
        <v>1500</v>
      </c>
      <c r="Y4" t="n">
        <v>18</v>
      </c>
      <c r="Z4" t="n">
        <v>120</v>
      </c>
      <c r="AA4">
        <f>IF(AND(LEN(X4)&gt;0,LEN(Y4)&gt;0), X4*(1+Y4/100)+Z4, IF(LEN(X4)&gt;0, X4+Z4, ""))</f>
        <v/>
      </c>
      <c r="AC4">
        <f>IF(AND(R4="Yes", LEN(P4)&gt;0, LEN(M4)&gt;0, LEN(N4)&gt;0, P4&gt;=M4, P4&lt;=N4),1,0)</f>
        <v/>
      </c>
      <c r="AD4">
        <f>AC4</f>
        <v/>
      </c>
      <c r="AE4">
        <f>IF(AND(LEN(P4)&gt;0, LEN(O4)&gt;0), P4-O4, IF(AND(LEN(Q4)&gt;0, LEN(O4)&gt;0), Q4-O4, ""))</f>
        <v/>
      </c>
      <c r="AF4">
        <f>IF(AND(LEN(P4)&gt;0, LEN(N4)&gt;0, P4&gt;N4), (P4-N4)*24, IF(AND(LEN(Q4)&gt;0, LEN(N4)&gt;0, Q4&gt;N4), (Q4-N4)*24, 0))</f>
        <v/>
      </c>
      <c r="AG4">
        <f>IF(AE4&gt;0,"O","N")</f>
        <v/>
      </c>
      <c r="AH4">
        <f>IF(AC4=1,"OK", IF(AE4&lt;=0,"OK", IF(AE4&lt;=6,"0–6h", IF(AE4&lt;=24,"6–24h","&gt;24h"))))</f>
        <v/>
      </c>
      <c r="AI4">
        <f>XLOOKUP($F4&amp;$G4&amp;$I4, Rates!$A$2:$A$2000&amp;Rates!$B$2:$B$2000&amp;Rates!$C$2:$C$2000, Rates!$D$2:$D$2000, "")</f>
        <v/>
      </c>
      <c r="AJ4">
        <f>XLOOKUP($F4&amp;$G4&amp;$I4, Rates!$A$2:$A$2000&amp;Rates!$B$2:$B$2000&amp;Rates!$C$2:$C$2000, Rates!$E$2:$E$2000, "")</f>
        <v/>
      </c>
      <c r="AK4">
        <f>XLOOKUP($F4&amp;$G4&amp;$I4, Rates!$A$2:$A$2000&amp;Rates!$B$2:$B$2000&amp;Rates!$C$2:$C$2000, Rates!$F$2:$F$2000, "")</f>
        <v/>
      </c>
      <c r="AL4">
        <f>XLOOKUP($F4&amp;$G4&amp;$I4, Rates!$A$2:$A$2000&amp;Rates!$B$2:$B$2000&amp;Rates!$C$2:$C$2000, Rates!$G$2:$G$2000, "")</f>
        <v/>
      </c>
      <c r="AM4">
        <f>XLOOKUP($F4&amp;$G4&amp;$I4, Rates!$A$2:$A$2000&amp;Rates!$B$2:$B$2000&amp;Rates!$C$2:$C$2000, Rates!$H$2:$H$2000, "")</f>
        <v/>
      </c>
      <c r="AN4">
        <f>IF(LEN($X4)&gt;0, $X4*(1+$Y4/100)+$Z4, IF($AI4="per_kg", $U4*$AJ4*(1+$AK4/100)+$AL4, IF(LEN($AJ4)&gt;0, $AJ4*(1+$AK4/100)+$AL4, "")))</f>
        <v/>
      </c>
      <c r="AO4">
        <f>XLOOKUP(IF(LEN($X4)&gt;0,$AA4,$AM4), FX!$A$2:$A$10, FX!$B$2:$B$10, "")</f>
        <v/>
      </c>
      <c r="AP4">
        <f>IFERROR(IF(LEN($AN4)&gt;0, $AN4*$AO4, IF(LEN($AB4)&gt;0, $AB4*XLOOKUP($AA4,FX!$A$2:$A$10,FX!$B$2:$B$10,"")), ""), "")</f>
        <v/>
      </c>
      <c r="AR4">
        <f>IF($S4="On-Hold","HIGH", IF($AF4="O","HIGH", IF($AH4= "&gt;24h","HIGH", IF($AH4= "6–24h","MED","LOW"))))</f>
        <v/>
      </c>
      <c r="AT4">
        <f>IF(AND(LEN($Q4)&gt;0, LEN($N4)&gt;0, $Q4&gt;$N4, $S4&lt;&gt;"Delivered"), "ETA LATE", "")</f>
        <v/>
      </c>
      <c r="AU4">
        <f>IF($S4&lt;&gt;"Delivered", IF(LEN($O4)&gt;0, TODAY()-$O4, TODAY()-$L4), IF(AND(LEN($P4)&gt;0, LEN($O4)&gt;0), $P4-$O4, ""))</f>
        <v/>
      </c>
    </row>
    <row r="5">
      <c r="A5" t="inlineStr">
        <is>
          <t>EXP-250919-004</t>
        </is>
      </c>
      <c r="B5" t="inlineStr">
        <is>
          <t>ORD-8890</t>
        </is>
      </c>
      <c r="C5" t="inlineStr">
        <is>
          <t>Delta</t>
        </is>
      </c>
      <c r="D5" t="inlineStr">
        <is>
          <t>SETAT</t>
        </is>
      </c>
      <c r="E5" t="inlineStr">
        <is>
          <t>MARRA</t>
        </is>
      </c>
      <c r="F5">
        <f>D5&amp;"→"&amp;E5</f>
        <v/>
      </c>
      <c r="G5" t="inlineStr">
        <is>
          <t>Route</t>
        </is>
      </c>
      <c r="H5" t="inlineStr">
        <is>
          <t>DDP</t>
        </is>
      </c>
      <c r="I5" t="inlineStr">
        <is>
          <t>FastRoad</t>
        </is>
      </c>
      <c r="J5" t="inlineStr">
        <is>
          <t>NEXT-DAY</t>
        </is>
      </c>
      <c r="K5" t="inlineStr">
        <is>
          <t>BRK-1002</t>
        </is>
      </c>
      <c r="L5" s="4" t="n">
        <v>45919.41666666666</v>
      </c>
      <c r="M5" s="4" t="n">
        <v>45920.91666666666</v>
      </c>
      <c r="N5" s="4" t="n">
        <v>45921.08333333334</v>
      </c>
      <c r="O5" s="4" t="n">
        <v>45919.375</v>
      </c>
      <c r="P5" s="4" t="n">
        <v>45921.16666666666</v>
      </c>
      <c r="Q5" s="4" t="n">
        <v>45921.16666666666</v>
      </c>
      <c r="R5" t="inlineStr">
        <is>
          <t>No</t>
        </is>
      </c>
      <c r="S5" t="inlineStr">
        <is>
          <t>In-Transit</t>
        </is>
      </c>
      <c r="U5" t="n">
        <v>900</v>
      </c>
      <c r="V5" t="n">
        <v>2.1</v>
      </c>
      <c r="W5" t="n">
        <v>36</v>
      </c>
      <c r="X5" t="n">
        <v>900</v>
      </c>
      <c r="Y5" t="n">
        <v>8</v>
      </c>
      <c r="Z5" t="n">
        <v>30</v>
      </c>
      <c r="AA5">
        <f>IF(AND(LEN(X5)&gt;0,LEN(Y5)&gt;0), X5*(1+Y5/100)+Z5, IF(LEN(X5)&gt;0, X5+Z5, ""))</f>
        <v/>
      </c>
      <c r="AC5">
        <f>IF(AND(R5="Yes", LEN(P5)&gt;0, LEN(M5)&gt;0, LEN(N5)&gt;0, P5&gt;=M5, P5&lt;=N5),1,0)</f>
        <v/>
      </c>
      <c r="AD5">
        <f>AC5</f>
        <v/>
      </c>
      <c r="AE5">
        <f>IF(AND(LEN(P5)&gt;0, LEN(O5)&gt;0), P5-O5, IF(AND(LEN(Q5)&gt;0, LEN(O5)&gt;0), Q5-O5, ""))</f>
        <v/>
      </c>
      <c r="AF5">
        <f>IF(AND(LEN(P5)&gt;0, LEN(N5)&gt;0, P5&gt;N5), (P5-N5)*24, IF(AND(LEN(Q5)&gt;0, LEN(N5)&gt;0, Q5&gt;N5), (Q5-N5)*24, 0))</f>
        <v/>
      </c>
      <c r="AG5">
        <f>IF(AE5&gt;0,"O","N")</f>
        <v/>
      </c>
      <c r="AH5">
        <f>IF(AC5=1,"OK", IF(AE5&lt;=0,"OK", IF(AE5&lt;=6,"0–6h", IF(AE5&lt;=24,"6–24h","&gt;24h"))))</f>
        <v/>
      </c>
      <c r="AI5">
        <f>XLOOKUP($F5&amp;$G5&amp;$I5, Rates!$A$2:$A$2000&amp;Rates!$B$2:$B$2000&amp;Rates!$C$2:$C$2000, Rates!$D$2:$D$2000, "")</f>
        <v/>
      </c>
      <c r="AJ5">
        <f>XLOOKUP($F5&amp;$G5&amp;$I5, Rates!$A$2:$A$2000&amp;Rates!$B$2:$B$2000&amp;Rates!$C$2:$C$2000, Rates!$E$2:$E$2000, "")</f>
        <v/>
      </c>
      <c r="AK5">
        <f>XLOOKUP($F5&amp;$G5&amp;$I5, Rates!$A$2:$A$2000&amp;Rates!$B$2:$B$2000&amp;Rates!$C$2:$C$2000, Rates!$F$2:$F$2000, "")</f>
        <v/>
      </c>
      <c r="AL5">
        <f>XLOOKUP($F5&amp;$G5&amp;$I5, Rates!$A$2:$A$2000&amp;Rates!$B$2:$B$2000&amp;Rates!$C$2:$C$2000, Rates!$G$2:$G$2000, "")</f>
        <v/>
      </c>
      <c r="AM5">
        <f>XLOOKUP($F5&amp;$G5&amp;$I5, Rates!$A$2:$A$2000&amp;Rates!$B$2:$B$2000&amp;Rates!$C$2:$C$2000, Rates!$H$2:$H$2000, "")</f>
        <v/>
      </c>
      <c r="AN5">
        <f>IF(LEN($X5)&gt;0, $X5*(1+$Y5/100)+$Z5, IF($AI5="per_kg", $U5*$AJ5*(1+$AK5/100)+$AL5, IF(LEN($AJ5)&gt;0, $AJ5*(1+$AK5/100)+$AL5, "")))</f>
        <v/>
      </c>
      <c r="AO5">
        <f>XLOOKUP(IF(LEN($X5)&gt;0,$AA5,$AM5), FX!$A$2:$A$10, FX!$B$2:$B$10, "")</f>
        <v/>
      </c>
      <c r="AP5">
        <f>IFERROR(IF(LEN($AN5)&gt;0, $AN5*$AO5, IF(LEN($AB5)&gt;0, $AB5*XLOOKUP($AA5,FX!$A$2:$A$10,FX!$B$2:$B$10,"")), ""), "")</f>
        <v/>
      </c>
      <c r="AR5">
        <f>IF($S5="On-Hold","HIGH", IF($AF5="O","HIGH", IF($AH5= "&gt;24h","HIGH", IF($AH5= "6–24h","MED","LOW"))))</f>
        <v/>
      </c>
      <c r="AT5">
        <f>IF(AND(LEN($Q5)&gt;0, LEN($N5)&gt;0, $Q5&gt;$N5, $S5&lt;&gt;"Delivered"), "ETA LATE", "")</f>
        <v/>
      </c>
      <c r="AU5">
        <f>IF($S5&lt;&gt;"Delivered", IF(LEN($O5)&gt;0, TODAY()-$O5, TODAY()-$L5), IF(AND(LEN($P5)&gt;0, LEN($O5)&gt;0), $P5-$O5, ""))</f>
        <v/>
      </c>
    </row>
    <row r="6">
      <c r="A6" t="inlineStr">
        <is>
          <t>EXP-250915-005</t>
        </is>
      </c>
      <c r="B6" t="inlineStr">
        <is>
          <t>ORD-2201</t>
        </is>
      </c>
      <c r="C6" t="inlineStr">
        <is>
          <t>Ferro</t>
        </is>
      </c>
      <c r="D6" t="inlineStr">
        <is>
          <t>RABAT</t>
        </is>
      </c>
      <c r="E6" t="inlineStr">
        <is>
          <t>TXLGE</t>
        </is>
      </c>
      <c r="F6">
        <f>D6&amp;"→"&amp;E6</f>
        <v/>
      </c>
      <c r="G6" t="inlineStr">
        <is>
          <t>Air</t>
        </is>
      </c>
      <c r="H6" t="inlineStr">
        <is>
          <t>CIP</t>
        </is>
      </c>
      <c r="I6" t="inlineStr">
        <is>
          <t>SkyLift</t>
        </is>
      </c>
      <c r="J6" t="inlineStr">
        <is>
          <t>EXPRESS</t>
        </is>
      </c>
      <c r="K6" t="inlineStr">
        <is>
          <t>AWB-1122</t>
        </is>
      </c>
      <c r="L6" s="4" t="n">
        <v>45915.41666666666</v>
      </c>
      <c r="M6" s="4" t="n">
        <v>45921.41666666666</v>
      </c>
      <c r="N6" s="4" t="n">
        <v>45921.91666666666</v>
      </c>
      <c r="O6" s="4" t="n">
        <v>45916.16666666666</v>
      </c>
      <c r="Q6" s="4" t="n">
        <v>45921.83333333334</v>
      </c>
      <c r="S6" t="inlineStr">
        <is>
          <t>Booked</t>
        </is>
      </c>
      <c r="U6" t="n">
        <v>220</v>
      </c>
      <c r="V6" t="n">
        <v>0.6</v>
      </c>
      <c r="W6" t="n">
        <v>8</v>
      </c>
      <c r="X6" t="n">
        <v>3800</v>
      </c>
      <c r="Y6" t="n">
        <v>15</v>
      </c>
      <c r="Z6" t="n">
        <v>0</v>
      </c>
      <c r="AA6">
        <f>IF(AND(LEN(X6)&gt;0,LEN(Y6)&gt;0), X6*(1+Y6/100)+Z6, IF(LEN(X6)&gt;0, X6+Z6, ""))</f>
        <v/>
      </c>
      <c r="AC6">
        <f>IF(AND(R6="Yes", LEN(P6)&gt;0, LEN(M6)&gt;0, LEN(N6)&gt;0, P6&gt;=M6, P6&lt;=N6),1,0)</f>
        <v/>
      </c>
      <c r="AD6">
        <f>AC6</f>
        <v/>
      </c>
      <c r="AE6">
        <f>IF(AND(LEN(P6)&gt;0, LEN(O6)&gt;0), P6-O6, IF(AND(LEN(Q6)&gt;0, LEN(O6)&gt;0), Q6-O6, ""))</f>
        <v/>
      </c>
      <c r="AF6">
        <f>IF(AND(LEN(P6)&gt;0, LEN(N6)&gt;0, P6&gt;N6), (P6-N6)*24, IF(AND(LEN(Q6)&gt;0, LEN(N6)&gt;0, Q6&gt;N6), (Q6-N6)*24, 0))</f>
        <v/>
      </c>
      <c r="AG6">
        <f>IF(AE6&gt;0,"O","N")</f>
        <v/>
      </c>
      <c r="AH6">
        <f>IF(AC6=1,"OK", IF(AE6&lt;=0,"OK", IF(AE6&lt;=6,"0–6h", IF(AE6&lt;=24,"6–24h","&gt;24h"))))</f>
        <v/>
      </c>
      <c r="AI6">
        <f>XLOOKUP($F6&amp;$G6&amp;$I6, Rates!$A$2:$A$2000&amp;Rates!$B$2:$B$2000&amp;Rates!$C$2:$C$2000, Rates!$D$2:$D$2000, "")</f>
        <v/>
      </c>
      <c r="AJ6">
        <f>XLOOKUP($F6&amp;$G6&amp;$I6, Rates!$A$2:$A$2000&amp;Rates!$B$2:$B$2000&amp;Rates!$C$2:$C$2000, Rates!$E$2:$E$2000, "")</f>
        <v/>
      </c>
      <c r="AK6">
        <f>XLOOKUP($F6&amp;$G6&amp;$I6, Rates!$A$2:$A$2000&amp;Rates!$B$2:$B$2000&amp;Rates!$C$2:$C$2000, Rates!$F$2:$F$2000, "")</f>
        <v/>
      </c>
      <c r="AL6">
        <f>XLOOKUP($F6&amp;$G6&amp;$I6, Rates!$A$2:$A$2000&amp;Rates!$B$2:$B$2000&amp;Rates!$C$2:$C$2000, Rates!$G$2:$G$2000, "")</f>
        <v/>
      </c>
      <c r="AM6">
        <f>XLOOKUP($F6&amp;$G6&amp;$I6, Rates!$A$2:$A$2000&amp;Rates!$B$2:$B$2000&amp;Rates!$C$2:$C$2000, Rates!$H$2:$H$2000, "")</f>
        <v/>
      </c>
      <c r="AN6">
        <f>IF(LEN($X6)&gt;0, $X6*(1+$Y6/100)+$Z6, IF($AI6="per_kg", $U6*$AJ6*(1+$AK6/100)+$AL6, IF(LEN($AJ6)&gt;0, $AJ6*(1+$AK6/100)+$AL6, "")))</f>
        <v/>
      </c>
      <c r="AO6">
        <f>XLOOKUP(IF(LEN($X6)&gt;0,$AA6,$AM6), FX!$A$2:$A$10, FX!$B$2:$B$10, "")</f>
        <v/>
      </c>
      <c r="AP6">
        <f>IFERROR(IF(LEN($AN6)&gt;0, $AN6*$AO6, IF(LEN($AB6)&gt;0, $AB6*XLOOKUP($AA6,FX!$A$2:$A$10,FX!$B$2:$B$10,"")), ""), "")</f>
        <v/>
      </c>
      <c r="AR6">
        <f>IF($S6="On-Hold","HIGH", IF($AF6="O","HIGH", IF($AH6= "&gt;24h","HIGH", IF($AH6= "6–24h","MED","LOW"))))</f>
        <v/>
      </c>
      <c r="AT6">
        <f>IF(AND(LEN($Q6)&gt;0, LEN($N6)&gt;0, $Q6&gt;$N6, $S6&lt;&gt;"Delivered"), "ETA LATE", "")</f>
        <v/>
      </c>
      <c r="AU6">
        <f>IF($S6&lt;&gt;"Delivered", IF(LEN($O6)&gt;0, TODAY()-$O6, TODAY()-$L6), IF(AND(LEN($P6)&gt;0, LEN($O6)&gt;0), $P6-$O6, ""))</f>
        <v/>
      </c>
    </row>
    <row r="7">
      <c r="A7" t="inlineStr">
        <is>
          <t>EXP-250916-006</t>
        </is>
      </c>
      <c r="B7" t="inlineStr">
        <is>
          <t>ORD-3301</t>
        </is>
      </c>
      <c r="C7" t="inlineStr">
        <is>
          <t>Cobalt</t>
        </is>
      </c>
      <c r="D7" t="inlineStr">
        <is>
          <t>AGADR</t>
        </is>
      </c>
      <c r="E7" t="inlineStr">
        <is>
          <t>LHRGB</t>
        </is>
      </c>
      <c r="F7">
        <f>D7&amp;"→"&amp;E7</f>
        <v/>
      </c>
      <c r="G7" t="inlineStr">
        <is>
          <t>Air</t>
        </is>
      </c>
      <c r="H7" t="inlineStr">
        <is>
          <t>CIP</t>
        </is>
      </c>
      <c r="I7" t="inlineStr">
        <is>
          <t>SkyLift</t>
        </is>
      </c>
      <c r="J7" t="inlineStr">
        <is>
          <t>STANDARD</t>
        </is>
      </c>
      <c r="K7" t="inlineStr">
        <is>
          <t>AWB-7788</t>
        </is>
      </c>
      <c r="L7" s="4" t="n">
        <v>45916.41666666666</v>
      </c>
      <c r="M7" s="4" t="n">
        <v>45922.41666666666</v>
      </c>
      <c r="N7" s="4" t="n">
        <v>45922.66666666666</v>
      </c>
      <c r="O7" s="4" t="n">
        <v>45917.16666666666</v>
      </c>
      <c r="P7" s="4" t="n">
        <v>45922.41666666666</v>
      </c>
      <c r="Q7" s="4" t="n">
        <v>45922.41666666666</v>
      </c>
      <c r="R7" t="inlineStr">
        <is>
          <t>Yes</t>
        </is>
      </c>
      <c r="S7" t="inlineStr">
        <is>
          <t>Delivered</t>
        </is>
      </c>
      <c r="U7" t="n">
        <v>500</v>
      </c>
      <c r="V7" t="n">
        <v>1.5</v>
      </c>
      <c r="W7" t="n">
        <v>10</v>
      </c>
      <c r="X7" t="n">
        <v>4200</v>
      </c>
      <c r="Y7" t="n">
        <v>14</v>
      </c>
      <c r="Z7" t="n">
        <v>20</v>
      </c>
      <c r="AA7">
        <f>IF(AND(LEN(X7)&gt;0,LEN(Y7)&gt;0), X7*(1+Y7/100)+Z7, IF(LEN(X7)&gt;0, X7+Z7, ""))</f>
        <v/>
      </c>
      <c r="AC7">
        <f>IF(AND(R7="Yes", LEN(P7)&gt;0, LEN(M7)&gt;0, LEN(N7)&gt;0, P7&gt;=M7, P7&lt;=N7),1,0)</f>
        <v/>
      </c>
      <c r="AD7">
        <f>AC7</f>
        <v/>
      </c>
      <c r="AE7">
        <f>IF(AND(LEN(P7)&gt;0, LEN(O7)&gt;0), P7-O7, IF(AND(LEN(Q7)&gt;0, LEN(O7)&gt;0), Q7-O7, ""))</f>
        <v/>
      </c>
      <c r="AF7">
        <f>IF(AND(LEN(P7)&gt;0, LEN(N7)&gt;0, P7&gt;N7), (P7-N7)*24, IF(AND(LEN(Q7)&gt;0, LEN(N7)&gt;0, Q7&gt;N7), (Q7-N7)*24, 0))</f>
        <v/>
      </c>
      <c r="AG7">
        <f>IF(AE7&gt;0,"O","N")</f>
        <v/>
      </c>
      <c r="AH7">
        <f>IF(AC7=1,"OK", IF(AE7&lt;=0,"OK", IF(AE7&lt;=6,"0–6h", IF(AE7&lt;=24,"6–24h","&gt;24h"))))</f>
        <v/>
      </c>
      <c r="AI7">
        <f>XLOOKUP($F7&amp;$G7&amp;$I7, Rates!$A$2:$A$2000&amp;Rates!$B$2:$B$2000&amp;Rates!$C$2:$C$2000, Rates!$D$2:$D$2000, "")</f>
        <v/>
      </c>
      <c r="AJ7">
        <f>XLOOKUP($F7&amp;$G7&amp;$I7, Rates!$A$2:$A$2000&amp;Rates!$B$2:$B$2000&amp;Rates!$C$2:$C$2000, Rates!$E$2:$E$2000, "")</f>
        <v/>
      </c>
      <c r="AK7">
        <f>XLOOKUP($F7&amp;$G7&amp;$I7, Rates!$A$2:$A$2000&amp;Rates!$B$2:$B$2000&amp;Rates!$C$2:$C$2000, Rates!$F$2:$F$2000, "")</f>
        <v/>
      </c>
      <c r="AL7">
        <f>XLOOKUP($F7&amp;$G7&amp;$I7, Rates!$A$2:$A$2000&amp;Rates!$B$2:$B$2000&amp;Rates!$C$2:$C$2000, Rates!$G$2:$G$2000, "")</f>
        <v/>
      </c>
      <c r="AM7">
        <f>XLOOKUP($F7&amp;$G7&amp;$I7, Rates!$A$2:$A$2000&amp;Rates!$B$2:$B$2000&amp;Rates!$C$2:$C$2000, Rates!$H$2:$H$2000, "")</f>
        <v/>
      </c>
      <c r="AN7">
        <f>IF(LEN($X7)&gt;0, $X7*(1+$Y7/100)+$Z7, IF($AI7="per_kg", $U7*$AJ7*(1+$AK7/100)+$AL7, IF(LEN($AJ7)&gt;0, $AJ7*(1+$AK7/100)+$AL7, "")))</f>
        <v/>
      </c>
      <c r="AO7">
        <f>XLOOKUP(IF(LEN($X7)&gt;0,$AA7,$AM7), FX!$A$2:$A$10, FX!$B$2:$B$10, "")</f>
        <v/>
      </c>
      <c r="AP7">
        <f>IFERROR(IF(LEN($AN7)&gt;0, $AN7*$AO7, IF(LEN($AB7)&gt;0, $AB7*XLOOKUP($AA7,FX!$A$2:$A$10,FX!$B$2:$B$10,"")), ""), "")</f>
        <v/>
      </c>
      <c r="AR7">
        <f>IF($S7="On-Hold","HIGH", IF($AF7="O","HIGH", IF($AH7= "&gt;24h","HIGH", IF($AH7= "6–24h","MED","LOW"))))</f>
        <v/>
      </c>
      <c r="AT7">
        <f>IF(AND(LEN($Q7)&gt;0, LEN($N7)&gt;0, $Q7&gt;$N7, $S7&lt;&gt;"Delivered"), "ETA LATE", "")</f>
        <v/>
      </c>
      <c r="AU7">
        <f>IF($S7&lt;&gt;"Delivered", IF(LEN($O7)&gt;0, TODAY()-$O7, TODAY()-$L7), IF(AND(LEN($P7)&gt;0, LEN($O7)&gt;0), $P7-$O7, ""))</f>
        <v/>
      </c>
    </row>
    <row r="8">
      <c r="A8" t="inlineStr">
        <is>
          <t>EXP-250917-007</t>
        </is>
      </c>
      <c r="B8" t="inlineStr">
        <is>
          <t>ORD-4401</t>
        </is>
      </c>
      <c r="C8" t="inlineStr">
        <is>
          <t>Cobalt</t>
        </is>
      </c>
      <c r="D8" t="inlineStr">
        <is>
          <t>AGADR</t>
        </is>
      </c>
      <c r="E8" t="inlineStr">
        <is>
          <t>RTMDE</t>
        </is>
      </c>
      <c r="F8">
        <f>D8&amp;"→"&amp;E8</f>
        <v/>
      </c>
      <c r="G8" t="inlineStr">
        <is>
          <t>Mer</t>
        </is>
      </c>
      <c r="H8" t="inlineStr">
        <is>
          <t>CFR</t>
        </is>
      </c>
      <c r="I8" t="inlineStr">
        <is>
          <t>MASea</t>
        </is>
      </c>
      <c r="J8" t="inlineStr">
        <is>
          <t>STANDARD</t>
        </is>
      </c>
      <c r="K8" t="inlineStr">
        <is>
          <t>MBL-7781</t>
        </is>
      </c>
      <c r="L8" s="4" t="n">
        <v>45917.41666666666</v>
      </c>
      <c r="M8" s="4" t="n">
        <v>45924.41666666666</v>
      </c>
      <c r="N8" s="4" t="n">
        <v>45924.75</v>
      </c>
      <c r="O8" s="4" t="n">
        <v>45918.41666666666</v>
      </c>
      <c r="P8" s="4" t="n">
        <v>45924.83333333334</v>
      </c>
      <c r="Q8" s="4" t="n">
        <v>45924.83333333334</v>
      </c>
      <c r="R8" t="inlineStr">
        <is>
          <t>Yes</t>
        </is>
      </c>
      <c r="S8" t="inlineStr">
        <is>
          <t>Delivered</t>
        </is>
      </c>
      <c r="U8" t="n">
        <v>12000</v>
      </c>
      <c r="V8" t="n">
        <v>60</v>
      </c>
      <c r="W8" t="n">
        <v>20</v>
      </c>
      <c r="X8" t="n">
        <v>2100</v>
      </c>
      <c r="Y8" t="n">
        <v>20</v>
      </c>
      <c r="Z8" t="n">
        <v>200</v>
      </c>
      <c r="AA8">
        <f>IF(AND(LEN(X8)&gt;0,LEN(Y8)&gt;0), X8*(1+Y8/100)+Z8, IF(LEN(X8)&gt;0, X8+Z8, ""))</f>
        <v/>
      </c>
      <c r="AC8">
        <f>IF(AND(R8="Yes", LEN(P8)&gt;0, LEN(M8)&gt;0, LEN(N8)&gt;0, P8&gt;=M8, P8&lt;=N8),1,0)</f>
        <v/>
      </c>
      <c r="AD8">
        <f>AC8</f>
        <v/>
      </c>
      <c r="AE8">
        <f>IF(AND(LEN(P8)&gt;0, LEN(O8)&gt;0), P8-O8, IF(AND(LEN(Q8)&gt;0, LEN(O8)&gt;0), Q8-O8, ""))</f>
        <v/>
      </c>
      <c r="AF8">
        <f>IF(AND(LEN(P8)&gt;0, LEN(N8)&gt;0, P8&gt;N8), (P8-N8)*24, IF(AND(LEN(Q8)&gt;0, LEN(N8)&gt;0, Q8&gt;N8), (Q8-N8)*24, 0))</f>
        <v/>
      </c>
      <c r="AG8">
        <f>IF(AE8&gt;0,"O","N")</f>
        <v/>
      </c>
      <c r="AH8">
        <f>IF(AC8=1,"OK", IF(AE8&lt;=0,"OK", IF(AE8&lt;=6,"0–6h", IF(AE8&lt;=24,"6–24h","&gt;24h"))))</f>
        <v/>
      </c>
      <c r="AI8">
        <f>XLOOKUP($F8&amp;$G8&amp;$I8, Rates!$A$2:$A$2000&amp;Rates!$B$2:$B$2000&amp;Rates!$C$2:$C$2000, Rates!$D$2:$D$2000, "")</f>
        <v/>
      </c>
      <c r="AJ8">
        <f>XLOOKUP($F8&amp;$G8&amp;$I8, Rates!$A$2:$A$2000&amp;Rates!$B$2:$B$2000&amp;Rates!$C$2:$C$2000, Rates!$E$2:$E$2000, "")</f>
        <v/>
      </c>
      <c r="AK8">
        <f>XLOOKUP($F8&amp;$G8&amp;$I8, Rates!$A$2:$A$2000&amp;Rates!$B$2:$B$2000&amp;Rates!$C$2:$C$2000, Rates!$F$2:$F$2000, "")</f>
        <v/>
      </c>
      <c r="AL8">
        <f>XLOOKUP($F8&amp;$G8&amp;$I8, Rates!$A$2:$A$2000&amp;Rates!$B$2:$B$2000&amp;Rates!$C$2:$C$2000, Rates!$G$2:$G$2000, "")</f>
        <v/>
      </c>
      <c r="AM8">
        <f>XLOOKUP($F8&amp;$G8&amp;$I8, Rates!$A$2:$A$2000&amp;Rates!$B$2:$B$2000&amp;Rates!$C$2:$C$2000, Rates!$H$2:$H$2000, "")</f>
        <v/>
      </c>
      <c r="AN8">
        <f>IF(LEN($X8)&gt;0, $X8*(1+$Y8/100)+$Z8, IF($AI8="per_kg", $U8*$AJ8*(1+$AK8/100)+$AL8, IF(LEN($AJ8)&gt;0, $AJ8*(1+$AK8/100)+$AL8, "")))</f>
        <v/>
      </c>
      <c r="AO8">
        <f>XLOOKUP(IF(LEN($X8)&gt;0,$AA8,$AM8), FX!$A$2:$A$10, FX!$B$2:$B$10, "")</f>
        <v/>
      </c>
      <c r="AP8">
        <f>IFERROR(IF(LEN($AN8)&gt;0, $AN8*$AO8, IF(LEN($AB8)&gt;0, $AB8*XLOOKUP($AA8,FX!$A$2:$A$10,FX!$B$2:$B$10,"")), ""), "")</f>
        <v/>
      </c>
      <c r="AR8">
        <f>IF($S8="On-Hold","HIGH", IF($AF8="O","HIGH", IF($AH8= "&gt;24h","HIGH", IF($AH8= "6–24h","MED","LOW"))))</f>
        <v/>
      </c>
      <c r="AT8">
        <f>IF(AND(LEN($Q8)&gt;0, LEN($N8)&gt;0, $Q8&gt;$N8, $S8&lt;&gt;"Delivered"), "ETA LATE", "")</f>
        <v/>
      </c>
      <c r="AU8">
        <f>IF($S8&lt;&gt;"Delivered", IF(LEN($O8)&gt;0, TODAY()-$O8, TODAY()-$L8), IF(AND(LEN($P8)&gt;0, LEN($O8)&gt;0), $P8-$O8, ""))</f>
        <v/>
      </c>
    </row>
    <row r="9">
      <c r="A9" t="inlineStr">
        <is>
          <t>EXP-250918-008</t>
        </is>
      </c>
      <c r="B9" t="inlineStr">
        <is>
          <t>ORD-5501</t>
        </is>
      </c>
      <c r="C9" t="inlineStr">
        <is>
          <t>Helios</t>
        </is>
      </c>
      <c r="D9" t="inlineStr">
        <is>
          <t>CASAB</t>
        </is>
      </c>
      <c r="E9" t="inlineStr">
        <is>
          <t>AGADR</t>
        </is>
      </c>
      <c r="F9">
        <f>D9&amp;"→"&amp;E9</f>
        <v/>
      </c>
      <c r="G9" t="inlineStr">
        <is>
          <t>Rail</t>
        </is>
      </c>
      <c r="H9" t="inlineStr">
        <is>
          <t>CPT</t>
        </is>
      </c>
      <c r="I9" t="inlineStr">
        <is>
          <t>RailLink</t>
        </is>
      </c>
      <c r="J9" t="inlineStr">
        <is>
          <t>STANDARD</t>
        </is>
      </c>
      <c r="K9" t="inlineStr">
        <is>
          <t>RL-0031</t>
        </is>
      </c>
      <c r="L9" s="4" t="n">
        <v>45918.41666666666</v>
      </c>
      <c r="M9" s="4" t="n">
        <v>45921.41666666666</v>
      </c>
      <c r="N9" s="4" t="n">
        <v>45921.75</v>
      </c>
      <c r="O9" s="4" t="n">
        <v>45918.41666666666</v>
      </c>
      <c r="Q9" s="4" t="n">
        <v>45921.66666666666</v>
      </c>
      <c r="S9" t="inlineStr">
        <is>
          <t>In-Transit</t>
        </is>
      </c>
      <c r="U9" t="n">
        <v>2500</v>
      </c>
      <c r="V9" t="n">
        <v>8</v>
      </c>
      <c r="W9" t="n">
        <v>30</v>
      </c>
      <c r="X9" t="n">
        <v>700</v>
      </c>
      <c r="Y9" t="n">
        <v>10</v>
      </c>
      <c r="Z9" t="n">
        <v>25</v>
      </c>
      <c r="AA9">
        <f>IF(AND(LEN(X9)&gt;0,LEN(Y9)&gt;0), X9*(1+Y9/100)+Z9, IF(LEN(X9)&gt;0, X9+Z9, ""))</f>
        <v/>
      </c>
      <c r="AC9">
        <f>IF(AND(R9="Yes", LEN(P9)&gt;0, LEN(M9)&gt;0, LEN(N9)&gt;0, P9&gt;=M9, P9&lt;=N9),1,0)</f>
        <v/>
      </c>
      <c r="AD9">
        <f>AC9</f>
        <v/>
      </c>
      <c r="AE9">
        <f>IF(AND(LEN(P9)&gt;0, LEN(O9)&gt;0), P9-O9, IF(AND(LEN(Q9)&gt;0, LEN(O9)&gt;0), Q9-O9, ""))</f>
        <v/>
      </c>
      <c r="AF9">
        <f>IF(AND(LEN(P9)&gt;0, LEN(N9)&gt;0, P9&gt;N9), (P9-N9)*24, IF(AND(LEN(Q9)&gt;0, LEN(N9)&gt;0, Q9&gt;N9), (Q9-N9)*24, 0))</f>
        <v/>
      </c>
      <c r="AG9">
        <f>IF(AE9&gt;0,"O","N")</f>
        <v/>
      </c>
      <c r="AH9">
        <f>IF(AC9=1,"OK", IF(AE9&lt;=0,"OK", IF(AE9&lt;=6,"0–6h", IF(AE9&lt;=24,"6–24h","&gt;24h"))))</f>
        <v/>
      </c>
      <c r="AI9">
        <f>XLOOKUP($F9&amp;$G9&amp;$I9, Rates!$A$2:$A$2000&amp;Rates!$B$2:$B$2000&amp;Rates!$C$2:$C$2000, Rates!$D$2:$D$2000, "")</f>
        <v/>
      </c>
      <c r="AJ9">
        <f>XLOOKUP($F9&amp;$G9&amp;$I9, Rates!$A$2:$A$2000&amp;Rates!$B$2:$B$2000&amp;Rates!$C$2:$C$2000, Rates!$E$2:$E$2000, "")</f>
        <v/>
      </c>
      <c r="AK9">
        <f>XLOOKUP($F9&amp;$G9&amp;$I9, Rates!$A$2:$A$2000&amp;Rates!$B$2:$B$2000&amp;Rates!$C$2:$C$2000, Rates!$F$2:$F$2000, "")</f>
        <v/>
      </c>
      <c r="AL9">
        <f>XLOOKUP($F9&amp;$G9&amp;$I9, Rates!$A$2:$A$2000&amp;Rates!$B$2:$B$2000&amp;Rates!$C$2:$C$2000, Rates!$G$2:$G$2000, "")</f>
        <v/>
      </c>
      <c r="AM9">
        <f>XLOOKUP($F9&amp;$G9&amp;$I9, Rates!$A$2:$A$2000&amp;Rates!$B$2:$B$2000&amp;Rates!$C$2:$C$2000, Rates!$H$2:$H$2000, "")</f>
        <v/>
      </c>
      <c r="AN9">
        <f>IF(LEN($X9)&gt;0, $X9*(1+$Y9/100)+$Z9, IF($AI9="per_kg", $U9*$AJ9*(1+$AK9/100)+$AL9, IF(LEN($AJ9)&gt;0, $AJ9*(1+$AK9/100)+$AL9, "")))</f>
        <v/>
      </c>
      <c r="AO9">
        <f>XLOOKUP(IF(LEN($X9)&gt;0,$AA9,$AM9), FX!$A$2:$A$10, FX!$B$2:$B$10, "")</f>
        <v/>
      </c>
      <c r="AP9">
        <f>IFERROR(IF(LEN($AN9)&gt;0, $AN9*$AO9, IF(LEN($AB9)&gt;0, $AB9*XLOOKUP($AA9,FX!$A$2:$A$10,FX!$B$2:$B$10,"")), ""), "")</f>
        <v/>
      </c>
      <c r="AR9">
        <f>IF($S9="On-Hold","HIGH", IF($AF9="O","HIGH", IF($AH9= "&gt;24h","HIGH", IF($AH9= "6–24h","MED","LOW"))))</f>
        <v/>
      </c>
      <c r="AT9">
        <f>IF(AND(LEN($Q9)&gt;0, LEN($N9)&gt;0, $Q9&gt;$N9, $S9&lt;&gt;"Delivered"), "ETA LATE", "")</f>
        <v/>
      </c>
      <c r="AU9">
        <f>IF($S9&lt;&gt;"Delivered", IF(LEN($O9)&gt;0, TODAY()-$O9, TODAY()-$L9), IF(AND(LEN($P9)&gt;0, LEN($O9)&gt;0), $P9-$O9, ""))</f>
        <v/>
      </c>
    </row>
  </sheetData>
  <conditionalFormatting sqref="AC2:AC2000">
    <cfRule type="cellIs" priority="1" operator="equal" dxfId="0">
      <formula>1</formula>
    </cfRule>
    <cfRule type="cellIs" priority="2" operator="equal" dxfId="1">
      <formula>0</formula>
    </cfRule>
  </conditionalFormatting>
  <conditionalFormatting sqref="AE2:AE2000">
    <cfRule type="dataBar" priority="3">
      <dataBar showValue="1">
        <cfvo type="min"/>
        <cfvo type="max"/>
        <color rgb="00F8696B"/>
      </dataBar>
    </cfRule>
  </conditionalFormatting>
  <conditionalFormatting sqref="AF2:AF2000">
    <cfRule type="expression" priority="4" dxfId="2">
      <formula>$AF2="O"</formula>
    </cfRule>
  </conditionalFormatting>
  <conditionalFormatting sqref="S2:S2000">
    <cfRule type="expression" priority="5" dxfId="3">
      <formula>$S2="Planned"</formula>
    </cfRule>
    <cfRule type="expression" priority="6" dxfId="4">
      <formula>$S2="Booked"</formula>
    </cfRule>
    <cfRule type="expression" priority="7" dxfId="2">
      <formula>$S2="In-Transit"</formula>
    </cfRule>
    <cfRule type="expression" priority="8" dxfId="0">
      <formula>$S2="Delivered"</formula>
    </cfRule>
    <cfRule type="expression" priority="9" dxfId="5">
      <formula>$S2="On-Hold"</formula>
    </cfRule>
    <cfRule type="expression" priority="10" dxfId="1">
      <formula>$S2="Canceled"</formula>
    </cfRule>
  </conditionalFormatting>
  <conditionalFormatting sqref="G2:G2000">
    <cfRule type="expression" priority="11" dxfId="6">
      <formula>$G2="Route"</formula>
    </cfRule>
    <cfRule type="expression" priority="12" dxfId="7">
      <formula>$G2="Air"</formula>
    </cfRule>
    <cfRule type="expression" priority="13" dxfId="4">
      <formula>$G2="Mer"</formula>
    </cfRule>
    <cfRule type="expression" priority="14" dxfId="3">
      <formula>$G2="Rail"</formula>
    </cfRule>
  </conditionalFormatting>
  <conditionalFormatting sqref="AH2:AH2000">
    <cfRule type="expression" priority="15" dxfId="0">
      <formula>$AH2="OK"</formula>
    </cfRule>
    <cfRule type="expression" priority="16" dxfId="2">
      <formula>$AH2="0–6h"</formula>
    </cfRule>
    <cfRule type="expression" priority="17" dxfId="5">
      <formula>$AH2="6–24h"</formula>
    </cfRule>
    <cfRule type="expression" priority="18" dxfId="1">
      <formula>$AH2="&gt;24h"</formula>
    </cfRule>
  </conditionalFormatting>
  <conditionalFormatting sqref="A2:AH2000">
    <cfRule type="expression" priority="19" dxfId="8">
      <formula>$AE2&gt;0</formula>
    </cfRule>
  </conditionalFormatting>
  <conditionalFormatting sqref="I2:I2000">
    <cfRule type="expression" priority="20" dxfId="2">
      <formula>LEN($I2)=0</formula>
    </cfRule>
  </conditionalFormatting>
  <conditionalFormatting sqref="H2:H2000">
    <cfRule type="expression" priority="21" dxfId="2">
      <formula>LEN($H2)=0</formula>
    </cfRule>
  </conditionalFormatting>
  <conditionalFormatting sqref="N2:N2000">
    <cfRule type="expression" priority="22" dxfId="2">
      <formula>LEN($N2)=0</formula>
    </cfRule>
  </conditionalFormatting>
  <conditionalFormatting sqref="R2:R2000">
    <cfRule type="expression" priority="23" dxfId="1">
      <formula>AND($R2="No",$S2="Delivered")</formula>
    </cfRule>
  </conditionalFormatting>
  <conditionalFormatting sqref="AA2:AA2000">
    <cfRule type="expression" priority="24" dxfId="4">
      <formula>$AA2="MAD"</formula>
    </cfRule>
    <cfRule type="expression" priority="25" dxfId="3">
      <formula>$AA2="EUR"</formula>
    </cfRule>
    <cfRule type="expression" priority="26" dxfId="7">
      <formula>$AA2="USD"</formula>
    </cfRule>
  </conditionalFormatting>
  <conditionalFormatting sqref="AD2:AD2000">
    <cfRule type="colorScale" priority="27">
      <colorScale>
        <cfvo type="min"/>
        <cfvo type="percentile" val="50"/>
        <cfvo type="max"/>
        <color rgb="00C6EFCE"/>
        <color rgb="00FFEB84"/>
        <color rgb="00FFC7CE"/>
      </colorScale>
    </cfRule>
  </conditionalFormatting>
  <conditionalFormatting sqref="AR2:AR2000">
    <cfRule type="expression" priority="28" dxfId="1">
      <formula>$AR2="HIGH"</formula>
    </cfRule>
    <cfRule type="expression" priority="29" dxfId="2">
      <formula>$AR2="MED"</formula>
    </cfRule>
    <cfRule type="expression" priority="30" dxfId="0">
      <formula>$AR2="LOW"</formula>
    </cfRule>
  </conditionalFormatting>
  <conditionalFormatting sqref="AQ2:AQ2000">
    <cfRule type="expression" priority="31" dxfId="5">
      <formula>$AQ2="High"</formula>
    </cfRule>
    <cfRule type="expression" priority="32" dxfId="4">
      <formula>$AQ2="Low"</formula>
    </cfRule>
  </conditionalFormatting>
  <conditionalFormatting sqref="A2:AU2000">
    <cfRule type="expression" priority="33" dxfId="2">
      <formula>LEN($AT2)&gt;0</formula>
    </cfRule>
  </conditionalFormatting>
  <conditionalFormatting sqref="AU2:AU2000">
    <cfRule type="colorScale" priority="34">
      <colorScale>
        <cfvo type="num" val="0"/>
        <cfvo type="percentile" val="50"/>
        <cfvo type="max"/>
        <color rgb="00C6EFCE"/>
        <color rgb="00FFEB84"/>
        <color rgb="00FFC7CE"/>
      </colorScale>
    </cfRule>
  </conditionalFormatting>
  <dataValidations count="8">
    <dataValidation sqref="G2:G2000" showErrorMessage="1" showInputMessage="1" allowBlank="1" type="list">
      <formula1>=Parametres!$B$2:$E$2</formula1>
    </dataValidation>
    <dataValidation sqref="H2:H2000" showErrorMessage="1" showInputMessage="1" allowBlank="1" type="list">
      <formula1>=Parametres!$B$3:$J$3</formula1>
    </dataValidation>
    <dataValidation sqref="I2:I2000" showErrorMessage="1" showInputMessage="1" allowBlank="1" type="list">
      <formula1>=Parametres!$B$11:$F$11</formula1>
    </dataValidation>
    <dataValidation sqref="J2:J2000" showErrorMessage="1" showInputMessage="1" allowBlank="1" type="list">
      <formula1>=Parametres!$B$9:$D$9</formula1>
    </dataValidation>
    <dataValidation sqref="S2:S2000" showErrorMessage="1" showInputMessage="1" allowBlank="1" type="list">
      <formula1>=Parametres!$B$4:$K$4</formula1>
    </dataValidation>
    <dataValidation sqref="AA2:AA2000" showErrorMessage="1" showInputMessage="1" allowBlank="1" type="list">
      <formula1>=Parametres!$B$10:$D$10</formula1>
    </dataValidation>
    <dataValidation sqref="AQ2:AQ2000" showErrorMessage="1" showInputMessage="1" allowBlank="1" type="list">
      <formula1>"High,Normal,Low"</formula1>
    </dataValidation>
    <dataValidation sqref="AS2:AS2000" showErrorMessage="1" showInputMessage="1" allowBlank="1" type="list">
      <formula1>"Yes,No"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cols>
    <col width="18" customWidth="1" min="1" max="1"/>
    <col width="16" customWidth="1" min="2" max="2"/>
    <col width="20" customWidth="1" min="3" max="3"/>
    <col width="18" customWidth="1" min="4" max="4"/>
    <col width="20" customWidth="1" min="5" max="5"/>
    <col width="26" customWidth="1" min="6" max="6"/>
  </cols>
  <sheetData>
    <row r="1">
      <c r="A1" s="1" t="inlineStr">
        <is>
          <t>ShipmentID</t>
        </is>
      </c>
      <c r="B1" s="1" t="inlineStr">
        <is>
          <t>Milestone</t>
        </is>
      </c>
      <c r="C1" s="1" t="inlineStr">
        <is>
          <t>DateTime</t>
        </is>
      </c>
      <c r="D1" s="1" t="inlineStr">
        <is>
          <t>Location</t>
        </is>
      </c>
      <c r="E1" s="1" t="inlineStr">
        <is>
          <t>Proof(Ref/Scan)</t>
        </is>
      </c>
      <c r="F1" s="1" t="inlineStr">
        <is>
          <t>Remarks</t>
        </is>
      </c>
    </row>
    <row r="2">
      <c r="A2" s="2" t="inlineStr">
        <is>
          <t>EXP-250920-001</t>
        </is>
      </c>
      <c r="B2" s="2" t="inlineStr">
        <is>
          <t>PICKED</t>
        </is>
      </c>
      <c r="C2" s="5" t="n">
        <v>45920.41666666666</v>
      </c>
      <c r="D2" s="2" t="inlineStr">
        <is>
          <t>CASAB</t>
        </is>
      </c>
      <c r="E2" s="2" t="inlineStr">
        <is>
          <t>PL-1001</t>
        </is>
      </c>
      <c r="F2" s="2" t="inlineStr"/>
    </row>
    <row r="3">
      <c r="A3" s="2" t="inlineStr">
        <is>
          <t>EXP-250920-001</t>
        </is>
      </c>
      <c r="B3" s="2" t="inlineStr">
        <is>
          <t>DEPART_ORIGIN</t>
        </is>
      </c>
      <c r="C3" s="5" t="n">
        <v>45920.41666666666</v>
      </c>
      <c r="D3" s="2" t="inlineStr">
        <is>
          <t>CASAB</t>
        </is>
      </c>
      <c r="E3" s="2" t="inlineStr">
        <is>
          <t>CMR-1</t>
        </is>
      </c>
      <c r="F3" s="2" t="inlineStr"/>
    </row>
    <row r="4">
      <c r="A4" s="2" t="inlineStr">
        <is>
          <t>EXP-250920-001</t>
        </is>
      </c>
      <c r="B4" s="2" t="inlineStr">
        <is>
          <t>DELIVERED</t>
        </is>
      </c>
      <c r="C4" s="5" t="n">
        <v>45922.08333333334</v>
      </c>
      <c r="D4" s="2" t="inlineStr">
        <is>
          <t>MARRA</t>
        </is>
      </c>
      <c r="E4" s="2" t="inlineStr">
        <is>
          <t>POD-1</t>
        </is>
      </c>
      <c r="F4" s="2" t="inlineStr">
        <is>
          <t>OK</t>
        </is>
      </c>
    </row>
    <row r="5">
      <c r="A5" s="2" t="inlineStr">
        <is>
          <t>EXP-250920-002</t>
        </is>
      </c>
      <c r="B5" s="2" t="inlineStr">
        <is>
          <t>PICKED</t>
        </is>
      </c>
      <c r="C5" s="5" t="n">
        <v>45920.66666666666</v>
      </c>
      <c r="D5" s="2" t="inlineStr">
        <is>
          <t>CASAB</t>
        </is>
      </c>
      <c r="E5" s="2" t="inlineStr">
        <is>
          <t>AWB-8899</t>
        </is>
      </c>
      <c r="F5" s="2" t="inlineStr"/>
    </row>
    <row r="6">
      <c r="A6" s="2" t="inlineStr">
        <is>
          <t>EXP-250920-002</t>
        </is>
      </c>
      <c r="B6" s="2" t="inlineStr">
        <is>
          <t>ARRIVE_HUB</t>
        </is>
      </c>
      <c r="C6" s="5" t="n">
        <v>45921.41666666666</v>
      </c>
      <c r="D6" s="2" t="inlineStr">
        <is>
          <t>CDGPA</t>
        </is>
      </c>
      <c r="E6" s="2" t="inlineStr">
        <is>
          <t>SKY-HUB</t>
        </is>
      </c>
      <c r="F6" s="2" t="inlineStr"/>
    </row>
    <row r="7">
      <c r="A7" s="2" t="inlineStr">
        <is>
          <t>EXP-250920-002</t>
        </is>
      </c>
      <c r="B7" s="2" t="inlineStr">
        <is>
          <t>DELIVERED</t>
        </is>
      </c>
      <c r="C7" s="5" t="n">
        <v>45923.375</v>
      </c>
      <c r="D7" s="2" t="inlineStr">
        <is>
          <t>CDGPA</t>
        </is>
      </c>
      <c r="E7" s="2" t="inlineStr">
        <is>
          <t>POD-2</t>
        </is>
      </c>
      <c r="F7" s="2" t="inlineStr">
        <is>
          <t>Retard 3h</t>
        </is>
      </c>
    </row>
  </sheetData>
  <conditionalFormatting sqref="B2:B2000">
    <cfRule type="expression" priority="1" dxfId="0">
      <formula>$B2="DELIVERED"</formula>
    </cfRule>
    <cfRule type="expression" priority="2" dxfId="6">
      <formula>$B2="CUSTOMS_CLR"</formula>
    </cfRule>
    <cfRule type="expression" priority="3" dxfId="4">
      <formula>$B2="ARRIVE_HUB"</formula>
    </cfRule>
    <cfRule type="expression" priority="4" dxfId="3">
      <formula>$B2="DEPART_ORIGIN"</formula>
    </cfRule>
    <cfRule type="expression" priority="5" dxfId="2">
      <formula>$B2="OUT_FOR_DEL"</formula>
    </cfRule>
  </conditionalFormatting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3"/>
  <sheetViews>
    <sheetView workbookViewId="0">
      <selection activeCell="A1" sqref="A1"/>
    </sheetView>
  </sheetViews>
  <sheetFormatPr baseColWidth="8" defaultRowHeight="15"/>
  <cols>
    <col width="14" customWidth="1" min="1" max="1"/>
    <col width="18" customWidth="1" min="2" max="2"/>
    <col width="14" customWidth="1" min="3" max="3"/>
    <col width="12" customWidth="1" min="4" max="4"/>
    <col width="12" customWidth="1" min="5" max="5"/>
    <col width="18" customWidth="1" min="6" max="6"/>
    <col width="16" customWidth="1" min="7" max="7"/>
    <col width="18" customWidth="1" min="8" max="8"/>
    <col width="12" customWidth="1" min="9" max="9"/>
    <col width="30" customWidth="1" min="10" max="10"/>
  </cols>
  <sheetData>
    <row r="1">
      <c r="A1" s="1" t="inlineStr">
        <is>
          <t>IncidentID</t>
        </is>
      </c>
      <c r="B1" s="1" t="inlineStr">
        <is>
          <t>ShipmentID</t>
        </is>
      </c>
      <c r="C1" s="1" t="inlineStr">
        <is>
          <t>Type</t>
        </is>
      </c>
      <c r="D1" s="1" t="inlineStr">
        <is>
          <t>Severity</t>
        </is>
      </c>
      <c r="E1" s="1" t="inlineStr">
        <is>
          <t>Status</t>
        </is>
      </c>
      <c r="F1" s="1" t="inlineStr">
        <is>
          <t>DetectedOn</t>
        </is>
      </c>
      <c r="G1" s="1" t="inlineStr">
        <is>
          <t>Owner</t>
        </is>
      </c>
      <c r="H1" s="1" t="inlineStr">
        <is>
          <t>DueDate</t>
        </is>
      </c>
      <c r="I1" s="1" t="inlineStr">
        <is>
          <t>CostImpact</t>
        </is>
      </c>
      <c r="J1" s="1" t="inlineStr">
        <is>
          <t>Notes</t>
        </is>
      </c>
    </row>
    <row r="2">
      <c r="A2" s="2" t="inlineStr">
        <is>
          <t>INC-001</t>
        </is>
      </c>
      <c r="B2" s="2" t="inlineStr">
        <is>
          <t>EXP-250920-002</t>
        </is>
      </c>
      <c r="C2" s="2" t="inlineStr">
        <is>
          <t>retard</t>
        </is>
      </c>
      <c r="D2" s="2" t="inlineStr">
        <is>
          <t>majeur</t>
        </is>
      </c>
      <c r="E2" s="2" t="inlineStr">
        <is>
          <t>ouvert</t>
        </is>
      </c>
      <c r="F2" s="5" t="n">
        <v>45923.375</v>
      </c>
      <c r="G2" s="2" t="inlineStr">
        <is>
          <t>logistique</t>
        </is>
      </c>
      <c r="H2" s="5" t="n">
        <v>45923.41666666666</v>
      </c>
      <c r="I2" s="2" t="n">
        <v>150</v>
      </c>
      <c r="J2" s="2" t="inlineStr">
        <is>
          <t>Retard vol</t>
        </is>
      </c>
    </row>
    <row r="3">
      <c r="A3" s="2" t="inlineStr">
        <is>
          <t>INC-002</t>
        </is>
      </c>
      <c r="B3" s="2" t="inlineStr">
        <is>
          <t>EXP-250919-004</t>
        </is>
      </c>
      <c r="C3" s="2" t="inlineStr">
        <is>
          <t>adresse</t>
        </is>
      </c>
      <c r="D3" s="2" t="inlineStr">
        <is>
          <t>mineur</t>
        </is>
      </c>
      <c r="E3" s="2" t="inlineStr">
        <is>
          <t>en cours</t>
        </is>
      </c>
      <c r="F3" s="5" t="n">
        <v>45921.16666666666</v>
      </c>
      <c r="G3" s="2" t="inlineStr">
        <is>
          <t>service client</t>
        </is>
      </c>
      <c r="H3" s="5" t="n">
        <v>45921.41666666666</v>
      </c>
      <c r="I3" s="2" t="n">
        <v>0</v>
      </c>
      <c r="J3" s="2" t="inlineStr">
        <is>
          <t>Adresse à re-confirmer</t>
        </is>
      </c>
    </row>
  </sheetData>
  <conditionalFormatting sqref="H2:H2000">
    <cfRule type="expression" priority="1" dxfId="1">
      <formula>AND($H2&lt;TODAY(), $E2&lt;&gt;"clos")</formula>
    </cfRule>
  </conditionalFormatting>
  <conditionalFormatting sqref="D2:D2000">
    <cfRule type="expression" priority="2" dxfId="1">
      <formula>$D2="majeur"</formula>
    </cfRule>
    <cfRule type="expression" priority="3" dxfId="2">
      <formula>$D2="mineur"</formula>
    </cfRule>
  </conditionalFormatting>
  <conditionalFormatting sqref="E2:E2000">
    <cfRule type="expression" priority="4" dxfId="0">
      <formula>$E2="clos"</formula>
    </cfRule>
    <cfRule type="expression" priority="5" dxfId="2">
      <formula>$E2="ouvert"</formula>
    </cfRule>
  </conditionalFormatting>
  <conditionalFormatting sqref="I2:I2000">
    <cfRule type="dataBar" priority="6">
      <dataBar showValue="1">
        <cfvo type="num" val="0"/>
        <cfvo type="max"/>
        <color rgb="009BC2E6"/>
      </dataBar>
    </cfRule>
  </conditionalFormatting>
  <dataValidations count="3">
    <dataValidation sqref="C2:C2000" showErrorMessage="1" showInputMessage="1" allowBlank="1" type="list">
      <formula1>=Parametres!$B$6:$G$6</formula1>
    </dataValidation>
    <dataValidation sqref="D2:D2000" showErrorMessage="1" showInputMessage="1" allowBlank="1" type="list">
      <formula1>=Parametres!$B$7:$C$7</formula1>
    </dataValidation>
    <dataValidation sqref="E2:E2000" showErrorMessage="1" showInputMessage="1" allowBlank="1" type="list">
      <formula1>=Parametres!$B$8:$D$8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/>
  <cols>
    <col width="16" customWidth="1" min="1" max="1"/>
    <col width="10" customWidth="1" min="2" max="2"/>
    <col width="28" customWidth="1" min="3" max="3"/>
    <col width="16" customWidth="1" min="4" max="4"/>
    <col width="16" customWidth="1" min="5" max="5"/>
    <col width="16" customWidth="1" min="6" max="6"/>
    <col width="28" customWidth="1" min="7" max="7"/>
  </cols>
  <sheetData>
    <row r="1">
      <c r="A1" s="1" t="inlineStr">
        <is>
          <t>Carrier</t>
        </is>
      </c>
      <c r="B1" s="1" t="inlineStr">
        <is>
          <t>Mode</t>
        </is>
      </c>
      <c r="C1" s="1" t="inlineStr">
        <is>
          <t>Email</t>
        </is>
      </c>
      <c r="D1" s="1" t="inlineStr">
        <is>
          <t>Phone</t>
        </is>
      </c>
      <c r="E1" s="1" t="inlineStr">
        <is>
          <t>OnTimeRate(%)</t>
        </is>
      </c>
      <c r="F1" s="1" t="inlineStr">
        <is>
          <t>ClaimsRate(%)</t>
        </is>
      </c>
      <c r="G1" s="1" t="inlineStr">
        <is>
          <t>Notes</t>
        </is>
      </c>
    </row>
    <row r="2">
      <c r="A2" s="2" t="inlineStr">
        <is>
          <t>FastRoad</t>
        </is>
      </c>
      <c r="B2" s="2" t="inlineStr">
        <is>
          <t>Route</t>
        </is>
      </c>
      <c r="C2" s="2" t="inlineStr">
        <is>
          <t>ops@fastroad.com</t>
        </is>
      </c>
      <c r="D2" s="2" t="inlineStr">
        <is>
          <t>+212 5xx xx xx xx</t>
        </is>
      </c>
      <c r="E2" s="2" t="inlineStr"/>
      <c r="F2" s="2" t="inlineStr"/>
      <c r="G2" s="2" t="inlineStr"/>
    </row>
    <row r="3">
      <c r="A3" s="2" t="inlineStr">
        <is>
          <t>SkyLift</t>
        </is>
      </c>
      <c r="B3" s="2" t="inlineStr">
        <is>
          <t>Air</t>
        </is>
      </c>
      <c r="C3" s="2" t="inlineStr">
        <is>
          <t>ops@skylift.com</t>
        </is>
      </c>
      <c r="D3" s="2" t="inlineStr">
        <is>
          <t>+33 1 xx xx xx xx</t>
        </is>
      </c>
      <c r="E3" s="2" t="inlineStr"/>
      <c r="F3" s="2" t="inlineStr"/>
      <c r="G3" s="2" t="inlineStr"/>
    </row>
    <row r="4">
      <c r="A4" s="2" t="inlineStr">
        <is>
          <t>MASea</t>
        </is>
      </c>
      <c r="B4" s="2" t="inlineStr">
        <is>
          <t>Mer</t>
        </is>
      </c>
      <c r="C4" s="2" t="inlineStr">
        <is>
          <t>ops@masea.com</t>
        </is>
      </c>
      <c r="D4" s="2" t="inlineStr">
        <is>
          <t>+212 5xx xx xx xx</t>
        </is>
      </c>
      <c r="E4" s="2" t="inlineStr"/>
      <c r="F4" s="2" t="inlineStr"/>
      <c r="G4" s="2" t="inlineStr"/>
    </row>
    <row r="5">
      <c r="A5" s="2" t="inlineStr">
        <is>
          <t>RailLink</t>
        </is>
      </c>
      <c r="B5" s="2" t="inlineStr">
        <is>
          <t>Rail</t>
        </is>
      </c>
      <c r="C5" s="2" t="inlineStr">
        <is>
          <t>ops@raillink.com</t>
        </is>
      </c>
      <c r="D5" s="2" t="inlineStr">
        <is>
          <t>+49 30 xx xx</t>
        </is>
      </c>
      <c r="E5" s="2" t="inlineStr"/>
      <c r="F5" s="2" t="inlineStr"/>
      <c r="G5" s="2" t="inlineStr"/>
    </row>
    <row r="6">
      <c r="A6" s="2" t="inlineStr">
        <is>
          <t>Interne</t>
        </is>
      </c>
      <c r="B6" s="2" t="inlineStr">
        <is>
          <t>Route</t>
        </is>
      </c>
      <c r="C6" s="2" t="inlineStr">
        <is>
          <t>ops@inhouse.com</t>
        </is>
      </c>
      <c r="D6" s="2" t="inlineStr">
        <is>
          <t>+212 5xx xx</t>
        </is>
      </c>
      <c r="E6" s="2" t="inlineStr"/>
      <c r="F6" s="2" t="inlineStr"/>
      <c r="G6" s="2" t="inlineStr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selection activeCell="A1" sqref="A1"/>
    </sheetView>
  </sheetViews>
  <sheetFormatPr baseColWidth="8" defaultRowHeight="15"/>
  <cols>
    <col width="18" customWidth="1" min="1" max="1"/>
    <col width="10" customWidth="1" min="2" max="2"/>
    <col width="16" customWidth="1" min="3" max="3"/>
    <col width="20" customWidth="1" min="4" max="4"/>
    <col width="12" customWidth="1" min="5" max="5"/>
    <col width="10" customWidth="1" min="6" max="6"/>
    <col width="12" customWidth="1" min="7" max="7"/>
    <col width="10" customWidth="1" min="8" max="8"/>
    <col width="16" customWidth="1" min="9" max="9"/>
    <col width="16" customWidth="1" min="10" max="10"/>
    <col width="28" customWidth="1" min="11" max="11"/>
  </cols>
  <sheetData>
    <row r="1">
      <c r="A1" s="1" t="inlineStr">
        <is>
          <t>Lane</t>
        </is>
      </c>
      <c r="B1" s="1" t="inlineStr">
        <is>
          <t>Mode</t>
        </is>
      </c>
      <c r="C1" s="1" t="inlineStr">
        <is>
          <t>Carrier</t>
        </is>
      </c>
      <c r="D1" s="1" t="inlineStr">
        <is>
          <t>RateType(per_kg/per_shipment)</t>
        </is>
      </c>
      <c r="E1" s="1" t="inlineStr">
        <is>
          <t>BaseRate</t>
        </is>
      </c>
      <c r="F1" s="1" t="inlineStr">
        <is>
          <t>Fuel%</t>
        </is>
      </c>
      <c r="G1" s="1" t="inlineStr">
        <is>
          <t>OtherCost</t>
        </is>
      </c>
      <c r="H1" s="1" t="inlineStr">
        <is>
          <t>Currency</t>
        </is>
      </c>
      <c r="I1" s="1" t="inlineStr">
        <is>
          <t>ValidFrom</t>
        </is>
      </c>
      <c r="J1" s="1" t="inlineStr">
        <is>
          <t>ValidTo</t>
        </is>
      </c>
      <c r="K1" s="1" t="inlineStr">
        <is>
          <t>Notes</t>
        </is>
      </c>
    </row>
    <row r="2">
      <c r="A2" s="2" t="inlineStr">
        <is>
          <t>CASAB→MARRA</t>
        </is>
      </c>
      <c r="B2" s="2" t="inlineStr">
        <is>
          <t>Route</t>
        </is>
      </c>
      <c r="C2" s="2" t="inlineStr">
        <is>
          <t>FastRoad</t>
        </is>
      </c>
      <c r="D2" s="2" t="inlineStr">
        <is>
          <t>per_shipment</t>
        </is>
      </c>
      <c r="E2" s="2" t="n">
        <v>900</v>
      </c>
      <c r="F2" s="2" t="n">
        <v>8</v>
      </c>
      <c r="G2" s="2" t="n">
        <v>30</v>
      </c>
      <c r="H2" s="2" t="inlineStr">
        <is>
          <t>MAD</t>
        </is>
      </c>
      <c r="I2" s="2" t="inlineStr">
        <is>
          <t>2025-09-01</t>
        </is>
      </c>
      <c r="J2" s="2" t="inlineStr">
        <is>
          <t>2025-12-31</t>
        </is>
      </c>
      <c r="K2" s="2" t="inlineStr"/>
    </row>
    <row r="3">
      <c r="A3" s="2" t="inlineStr">
        <is>
          <t>CASAB→CDGPA</t>
        </is>
      </c>
      <c r="B3" s="2" t="inlineStr">
        <is>
          <t>Air</t>
        </is>
      </c>
      <c r="C3" s="2" t="inlineStr">
        <is>
          <t>SkyLift</t>
        </is>
      </c>
      <c r="D3" s="2" t="inlineStr">
        <is>
          <t>per_kg</t>
        </is>
      </c>
      <c r="E3" s="2" t="n">
        <v>12.5</v>
      </c>
      <c r="F3" s="2" t="n">
        <v>15</v>
      </c>
      <c r="G3" s="2" t="n">
        <v>60</v>
      </c>
      <c r="H3" s="2" t="inlineStr">
        <is>
          <t>EUR</t>
        </is>
      </c>
      <c r="I3" s="2" t="inlineStr">
        <is>
          <t>2025-09-01</t>
        </is>
      </c>
      <c r="J3" s="2" t="inlineStr">
        <is>
          <t>2025-10-31</t>
        </is>
      </c>
      <c r="K3" s="2" t="inlineStr">
        <is>
          <t>Express</t>
        </is>
      </c>
    </row>
    <row r="4">
      <c r="A4" s="2" t="inlineStr">
        <is>
          <t>TNGPT→RTMDK</t>
        </is>
      </c>
      <c r="B4" s="2" t="inlineStr">
        <is>
          <t>Mer</t>
        </is>
      </c>
      <c r="C4" s="2" t="inlineStr">
        <is>
          <t>MASea</t>
        </is>
      </c>
      <c r="D4" s="2" t="inlineStr">
        <is>
          <t>per_shipment</t>
        </is>
      </c>
      <c r="E4" s="2" t="n">
        <v>1500</v>
      </c>
      <c r="F4" s="2" t="n">
        <v>18</v>
      </c>
      <c r="G4" s="2" t="n">
        <v>120</v>
      </c>
      <c r="H4" s="2" t="inlineStr">
        <is>
          <t>EUR</t>
        </is>
      </c>
      <c r="I4" s="2" t="inlineStr">
        <is>
          <t>2025-09-01</t>
        </is>
      </c>
      <c r="J4" s="2" t="inlineStr">
        <is>
          <t>2025-12-31</t>
        </is>
      </c>
      <c r="K4" s="2" t="inlineStr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7"/>
  <sheetViews>
    <sheetView workbookViewId="0">
      <selection activeCell="A1" sqref="A1"/>
    </sheetView>
  </sheetViews>
  <sheetFormatPr baseColWidth="8" defaultRowHeight="15"/>
  <cols>
    <col width="32" customWidth="1" min="1" max="1"/>
    <col width="18" customWidth="1" min="2" max="2"/>
    <col width="48" customWidth="1" min="3" max="3"/>
  </cols>
  <sheetData>
    <row r="1">
      <c r="A1" s="6" t="inlineStr">
        <is>
          <t>Indicateur</t>
        </is>
      </c>
      <c r="B1" s="6" t="inlineStr">
        <is>
          <t>Valeur</t>
        </is>
      </c>
      <c r="C1" s="6" t="inlineStr">
        <is>
          <t>Formule/Source</t>
        </is>
      </c>
      <c r="E1" s="11" t="inlineStr">
        <is>
          <t>OTIF par transporteur</t>
        </is>
      </c>
    </row>
    <row r="2">
      <c r="A2" s="2" t="inlineStr">
        <is>
          <t>Nb expéditions</t>
        </is>
      </c>
      <c r="B2" s="2">
        <f>COUNTA(TMS_Tracker!A2:A2000)</f>
        <v/>
      </c>
      <c r="C2" s="2" t="inlineStr">
        <is>
          <t>COUNT of ShipmentID</t>
        </is>
      </c>
      <c r="E2" s="12" t="inlineStr">
        <is>
          <t>Carrier</t>
        </is>
      </c>
      <c r="F2" s="12" t="inlineStr">
        <is>
          <t>Nb</t>
        </is>
      </c>
      <c r="G2" s="12" t="inlineStr">
        <is>
          <t>OTIF %</t>
        </is>
      </c>
      <c r="H2" s="12" t="inlineStr">
        <is>
          <t>Retard moyen (h)</t>
        </is>
      </c>
    </row>
    <row r="3">
      <c r="A3" s="2" t="inlineStr">
        <is>
          <t>OTIF moyen</t>
        </is>
      </c>
      <c r="B3" s="7">
        <f>IFERROR(AVERAGE(TMS_Tracker!AC2:AC2000),"")</f>
        <v/>
      </c>
      <c r="C3" s="2" t="inlineStr">
        <is>
          <t>Average of OTIF</t>
        </is>
      </c>
      <c r="E3">
        <f>IFERROR(Carriers!A2,"")</f>
        <v/>
      </c>
      <c r="F3">
        <f>IFERROR(COUNTIF(TMS_Tracker!$I$2:$I$2000, E3),"")</f>
        <v/>
      </c>
      <c r="G3">
        <f>IFERROR(AVERAGEIF(TMS_Tracker!$I$2:$I$2000, E3, TMS_Tracker!$AC$2:$AC$2000), "")</f>
        <v/>
      </c>
      <c r="H3">
        <f>IFERROR(AVERAGEIF(TMS_Tracker!$I$2:$I$2000, E3, TMS_Tracker!$AE$2:$AE$2000), "")</f>
        <v/>
      </c>
    </row>
    <row r="4">
      <c r="A4" s="2" t="inlineStr">
        <is>
          <t>Retard moyen (heures)</t>
        </is>
      </c>
      <c r="B4" s="2">
        <f>IFERROR(AVERAGEIF(TMS_Tracker!AE2:AE2000, "&gt;0"),"")</f>
        <v/>
      </c>
      <c r="C4" s="2" t="inlineStr">
        <is>
          <t>AVERAGEIF DelayHours&gt;0</t>
        </is>
      </c>
      <c r="E4">
        <f>IFERROR(Carriers!A3,"")</f>
        <v/>
      </c>
      <c r="F4">
        <f>IFERROR(COUNTIF(TMS_Tracker!$I$2:$I$2000, E4),"")</f>
        <v/>
      </c>
      <c r="G4">
        <f>IFERROR(AVERAGEIF(TMS_Tracker!$I$2:$I$2000, E4, TMS_Tracker!$AC$2:$AC$2000), "")</f>
        <v/>
      </c>
      <c r="H4">
        <f>IFERROR(AVERAGEIF(TMS_Tracker!$I$2:$I$2000, E4, TMS_Tracker!$AE$2:$AE$2000), "")</f>
        <v/>
      </c>
    </row>
    <row r="5">
      <c r="A5" s="2" t="inlineStr">
        <is>
          <t>Coût total (toutes devises)</t>
        </is>
      </c>
      <c r="B5" s="2">
        <f>IFERROR(SUM(TMS_Tracker!AB2:AB2000),"")</f>
        <v/>
      </c>
      <c r="C5" s="2" t="inlineStr">
        <is>
          <t>Sum of TotalCost (attention devises)</t>
        </is>
      </c>
      <c r="E5">
        <f>IFERROR(Carriers!A4,"")</f>
        <v/>
      </c>
      <c r="F5">
        <f>IFERROR(COUNTIF(TMS_Tracker!$I$2:$I$2000, E5),"")</f>
        <v/>
      </c>
      <c r="G5">
        <f>IFERROR(AVERAGEIF(TMS_Tracker!$I$2:$I$2000, E5, TMS_Tracker!$AC$2:$AC$2000), "")</f>
        <v/>
      </c>
      <c r="H5">
        <f>IFERROR(AVERAGEIF(TMS_Tracker!$I$2:$I$2000, E5, TMS_Tracker!$AE$2:$AE$2000), "")</f>
        <v/>
      </c>
    </row>
    <row r="6">
      <c r="A6" s="2" t="inlineStr">
        <is>
          <t>Incidents ouverts</t>
        </is>
      </c>
      <c r="B6" s="7">
        <f>COUNTIF(Incidents!E2:E2000, "&lt;&gt;clos")</f>
        <v/>
      </c>
      <c r="C6" s="2" t="inlineStr">
        <is>
          <t>Open incidents</t>
        </is>
      </c>
      <c r="E6">
        <f>IFERROR(Carriers!A5,"")</f>
        <v/>
      </c>
      <c r="F6">
        <f>IFERROR(COUNTIF(TMS_Tracker!$I$2:$I$2000, E6),"")</f>
        <v/>
      </c>
      <c r="G6">
        <f>IFERROR(AVERAGEIF(TMS_Tracker!$I$2:$I$2000, E6, TMS_Tracker!$AC$2:$AC$2000), "")</f>
        <v/>
      </c>
      <c r="H6">
        <f>IFERROR(AVERAGEIF(TMS_Tracker!$I$2:$I$2000, E6, TMS_Tracker!$AE$2:$AE$2000), "")</f>
        <v/>
      </c>
    </row>
    <row r="7">
      <c r="A7" s="2" t="inlineStr">
        <is>
          <t>% Delivered</t>
        </is>
      </c>
      <c r="B7" s="2">
        <f>IFERROR(COUNTIF(TMS_Tracker!S2:S2000, "Delivered")/COUNTA(TMS_Tracker!A2:A2000),"")</f>
        <v/>
      </c>
      <c r="C7" s="2" t="inlineStr">
        <is>
          <t>Delivered / Total</t>
        </is>
      </c>
      <c r="E7">
        <f>IFERROR(Carriers!A6,"")</f>
        <v/>
      </c>
      <c r="F7">
        <f>IFERROR(COUNTIF(TMS_Tracker!$I$2:$I$2000, E7),"")</f>
        <v/>
      </c>
      <c r="G7">
        <f>IFERROR(AVERAGEIF(TMS_Tracker!$I$2:$I$2000, E7, TMS_Tracker!$AC$2:$AC$2000), "")</f>
        <v/>
      </c>
      <c r="H7">
        <f>IFERROR(AVERAGEIF(TMS_Tracker!$I$2:$I$2000, E7, TMS_Tracker!$AE$2:$AE$2000), "")</f>
        <v/>
      </c>
    </row>
  </sheetData>
  <conditionalFormatting sqref="B3">
    <cfRule type="expression" priority="1" dxfId="0">
      <formula>$B3&gt;=0.95</formula>
    </cfRule>
    <cfRule type="expression" priority="2" dxfId="2">
      <formula>AND($B3&gt;=0.90, $B3&lt;0.95)</formula>
    </cfRule>
    <cfRule type="expression" priority="3" dxfId="1">
      <formula>$B3&lt;0.90</formula>
    </cfRule>
  </conditionalFormatting>
  <conditionalFormatting sqref="B6">
    <cfRule type="expression" priority="4" dxfId="0">
      <formula>$B6&gt;=0.95</formula>
    </cfRule>
    <cfRule type="expression" priority="5" dxfId="2">
      <formula>AND($B6&gt;=0.90, $B6&lt;0.95)</formula>
    </cfRule>
    <cfRule type="expression" priority="6" dxfId="1">
      <formula>$B6&lt;0.90</formula>
    </cfRule>
  </conditionalFormatting>
  <conditionalFormatting sqref="B5">
    <cfRule type="expression" priority="7" dxfId="1">
      <formula>$B$5&gt;0</formula>
    </cfRule>
    <cfRule type="expression" priority="8" dxfId="0">
      <formula>$B$5=0</formula>
    </cfRule>
  </conditionalFormatting>
  <conditionalFormatting sqref="G3:G7">
    <cfRule type="expression" priority="9" dxfId="0">
      <formula>$G3&gt;=0.95</formula>
    </cfRule>
    <cfRule type="expression" priority="10" dxfId="2">
      <formula>AND($G3&gt;=0.90,$G3&lt;0.95)</formula>
    </cfRule>
    <cfRule type="expression" priority="11" dxfId="1">
      <formula>$G3&lt;0.90</formula>
    </cfRule>
  </conditionalFormatting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23"/>
  <sheetViews>
    <sheetView workbookViewId="0">
      <selection activeCell="A1" sqref="A1"/>
    </sheetView>
  </sheetViews>
  <sheetFormatPr baseColWidth="8" defaultRowHeight="15"/>
  <sheetData>
    <row r="1">
      <c r="A1" s="8" t="inlineStr">
        <is>
          <t>Tableau de bord — TMS</t>
        </is>
      </c>
    </row>
    <row r="2">
      <c r="F2" t="inlineStr">
        <is>
          <t>Status</t>
        </is>
      </c>
      <c r="G2" t="inlineStr">
        <is>
          <t>Nb</t>
        </is>
      </c>
    </row>
    <row r="3">
      <c r="A3" s="9" t="inlineStr">
        <is>
          <t>Nb expéditions</t>
        </is>
      </c>
      <c r="B3">
        <f>KPIs!B2</f>
        <v/>
      </c>
      <c r="F3" t="inlineStr">
        <is>
          <t>Planned</t>
        </is>
      </c>
      <c r="G3">
        <f>COUNTIF(TMS_Tracker!S2:S2000, "Planned")</f>
        <v/>
      </c>
    </row>
    <row r="4">
      <c r="A4" s="9" t="inlineStr">
        <is>
          <t>OTIF moyen</t>
        </is>
      </c>
      <c r="B4">
        <f>KPIs!B3</f>
        <v/>
      </c>
      <c r="F4" t="inlineStr">
        <is>
          <t>Booked</t>
        </is>
      </c>
      <c r="G4">
        <f>COUNTIF(TMS_Tracker!S2:S2000, "Booked")</f>
        <v/>
      </c>
    </row>
    <row r="5">
      <c r="A5" s="9" t="inlineStr">
        <is>
          <t>Incidents ouverts</t>
        </is>
      </c>
      <c r="B5">
        <f>KPIs!B5</f>
        <v/>
      </c>
      <c r="F5" t="inlineStr">
        <is>
          <t>In-Transit</t>
        </is>
      </c>
      <c r="G5">
        <f>COUNTIF(TMS_Tracker!S2:S2000, "In-Transit")</f>
        <v/>
      </c>
    </row>
    <row r="6">
      <c r="F6" t="inlineStr">
        <is>
          <t>Delivered</t>
        </is>
      </c>
      <c r="G6">
        <f>COUNTIF(TMS_Tracker!S2:S2000, "Delivered")</f>
        <v/>
      </c>
    </row>
    <row r="7">
      <c r="F7" t="inlineStr">
        <is>
          <t>On-Hold</t>
        </is>
      </c>
      <c r="G7">
        <f>COUNTIF(TMS_Tracker!S2:S2000, "On-Hold")</f>
        <v/>
      </c>
    </row>
    <row r="8">
      <c r="F8" t="inlineStr">
        <is>
          <t>Canceled</t>
        </is>
      </c>
      <c r="G8">
        <f>COUNTIF(TMS_Tracker!S2:S2000, "Canceled")</f>
        <v/>
      </c>
    </row>
    <row r="10">
      <c r="F10" t="inlineStr">
        <is>
          <t>Libellé</t>
        </is>
      </c>
      <c r="G10" t="inlineStr">
        <is>
          <t>Valeur</t>
        </is>
      </c>
    </row>
    <row r="11">
      <c r="F11" t="inlineStr">
        <is>
          <t>OTIF=1</t>
        </is>
      </c>
      <c r="G11">
        <f>COUNTIF(TMS_Tracker!AC2:AC2000,1)</f>
        <v/>
      </c>
    </row>
    <row r="12">
      <c r="F12" t="inlineStr">
        <is>
          <t>OTIF=0</t>
        </is>
      </c>
      <c r="G12">
        <f>COUNTIF(TMS_Tracker!AC2:AC2000,0)</f>
        <v/>
      </c>
    </row>
    <row r="18">
      <c r="A18" s="11" t="inlineStr">
        <is>
          <t>Retards (heures) par transporteur</t>
        </is>
      </c>
      <c r="F18" s="11" t="inlineStr">
        <is>
          <t>Carrier</t>
        </is>
      </c>
      <c r="G18" s="11" t="inlineStr">
        <is>
          <t>Retard moy (h)</t>
        </is>
      </c>
    </row>
    <row r="19">
      <c r="F19">
        <f>KPIs!E19</f>
        <v/>
      </c>
      <c r="G19">
        <f>KPIs!H19</f>
        <v/>
      </c>
    </row>
    <row r="20">
      <c r="F20">
        <f>KPIs!E20</f>
        <v/>
      </c>
      <c r="G20">
        <f>KPIs!H20</f>
        <v/>
      </c>
    </row>
    <row r="21">
      <c r="F21">
        <f>KPIs!E21</f>
        <v/>
      </c>
      <c r="G21">
        <f>KPIs!H21</f>
        <v/>
      </c>
    </row>
    <row r="22">
      <c r="F22">
        <f>KPIs!E22</f>
        <v/>
      </c>
      <c r="G22">
        <f>KPIs!H22</f>
        <v/>
      </c>
    </row>
    <row r="23">
      <c r="F23">
        <f>KPIs!E23</f>
        <v/>
      </c>
      <c r="G23">
        <f>KPIs!H23</f>
        <v/>
      </c>
    </row>
  </sheetData>
  <mergeCells count="1">
    <mergeCell ref="A1:D1"/>
  </mergeCells>
  <pageMargins left="0.75" right="0.75" top="1" bottom="1" header="0.5" footer="0.5"/>
  <drawing xmlns:r="http://schemas.openxmlformats.org/officeDocument/2006/relationships" r:id="rId1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sheetData>
    <row r="1">
      <c r="A1" s="10" t="inlineStr">
        <is>
          <t>Mode d’emploi — TMS_Tracker_Automatisé.xlsx</t>
        </is>
      </c>
    </row>
    <row r="3">
      <c r="A3" t="inlineStr">
        <is>
          <t>1) Remplir TMS_Tracker : Client, orig/dest (UNLOC), Mode, Incoterm, Carrier, promesses &amp; réels, coûts.</t>
        </is>
      </c>
    </row>
    <row r="4">
      <c r="A4" t="inlineStr">
        <is>
          <t>2) OTIF/DIFOT/Transit/Retard/SLA se calculent automatiquement. Les couleurs signalent les priorités.</t>
        </is>
      </c>
    </row>
    <row r="5">
      <c r="A5" t="inlineStr">
        <is>
          <t>3) Saisir les événements dans Milestones ; Incidents pour retards/avarie/douane (alerte si échéance dépassée).</t>
        </is>
      </c>
    </row>
    <row r="6">
      <c r="A6" t="inlineStr">
        <is>
          <t>4) KPIs &amp; Dashboard se mettent à jour automatiquement (OTIF, statuts, incidents).</t>
        </is>
      </c>
    </row>
    <row r="7">
      <c r="A7" t="inlineStr">
        <is>
          <t>5) Adapter Parametres (listes) et Rates (tarifs) à vos transporteurs et vos lanes.</t>
        </is>
      </c>
    </row>
    <row r="8">
      <c r="A8" t="inlineStr">
        <is>
          <t>6) Attention aux devises : le total cumulé mélange les monnaies (utiliser filtres par devise).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cols>
    <col width="10" customWidth="1" min="1" max="1"/>
    <col width="14" customWidth="1" min="2" max="2"/>
    <col width="12" customWidth="1" min="3" max="3"/>
  </cols>
  <sheetData>
    <row r="1"/>
    <row r="2">
      <c r="A2" t="inlineStr">
        <is>
          <t>Currency</t>
        </is>
      </c>
      <c r="B2" t="inlineStr">
        <is>
          <t>ToMAD_Rate</t>
        </is>
      </c>
      <c r="C2" t="inlineStr">
        <is>
          <t>AsOf</t>
        </is>
      </c>
    </row>
    <row r="3">
      <c r="A3" t="inlineStr">
        <is>
          <t>MAD</t>
        </is>
      </c>
      <c r="B3" t="n">
        <v>1</v>
      </c>
      <c r="C3" t="inlineStr">
        <is>
          <t>2025-09-20</t>
        </is>
      </c>
    </row>
    <row r="4">
      <c r="A4" t="inlineStr">
        <is>
          <t>EUR</t>
        </is>
      </c>
      <c r="B4" t="n">
        <v>11</v>
      </c>
      <c r="C4" t="inlineStr">
        <is>
          <t>2025-09-20</t>
        </is>
      </c>
    </row>
    <row r="5">
      <c r="A5" t="inlineStr">
        <is>
          <t>USD</t>
        </is>
      </c>
      <c r="B5" t="n">
        <v>10.2</v>
      </c>
      <c r="C5" t="inlineStr">
        <is>
          <t>2025-09-20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2025-09-20T01:30:47Z</dcterms:created>
  <dcterms:modified xmlns:dcterms="http://purl.org/dc/terms/" xmlns:xsi="http://www.w3.org/2001/XMLSchema-instance" xsi:type="dcterms:W3CDTF">2025-09-20T01:30:47Z</dcterms:modified>
</cp:coreProperties>
</file>