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drawings/drawing1.xml" ContentType="application/vnd.openxmlformats-officedocument.drawing+xml"/>
  <Override PartName="/xl/worksheets/sheet5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peditions" sheetId="1" state="visible" r:id="rId1"/>
    <sheet xmlns:r="http://schemas.openxmlformats.org/officeDocument/2006/relationships" name="Lists" sheetId="2" state="visible" r:id="rId2"/>
    <sheet xmlns:r="http://schemas.openxmlformats.org/officeDocument/2006/relationships" name="KPIs" sheetId="3" state="visible" r:id="rId3"/>
    <sheet xmlns:r="http://schemas.openxmlformats.org/officeDocument/2006/relationships" name="Dashboard" sheetId="4" state="visible" r:id="rId4"/>
    <sheet xmlns:r="http://schemas.openxmlformats.org/officeDocument/2006/relationships" name="README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 h:mm:ss"/>
  </numFmts>
  <fonts count="5">
    <font>
      <name val="Calibri"/>
      <family val="2"/>
      <color theme="1"/>
      <sz val="11"/>
      <scheme val="minor"/>
    </font>
    <font>
      <b val="1"/>
      <color rgb="00FFFFFF"/>
    </font>
    <font>
      <b val="1"/>
      <sz val="14"/>
    </font>
    <font>
      <b val="1"/>
    </font>
    <font>
      <b val="1"/>
      <sz val="12"/>
    </font>
  </fonts>
  <fills count="4">
    <fill>
      <patternFill/>
    </fill>
    <fill>
      <patternFill patternType="gray125"/>
    </fill>
    <fill>
      <patternFill patternType="solid">
        <fgColor rgb="001F4E78"/>
      </patternFill>
    </fill>
    <fill>
      <patternFill patternType="solid">
        <fgColor rgb="00D9E1F2"/>
      </patternFill>
    </fill>
  </fills>
  <borders count="2">
    <border>
      <left/>
      <right/>
      <top/>
      <bottom/>
      <diagonal/>
    </border>
    <border>
      <left style="thin">
        <color rgb="00DDDDDD"/>
      </left>
      <right style="thin">
        <color rgb="00DDDDDD"/>
      </right>
      <top style="thin">
        <color rgb="00DDDDDD"/>
      </top>
      <bottom style="thin">
        <color rgb="00DDDDDD"/>
      </bottom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left" vertical="center" wrapText="1"/>
    </xf>
    <xf numFmtId="164" fontId="0" fillId="0" borderId="1" applyAlignment="1" pivotButton="0" quotePrefix="0" xfId="0">
      <alignment horizontal="left" vertical="center" wrapText="1"/>
    </xf>
    <xf numFmtId="0" fontId="1" fillId="2" borderId="0" applyAlignment="1" pivotButton="0" quotePrefix="0" xfId="0">
      <alignment horizontal="center" vertical="center" wrapText="1"/>
    </xf>
    <xf numFmtId="0" fontId="2" fillId="0" borderId="0" pivotButton="0" quotePrefix="0" xfId="0"/>
    <xf numFmtId="0" fontId="3" fillId="3" borderId="0" pivotButton="0" quotePrefix="0" xfId="0"/>
    <xf numFmtId="1" fontId="0" fillId="0" borderId="0" pivotButton="0" quotePrefix="0" xfId="0"/>
    <xf numFmtId="10" fontId="0" fillId="0" borderId="0" pivotButton="0" quotePrefix="0" xfId="0"/>
    <xf numFmtId="0" fontId="4" fillId="0" borderId="0" pivotButton="0" quotePrefix="0" xfId="0"/>
  </cellXfs>
  <cellStyles count="1">
    <cellStyle name="Normal" xfId="0" builtinId="0" hidden="0"/>
  </cellStyles>
  <dxfs count="4">
    <dxf>
      <fill>
        <patternFill patternType="solid">
          <fgColor rgb="00C6EFCE"/>
        </patternFill>
      </fill>
    </dxf>
    <dxf>
      <fill>
        <patternFill patternType="solid">
          <fgColor rgb="00FFC7CE"/>
        </patternFill>
      </fill>
    </dxf>
    <dxf>
      <fill>
        <patternFill patternType="solid">
          <fgColor rgb="00FFD966"/>
        </patternFill>
      </fill>
    </dxf>
    <dxf>
      <fill>
        <patternFill patternType="solid">
          <fgColor rgb="00FFE699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Expéditions par mode</a:t>
            </a:r>
          </a:p>
        </rich>
      </tx>
    </title>
    <plotArea>
      <barChart>
        <barDir val="col"/>
        <grouping val="clustered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'Dashboard'!$F$3:$F$5</f>
            </numRef>
          </cat>
          <val>
            <numRef>
              <f>'Dashboard'!$G$3:$G$5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Mode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Nb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Répartition OTIF</a:t>
            </a:r>
          </a:p>
        </rich>
      </tx>
    </title>
    <plotArea>
      <pieChart>
        <varyColors val="1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'Dashboard'!$F$8:$F$9</f>
            </numRef>
          </cat>
          <val>
            <numRef>
              <f>'Dashboard'!$G$8:$G$9</f>
            </numRef>
          </val>
        </ser>
        <dLbls>
          <showPercent val="1"/>
        </dLbls>
        <firstSliceAng val="0"/>
      </pieChart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oneCellAnchor>
    <from>
      <col>0</col>
      <colOff>0</colOff>
      <row>6</row>
      <rowOff>0</rowOff>
    </from>
    <ext cx="5760000" cy="36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5</col>
      <colOff>0</colOff>
      <row>10</row>
      <rowOff>0</rowOff>
    </from>
    <ext cx="4320000" cy="360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ables/table1.xml><?xml version="1.0" encoding="utf-8"?>
<table xmlns="http://schemas.openxmlformats.org/spreadsheetml/2006/main" id="1" name="tblExpeditions" displayName="tblExpeditions" ref="A1:AF11" headerRowCount="1">
  <autoFilter ref="A1:AF11"/>
  <tableColumns count="32">
    <tableColumn id="1" name="ShipmentID"/>
    <tableColumn id="2" name="OrderID"/>
    <tableColumn id="3" name="Client"/>
    <tableColumn id="4" name="SiteExpedition"/>
    <tableColumn id="5" name="Incoterm"/>
    <tableColumn id="6" name="Mode"/>
    <tableColumn id="7" name="Transporteur"/>
    <tableColumn id="8" name="Tracking"/>
    <tableColumn id="9" name="UNLOCODE_Orig"/>
    <tableColumn id="10" name="UNLOCODE_Dest"/>
    <tableColumn id="11" name="DatePromesseDepart"/>
    <tableColumn id="12" name="DatePromesseLivraison"/>
    <tableColumn id="13" name="FenetreStart"/>
    <tableColumn id="14" name="FenetreEnd"/>
    <tableColumn id="15" name="DateDepartReel"/>
    <tableColumn id="16" name="DateLivraisonReelle"/>
    <tableColumn id="17" name="ETA_Courant"/>
    <tableColumn id="18" name="LivreComplet(Oui/Non)"/>
    <tableColumn id="19" name="OTIF"/>
    <tableColumn id="20" name="DIFOT"/>
    <tableColumn id="21" name="TransitTime(j)"/>
    <tableColumn id="22" name="EcartDelai(heures)"/>
    <tableColumn id="23" name="Aging_Depart(j)"/>
    <tableColumn id="24" name="SLA_Breach(O/N)"/>
    <tableColumn id="25" name="LateBucket"/>
    <tableColumn id="26" name="IncidentType"/>
    <tableColumn id="27" name="Gravite"/>
    <tableColumn id="28" name="StatutIncident"/>
    <tableColumn id="29" name="Responsable"/>
    <tableColumn id="30" name="DateEcheance"/>
    <tableColumn id="31" name="CoutEstime(€)"/>
    <tableColumn id="32" name="Commentaires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4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F11"/>
  <sheetViews>
    <sheetView workbookViewId="0">
      <selection activeCell="A1" sqref="A1"/>
    </sheetView>
  </sheetViews>
  <sheetFormatPr baseColWidth="8" defaultRowHeight="15"/>
  <cols>
    <col width="18" customWidth="1" min="1" max="1"/>
    <col width="16" customWidth="1" min="2" max="2"/>
    <col width="20" customWidth="1" min="3" max="3"/>
    <col width="18" customWidth="1" min="4" max="4"/>
    <col width="10" customWidth="1" min="5" max="5"/>
    <col width="10" customWidth="1" min="6" max="6"/>
    <col width="16" customWidth="1" min="7" max="7"/>
    <col width="16" customWidth="1" min="8" max="8"/>
    <col width="12" customWidth="1" min="9" max="9"/>
    <col width="12" customWidth="1" min="10" max="10"/>
    <col width="20" customWidth="1" min="11" max="11"/>
    <col width="22" customWidth="1" min="12" max="12"/>
    <col width="18" customWidth="1" min="13" max="13"/>
    <col width="18" customWidth="1" min="14" max="14"/>
    <col width="20" customWidth="1" min="15" max="15"/>
    <col width="22" customWidth="1" min="16" max="16"/>
    <col width="20" customWidth="1" min="17" max="17"/>
    <col width="16" customWidth="1" min="18" max="18"/>
    <col width="8" customWidth="1" min="19" max="19"/>
    <col width="8" customWidth="1" min="20" max="20"/>
    <col width="16" customWidth="1" min="21" max="21"/>
    <col width="18" customWidth="1" min="22" max="22"/>
    <col width="16" customWidth="1" min="23" max="23"/>
    <col width="14" customWidth="1" min="24" max="24"/>
    <col width="12" customWidth="1" min="25" max="25"/>
    <col width="14" customWidth="1" min="26" max="26"/>
    <col width="12" customWidth="1" min="27" max="27"/>
    <col width="14" customWidth="1" min="28" max="28"/>
    <col width="16" customWidth="1" min="29" max="29"/>
    <col width="18" customWidth="1" min="30" max="30"/>
    <col width="14" customWidth="1" min="31" max="31"/>
    <col width="28" customWidth="1" min="32" max="32"/>
  </cols>
  <sheetData>
    <row r="1">
      <c r="A1" s="1" t="inlineStr">
        <is>
          <t>ShipmentID</t>
        </is>
      </c>
      <c r="B1" s="1" t="inlineStr">
        <is>
          <t>OrderID</t>
        </is>
      </c>
      <c r="C1" s="1" t="inlineStr">
        <is>
          <t>Client</t>
        </is>
      </c>
      <c r="D1" s="1" t="inlineStr">
        <is>
          <t>SiteExpedition</t>
        </is>
      </c>
      <c r="E1" s="1" t="inlineStr">
        <is>
          <t>Incoterm</t>
        </is>
      </c>
      <c r="F1" s="1" t="inlineStr">
        <is>
          <t>Mode</t>
        </is>
      </c>
      <c r="G1" s="1" t="inlineStr">
        <is>
          <t>Transporteur</t>
        </is>
      </c>
      <c r="H1" s="1" t="inlineStr">
        <is>
          <t>Tracking</t>
        </is>
      </c>
      <c r="I1" s="1" t="inlineStr">
        <is>
          <t>UNLOCODE_Orig</t>
        </is>
      </c>
      <c r="J1" s="1" t="inlineStr">
        <is>
          <t>UNLOCODE_Dest</t>
        </is>
      </c>
      <c r="K1" s="1" t="inlineStr">
        <is>
          <t>DatePromesseDepart</t>
        </is>
      </c>
      <c r="L1" s="1" t="inlineStr">
        <is>
          <t>DatePromesseLivraison</t>
        </is>
      </c>
      <c r="M1" s="1" t="inlineStr">
        <is>
          <t>FenetreStart</t>
        </is>
      </c>
      <c r="N1" s="1" t="inlineStr">
        <is>
          <t>FenetreEnd</t>
        </is>
      </c>
      <c r="O1" s="1" t="inlineStr">
        <is>
          <t>DateDepartReel</t>
        </is>
      </c>
      <c r="P1" s="1" t="inlineStr">
        <is>
          <t>DateLivraisonReelle</t>
        </is>
      </c>
      <c r="Q1" s="1" t="inlineStr">
        <is>
          <t>ETA_Courant</t>
        </is>
      </c>
      <c r="R1" s="1" t="inlineStr">
        <is>
          <t>LivreComplet(Oui/Non)</t>
        </is>
      </c>
      <c r="S1" s="1" t="inlineStr">
        <is>
          <t>OTIF</t>
        </is>
      </c>
      <c r="T1" s="1" t="inlineStr">
        <is>
          <t>DIFOT</t>
        </is>
      </c>
      <c r="U1" s="1" t="inlineStr">
        <is>
          <t>TransitTime(j)</t>
        </is>
      </c>
      <c r="V1" s="1" t="inlineStr">
        <is>
          <t>EcartDelai(heures)</t>
        </is>
      </c>
      <c r="W1" s="1" t="inlineStr">
        <is>
          <t>Aging_Depart(j)</t>
        </is>
      </c>
      <c r="X1" s="1" t="inlineStr">
        <is>
          <t>SLA_Breach(O/N)</t>
        </is>
      </c>
      <c r="Y1" s="1" t="inlineStr">
        <is>
          <t>LateBucket</t>
        </is>
      </c>
      <c r="Z1" s="1" t="inlineStr">
        <is>
          <t>IncidentType</t>
        </is>
      </c>
      <c r="AA1" s="1" t="inlineStr">
        <is>
          <t>Gravite</t>
        </is>
      </c>
      <c r="AB1" s="1" t="inlineStr">
        <is>
          <t>StatutIncident</t>
        </is>
      </c>
      <c r="AC1" s="1" t="inlineStr">
        <is>
          <t>Responsable</t>
        </is>
      </c>
      <c r="AD1" s="1" t="inlineStr">
        <is>
          <t>DateEcheance</t>
        </is>
      </c>
      <c r="AE1" s="1" t="inlineStr">
        <is>
          <t>CoutEstime(€)</t>
        </is>
      </c>
      <c r="AF1" s="1" t="inlineStr">
        <is>
          <t>Commentaires</t>
        </is>
      </c>
    </row>
    <row r="2">
      <c r="A2" s="2" t="inlineStr">
        <is>
          <t>EXP-2025-0919-001</t>
        </is>
      </c>
      <c r="B2" s="2" t="inlineStr">
        <is>
          <t>ORD-1542</t>
        </is>
      </c>
      <c r="C2" s="3" t="inlineStr">
        <is>
          <t>Helios Foods</t>
        </is>
      </c>
      <c r="D2" s="3" t="inlineStr">
        <is>
          <t>Marrakech</t>
        </is>
      </c>
      <c r="E2" s="2" t="inlineStr">
        <is>
          <t>DAP</t>
        </is>
      </c>
      <c r="F2" s="2" t="inlineStr">
        <is>
          <t>Route</t>
        </is>
      </c>
      <c r="G2" s="2" t="inlineStr">
        <is>
          <t>FastRoad</t>
        </is>
      </c>
      <c r="H2" s="2" t="inlineStr">
        <is>
          <t>TRK8451</t>
        </is>
      </c>
      <c r="I2" s="3" t="inlineStr">
        <is>
          <t>MARRA</t>
        </is>
      </c>
      <c r="J2" s="3" t="inlineStr">
        <is>
          <t>CASAB</t>
        </is>
      </c>
      <c r="K2" s="4" t="n">
        <v>45920.41666666666</v>
      </c>
      <c r="L2" s="4" t="n">
        <v>45921.41666666666</v>
      </c>
      <c r="M2" s="4" t="n">
        <v>45920.375</v>
      </c>
      <c r="N2" s="4" t="n">
        <v>45920.5</v>
      </c>
      <c r="O2" s="4" t="n">
        <v>45920.41666666666</v>
      </c>
      <c r="P2" s="4" t="n">
        <v>45921.45833333334</v>
      </c>
      <c r="Q2" s="4" t="n">
        <v>45921.45833333334</v>
      </c>
      <c r="R2" s="2" t="inlineStr">
        <is>
          <t>Oui</t>
        </is>
      </c>
      <c r="S2" s="2">
        <f>IF(AND(R2="Oui", P2&lt;=L2, P2&gt;=M2, P2&lt;=N2),1,0)</f>
        <v/>
      </c>
      <c r="T2" s="2">
        <f>S2</f>
        <v/>
      </c>
      <c r="U2" s="2">
        <f>IF(AND(LEN(P2)&gt;0, LEN(O2)&gt;0), P2-O2, "")</f>
        <v/>
      </c>
      <c r="V2" s="2">
        <f>IF(AND(LEN(P2)&gt;0, LEN(L2)&gt;0), (P2-L2)*24, "")</f>
        <v/>
      </c>
      <c r="W2" s="2">
        <f>IF(LEN(O2)&gt;0, TODAY()-O2, "")</f>
        <v/>
      </c>
      <c r="X2" s="2">
        <f>IF(OR(P2&gt;L2, AND(AC2&lt;&gt;"clos", AA2="majeur")), "O", "N")</f>
        <v/>
      </c>
      <c r="Y2" s="3">
        <f>IF(S2=1, "OK", IF(P2-L2&lt;=0, "OK", IF((P2-L2)*24&lt;=6, "0–6h", IF((P2-L2)*24&lt;=24, "6–24h", "&gt;24h"))))</f>
        <v/>
      </c>
      <c r="Z2" s="2" t="inlineStr"/>
      <c r="AA2" s="2" t="inlineStr">
        <is>
          <t>mineur</t>
        </is>
      </c>
      <c r="AB2" s="2" t="inlineStr">
        <is>
          <t>clos</t>
        </is>
      </c>
      <c r="AC2" s="3" t="inlineStr">
        <is>
          <t>Qualité</t>
        </is>
      </c>
      <c r="AD2" s="4" t="n">
        <v>45922.41666666666</v>
      </c>
      <c r="AE2" s="3" t="n">
        <v>0</v>
      </c>
      <c r="AF2" s="3" t="inlineStr"/>
    </row>
    <row r="3">
      <c r="A3" s="2" t="inlineStr">
        <is>
          <t>EXP-2025-0919-002</t>
        </is>
      </c>
      <c r="B3" s="2" t="inlineStr">
        <is>
          <t>ORD-7781</t>
        </is>
      </c>
      <c r="C3" s="3" t="inlineStr">
        <is>
          <t>Epsilon Pharma</t>
        </is>
      </c>
      <c r="D3" s="3" t="inlineStr">
        <is>
          <t>Casablanca</t>
        </is>
      </c>
      <c r="E3" s="2" t="inlineStr">
        <is>
          <t>CIP</t>
        </is>
      </c>
      <c r="F3" s="2" t="inlineStr">
        <is>
          <t>Air</t>
        </is>
      </c>
      <c r="G3" s="2" t="inlineStr">
        <is>
          <t>SkyLift</t>
        </is>
      </c>
      <c r="H3" s="2" t="inlineStr">
        <is>
          <t>AWB9981</t>
        </is>
      </c>
      <c r="I3" s="3" t="inlineStr">
        <is>
          <t>CASAB</t>
        </is>
      </c>
      <c r="J3" s="3" t="inlineStr">
        <is>
          <t>CDGPA</t>
        </is>
      </c>
      <c r="K3" s="4" t="n">
        <v>45920.41666666666</v>
      </c>
      <c r="L3" s="4" t="n">
        <v>45922.41666666666</v>
      </c>
      <c r="M3" s="4" t="n">
        <v>45922.79166666666</v>
      </c>
      <c r="N3" s="4" t="n">
        <v>45922.91666666666</v>
      </c>
      <c r="O3" s="4" t="n">
        <v>45920.66666666666</v>
      </c>
      <c r="P3" s="4" t="n">
        <v>45922.54166666666</v>
      </c>
      <c r="Q3" s="4" t="n">
        <v>45922.54166666666</v>
      </c>
      <c r="R3" s="2" t="inlineStr">
        <is>
          <t>Non</t>
        </is>
      </c>
      <c r="S3" s="2">
        <f>IF(AND(R3="Oui", P3&lt;=L3, P3&gt;=M3, P3&lt;=N3),1,0)</f>
        <v/>
      </c>
      <c r="T3" s="2">
        <f>S3</f>
        <v/>
      </c>
      <c r="U3" s="2">
        <f>IF(AND(LEN(P3)&gt;0, LEN(O3)&gt;0), P3-O3, "")</f>
        <v/>
      </c>
      <c r="V3" s="2">
        <f>IF(AND(LEN(P3)&gt;0, LEN(L3)&gt;0), (P3-L3)*24, "")</f>
        <v/>
      </c>
      <c r="W3" s="2">
        <f>IF(LEN(O3)&gt;0, TODAY()-O3, "")</f>
        <v/>
      </c>
      <c r="X3" s="2">
        <f>IF(OR(P3&gt;L3, AND(AC3&lt;&gt;"clos", AA3="majeur")), "O", "N")</f>
        <v/>
      </c>
      <c r="Y3" s="3">
        <f>IF(S3=1, "OK", IF(P3-L3&lt;=0, "OK", IF((P3-L3)*24&lt;=6, "0–6h", IF((P3-L3)*24&lt;=24, "6–24h", "&gt;24h"))))</f>
        <v/>
      </c>
      <c r="Z3" s="2" t="inlineStr">
        <is>
          <t>manquant</t>
        </is>
      </c>
      <c r="AA3" s="2" t="inlineStr">
        <is>
          <t>majeur</t>
        </is>
      </c>
      <c r="AB3" s="2" t="inlineStr">
        <is>
          <t>ouvert</t>
        </is>
      </c>
      <c r="AC3" s="3" t="inlineStr">
        <is>
          <t>Logistique</t>
        </is>
      </c>
      <c r="AD3" s="4" t="n">
        <v>45921.41666666666</v>
      </c>
      <c r="AE3" s="3" t="n">
        <v>350</v>
      </c>
      <c r="AF3" s="3" t="inlineStr">
        <is>
          <t>Carton #3</t>
        </is>
      </c>
    </row>
    <row r="4">
      <c r="A4" s="2" t="inlineStr">
        <is>
          <t>EXP-2025-0919-003</t>
        </is>
      </c>
      <c r="B4" s="2" t="inlineStr">
        <is>
          <t>ORD-6612</t>
        </is>
      </c>
      <c r="C4" s="3" t="inlineStr">
        <is>
          <t>GreenGrid</t>
        </is>
      </c>
      <c r="D4" s="3" t="inlineStr">
        <is>
          <t>Tanger</t>
        </is>
      </c>
      <c r="E4" s="2" t="inlineStr">
        <is>
          <t>DAP</t>
        </is>
      </c>
      <c r="F4" s="2" t="inlineStr">
        <is>
          <t>Mer</t>
        </is>
      </c>
      <c r="G4" s="2" t="inlineStr">
        <is>
          <t>MASea</t>
        </is>
      </c>
      <c r="H4" s="2" t="inlineStr">
        <is>
          <t>MSCU1234</t>
        </is>
      </c>
      <c r="I4" s="3" t="inlineStr">
        <is>
          <t>TNGPT</t>
        </is>
      </c>
      <c r="J4" s="3" t="inlineStr">
        <is>
          <t>RTMDK</t>
        </is>
      </c>
      <c r="K4" s="4" t="n">
        <v>45920.41666666666</v>
      </c>
      <c r="L4" s="4" t="n">
        <v>45927.41666666666</v>
      </c>
      <c r="M4" s="4" t="n">
        <v>45927.79166666666</v>
      </c>
      <c r="N4" s="4" t="n">
        <v>45928.16666666666</v>
      </c>
      <c r="O4" s="4" t="n">
        <v>45921.41666666666</v>
      </c>
      <c r="P4" s="4" t="n">
        <v>45928.58333333334</v>
      </c>
      <c r="Q4" s="4" t="n">
        <v>45928.58333333334</v>
      </c>
      <c r="R4" s="2" t="inlineStr">
        <is>
          <t>Oui</t>
        </is>
      </c>
      <c r="S4" s="2">
        <f>IF(AND(R4="Oui", P4&lt;=L4, P4&gt;=M4, P4&lt;=N4),1,0)</f>
        <v/>
      </c>
      <c r="T4" s="2">
        <f>S4</f>
        <v/>
      </c>
      <c r="U4" s="2">
        <f>IF(AND(LEN(P4)&gt;0, LEN(O4)&gt;0), P4-O4, "")</f>
        <v/>
      </c>
      <c r="V4" s="2">
        <f>IF(AND(LEN(P4)&gt;0, LEN(L4)&gt;0), (P4-L4)*24, "")</f>
        <v/>
      </c>
      <c r="W4" s="2">
        <f>IF(LEN(O4)&gt;0, TODAY()-O4, "")</f>
        <v/>
      </c>
      <c r="X4" s="2">
        <f>IF(OR(P4&gt;L4, AND(AC4&lt;&gt;"clos", AA4="majeur")), "O", "N")</f>
        <v/>
      </c>
      <c r="Y4" s="3">
        <f>IF(S4=1, "OK", IF(P4-L4&lt;=0, "OK", IF((P4-L4)*24&lt;=6, "0–6h", IF((P4-L4)*24&lt;=24, "6–24h", "&gt;24h"))))</f>
        <v/>
      </c>
      <c r="Z4" s="2" t="inlineStr"/>
      <c r="AA4" s="2" t="inlineStr">
        <is>
          <t>mineur</t>
        </is>
      </c>
      <c r="AB4" s="2" t="inlineStr">
        <is>
          <t>clos</t>
        </is>
      </c>
      <c r="AC4" s="3" t="inlineStr">
        <is>
          <t>Transport</t>
        </is>
      </c>
      <c r="AD4" s="4" t="n">
        <v>45929.41666666666</v>
      </c>
      <c r="AE4" s="3" t="n">
        <v>0</v>
      </c>
      <c r="AF4" s="3" t="inlineStr"/>
    </row>
    <row r="5">
      <c r="A5" s="2" t="inlineStr">
        <is>
          <t>EXP-2025-0918-004</t>
        </is>
      </c>
      <c r="B5" s="2" t="inlineStr">
        <is>
          <t>ORD-8890</t>
        </is>
      </c>
      <c r="C5" s="3" t="inlineStr">
        <is>
          <t>Alfa Industrie</t>
        </is>
      </c>
      <c r="D5" s="3" t="inlineStr">
        <is>
          <t>Kénitra</t>
        </is>
      </c>
      <c r="E5" s="2" t="inlineStr">
        <is>
          <t>FCA</t>
        </is>
      </c>
      <c r="F5" s="2" t="inlineStr">
        <is>
          <t>Route</t>
        </is>
      </c>
      <c r="G5" s="2" t="inlineStr">
        <is>
          <t>FastRoad</t>
        </is>
      </c>
      <c r="H5" s="2" t="inlineStr">
        <is>
          <t>TRK7361</t>
        </is>
      </c>
      <c r="I5" s="3" t="inlineStr">
        <is>
          <t>KNTRA</t>
        </is>
      </c>
      <c r="J5" s="3" t="inlineStr">
        <is>
          <t>CASAB</t>
        </is>
      </c>
      <c r="K5" s="4" t="n">
        <v>45919.41666666666</v>
      </c>
      <c r="L5" s="4" t="n">
        <v>45921.41666666666</v>
      </c>
      <c r="M5" s="4" t="n">
        <v>45921.75</v>
      </c>
      <c r="N5" s="4" t="n">
        <v>45921.91666666666</v>
      </c>
      <c r="O5" s="4" t="n">
        <v>45919.33333333334</v>
      </c>
      <c r="P5" s="4" t="n">
        <v>45921.25</v>
      </c>
      <c r="Q5" s="4" t="n">
        <v>45921.25</v>
      </c>
      <c r="R5" s="2" t="inlineStr">
        <is>
          <t>Oui</t>
        </is>
      </c>
      <c r="S5" s="2">
        <f>IF(AND(R5="Oui", P5&lt;=L5, P5&gt;=M5, P5&lt;=N5),1,0)</f>
        <v/>
      </c>
      <c r="T5" s="2">
        <f>S5</f>
        <v/>
      </c>
      <c r="U5" s="2">
        <f>IF(AND(LEN(P5)&gt;0, LEN(O5)&gt;0), P5-O5, "")</f>
        <v/>
      </c>
      <c r="V5" s="2">
        <f>IF(AND(LEN(P5)&gt;0, LEN(L5)&gt;0), (P5-L5)*24, "")</f>
        <v/>
      </c>
      <c r="W5" s="2">
        <f>IF(LEN(O5)&gt;0, TODAY()-O5, "")</f>
        <v/>
      </c>
      <c r="X5" s="2">
        <f>IF(OR(P5&gt;L5, AND(AC5&lt;&gt;"clos", AA5="majeur")), "O", "N")</f>
        <v/>
      </c>
      <c r="Y5" s="3">
        <f>IF(S5=1, "OK", IF(P5-L5&lt;=0, "OK", IF((P5-L5)*24&lt;=6, "0–6h", IF((P5-L5)*24&lt;=24, "6–24h", "&gt;24h"))))</f>
        <v/>
      </c>
      <c r="Z5" s="2" t="inlineStr"/>
      <c r="AA5" s="2" t="inlineStr">
        <is>
          <t>mineur</t>
        </is>
      </c>
      <c r="AB5" s="2" t="inlineStr">
        <is>
          <t>clos</t>
        </is>
      </c>
      <c r="AC5" s="3" t="inlineStr">
        <is>
          <t>Exploitation</t>
        </is>
      </c>
      <c r="AD5" s="4" t="n">
        <v>45921.41666666666</v>
      </c>
      <c r="AE5" s="3" t="n">
        <v>0</v>
      </c>
      <c r="AF5" s="3" t="inlineStr"/>
    </row>
    <row r="6">
      <c r="A6" s="2" t="inlineStr">
        <is>
          <t>EXP-2025-0917-005</t>
        </is>
      </c>
      <c r="B6" s="2" t="inlineStr">
        <is>
          <t>ORD-9901</t>
        </is>
      </c>
      <c r="C6" s="3" t="inlineStr">
        <is>
          <t>Delta Logistics</t>
        </is>
      </c>
      <c r="D6" s="3" t="inlineStr">
        <is>
          <t>Settat</t>
        </is>
      </c>
      <c r="E6" s="2" t="inlineStr">
        <is>
          <t>DDP</t>
        </is>
      </c>
      <c r="F6" s="2" t="inlineStr">
        <is>
          <t>Route</t>
        </is>
      </c>
      <c r="G6" s="2" t="inlineStr">
        <is>
          <t>TransX</t>
        </is>
      </c>
      <c r="H6" s="2" t="inlineStr">
        <is>
          <t>TRK9901</t>
        </is>
      </c>
      <c r="I6" s="3" t="inlineStr">
        <is>
          <t>SETAT</t>
        </is>
      </c>
      <c r="J6" s="3" t="inlineStr">
        <is>
          <t>MARRA</t>
        </is>
      </c>
      <c r="K6" s="4" t="n">
        <v>45918.41666666666</v>
      </c>
      <c r="L6" s="4" t="n">
        <v>45920.41666666666</v>
      </c>
      <c r="M6" s="4" t="n">
        <v>45920.41666666666</v>
      </c>
      <c r="N6" s="4" t="n">
        <v>45920.66666666666</v>
      </c>
      <c r="O6" s="4" t="n">
        <v>45918.375</v>
      </c>
      <c r="P6" s="4" t="n">
        <v>45920.58333333334</v>
      </c>
      <c r="Q6" s="4" t="n">
        <v>45920.58333333334</v>
      </c>
      <c r="R6" s="2" t="inlineStr">
        <is>
          <t>Non</t>
        </is>
      </c>
      <c r="S6" s="2">
        <f>IF(AND(R6="Oui", P6&lt;=L6, P6&gt;=M6, P6&lt;=N6),1,0)</f>
        <v/>
      </c>
      <c r="T6" s="2">
        <f>S6</f>
        <v/>
      </c>
      <c r="U6" s="2">
        <f>IF(AND(LEN(P6)&gt;0, LEN(O6)&gt;0), P6-O6, "")</f>
        <v/>
      </c>
      <c r="V6" s="2">
        <f>IF(AND(LEN(P6)&gt;0, LEN(L6)&gt;0), (P6-L6)*24, "")</f>
        <v/>
      </c>
      <c r="W6" s="2">
        <f>IF(LEN(O6)&gt;0, TODAY()-O6, "")</f>
        <v/>
      </c>
      <c r="X6" s="2">
        <f>IF(OR(P6&gt;L6, AND(AC6&lt;&gt;"clos", AA6="majeur")), "O", "N")</f>
        <v/>
      </c>
      <c r="Y6" s="3">
        <f>IF(S6=1, "OK", IF(P6-L6&lt;=0, "OK", IF((P6-L6)*24&lt;=6, "0–6h", IF((P6-L6)*24&lt;=24, "6–24h", "&gt;24h"))))</f>
        <v/>
      </c>
      <c r="Z6" s="2" t="inlineStr">
        <is>
          <t>retard</t>
        </is>
      </c>
      <c r="AA6" s="2" t="inlineStr">
        <is>
          <t>majeur</t>
        </is>
      </c>
      <c r="AB6" s="2" t="inlineStr">
        <is>
          <t>en cours</t>
        </is>
      </c>
      <c r="AC6" s="3" t="inlineStr">
        <is>
          <t>Transport</t>
        </is>
      </c>
      <c r="AD6" s="4" t="n">
        <v>45920.91666666666</v>
      </c>
      <c r="AE6" s="3" t="n">
        <v>120</v>
      </c>
      <c r="AF6" s="3" t="inlineStr"/>
    </row>
    <row r="7">
      <c r="A7" s="2" t="inlineStr">
        <is>
          <t>EXP-2025-0915-006</t>
        </is>
      </c>
      <c r="B7" s="2" t="inlineStr">
        <is>
          <t>ORD-4401</t>
        </is>
      </c>
      <c r="C7" s="3" t="inlineStr">
        <is>
          <t>Cobalt Mining</t>
        </is>
      </c>
      <c r="D7" s="3" t="inlineStr">
        <is>
          <t>Agadir</t>
        </is>
      </c>
      <c r="E7" s="2" t="inlineStr">
        <is>
          <t>CFR</t>
        </is>
      </c>
      <c r="F7" s="2" t="inlineStr">
        <is>
          <t>Mer</t>
        </is>
      </c>
      <c r="G7" s="2" t="inlineStr">
        <is>
          <t>MSSea</t>
        </is>
      </c>
      <c r="H7" s="2" t="inlineStr">
        <is>
          <t>MSCU5678</t>
        </is>
      </c>
      <c r="I7" s="3" t="inlineStr">
        <is>
          <t>AGADR</t>
        </is>
      </c>
      <c r="J7" s="3" t="inlineStr">
        <is>
          <t>RTMDE</t>
        </is>
      </c>
      <c r="K7" s="4" t="n">
        <v>45915.41666666666</v>
      </c>
      <c r="L7" s="4" t="n">
        <v>45923.41666666666</v>
      </c>
      <c r="M7" s="4" t="n">
        <v>45923.79166666666</v>
      </c>
      <c r="N7" s="4" t="n">
        <v>45924.16666666666</v>
      </c>
      <c r="O7" s="4" t="n">
        <v>45916.41666666666</v>
      </c>
      <c r="P7" s="4" t="n">
        <v>45924.41666666666</v>
      </c>
      <c r="Q7" s="4" t="n">
        <v>45924.41666666666</v>
      </c>
      <c r="R7" s="2" t="inlineStr">
        <is>
          <t>Oui</t>
        </is>
      </c>
      <c r="S7" s="2">
        <f>IF(AND(R7="Oui", P7&lt;=L7, P7&gt;=M7, P7&lt;=N7),1,0)</f>
        <v/>
      </c>
      <c r="T7" s="2">
        <f>S7</f>
        <v/>
      </c>
      <c r="U7" s="2">
        <f>IF(AND(LEN(P7)&gt;0, LEN(O7)&gt;0), P7-O7, "")</f>
        <v/>
      </c>
      <c r="V7" s="2">
        <f>IF(AND(LEN(P7)&gt;0, LEN(L7)&gt;0), (P7-L7)*24, "")</f>
        <v/>
      </c>
      <c r="W7" s="2">
        <f>IF(LEN(O7)&gt;0, TODAY()-O7, "")</f>
        <v/>
      </c>
      <c r="X7" s="2">
        <f>IF(OR(P7&gt;L7, AND(AC7&lt;&gt;"clos", AA7="majeur")), "O", "N")</f>
        <v/>
      </c>
      <c r="Y7" s="3">
        <f>IF(S7=1, "OK", IF(P7-L7&lt;=0, "OK", IF((P7-L7)*24&lt;=6, "0–6h", IF((P7-L7)*24&lt;=24, "6–24h", "&gt;24h"))))</f>
        <v/>
      </c>
      <c r="Z7" s="2" t="inlineStr"/>
      <c r="AA7" s="2" t="inlineStr">
        <is>
          <t>mineur</t>
        </is>
      </c>
      <c r="AB7" s="2" t="inlineStr">
        <is>
          <t>clos</t>
        </is>
      </c>
      <c r="AC7" s="3" t="inlineStr">
        <is>
          <t>Douane</t>
        </is>
      </c>
      <c r="AD7" s="4" t="n">
        <v>45925.41666666666</v>
      </c>
      <c r="AE7" s="3" t="n">
        <v>0</v>
      </c>
      <c r="AF7" s="3" t="inlineStr"/>
    </row>
    <row r="8">
      <c r="A8" s="2" t="inlineStr">
        <is>
          <t>EXP-2025-0916-007</t>
        </is>
      </c>
      <c r="B8" s="2" t="inlineStr">
        <is>
          <t>ORD-2201</t>
        </is>
      </c>
      <c r="C8" s="3" t="inlineStr">
        <is>
          <t>Ferro Auto</t>
        </is>
      </c>
      <c r="D8" s="3" t="inlineStr">
        <is>
          <t>Rabat</t>
        </is>
      </c>
      <c r="E8" s="2" t="inlineStr">
        <is>
          <t>CIP</t>
        </is>
      </c>
      <c r="F8" s="2" t="inlineStr">
        <is>
          <t>Air</t>
        </is>
      </c>
      <c r="G8" s="2" t="inlineStr">
        <is>
          <t>AirOne</t>
        </is>
      </c>
      <c r="H8" s="2" t="inlineStr">
        <is>
          <t>AWB2211</t>
        </is>
      </c>
      <c r="I8" s="3" t="inlineStr">
        <is>
          <t>RABAT</t>
        </is>
      </c>
      <c r="J8" s="3" t="inlineStr">
        <is>
          <t>TXLGE</t>
        </is>
      </c>
      <c r="K8" s="4" t="n">
        <v>45916.41666666666</v>
      </c>
      <c r="L8" s="4" t="n">
        <v>45921.41666666666</v>
      </c>
      <c r="M8" s="4" t="n">
        <v>45921.79166666666</v>
      </c>
      <c r="N8" s="4" t="n">
        <v>45921.91666666666</v>
      </c>
      <c r="O8" s="4" t="n">
        <v>45917.16666666666</v>
      </c>
      <c r="P8" s="4" t="n">
        <v>45921.5</v>
      </c>
      <c r="Q8" s="4" t="n">
        <v>45921.5</v>
      </c>
      <c r="R8" s="2" t="inlineStr">
        <is>
          <t>Oui</t>
        </is>
      </c>
      <c r="S8" s="2">
        <f>IF(AND(R8="Oui", P8&lt;=L8, P8&gt;=M8, P8&lt;=N8),1,0)</f>
        <v/>
      </c>
      <c r="T8" s="2">
        <f>S8</f>
        <v/>
      </c>
      <c r="U8" s="2">
        <f>IF(AND(LEN(P8)&gt;0, LEN(O8)&gt;0), P8-O8, "")</f>
        <v/>
      </c>
      <c r="V8" s="2">
        <f>IF(AND(LEN(P8)&gt;0, LEN(L8)&gt;0), (P8-L8)*24, "")</f>
        <v/>
      </c>
      <c r="W8" s="2">
        <f>IF(LEN(O8)&gt;0, TODAY()-O8, "")</f>
        <v/>
      </c>
      <c r="X8" s="2">
        <f>IF(OR(P8&gt;L8, AND(AC8&lt;&gt;"clos", AA8="majeur")), "O", "N")</f>
        <v/>
      </c>
      <c r="Y8" s="3">
        <f>IF(S8=1, "OK", IF(P8-L8&lt;=0, "OK", IF((P8-L8)*24&lt;=6, "0–6h", IF((P8-L8)*24&lt;=24, "6–24h", "&gt;24h"))))</f>
        <v/>
      </c>
      <c r="Z8" s="2" t="inlineStr"/>
      <c r="AA8" s="2" t="inlineStr">
        <is>
          <t>mineur</t>
        </is>
      </c>
      <c r="AB8" s="2" t="inlineStr">
        <is>
          <t>clos</t>
        </is>
      </c>
      <c r="AC8" s="3" t="inlineStr">
        <is>
          <t>Logistique</t>
        </is>
      </c>
      <c r="AD8" s="4" t="n">
        <v>45922.41666666666</v>
      </c>
      <c r="AE8" s="3" t="n">
        <v>0</v>
      </c>
      <c r="AF8" s="3" t="inlineStr"/>
    </row>
    <row r="9">
      <c r="A9" s="2" t="inlineStr">
        <is>
          <t>EXP-2025-0916-008</t>
        </is>
      </c>
      <c r="B9" s="2" t="inlineStr">
        <is>
          <t>ORD-2202</t>
        </is>
      </c>
      <c r="C9" s="3" t="inlineStr">
        <is>
          <t>Helios Foods</t>
        </is>
      </c>
      <c r="D9" s="3" t="inlineStr">
        <is>
          <t>Marrakech</t>
        </is>
      </c>
      <c r="E9" s="2" t="inlineStr">
        <is>
          <t>DAP</t>
        </is>
      </c>
      <c r="F9" s="2" t="inlineStr">
        <is>
          <t>Route</t>
        </is>
      </c>
      <c r="G9" s="2" t="inlineStr">
        <is>
          <t>FastRoad</t>
        </is>
      </c>
      <c r="H9" s="2" t="inlineStr">
        <is>
          <t>TRK9999</t>
        </is>
      </c>
      <c r="I9" s="3" t="inlineStr">
        <is>
          <t>MARRA</t>
        </is>
      </c>
      <c r="J9" s="3" t="inlineStr">
        <is>
          <t>AGADR</t>
        </is>
      </c>
      <c r="K9" s="4" t="n">
        <v>45916.41666666666</v>
      </c>
      <c r="L9" s="4" t="n">
        <v>45920.41666666666</v>
      </c>
      <c r="M9" s="4" t="n">
        <v>45920.375</v>
      </c>
      <c r="N9" s="4" t="n">
        <v>45920.5</v>
      </c>
      <c r="O9" s="4" t="n">
        <v>45917.41666666666</v>
      </c>
      <c r="P9" s="4" t="n">
        <v>45920.45833333334</v>
      </c>
      <c r="Q9" s="4" t="n">
        <v>45920.45833333334</v>
      </c>
      <c r="R9" s="2" t="inlineStr">
        <is>
          <t>Non</t>
        </is>
      </c>
      <c r="S9" s="2">
        <f>IF(AND(R9="Oui", P9&lt;=L9, P9&gt;=M9, P9&lt;=N9),1,0)</f>
        <v/>
      </c>
      <c r="T9" s="2">
        <f>S9</f>
        <v/>
      </c>
      <c r="U9" s="2">
        <f>IF(AND(LEN(P9)&gt;0, LEN(O9)&gt;0), P9-O9, "")</f>
        <v/>
      </c>
      <c r="V9" s="2">
        <f>IF(AND(LEN(P9)&gt;0, LEN(L9)&gt;0), (P9-L9)*24, "")</f>
        <v/>
      </c>
      <c r="W9" s="2">
        <f>IF(LEN(O9)&gt;0, TODAY()-O9, "")</f>
        <v/>
      </c>
      <c r="X9" s="2">
        <f>IF(OR(P9&gt;L9, AND(AC9&lt;&gt;"clos", AA9="majeur")), "O", "N")</f>
        <v/>
      </c>
      <c r="Y9" s="3">
        <f>IF(S9=1, "OK", IF(P9-L9&lt;=0, "OK", IF((P9-L9)*24&lt;=6, "0–6h", IF((P9-L9)*24&lt;=24, "6–24h", "&gt;24h"))))</f>
        <v/>
      </c>
      <c r="Z9" s="2" t="inlineStr">
        <is>
          <t>adresse</t>
        </is>
      </c>
      <c r="AA9" s="2" t="inlineStr">
        <is>
          <t>mineur</t>
        </is>
      </c>
      <c r="AB9" s="2" t="inlineStr">
        <is>
          <t>ouvert</t>
        </is>
      </c>
      <c r="AC9" s="3" t="inlineStr">
        <is>
          <t>Client</t>
        </is>
      </c>
      <c r="AD9" s="4" t="n">
        <v>45921.41666666666</v>
      </c>
      <c r="AE9" s="3" t="n">
        <v>80</v>
      </c>
      <c r="AF9" s="3" t="inlineStr"/>
    </row>
    <row r="10">
      <c r="A10" s="2" t="inlineStr">
        <is>
          <t>EXP-2025-0914-009</t>
        </is>
      </c>
      <c r="B10" s="2" t="inlineStr">
        <is>
          <t>ORD-3301</t>
        </is>
      </c>
      <c r="C10" s="3" t="inlineStr">
        <is>
          <t>Epsilon Pharma</t>
        </is>
      </c>
      <c r="D10" s="3" t="inlineStr">
        <is>
          <t>Casablanca</t>
        </is>
      </c>
      <c r="E10" s="2" t="inlineStr">
        <is>
          <t>CIP</t>
        </is>
      </c>
      <c r="F10" s="2" t="inlineStr">
        <is>
          <t>Air</t>
        </is>
      </c>
      <c r="G10" s="2" t="inlineStr">
        <is>
          <t>SkyLift</t>
        </is>
      </c>
      <c r="H10" s="2" t="inlineStr">
        <is>
          <t>AWB7788</t>
        </is>
      </c>
      <c r="I10" s="3" t="inlineStr">
        <is>
          <t>CASAB</t>
        </is>
      </c>
      <c r="J10" s="3" t="inlineStr">
        <is>
          <t>LHRGB</t>
        </is>
      </c>
      <c r="K10" s="4" t="n">
        <v>45914.41666666666</v>
      </c>
      <c r="L10" s="4" t="n">
        <v>45922.41666666666</v>
      </c>
      <c r="M10" s="4" t="n">
        <v>45922.79166666666</v>
      </c>
      <c r="N10" s="4" t="n">
        <v>45922.91666666666</v>
      </c>
      <c r="O10" s="4" t="n">
        <v>45915.16666666666</v>
      </c>
      <c r="P10" s="4" t="n">
        <v>45922.41666666666</v>
      </c>
      <c r="Q10" s="4" t="n">
        <v>45922.41666666666</v>
      </c>
      <c r="R10" s="2" t="inlineStr">
        <is>
          <t>Oui</t>
        </is>
      </c>
      <c r="S10" s="2">
        <f>IF(AND(R10="Oui", P10&lt;=L10, P10&gt;=M10, P10&lt;=N10),1,0)</f>
        <v/>
      </c>
      <c r="T10" s="2">
        <f>S10</f>
        <v/>
      </c>
      <c r="U10" s="2">
        <f>IF(AND(LEN(P10)&gt;0, LEN(O10)&gt;0), P10-O10, "")</f>
        <v/>
      </c>
      <c r="V10" s="2">
        <f>IF(AND(LEN(P10)&gt;0, LEN(L10)&gt;0), (P10-L10)*24, "")</f>
        <v/>
      </c>
      <c r="W10" s="2">
        <f>IF(LEN(O10)&gt;0, TODAY()-O10, "")</f>
        <v/>
      </c>
      <c r="X10" s="2">
        <f>IF(OR(P10&gt;L10, AND(AC10&lt;&gt;"clos", AA10="majeur")), "O", "N")</f>
        <v/>
      </c>
      <c r="Y10" s="3">
        <f>IF(S10=1, "OK", IF(P10-L10&lt;=0, "OK", IF((P10-L10)*24&lt;=6, "0–6h", IF((P10-L10)*24&lt;=24, "6–24h", "&gt;24h"))))</f>
        <v/>
      </c>
      <c r="Z10" s="2" t="inlineStr"/>
      <c r="AA10" s="2" t="inlineStr">
        <is>
          <t>mineur</t>
        </is>
      </c>
      <c r="AB10" s="2" t="inlineStr">
        <is>
          <t>clos</t>
        </is>
      </c>
      <c r="AC10" s="3" t="inlineStr">
        <is>
          <t>Qualité</t>
        </is>
      </c>
      <c r="AD10" s="4" t="n">
        <v>45923.41666666666</v>
      </c>
      <c r="AE10" s="3" t="n">
        <v>0</v>
      </c>
      <c r="AF10" s="3" t="inlineStr"/>
    </row>
    <row r="11">
      <c r="A11" s="2" t="inlineStr">
        <is>
          <t>EXP-2025-0913-010</t>
        </is>
      </c>
      <c r="B11" s="2" t="inlineStr">
        <is>
          <t>ORD-8899</t>
        </is>
      </c>
      <c r="C11" s="3" t="inlineStr">
        <is>
          <t>GreenGrid</t>
        </is>
      </c>
      <c r="D11" s="3" t="inlineStr">
        <is>
          <t>Tanger</t>
        </is>
      </c>
      <c r="E11" s="2" t="inlineStr">
        <is>
          <t>DAP</t>
        </is>
      </c>
      <c r="F11" s="2" t="inlineStr">
        <is>
          <t>Mer</t>
        </is>
      </c>
      <c r="G11" s="2" t="inlineStr">
        <is>
          <t>MASea</t>
        </is>
      </c>
      <c r="H11" s="2" t="inlineStr">
        <is>
          <t>MSCU4444</t>
        </is>
      </c>
      <c r="I11" s="3" t="inlineStr">
        <is>
          <t>TNGPT</t>
        </is>
      </c>
      <c r="J11" s="3" t="inlineStr">
        <is>
          <t>HAMDE</t>
        </is>
      </c>
      <c r="K11" s="4" t="n">
        <v>45913.41666666666</v>
      </c>
      <c r="L11" s="4" t="n">
        <v>45929.41666666666</v>
      </c>
      <c r="M11" s="4" t="n">
        <v>45929.79166666666</v>
      </c>
      <c r="N11" s="4" t="n">
        <v>45930.16666666666</v>
      </c>
      <c r="O11" s="4" t="n">
        <v>45914.41666666666</v>
      </c>
      <c r="P11" s="4" t="n">
        <v>45930.41666666666</v>
      </c>
      <c r="Q11" s="4" t="n">
        <v>45930.41666666666</v>
      </c>
      <c r="R11" s="2" t="inlineStr">
        <is>
          <t>Oui</t>
        </is>
      </c>
      <c r="S11" s="2">
        <f>IF(AND(R11="Oui", P11&lt;=L11, P11&gt;=M11, P11&lt;=N11),1,0)</f>
        <v/>
      </c>
      <c r="T11" s="2">
        <f>S11</f>
        <v/>
      </c>
      <c r="U11" s="2">
        <f>IF(AND(LEN(P11)&gt;0, LEN(O11)&gt;0), P11-O11, "")</f>
        <v/>
      </c>
      <c r="V11" s="2">
        <f>IF(AND(LEN(P11)&gt;0, LEN(L11)&gt;0), (P11-L11)*24, "")</f>
        <v/>
      </c>
      <c r="W11" s="2">
        <f>IF(LEN(O11)&gt;0, TODAY()-O11, "")</f>
        <v/>
      </c>
      <c r="X11" s="2">
        <f>IF(OR(P11&gt;L11, AND(AC11&lt;&gt;"clos", AA11="majeur")), "O", "N")</f>
        <v/>
      </c>
      <c r="Y11" s="3">
        <f>IF(S11=1, "OK", IF(P11-L11&lt;=0, "OK", IF((P11-L11)*24&lt;=6, "0–6h", IF((P11-L11)*24&lt;=24, "6–24h", "&gt;24h"))))</f>
        <v/>
      </c>
      <c r="Z11" s="2" t="inlineStr">
        <is>
          <t>douane</t>
        </is>
      </c>
      <c r="AA11" s="2" t="inlineStr">
        <is>
          <t>majeur</t>
        </is>
      </c>
      <c r="AB11" s="2" t="inlineStr">
        <is>
          <t>ouvert</t>
        </is>
      </c>
      <c r="AC11" s="3" t="inlineStr">
        <is>
          <t>Douane</t>
        </is>
      </c>
      <c r="AD11" s="4" t="n">
        <v>45931.41666666666</v>
      </c>
      <c r="AE11" s="3" t="n">
        <v>0</v>
      </c>
      <c r="AF11" s="3" t="inlineStr"/>
    </row>
  </sheetData>
  <conditionalFormatting sqref="S2:S2000">
    <cfRule type="cellIs" priority="1" operator="equal" dxfId="0">
      <formula>1</formula>
    </cfRule>
    <cfRule type="cellIs" priority="2" operator="equal" dxfId="1">
      <formula>0</formula>
    </cfRule>
  </conditionalFormatting>
  <conditionalFormatting sqref="T2:T2000">
    <cfRule type="cellIs" priority="3" operator="equal" dxfId="0">
      <formula>1</formula>
    </cfRule>
    <cfRule type="cellIs" priority="4" operator="equal" dxfId="1">
      <formula>0</formula>
    </cfRule>
  </conditionalFormatting>
  <conditionalFormatting sqref="V2:V2000">
    <cfRule type="dataBar" priority="5">
      <dataBar showValue="1">
        <cfvo type="min"/>
        <cfvo type="max"/>
        <color rgb="00F8696B"/>
      </dataBar>
    </cfRule>
  </conditionalFormatting>
  <conditionalFormatting sqref="W2:W2000">
    <cfRule type="colorScale" priority="6">
      <colorScale>
        <cfvo type="min"/>
        <cfvo type="percentile" val="50"/>
        <cfvo type="max"/>
        <color rgb="00C6EFCE"/>
        <color rgb="00FFEB84"/>
        <color rgb="00F8696B"/>
      </colorScale>
    </cfRule>
  </conditionalFormatting>
  <conditionalFormatting sqref="X2:X2000">
    <cfRule type="expression" priority="7" dxfId="2">
      <formula>$X2="O"</formula>
    </cfRule>
  </conditionalFormatting>
  <conditionalFormatting sqref="AD2:AD2000">
    <cfRule type="expression" priority="8" dxfId="1">
      <formula>AND($AD2&lt;TODAY(), $AC2&lt;&gt;"clos")</formula>
    </cfRule>
  </conditionalFormatting>
  <conditionalFormatting sqref="Z2:Z2000">
    <cfRule type="expression" priority="9" dxfId="3">
      <formula>LEN($Z2)&gt;0</formula>
    </cfRule>
  </conditionalFormatting>
  <dataValidations count="5">
    <dataValidation sqref="F2:F2000" showErrorMessage="1" showInputMessage="1" allowBlank="1" type="list">
      <formula1>=Lists!$B$1:$D$1</formula1>
    </dataValidation>
    <dataValidation sqref="E2:E2000" showErrorMessage="1" showInputMessage="1" allowBlank="1" type="list">
      <formula1>=Lists!$B$2:$J$2</formula1>
    </dataValidation>
    <dataValidation sqref="R2:R2000" showErrorMessage="1" showInputMessage="1" allowBlank="1" type="list">
      <formula1>=Lists!$B$3:$C$3</formula1>
    </dataValidation>
    <dataValidation sqref="AA2:AA2000" showErrorMessage="1" showInputMessage="1" allowBlank="1" type="list">
      <formula1>=Lists!$B$4:$C$4</formula1>
    </dataValidation>
    <dataValidation sqref="AC2:AC2000" showErrorMessage="1" showInputMessage="1" allowBlank="1" type="list">
      <formula1>=Lists!$B$5:$D$5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J5"/>
  <sheetViews>
    <sheetView workbookViewId="0">
      <selection activeCell="A1" sqref="A1"/>
    </sheetView>
  </sheetViews>
  <sheetFormatPr baseColWidth="8" defaultRowHeight="15"/>
  <sheetData>
    <row r="1">
      <c r="A1" t="inlineStr">
        <is>
          <t>Mode</t>
        </is>
      </c>
      <c r="B1" t="inlineStr">
        <is>
          <t>Route</t>
        </is>
      </c>
      <c r="C1" t="inlineStr">
        <is>
          <t>Air</t>
        </is>
      </c>
      <c r="D1" t="inlineStr">
        <is>
          <t>Mer</t>
        </is>
      </c>
    </row>
    <row r="2">
      <c r="A2" t="inlineStr">
        <is>
          <t>Incoterm</t>
        </is>
      </c>
      <c r="B2" t="inlineStr">
        <is>
          <t>EXW</t>
        </is>
      </c>
      <c r="C2" t="inlineStr">
        <is>
          <t>FCA</t>
        </is>
      </c>
      <c r="D2" t="inlineStr">
        <is>
          <t>CPT</t>
        </is>
      </c>
      <c r="E2" t="inlineStr">
        <is>
          <t>CIP</t>
        </is>
      </c>
      <c r="F2" t="inlineStr">
        <is>
          <t>DAP</t>
        </is>
      </c>
      <c r="G2" t="inlineStr">
        <is>
          <t>DDP</t>
        </is>
      </c>
      <c r="H2" t="inlineStr">
        <is>
          <t>FOB</t>
        </is>
      </c>
      <c r="I2" t="inlineStr">
        <is>
          <t>CFR</t>
        </is>
      </c>
      <c r="J2" t="inlineStr">
        <is>
          <t>CIF</t>
        </is>
      </c>
    </row>
    <row r="3">
      <c r="A3" t="inlineStr">
        <is>
          <t>LivreComplet</t>
        </is>
      </c>
      <c r="B3" t="inlineStr">
        <is>
          <t>Oui</t>
        </is>
      </c>
      <c r="C3" t="inlineStr">
        <is>
          <t>Non</t>
        </is>
      </c>
    </row>
    <row r="4">
      <c r="A4" t="inlineStr">
        <is>
          <t>Gravite</t>
        </is>
      </c>
      <c r="B4" t="inlineStr">
        <is>
          <t>mineur</t>
        </is>
      </c>
      <c r="C4" t="inlineStr">
        <is>
          <t>majeur</t>
        </is>
      </c>
    </row>
    <row r="5">
      <c r="A5" t="inlineStr">
        <is>
          <t>Statut</t>
        </is>
      </c>
      <c r="B5" t="inlineStr">
        <is>
          <t>ouvert</t>
        </is>
      </c>
      <c r="C5" t="inlineStr">
        <is>
          <t>en cours</t>
        </is>
      </c>
      <c r="D5" t="inlineStr">
        <is>
          <t>clos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selection activeCell="A1" sqref="A1"/>
    </sheetView>
  </sheetViews>
  <sheetFormatPr baseColWidth="8" defaultRowHeight="15"/>
  <cols>
    <col width="28" customWidth="1" min="1" max="1"/>
    <col width="18" customWidth="1" min="2" max="2"/>
    <col width="48" customWidth="1" min="3" max="3"/>
  </cols>
  <sheetData>
    <row r="1">
      <c r="A1" s="5" t="inlineStr">
        <is>
          <t>Indicateur</t>
        </is>
      </c>
      <c r="B1" s="5" t="inlineStr">
        <is>
          <t>Valeur</t>
        </is>
      </c>
      <c r="C1" s="5" t="inlineStr">
        <is>
          <t>Détail / Formule</t>
        </is>
      </c>
    </row>
    <row r="2">
      <c r="A2" t="inlineStr">
        <is>
          <t>Nb expéditions</t>
        </is>
      </c>
      <c r="B2">
        <f>COUNTA(Expeditions!A2:A2000)</f>
        <v/>
      </c>
      <c r="C2" t="inlineStr">
        <is>
          <t>Nb lignes (A)</t>
        </is>
      </c>
    </row>
    <row r="3">
      <c r="A3" t="inlineStr">
        <is>
          <t>OTIF moyen</t>
        </is>
      </c>
      <c r="B3">
        <f>IFERROR(AVERAGE(Expeditions!S2:S2000),"")</f>
        <v/>
      </c>
      <c r="C3" t="inlineStr">
        <is>
          <t>Moyenne de S:S</t>
        </is>
      </c>
    </row>
    <row r="4">
      <c r="A4" t="inlineStr">
        <is>
          <t>DIFOT moyen</t>
        </is>
      </c>
      <c r="B4">
        <f>IFERROR(AVERAGE(Expeditions!T2:T2000),"")</f>
        <v/>
      </c>
      <c r="C4" t="inlineStr">
        <is>
          <t>Moyenne de T:T</t>
        </is>
      </c>
    </row>
    <row r="5">
      <c r="A5" t="inlineStr">
        <is>
          <t>% incidents (non vide)</t>
        </is>
      </c>
      <c r="B5">
        <f>IFERROR(COUNTIF(Expeditions!Z2:Z2000, "&lt;&gt;")/COUNTA(Expeditions!A2:A2000),"")</f>
        <v/>
      </c>
      <c r="C5" t="inlineStr">
        <is>
          <t>COUNTIF(Z:Z, "&lt;&gt;")/COUNT(A:A)</t>
        </is>
      </c>
    </row>
    <row r="6">
      <c r="A6" t="inlineStr">
        <is>
          <t>Retard moyen (h)</t>
        </is>
      </c>
      <c r="B6">
        <f>IFERROR(AVERAGEIF(Expeditions!V2:V2000, "&gt;0"),"")</f>
        <v/>
      </c>
      <c r="C6" t="inlineStr">
        <is>
          <t>AVERAGEIF(V:V, "&gt;0")</t>
        </is>
      </c>
    </row>
    <row r="7">
      <c r="A7" t="inlineStr">
        <is>
          <t>Aging moyen (j)</t>
        </is>
      </c>
      <c r="B7">
        <f>IFERROR(AVERAGE(Expeditions!W2:W2000),"")</f>
        <v/>
      </c>
      <c r="C7" t="inlineStr">
        <is>
          <t>AVERAGE(W:W)</t>
        </is>
      </c>
    </row>
    <row r="8">
      <c r="A8" t="inlineStr"/>
      <c r="B8" t="inlineStr"/>
      <c r="C8" t="inlineStr"/>
    </row>
    <row r="9">
      <c r="A9" t="inlineStr">
        <is>
          <t>OTIF par Mode</t>
        </is>
      </c>
      <c r="B9" t="inlineStr"/>
      <c r="C9" t="inlineStr">
        <is>
          <t>AVERAGEIFS(S:S, F:F, &lt;mode&gt;)</t>
        </is>
      </c>
    </row>
    <row r="10">
      <c r="A10" t="inlineStr">
        <is>
          <t>Route</t>
        </is>
      </c>
      <c r="B10">
        <f>IFERROR(AVERAGEIFS(Expeditions!S2:S2000,Expeditions!F2:F2000,"Route"),"")</f>
        <v/>
      </c>
      <c r="C10" t="inlineStr">
        <is>
          <t>OTIF Route</t>
        </is>
      </c>
    </row>
    <row r="11">
      <c r="A11" t="inlineStr">
        <is>
          <t>Air</t>
        </is>
      </c>
      <c r="B11">
        <f>IFERROR(AVERAGEIFS(Expeditions!S2:S2000,Expeditions!F2:F2000,"Air"),"")</f>
        <v/>
      </c>
      <c r="C11" t="inlineStr">
        <is>
          <t>OTIF Air</t>
        </is>
      </c>
    </row>
    <row r="12">
      <c r="A12" t="inlineStr">
        <is>
          <t>Mer</t>
        </is>
      </c>
      <c r="B12">
        <f>IFERROR(AVERAGEIFS(Expeditions!S2:S2000,Expeditions!F2:F2000,"Mer"),"")</f>
        <v/>
      </c>
      <c r="C12" t="inlineStr">
        <is>
          <t>OTIF Mer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G9"/>
  <sheetViews>
    <sheetView workbookViewId="0">
      <selection activeCell="A1" sqref="A1"/>
    </sheetView>
  </sheetViews>
  <sheetFormatPr baseColWidth="8" defaultRowHeight="15"/>
  <sheetData>
    <row r="1">
      <c r="A1" s="6" t="inlineStr">
        <is>
          <t>Tableau de bord — Suivi Expéditions</t>
        </is>
      </c>
    </row>
    <row r="2">
      <c r="F2" t="inlineStr">
        <is>
          <t>Mode</t>
        </is>
      </c>
      <c r="G2" t="inlineStr">
        <is>
          <t>Nb</t>
        </is>
      </c>
    </row>
    <row r="3">
      <c r="A3" s="7" t="inlineStr">
        <is>
          <t>Nb expéditions</t>
        </is>
      </c>
      <c r="B3" s="8">
        <f>KPIs!B2</f>
        <v/>
      </c>
      <c r="F3" t="inlineStr">
        <is>
          <t>Route</t>
        </is>
      </c>
      <c r="G3">
        <f>COUNTIF(Expeditions!F2:F2000, "Route")</f>
        <v/>
      </c>
    </row>
    <row r="4">
      <c r="A4" s="7" t="inlineStr">
        <is>
          <t>OTIF moyen</t>
        </is>
      </c>
      <c r="B4" s="9">
        <f>KPIs!B3</f>
        <v/>
      </c>
      <c r="F4" t="inlineStr">
        <is>
          <t>Air</t>
        </is>
      </c>
      <c r="G4">
        <f>COUNTIF(Expeditions!F2:F2000, "Air")</f>
        <v/>
      </c>
    </row>
    <row r="5">
      <c r="A5" s="7" t="inlineStr">
        <is>
          <t>Incidents (%)</t>
        </is>
      </c>
      <c r="B5" s="9">
        <f>KPIs!B5</f>
        <v/>
      </c>
      <c r="F5" t="inlineStr">
        <is>
          <t>Mer</t>
        </is>
      </c>
      <c r="G5">
        <f>COUNTIF(Expeditions!F2:F2000, "Mer")</f>
        <v/>
      </c>
    </row>
    <row r="7">
      <c r="F7" t="inlineStr">
        <is>
          <t>Libellé</t>
        </is>
      </c>
      <c r="G7" t="inlineStr">
        <is>
          <t>Valeur</t>
        </is>
      </c>
    </row>
    <row r="8">
      <c r="F8" t="inlineStr">
        <is>
          <t>OTIF=1</t>
        </is>
      </c>
      <c r="G8">
        <f>COUNTIF(Expeditions!S2:S2000,1)</f>
        <v/>
      </c>
    </row>
    <row r="9">
      <c r="F9" t="inlineStr">
        <is>
          <t>OTIF=0</t>
        </is>
      </c>
      <c r="G9">
        <f>COUNTIF(Expeditions!S2:S2000,0)</f>
        <v/>
      </c>
    </row>
  </sheetData>
  <mergeCells count="1">
    <mergeCell ref="A1:D1"/>
  </mergeCells>
  <pageMargins left="0.75" right="0.75" top="1" bottom="1" header="0.5" footer="0.5"/>
  <drawing xmlns:r="http://schemas.openxmlformats.org/officeDocument/2006/relationships" r:id="rId1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A8"/>
  <sheetViews>
    <sheetView workbookViewId="0">
      <selection activeCell="A1" sqref="A1"/>
    </sheetView>
  </sheetViews>
  <sheetFormatPr baseColWidth="8" defaultRowHeight="15"/>
  <sheetData>
    <row r="1">
      <c r="A1" s="10" t="inlineStr">
        <is>
          <t>Mode d’emploi — Suivi_Expeditions_OTIF_Incidents_v2.xlsx</t>
        </is>
      </c>
    </row>
    <row r="3">
      <c r="A3" t="inlineStr">
        <is>
          <t>1) Onglet Expeditions : saisissez/collez vos lignes. Les colonnes en bleu foncé sont obligatoires.</t>
        </is>
      </c>
    </row>
    <row r="4">
      <c r="A4" t="inlineStr">
        <is>
          <t>2) Les colonnes OTIF/DIFOT/Transit/Ecart/Aging se calculent automatiquement.</t>
        </is>
      </c>
    </row>
    <row r="5">
      <c r="A5" t="inlineStr">
        <is>
          <t>3) Alertes couleurs : OTIF (vert/rouge), Retard (barres), Aging (vert→rouge), SLA (jaune), Échéance dépassée (rouge).</t>
        </is>
      </c>
    </row>
    <row r="6">
      <c r="A6" t="inlineStr">
        <is>
          <t>4) Onglet KPIs : indicateurs globaux + OTIF par mode. Onglet Dashboard : mini-graphiques.</t>
        </is>
      </c>
    </row>
    <row r="7">
      <c r="A7" t="inlineStr">
        <is>
          <t>5) Onglet Lists : modifiez les listes déroulantes (Modes, Incoterms, Statut…).</t>
        </is>
      </c>
    </row>
    <row r="8">
      <c r="A8" t="inlineStr">
        <is>
          <t>6) Export PDF : Fichier &gt; Exporter &gt; PDF (sélectionner Dashboard + KPIs).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2025-09-19T23:40:12Z</dcterms:created>
  <dcterms:modified xmlns:dcterms="http://purl.org/dc/terms/" xmlns:xsi="http://www.w3.org/2001/XMLSchema-instance" xsi:type="dcterms:W3CDTF">2025-09-19T23:40:12Z</dcterms:modified>
</cp:coreProperties>
</file>