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Articles" sheetId="2" r:id="rId2"/>
    <sheet name="Nomenclature" sheetId="3" r:id="rId3"/>
    <sheet name="MPS" sheetId="4" r:id="rId4"/>
    <sheet name="Réceptions" sheetId="5" r:id="rId5"/>
    <sheet name="MRP" sheetId="6" r:id="rId6"/>
    <sheet name="KPI &amp; Benchmarks" sheetId="7" r:id="rId7"/>
  </sheets>
  <definedNames>
    <definedName name="COVER_MAX">Paramètres!$B$14</definedName>
    <definedName name="COVER_MIN">Paramètres!$B$13</definedName>
    <definedName name="SL_G">Paramètres!$B$11</definedName>
    <definedName name="SL_Y">Paramètres!$B$12</definedName>
    <definedName name="SO_R">Paramètres!$B$16</definedName>
    <definedName name="SO_Y">Paramètres!$B$15</definedName>
  </definedNames>
  <calcPr calcId="124519" fullCalcOnLoad="1"/>
</workbook>
</file>

<file path=xl/sharedStrings.xml><?xml version="1.0" encoding="utf-8"?>
<sst xmlns="http://schemas.openxmlformats.org/spreadsheetml/2006/main" count="195" uniqueCount="78">
  <si>
    <t>Paramètres — Horizon et seuils KPI</t>
  </si>
  <si>
    <t>Date de début (lundi)</t>
  </si>
  <si>
    <t>Nombre de périodes (semaines)</t>
  </si>
  <si>
    <t>Calendrier (début de semaine)</t>
  </si>
  <si>
    <t>Semaines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</si>
  <si>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</si>
  <si>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</si>
  <si>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</si>
  <si>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</si>
  <si>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</si>
  <si>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</si>
  <si>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</si>
  <si>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</si>
  <si>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</si>
  <si>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</si>
  <si>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</si>
  <si>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</si>
  <si>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Seuils KPI (benchmarks)</t>
  </si>
  <si>
    <t>Service level (Vert ≥)</t>
  </si>
  <si>
    <t>Service level (Jaune ≥)</t>
  </si>
  <si>
    <t>Couverture (sem) — min</t>
  </si>
  <si>
    <t>Couverture (sem) — max</t>
  </si>
  <si>
    <t>Semaines de rupture (Jaune ≤)</t>
  </si>
  <si>
    <t>Semaines de rupture (Rouge &gt;)</t>
  </si>
  <si>
    <t>Articles &amp; paramètres d'approvisionnement</t>
  </si>
  <si>
    <t>Article</t>
  </si>
  <si>
    <t>Description</t>
  </si>
  <si>
    <t>Type (FG/COMP)</t>
  </si>
  <si>
    <t>Delai (sem)</t>
  </si>
  <si>
    <t>Politique (L4L/EOQ/Fixed)</t>
  </si>
  <si>
    <t>Taille lot/EOQ</t>
  </si>
  <si>
    <t>Stock de sécu</t>
  </si>
  <si>
    <t>Stock initial</t>
  </si>
  <si>
    <t>FG1</t>
  </si>
  <si>
    <t>Produit fini 1</t>
  </si>
  <si>
    <t>FG</t>
  </si>
  <si>
    <t>L4L</t>
  </si>
  <si>
    <t>FG2</t>
  </si>
  <si>
    <t>Produit fini 2</t>
  </si>
  <si>
    <t>C1</t>
  </si>
  <si>
    <t>Composant 1</t>
  </si>
  <si>
    <t>COMP</t>
  </si>
  <si>
    <t>EOQ</t>
  </si>
  <si>
    <t>C2</t>
  </si>
  <si>
    <t>Composant 2</t>
  </si>
  <si>
    <t>Fixed</t>
  </si>
  <si>
    <t>C3</t>
  </si>
  <si>
    <t>Composant 3</t>
  </si>
  <si>
    <t>Nomenclature (BOM)</t>
  </si>
  <si>
    <t>Parent</t>
  </si>
  <si>
    <t>Composant</t>
  </si>
  <si>
    <t>Usage</t>
  </si>
  <si>
    <t>Note</t>
  </si>
  <si>
    <t>MPS — Programme Directeur de Production (demande planifiée)</t>
  </si>
  <si>
    <t>Réceptions planifiées (ordres déjà lancés)</t>
  </si>
  <si>
    <t>MRP — Calcul besoins nets (simplifié, 12 semaines)</t>
  </si>
  <si>
    <t>Ligne</t>
  </si>
  <si>
    <t>Type</t>
  </si>
  <si>
    <t>LT (sem)</t>
  </si>
  <si>
    <t>Besoins bruts</t>
  </si>
  <si>
    <t>Réceptions planifiées</t>
  </si>
  <si>
    <t>Stock projeté</t>
  </si>
  <si>
    <t>Besoins nets</t>
  </si>
  <si>
    <t>Réceptions prévues</t>
  </si>
  <si>
    <t>Lancements prévus</t>
  </si>
  <si>
    <t>Stock sécu</t>
  </si>
  <si>
    <t>Politique</t>
  </si>
  <si>
    <t>Taille/EOQ</t>
  </si>
  <si>
    <t>KPI de sortie — Benchmarks colorés</t>
  </si>
  <si>
    <t>Service level</t>
  </si>
  <si>
    <t>Semaines de rupture</t>
  </si>
  <si>
    <t>Semaines &lt; stock sécu</t>
  </si>
  <si>
    <t>Stock projeté moyen</t>
  </si>
  <si>
    <t>Demande hebdo moyenne</t>
  </si>
  <si>
    <t>Couverture moyenne (sem)</t>
  </si>
  <si>
    <t>Synthèse globale</t>
  </si>
  <si>
    <t>Service level moyen</t>
  </si>
  <si>
    <t>Semaines de rupture (total)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</si>
</sst>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.0"/>
    <numFmt numFmtId="166" formatCode="0%"/>
  </numFmts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0F766E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  <fill>
      <patternFill patternType="solid">
        <fgColor rgb="FF115E5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164" fontId="0" fillId="0" borderId="1" xfId="0" applyNumberFormat="1" applyBorder="1"/>
    <xf numFmtId="1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165" fontId="0" fillId="0" borderId="1" xfId="0" applyNumberFormat="1" applyBorder="1"/>
    <xf numFmtId="0" fontId="0" fillId="0" borderId="1" xfId="0" applyBorder="1" applyAlignment="1">
      <alignment wrapText="1"/>
    </xf>
    <xf numFmtId="166" fontId="0" fillId="0" borderId="1" xfId="0" applyNumberFormat="1" applyBorder="1"/>
  </cellXfs>
  <cellStyles count="1">
    <cellStyle name="Normal" xfId="0" builtinId="0"/>
  </cellStyles>
  <dxfs count="3"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/>
  </sheetViews>
  <sheetFormatPr defaultRowHeight="15"/>
  <cols>
    <col min="1" max="1" width="32.7109375" customWidth="1"/>
    <col min="2" max="10" width="16.710937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spans="1:13">
      <c r="A3" s="2" t="s">
        <v>1</v>
      </c>
      <c r="B3" s="3">
        <v>45901</v>
      </c>
    </row>
    <row r="4" spans="1:13">
      <c r="A4" s="2" t="s">
        <v>2</v>
      </c>
      <c r="B4" s="4">
        <v>12</v>
      </c>
    </row>
    <row r="6" spans="1:13">
      <c r="A6" s="2" t="s">
        <v>3</v>
      </c>
    </row>
    <row r="7" spans="1:13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5" t="s">
        <v>10</v>
      </c>
      <c r="H7" s="5" t="s">
        <v>11</v>
      </c>
      <c r="I7" s="5" t="s">
        <v>12</v>
      </c>
      <c r="J7" s="5" t="s">
        <v>13</v>
      </c>
      <c r="K7" s="5" t="s">
        <v>14</v>
      </c>
      <c r="L7" s="5" t="s">
        <v>15</v>
      </c>
      <c r="M7" s="5" t="s">
        <v>16</v>
      </c>
    </row>
    <row r="8" spans="1:13">
      <c r="B8" s="3">
        <v>45901</v>
      </c>
      <c r="C8" s="3">
        <v>45908</v>
      </c>
      <c r="D8" s="3">
        <v>45915</v>
      </c>
      <c r="E8" s="3">
        <v>45922</v>
      </c>
      <c r="F8" s="3">
        <v>45929</v>
      </c>
      <c r="G8" s="3">
        <v>45936</v>
      </c>
      <c r="H8" s="3">
        <v>45943</v>
      </c>
      <c r="I8" s="3">
        <v>45950</v>
      </c>
      <c r="J8" s="3">
        <v>45957</v>
      </c>
      <c r="K8" s="3">
        <v>45964</v>
      </c>
      <c r="L8" s="3">
        <v>45971</v>
      </c>
      <c r="M8" s="3">
        <v>45978</v>
      </c>
    </row>
    <row r="10" spans="1:13">
      <c r="A10" s="2" t="s">
        <v>17</v>
      </c>
    </row>
    <row r="11" spans="1:13">
      <c r="A11" s="6" t="s">
        <v>18</v>
      </c>
      <c r="B11">
        <v>0.98</v>
      </c>
    </row>
    <row r="12" spans="1:13">
      <c r="A12" s="6" t="s">
        <v>19</v>
      </c>
      <c r="B12">
        <v>0.95</v>
      </c>
    </row>
    <row r="13" spans="1:13">
      <c r="A13" s="6" t="s">
        <v>20</v>
      </c>
      <c r="B13" s="7">
        <v>2</v>
      </c>
    </row>
    <row r="14" spans="1:13">
      <c r="A14" s="6" t="s">
        <v>21</v>
      </c>
      <c r="B14" s="7">
        <v>4</v>
      </c>
    </row>
    <row r="15" spans="1:13">
      <c r="A15" s="6" t="s">
        <v>22</v>
      </c>
      <c r="B15" s="4">
        <v>1</v>
      </c>
    </row>
    <row r="16" spans="1:13">
      <c r="A16" s="6" t="s">
        <v>23</v>
      </c>
      <c r="B16" s="4">
        <v>1</v>
      </c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cols>
    <col min="1" max="1" width="12.7109375" customWidth="1"/>
    <col min="2" max="2" width="28.7109375" customWidth="1"/>
    <col min="3" max="3" width="10.7109375" customWidth="1"/>
    <col min="4" max="8" width="16.7109375" customWidth="1"/>
  </cols>
  <sheetData>
    <row r="1" spans="1:8">
      <c r="A1" s="1" t="s">
        <v>24</v>
      </c>
      <c r="B1" s="1"/>
      <c r="C1" s="1"/>
      <c r="D1" s="1"/>
      <c r="E1" s="1"/>
      <c r="F1" s="1"/>
      <c r="G1" s="1"/>
      <c r="H1" s="1"/>
    </row>
    <row r="2" spans="1:8">
      <c r="A2" s="5" t="s">
        <v>25</v>
      </c>
      <c r="B2" s="5" t="s">
        <v>26</v>
      </c>
      <c r="C2" s="5" t="s">
        <v>27</v>
      </c>
      <c r="D2" s="5" t="s">
        <v>28</v>
      </c>
      <c r="E2" s="5" t="s">
        <v>29</v>
      </c>
      <c r="F2" s="5" t="s">
        <v>30</v>
      </c>
      <c r="G2" s="5" t="s">
        <v>31</v>
      </c>
      <c r="H2" s="5" t="s">
        <v>32</v>
      </c>
    </row>
    <row r="3" spans="1:8">
      <c r="A3" s="6" t="s">
        <v>33</v>
      </c>
      <c r="B3" s="6" t="s">
        <v>34</v>
      </c>
      <c r="C3" s="6" t="s">
        <v>35</v>
      </c>
      <c r="D3" s="4">
        <v>2</v>
      </c>
      <c r="E3" s="6" t="s">
        <v>36</v>
      </c>
      <c r="F3" s="4">
        <v>0</v>
      </c>
      <c r="G3" s="4">
        <v>50</v>
      </c>
      <c r="H3" s="4">
        <v>0</v>
      </c>
    </row>
    <row r="4" spans="1:8">
      <c r="A4" s="6" t="s">
        <v>37</v>
      </c>
      <c r="B4" s="6" t="s">
        <v>38</v>
      </c>
      <c r="C4" s="6" t="s">
        <v>35</v>
      </c>
      <c r="D4" s="4">
        <v>1</v>
      </c>
      <c r="E4" s="6" t="s">
        <v>36</v>
      </c>
      <c r="F4" s="4">
        <v>0</v>
      </c>
      <c r="G4" s="4">
        <v>40</v>
      </c>
      <c r="H4" s="4">
        <v>0</v>
      </c>
    </row>
    <row r="5" spans="1:8">
      <c r="A5" s="6" t="s">
        <v>39</v>
      </c>
      <c r="B5" s="6" t="s">
        <v>40</v>
      </c>
      <c r="C5" s="6" t="s">
        <v>41</v>
      </c>
      <c r="D5" s="4">
        <v>1</v>
      </c>
      <c r="E5" s="6" t="s">
        <v>42</v>
      </c>
      <c r="F5" s="4">
        <v>200</v>
      </c>
      <c r="G5" s="4">
        <v>100</v>
      </c>
      <c r="H5" s="4">
        <v>0</v>
      </c>
    </row>
    <row r="6" spans="1:8">
      <c r="A6" s="6" t="s">
        <v>43</v>
      </c>
      <c r="B6" s="6" t="s">
        <v>44</v>
      </c>
      <c r="C6" s="6" t="s">
        <v>41</v>
      </c>
      <c r="D6" s="4">
        <v>2</v>
      </c>
      <c r="E6" s="6" t="s">
        <v>45</v>
      </c>
      <c r="F6" s="4">
        <v>300</v>
      </c>
      <c r="G6" s="4">
        <v>200</v>
      </c>
      <c r="H6" s="4">
        <v>0</v>
      </c>
    </row>
    <row r="7" spans="1:8">
      <c r="A7" s="6" t="s">
        <v>46</v>
      </c>
      <c r="B7" s="6" t="s">
        <v>47</v>
      </c>
      <c r="C7" s="6" t="s">
        <v>41</v>
      </c>
      <c r="D7" s="4">
        <v>1</v>
      </c>
      <c r="E7" s="6" t="s">
        <v>36</v>
      </c>
      <c r="F7" s="4">
        <v>0</v>
      </c>
      <c r="G7" s="4">
        <v>50</v>
      </c>
      <c r="H7" s="4">
        <v>0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8"/>
  <sheetViews>
    <sheetView workbookViewId="0"/>
  </sheetViews>
  <sheetFormatPr defaultRowHeight="15"/>
  <cols>
    <col min="1" max="2" width="12.7109375" customWidth="1"/>
    <col min="3" max="3" width="10.7109375" customWidth="1"/>
    <col min="4" max="4" width="36.7109375" customWidth="1"/>
  </cols>
  <sheetData>
    <row r="1" spans="1:4">
      <c r="A1" s="1" t="s">
        <v>48</v>
      </c>
      <c r="B1" s="1"/>
      <c r="C1" s="1"/>
      <c r="D1" s="1"/>
    </row>
    <row r="2" spans="1:4">
      <c r="A2" s="5" t="s">
        <v>49</v>
      </c>
      <c r="B2" s="5" t="s">
        <v>50</v>
      </c>
      <c r="C2" s="5" t="s">
        <v>51</v>
      </c>
      <c r="D2" s="5" t="s">
        <v>52</v>
      </c>
    </row>
    <row r="3" spans="1:4">
      <c r="A3" s="6"/>
      <c r="B3" s="6"/>
      <c r="C3" s="4">
        <v>0</v>
      </c>
      <c r="D3" s="8"/>
    </row>
    <row r="4" spans="1:4">
      <c r="A4" s="6"/>
      <c r="B4" s="6"/>
      <c r="C4" s="4">
        <v>0</v>
      </c>
      <c r="D4" s="8"/>
    </row>
    <row r="5" spans="1:4">
      <c r="A5" s="6"/>
      <c r="B5" s="6"/>
      <c r="C5" s="4">
        <v>0</v>
      </c>
      <c r="D5" s="8"/>
    </row>
    <row r="6" spans="1:4">
      <c r="A6" s="6"/>
      <c r="B6" s="6"/>
      <c r="C6" s="4">
        <v>0</v>
      </c>
      <c r="D6" s="8"/>
    </row>
    <row r="7" spans="1:4">
      <c r="A7" s="6"/>
      <c r="B7" s="6"/>
      <c r="C7" s="4">
        <v>0</v>
      </c>
      <c r="D7" s="8"/>
    </row>
    <row r="8" spans="1:4">
      <c r="A8" s="6"/>
      <c r="B8" s="6"/>
      <c r="C8" s="4">
        <v>0</v>
      </c>
      <c r="D8" s="8"/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6"/>
  <sheetViews>
    <sheetView workbookViewId="0"/>
  </sheetViews>
  <sheetFormatPr defaultRowHeight="15"/>
  <cols>
    <col min="1" max="13" width="12.7109375" customWidth="1"/>
  </cols>
  <sheetData>
    <row r="1" spans="1:14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25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</row>
    <row r="3" spans="1:14">
      <c r="B3" s="3">
        <f>Paramètres!B8</f>
        <v>0</v>
      </c>
      <c r="C3" s="3">
        <f>Paramètres!C8</f>
        <v>0</v>
      </c>
      <c r="D3" s="3">
        <f>Paramètres!D8</f>
        <v>0</v>
      </c>
      <c r="E3" s="3">
        <f>Paramètres!E8</f>
        <v>0</v>
      </c>
      <c r="F3" s="3">
        <f>Paramètres!F8</f>
        <v>0</v>
      </c>
      <c r="G3" s="3">
        <f>Paramètres!G8</f>
        <v>0</v>
      </c>
      <c r="H3" s="3">
        <f>Paramètres!H8</f>
        <v>0</v>
      </c>
      <c r="I3" s="3">
        <f>Paramètres!I8</f>
        <v>0</v>
      </c>
      <c r="J3" s="3">
        <f>Paramètres!J8</f>
        <v>0</v>
      </c>
      <c r="K3" s="3">
        <f>Paramètres!K8</f>
        <v>0</v>
      </c>
      <c r="L3" s="3">
        <f>Paramètres!L8</f>
        <v>0</v>
      </c>
      <c r="M3" s="3">
        <f>Paramètres!M8</f>
        <v>0</v>
      </c>
    </row>
    <row r="5" spans="1:14">
      <c r="A5" s="6" t="s">
        <v>33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</row>
    <row r="6" spans="1:14">
      <c r="A6" s="6" t="s">
        <v>37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8"/>
  <sheetViews>
    <sheetView workbookViewId="0"/>
  </sheetViews>
  <sheetFormatPr defaultRowHeight="15"/>
  <cols>
    <col min="1" max="13" width="12.7109375" customWidth="1"/>
  </cols>
  <sheetData>
    <row r="1" spans="1:14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25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</row>
    <row r="4" spans="1:14">
      <c r="A4" s="6" t="s">
        <v>33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</row>
    <row r="5" spans="1:14">
      <c r="A5" s="6" t="s">
        <v>37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</row>
    <row r="6" spans="1:14">
      <c r="A6" s="6" t="s">
        <v>39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</row>
    <row r="7" spans="1:14">
      <c r="A7" s="6" t="s">
        <v>43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</row>
    <row r="8" spans="1:14">
      <c r="A8" s="6" t="s">
        <v>46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43"/>
  <sheetViews>
    <sheetView workbookViewId="0"/>
  </sheetViews>
  <sheetFormatPr defaultRowHeight="15"/>
  <cols>
    <col min="1" max="1" width="20.7109375" customWidth="1"/>
    <col min="2" max="2" width="18.7109375" customWidth="1"/>
    <col min="3" max="14" width="12.7109375" customWidth="1"/>
    <col min="15" max="17" width="20.7109375" customWidth="1"/>
  </cols>
  <sheetData>
    <row r="1" spans="1:18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spans="1:18">
      <c r="A3" s="5" t="s">
        <v>56</v>
      </c>
      <c r="B3" s="5" t="s">
        <v>25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5" spans="1:18">
      <c r="A5" s="2" t="s">
        <v>25</v>
      </c>
      <c r="B5" s="6" t="s">
        <v>33</v>
      </c>
      <c r="O5" s="2" t="s">
        <v>57</v>
      </c>
      <c r="P5" s="6">
        <f>IFERROR(INDEX(Articles!$C$2:$C$200, MATCH(B5, Articles!$A$2:$A$200,0)),"")</f>
        <v>0</v>
      </c>
      <c r="Q5" s="2" t="s">
        <v>58</v>
      </c>
      <c r="R5" s="4">
        <f>IFERROR(INDEX(Articles!$D$2:$D$200, MATCH(B5, Articles!$A$2:$A$200,0)),0)</f>
        <v>0</v>
      </c>
    </row>
    <row r="6" spans="1:18">
      <c r="A6" s="2" t="s">
        <v>59</v>
      </c>
      <c r="B6" s="6" t="s">
        <v>65</v>
      </c>
      <c r="C6" s="4">
        <f>IF(INDEX(Articles!$C$2:$C$200, MATCH($B5, Articles!$A$2:$A$200,0))="FG", IFERROR(INDEX(MPS!B5:B201, MATCH($B5, MPS!$A$4:$A$200,0)),0), IFERROR(SUMPRODUCT((Nomenclature!$B$2:$B$200=$B5)*(Nomenclature!$C$2:$C$200)*(IFERROR(INDEX(MPS!B5:B201, MATCH(Nomenclature!$A$2:$A$200, MPS!$A$4:$A$200,0)),0))),0))</f>
        <v>0</v>
      </c>
      <c r="D6" s="4">
        <f>IF(INDEX(Articles!$C$2:$C$200, MATCH($B5, Articles!$A$2:$A$200,0))="FG", IFERROR(INDEX(MPS!C5:C201, MATCH($B5, MPS!$A$4:$A$200,0)),0), IFERROR(SUMPRODUCT((Nomenclature!$B$2:$B$200=$B5)*(Nomenclature!$C$2:$C$200)*(IFERROR(INDEX(MPS!C5:C201, MATCH(Nomenclature!$A$2:$A$200, MPS!$A$4:$A$200,0)),0))),0))</f>
        <v>0</v>
      </c>
      <c r="E6" s="4">
        <f>IF(INDEX(Articles!$C$2:$C$200, MATCH($B5, Articles!$A$2:$A$200,0))="FG", IFERROR(INDEX(MPS!D5:D201, MATCH($B5, MPS!$A$4:$A$200,0)),0), IFERROR(SUMPRODUCT((Nomenclature!$B$2:$B$200=$B5)*(Nomenclature!$C$2:$C$200)*(IFERROR(INDEX(MPS!D5:D201, MATCH(Nomenclature!$A$2:$A$200, MPS!$A$4:$A$200,0)),0))),0))</f>
        <v>0</v>
      </c>
      <c r="F6" s="4">
        <f>IF(INDEX(Articles!$C$2:$C$200, MATCH($B5, Articles!$A$2:$A$200,0))="FG", IFERROR(INDEX(MPS!E5:E201, MATCH($B5, MPS!$A$4:$A$200,0)),0), IFERROR(SUMPRODUCT((Nomenclature!$B$2:$B$200=$B5)*(Nomenclature!$C$2:$C$200)*(IFERROR(INDEX(MPS!E5:E201, MATCH(Nomenclature!$A$2:$A$200, MPS!$A$4:$A$200,0)),0))),0))</f>
        <v>0</v>
      </c>
      <c r="G6" s="4">
        <f>IF(INDEX(Articles!$C$2:$C$200, MATCH($B5, Articles!$A$2:$A$200,0))="FG", IFERROR(INDEX(MPS!F5:F201, MATCH($B5, MPS!$A$4:$A$200,0)),0), IFERROR(SUMPRODUCT((Nomenclature!$B$2:$B$200=$B5)*(Nomenclature!$C$2:$C$200)*(IFERROR(INDEX(MPS!F5:F201, MATCH(Nomenclature!$A$2:$A$200, MPS!$A$4:$A$200,0)),0))),0))</f>
        <v>0</v>
      </c>
      <c r="H6" s="4">
        <f>IF(INDEX(Articles!$C$2:$C$200, MATCH($B5, Articles!$A$2:$A$200,0))="FG", IFERROR(INDEX(MPS!G5:G201, MATCH($B5, MPS!$A$4:$A$200,0)),0), IFERROR(SUMPRODUCT((Nomenclature!$B$2:$B$200=$B5)*(Nomenclature!$C$2:$C$200)*(IFERROR(INDEX(MPS!G5:G201, MATCH(Nomenclature!$A$2:$A$200, MPS!$A$4:$A$200,0)),0))),0))</f>
        <v>0</v>
      </c>
      <c r="I6" s="4">
        <f>IF(INDEX(Articles!$C$2:$C$200, MATCH($B5, Articles!$A$2:$A$200,0))="FG", IFERROR(INDEX(MPS!H5:H201, MATCH($B5, MPS!$A$4:$A$200,0)),0), IFERROR(SUMPRODUCT((Nomenclature!$B$2:$B$200=$B5)*(Nomenclature!$C$2:$C$200)*(IFERROR(INDEX(MPS!H5:H201, MATCH(Nomenclature!$A$2:$A$200, MPS!$A$4:$A$200,0)),0))),0))</f>
        <v>0</v>
      </c>
      <c r="J6" s="4">
        <f>IF(INDEX(Articles!$C$2:$C$200, MATCH($B5, Articles!$A$2:$A$200,0))="FG", IFERROR(INDEX(MPS!I5:I201, MATCH($B5, MPS!$A$4:$A$200,0)),0), IFERROR(SUMPRODUCT((Nomenclature!$B$2:$B$200=$B5)*(Nomenclature!$C$2:$C$200)*(IFERROR(INDEX(MPS!I5:I201, MATCH(Nomenclature!$A$2:$A$200, MPS!$A$4:$A$200,0)),0))),0))</f>
        <v>0</v>
      </c>
      <c r="K6" s="4">
        <f>IF(INDEX(Articles!$C$2:$C$200, MATCH($B5, Articles!$A$2:$A$200,0))="FG", IFERROR(INDEX(MPS!J5:J201, MATCH($B5, MPS!$A$4:$A$200,0)),0), IFERROR(SUMPRODUCT((Nomenclature!$B$2:$B$200=$B5)*(Nomenclature!$C$2:$C$200)*(IFERROR(INDEX(MPS!J5:J201, MATCH(Nomenclature!$A$2:$A$200, MPS!$A$4:$A$200,0)),0))),0))</f>
        <v>0</v>
      </c>
      <c r="L6" s="4">
        <f>IF(INDEX(Articles!$C$2:$C$200, MATCH($B5, Articles!$A$2:$A$200,0))="FG", IFERROR(INDEX(MPS!K5:K201, MATCH($B5, MPS!$A$4:$A$200,0)),0), IFERROR(SUMPRODUCT((Nomenclature!$B$2:$B$200=$B5)*(Nomenclature!$C$2:$C$200)*(IFERROR(INDEX(MPS!K5:K201, MATCH(Nomenclature!$A$2:$A$200, MPS!$A$4:$A$200,0)),0))),0))</f>
        <v>0</v>
      </c>
      <c r="M6" s="4">
        <f>IF(INDEX(Articles!$C$2:$C$200, MATCH($B5, Articles!$A$2:$A$200,0))="FG", IFERROR(INDEX(MPS!L5:L201, MATCH($B5, MPS!$A$4:$A$200,0)),0), IFERROR(SUMPRODUCT((Nomenclature!$B$2:$B$200=$B5)*(Nomenclature!$C$2:$C$200)*(IFERROR(INDEX(MPS!L5:L201, MATCH(Nomenclature!$A$2:$A$200, MPS!$A$4:$A$200,0)),0))),0))</f>
        <v>0</v>
      </c>
      <c r="N6" s="4">
        <f>IF(INDEX(Articles!$C$2:$C$200, MATCH($B5, Articles!$A$2:$A$200,0))="FG", IFERROR(INDEX(MPS!M5:M201, MATCH($B5, MPS!$A$4:$A$200,0)),0), IFERROR(SUMPRODUCT((Nomenclature!$B$2:$B$200=$B5)*(Nomenclature!$C$2:$C$200)*(IFERROR(INDEX(MPS!M5:M201, MATCH(Nomenclature!$A$2:$A$200, MPS!$A$4:$A$200,0)),0))),0))</f>
        <v>0</v>
      </c>
    </row>
    <row r="7" spans="1:18">
      <c r="A7" s="2" t="s">
        <v>60</v>
      </c>
      <c r="B7" s="6" t="s">
        <v>32</v>
      </c>
      <c r="C7" s="4">
        <f>IFERROR(INDEX(Réceptions!B4:B201, MATCH($B5, Réceptions!$A$3:$A$200, 0)), 0)</f>
        <v>0</v>
      </c>
      <c r="D7" s="4">
        <f>IFERROR(INDEX(Réceptions!C4:C201, MATCH($B5, Réceptions!$A$3:$A$200, 0)), 0)</f>
        <v>0</v>
      </c>
      <c r="E7" s="4">
        <f>IFERROR(INDEX(Réceptions!D4:D201, MATCH($B5, Réceptions!$A$3:$A$200, 0)), 0)</f>
        <v>0</v>
      </c>
      <c r="F7" s="4">
        <f>IFERROR(INDEX(Réceptions!E4:E201, MATCH($B5, Réceptions!$A$3:$A$200, 0)), 0)</f>
        <v>0</v>
      </c>
      <c r="G7" s="4">
        <f>IFERROR(INDEX(Réceptions!F4:F201, MATCH($B5, Réceptions!$A$3:$A$200, 0)), 0)</f>
        <v>0</v>
      </c>
      <c r="H7" s="4">
        <f>IFERROR(INDEX(Réceptions!G4:G201, MATCH($B5, Réceptions!$A$3:$A$200, 0)), 0)</f>
        <v>0</v>
      </c>
      <c r="I7" s="4">
        <f>IFERROR(INDEX(Réceptions!H4:H201, MATCH($B5, Réceptions!$A$3:$A$200, 0)), 0)</f>
        <v>0</v>
      </c>
      <c r="J7" s="4">
        <f>IFERROR(INDEX(Réceptions!I4:I201, MATCH($B5, Réceptions!$A$3:$A$200, 0)), 0)</f>
        <v>0</v>
      </c>
      <c r="K7" s="4">
        <f>IFERROR(INDEX(Réceptions!J4:J201, MATCH($B5, Réceptions!$A$3:$A$200, 0)), 0)</f>
        <v>0</v>
      </c>
      <c r="L7" s="4">
        <f>IFERROR(INDEX(Réceptions!K4:K201, MATCH($B5, Réceptions!$A$3:$A$200, 0)), 0)</f>
        <v>0</v>
      </c>
      <c r="M7" s="4">
        <f>IFERROR(INDEX(Réceptions!L4:L201, MATCH($B5, Réceptions!$A$3:$A$200, 0)), 0)</f>
        <v>0</v>
      </c>
      <c r="N7" s="4">
        <f>IFERROR(INDEX(Réceptions!M4:M201, MATCH($B5, Réceptions!$A$3:$A$200, 0)), 0)</f>
        <v>0</v>
      </c>
    </row>
    <row r="8" spans="1:18">
      <c r="A8" s="2" t="s">
        <v>61</v>
      </c>
      <c r="C8" s="4">
        <f>C7 + C7 + C10 - C6</f>
        <v>0</v>
      </c>
      <c r="D8" s="4">
        <f>C8 + D7 + D10 - D6</f>
        <v>0</v>
      </c>
      <c r="E8" s="4">
        <f>D8 + E7 + E10 - E6</f>
        <v>0</v>
      </c>
      <c r="F8" s="4">
        <f>E8 + F7 + F10 - F6</f>
        <v>0</v>
      </c>
      <c r="G8" s="4">
        <f>F8 + G7 + G10 - G6</f>
        <v>0</v>
      </c>
      <c r="H8" s="4">
        <f>G8 + H7 + H10 - H6</f>
        <v>0</v>
      </c>
      <c r="I8" s="4">
        <f>H8 + I7 + I10 - I6</f>
        <v>0</v>
      </c>
      <c r="J8" s="4">
        <f>I8 + J7 + J10 - J6</f>
        <v>0</v>
      </c>
      <c r="K8" s="4">
        <f>J8 + K7 + K10 - K6</f>
        <v>0</v>
      </c>
      <c r="L8" s="4">
        <f>K8 + L7 + L10 - L6</f>
        <v>0</v>
      </c>
      <c r="M8" s="4">
        <f>L8 + M7 + M10 - M6</f>
        <v>0</v>
      </c>
      <c r="N8" s="4">
        <f>M8 + N7 + N10 - N6</f>
        <v>0</v>
      </c>
    </row>
    <row r="9" spans="1:18">
      <c r="A9" s="2" t="s">
        <v>62</v>
      </c>
      <c r="C9" s="4">
        <f>MAX(0, C6 + C6 - (C7 + C7))</f>
        <v>0</v>
      </c>
      <c r="D9" s="4">
        <f>MAX(0, C6 + D6 - (C8 + D7))</f>
        <v>0</v>
      </c>
      <c r="E9" s="4">
        <f>MAX(0, C6 + E6 - (D8 + E7))</f>
        <v>0</v>
      </c>
      <c r="F9" s="4">
        <f>MAX(0, C6 + F6 - (E8 + F7))</f>
        <v>0</v>
      </c>
      <c r="G9" s="4">
        <f>MAX(0, C6 + G6 - (F8 + G7))</f>
        <v>0</v>
      </c>
      <c r="H9" s="4">
        <f>MAX(0, C6 + H6 - (G8 + H7))</f>
        <v>0</v>
      </c>
      <c r="I9" s="4">
        <f>MAX(0, C6 + I6 - (H8 + I7))</f>
        <v>0</v>
      </c>
      <c r="J9" s="4">
        <f>MAX(0, C6 + J6 - (I8 + J7))</f>
        <v>0</v>
      </c>
      <c r="K9" s="4">
        <f>MAX(0, C6 + K6 - (J8 + K7))</f>
        <v>0</v>
      </c>
      <c r="L9" s="4">
        <f>MAX(0, C6 + L6 - (K8 + L7))</f>
        <v>0</v>
      </c>
      <c r="M9" s="4">
        <f>MAX(0, C6 + M6 - (L8 + M7))</f>
        <v>0</v>
      </c>
      <c r="N9" s="4">
        <f>MAX(0, C6 + N6 - (M8 + N7))</f>
        <v>0</v>
      </c>
      <c r="O9" s="6" t="s">
        <v>66</v>
      </c>
      <c r="P9" s="6">
        <f>IFERROR(INDEX(Articles!$E$2:$E$200, MATCH(B5, Articles!$A$2:$A$200,0)),"L4L")</f>
        <v>0</v>
      </c>
    </row>
    <row r="10" spans="1:18">
      <c r="A10" s="2" t="s">
        <v>63</v>
      </c>
      <c r="C10" s="4">
        <f>IF(C9=0,0, IF($P9="L4L",C9, ROUNDUP(C9/MAX(1,$P10),0)*MAX(1,$P10)))</f>
        <v>0</v>
      </c>
      <c r="D10" s="4">
        <f>IF(D9=0,0, IF($P9="L4L",D9, ROUNDUP(D9/MAX(1,$P10),0)*MAX(1,$P10)))</f>
        <v>0</v>
      </c>
      <c r="E10" s="4">
        <f>IF(E9=0,0, IF($P9="L4L",E9, ROUNDUP(E9/MAX(1,$P10),0)*MAX(1,$P10)))</f>
        <v>0</v>
      </c>
      <c r="F10" s="4">
        <f>IF(F9=0,0, IF($P9="L4L",F9, ROUNDUP(F9/MAX(1,$P10),0)*MAX(1,$P10)))</f>
        <v>0</v>
      </c>
      <c r="G10" s="4">
        <f>IF(G9=0,0, IF($P9="L4L",G9, ROUNDUP(G9/MAX(1,$P10),0)*MAX(1,$P10)))</f>
        <v>0</v>
      </c>
      <c r="H10" s="4">
        <f>IF(H9=0,0, IF($P9="L4L",H9, ROUNDUP(H9/MAX(1,$P10),0)*MAX(1,$P10)))</f>
        <v>0</v>
      </c>
      <c r="I10" s="4">
        <f>IF(I9=0,0, IF($P9="L4L",I9, ROUNDUP(I9/MAX(1,$P10),0)*MAX(1,$P10)))</f>
        <v>0</v>
      </c>
      <c r="J10" s="4">
        <f>IF(J9=0,0, IF($P9="L4L",J9, ROUNDUP(J9/MAX(1,$P10),0)*MAX(1,$P10)))</f>
        <v>0</v>
      </c>
      <c r="K10" s="4">
        <f>IF(K9=0,0, IF($P9="L4L",K9, ROUNDUP(K9/MAX(1,$P10),0)*MAX(1,$P10)))</f>
        <v>0</v>
      </c>
      <c r="L10" s="4">
        <f>IF(L9=0,0, IF($P9="L4L",L9, ROUNDUP(L9/MAX(1,$P10),0)*MAX(1,$P10)))</f>
        <v>0</v>
      </c>
      <c r="M10" s="4">
        <f>IF(M9=0,0, IF($P9="L4L",M9, ROUNDUP(M9/MAX(1,$P10),0)*MAX(1,$P10)))</f>
        <v>0</v>
      </c>
      <c r="N10" s="4">
        <f>IF(N9=0,0, IF($P9="L4L",N9, ROUNDUP(N9/MAX(1,$P10),0)*MAX(1,$P10)))</f>
        <v>0</v>
      </c>
      <c r="O10" s="6" t="s">
        <v>67</v>
      </c>
      <c r="P10" s="4">
        <f>IFERROR(INDEX(Articles!$F$2:$F$200, MATCH(B5, Articles!$A$2:$A$200,0)),0)</f>
        <v>0</v>
      </c>
    </row>
    <row r="11" spans="1:18">
      <c r="A11" s="2" t="s">
        <v>64</v>
      </c>
      <c r="C11" s="4">
        <f>IFERROR(INDEX(C10:N10, 1, 1+R5), 0)</f>
        <v>0</v>
      </c>
      <c r="D11" s="4">
        <f>IFERROR(INDEX(C10:N10, 1, 2+R5), 0)</f>
        <v>0</v>
      </c>
      <c r="E11" s="4">
        <f>IFERROR(INDEX(C10:N10, 1, 3+R5), 0)</f>
        <v>0</v>
      </c>
      <c r="F11" s="4">
        <f>IFERROR(INDEX(C10:N10, 1, 4+R5), 0)</f>
        <v>0</v>
      </c>
      <c r="G11" s="4">
        <f>IFERROR(INDEX(C10:N10, 1, 5+R5), 0)</f>
        <v>0</v>
      </c>
      <c r="H11" s="4">
        <f>IFERROR(INDEX(C10:N10, 1, 6+R5), 0)</f>
        <v>0</v>
      </c>
      <c r="I11" s="4">
        <f>IFERROR(INDEX(C10:N10, 1, 7+R5), 0)</f>
        <v>0</v>
      </c>
      <c r="J11" s="4">
        <f>IFERROR(INDEX(C10:N10, 1, 8+R5), 0)</f>
        <v>0</v>
      </c>
      <c r="K11" s="4">
        <f>IFERROR(INDEX(C10:N10, 1, 9+R5), 0)</f>
        <v>0</v>
      </c>
      <c r="L11" s="4">
        <f>IFERROR(INDEX(C10:N10, 1, 10+R5), 0)</f>
        <v>0</v>
      </c>
      <c r="M11" s="4">
        <f>IFERROR(INDEX(C10:N10, 1, 11+R5), 0)</f>
        <v>0</v>
      </c>
      <c r="N11" s="4">
        <f>IFERROR(INDEX(C10:N10, 1, 12+R5), 0)</f>
        <v>0</v>
      </c>
    </row>
    <row r="13" spans="1:18">
      <c r="A13" s="2" t="s">
        <v>25</v>
      </c>
      <c r="B13" s="6" t="s">
        <v>37</v>
      </c>
      <c r="O13" s="2" t="s">
        <v>57</v>
      </c>
      <c r="P13" s="6">
        <f>IFERROR(INDEX(Articles!$C$2:$C$200, MATCH(B13, Articles!$A$2:$A$200,0)),"")</f>
        <v>0</v>
      </c>
      <c r="Q13" s="2" t="s">
        <v>58</v>
      </c>
      <c r="R13" s="4">
        <f>IFERROR(INDEX(Articles!$D$2:$D$200, MATCH(B13, Articles!$A$2:$A$200,0)),0)</f>
        <v>0</v>
      </c>
    </row>
    <row r="14" spans="1:18">
      <c r="A14" s="2" t="s">
        <v>59</v>
      </c>
      <c r="B14" s="6" t="s">
        <v>65</v>
      </c>
      <c r="C14" s="4">
        <f>IF(INDEX(Articles!$C$2:$C$200, MATCH($B13, Articles!$A$2:$A$200,0))="FG", IFERROR(INDEX(MPS!B5:B201, MATCH($B13, MPS!$A$4:$A$200,0)),0), IFERROR(SUMPRODUCT((Nomenclature!$B$2:$B$200=$B13)*(Nomenclature!$C$2:$C$200)*(IFERROR(INDEX(MPS!B5:B201, MATCH(Nomenclature!$A$2:$A$200, MPS!$A$4:$A$200,0)),0))),0))</f>
        <v>0</v>
      </c>
      <c r="D14" s="4">
        <f>IF(INDEX(Articles!$C$2:$C$200, MATCH($B13, Articles!$A$2:$A$200,0))="FG", IFERROR(INDEX(MPS!C5:C201, MATCH($B13, MPS!$A$4:$A$200,0)),0), IFERROR(SUMPRODUCT((Nomenclature!$B$2:$B$200=$B13)*(Nomenclature!$C$2:$C$200)*(IFERROR(INDEX(MPS!C5:C201, MATCH(Nomenclature!$A$2:$A$200, MPS!$A$4:$A$200,0)),0))),0))</f>
        <v>0</v>
      </c>
      <c r="E14" s="4">
        <f>IF(INDEX(Articles!$C$2:$C$200, MATCH($B13, Articles!$A$2:$A$200,0))="FG", IFERROR(INDEX(MPS!D5:D201, MATCH($B13, MPS!$A$4:$A$200,0)),0), IFERROR(SUMPRODUCT((Nomenclature!$B$2:$B$200=$B13)*(Nomenclature!$C$2:$C$200)*(IFERROR(INDEX(MPS!D5:D201, MATCH(Nomenclature!$A$2:$A$200, MPS!$A$4:$A$200,0)),0))),0))</f>
        <v>0</v>
      </c>
      <c r="F14" s="4">
        <f>IF(INDEX(Articles!$C$2:$C$200, MATCH($B13, Articles!$A$2:$A$200,0))="FG", IFERROR(INDEX(MPS!E5:E201, MATCH($B13, MPS!$A$4:$A$200,0)),0), IFERROR(SUMPRODUCT((Nomenclature!$B$2:$B$200=$B13)*(Nomenclature!$C$2:$C$200)*(IFERROR(INDEX(MPS!E5:E201, MATCH(Nomenclature!$A$2:$A$200, MPS!$A$4:$A$200,0)),0))),0))</f>
        <v>0</v>
      </c>
      <c r="G14" s="4">
        <f>IF(INDEX(Articles!$C$2:$C$200, MATCH($B13, Articles!$A$2:$A$200,0))="FG", IFERROR(INDEX(MPS!F5:F201, MATCH($B13, MPS!$A$4:$A$200,0)),0), IFERROR(SUMPRODUCT((Nomenclature!$B$2:$B$200=$B13)*(Nomenclature!$C$2:$C$200)*(IFERROR(INDEX(MPS!F5:F201, MATCH(Nomenclature!$A$2:$A$200, MPS!$A$4:$A$200,0)),0))),0))</f>
        <v>0</v>
      </c>
      <c r="H14" s="4">
        <f>IF(INDEX(Articles!$C$2:$C$200, MATCH($B13, Articles!$A$2:$A$200,0))="FG", IFERROR(INDEX(MPS!G5:G201, MATCH($B13, MPS!$A$4:$A$200,0)),0), IFERROR(SUMPRODUCT((Nomenclature!$B$2:$B$200=$B13)*(Nomenclature!$C$2:$C$200)*(IFERROR(INDEX(MPS!G5:G201, MATCH(Nomenclature!$A$2:$A$200, MPS!$A$4:$A$200,0)),0))),0))</f>
        <v>0</v>
      </c>
      <c r="I14" s="4">
        <f>IF(INDEX(Articles!$C$2:$C$200, MATCH($B13, Articles!$A$2:$A$200,0))="FG", IFERROR(INDEX(MPS!H5:H201, MATCH($B13, MPS!$A$4:$A$200,0)),0), IFERROR(SUMPRODUCT((Nomenclature!$B$2:$B$200=$B13)*(Nomenclature!$C$2:$C$200)*(IFERROR(INDEX(MPS!H5:H201, MATCH(Nomenclature!$A$2:$A$200, MPS!$A$4:$A$200,0)),0))),0))</f>
        <v>0</v>
      </c>
      <c r="J14" s="4">
        <f>IF(INDEX(Articles!$C$2:$C$200, MATCH($B13, Articles!$A$2:$A$200,0))="FG", IFERROR(INDEX(MPS!I5:I201, MATCH($B13, MPS!$A$4:$A$200,0)),0), IFERROR(SUMPRODUCT((Nomenclature!$B$2:$B$200=$B13)*(Nomenclature!$C$2:$C$200)*(IFERROR(INDEX(MPS!I5:I201, MATCH(Nomenclature!$A$2:$A$200, MPS!$A$4:$A$200,0)),0))),0))</f>
        <v>0</v>
      </c>
      <c r="K14" s="4">
        <f>IF(INDEX(Articles!$C$2:$C$200, MATCH($B13, Articles!$A$2:$A$200,0))="FG", IFERROR(INDEX(MPS!J5:J201, MATCH($B13, MPS!$A$4:$A$200,0)),0), IFERROR(SUMPRODUCT((Nomenclature!$B$2:$B$200=$B13)*(Nomenclature!$C$2:$C$200)*(IFERROR(INDEX(MPS!J5:J201, MATCH(Nomenclature!$A$2:$A$200, MPS!$A$4:$A$200,0)),0))),0))</f>
        <v>0</v>
      </c>
      <c r="L14" s="4">
        <f>IF(INDEX(Articles!$C$2:$C$200, MATCH($B13, Articles!$A$2:$A$200,0))="FG", IFERROR(INDEX(MPS!K5:K201, MATCH($B13, MPS!$A$4:$A$200,0)),0), IFERROR(SUMPRODUCT((Nomenclature!$B$2:$B$200=$B13)*(Nomenclature!$C$2:$C$200)*(IFERROR(INDEX(MPS!K5:K201, MATCH(Nomenclature!$A$2:$A$200, MPS!$A$4:$A$200,0)),0))),0))</f>
        <v>0</v>
      </c>
      <c r="M14" s="4">
        <f>IF(INDEX(Articles!$C$2:$C$200, MATCH($B13, Articles!$A$2:$A$200,0))="FG", IFERROR(INDEX(MPS!L5:L201, MATCH($B13, MPS!$A$4:$A$200,0)),0), IFERROR(SUMPRODUCT((Nomenclature!$B$2:$B$200=$B13)*(Nomenclature!$C$2:$C$200)*(IFERROR(INDEX(MPS!L5:L201, MATCH(Nomenclature!$A$2:$A$200, MPS!$A$4:$A$200,0)),0))),0))</f>
        <v>0</v>
      </c>
      <c r="N14" s="4">
        <f>IF(INDEX(Articles!$C$2:$C$200, MATCH($B13, Articles!$A$2:$A$200,0))="FG", IFERROR(INDEX(MPS!M5:M201, MATCH($B13, MPS!$A$4:$A$200,0)),0), IFERROR(SUMPRODUCT((Nomenclature!$B$2:$B$200=$B13)*(Nomenclature!$C$2:$C$200)*(IFERROR(INDEX(MPS!M5:M201, MATCH(Nomenclature!$A$2:$A$200, MPS!$A$4:$A$200,0)),0))),0))</f>
        <v>0</v>
      </c>
    </row>
    <row r="15" spans="1:18">
      <c r="A15" s="2" t="s">
        <v>60</v>
      </c>
      <c r="B15" s="6" t="s">
        <v>32</v>
      </c>
      <c r="C15" s="4">
        <f>IFERROR(INDEX(Réceptions!B4:B201, MATCH($B13, Réceptions!$A$3:$A$200, 0)), 0)</f>
        <v>0</v>
      </c>
      <c r="D15" s="4">
        <f>IFERROR(INDEX(Réceptions!C4:C201, MATCH($B13, Réceptions!$A$3:$A$200, 0)), 0)</f>
        <v>0</v>
      </c>
      <c r="E15" s="4">
        <f>IFERROR(INDEX(Réceptions!D4:D201, MATCH($B13, Réceptions!$A$3:$A$200, 0)), 0)</f>
        <v>0</v>
      </c>
      <c r="F15" s="4">
        <f>IFERROR(INDEX(Réceptions!E4:E201, MATCH($B13, Réceptions!$A$3:$A$200, 0)), 0)</f>
        <v>0</v>
      </c>
      <c r="G15" s="4">
        <f>IFERROR(INDEX(Réceptions!F4:F201, MATCH($B13, Réceptions!$A$3:$A$200, 0)), 0)</f>
        <v>0</v>
      </c>
      <c r="H15" s="4">
        <f>IFERROR(INDEX(Réceptions!G4:G201, MATCH($B13, Réceptions!$A$3:$A$200, 0)), 0)</f>
        <v>0</v>
      </c>
      <c r="I15" s="4">
        <f>IFERROR(INDEX(Réceptions!H4:H201, MATCH($B13, Réceptions!$A$3:$A$200, 0)), 0)</f>
        <v>0</v>
      </c>
      <c r="J15" s="4">
        <f>IFERROR(INDEX(Réceptions!I4:I201, MATCH($B13, Réceptions!$A$3:$A$200, 0)), 0)</f>
        <v>0</v>
      </c>
      <c r="K15" s="4">
        <f>IFERROR(INDEX(Réceptions!J4:J201, MATCH($B13, Réceptions!$A$3:$A$200, 0)), 0)</f>
        <v>0</v>
      </c>
      <c r="L15" s="4">
        <f>IFERROR(INDEX(Réceptions!K4:K201, MATCH($B13, Réceptions!$A$3:$A$200, 0)), 0)</f>
        <v>0</v>
      </c>
      <c r="M15" s="4">
        <f>IFERROR(INDEX(Réceptions!L4:L201, MATCH($B13, Réceptions!$A$3:$A$200, 0)), 0)</f>
        <v>0</v>
      </c>
      <c r="N15" s="4">
        <f>IFERROR(INDEX(Réceptions!M4:M201, MATCH($B13, Réceptions!$A$3:$A$200, 0)), 0)</f>
        <v>0</v>
      </c>
    </row>
    <row r="16" spans="1:18">
      <c r="A16" s="2" t="s">
        <v>61</v>
      </c>
      <c r="C16" s="4">
        <f>C15 + C15 + C18 - C14</f>
        <v>0</v>
      </c>
      <c r="D16" s="4">
        <f>C16 + D15 + D18 - D14</f>
        <v>0</v>
      </c>
      <c r="E16" s="4">
        <f>D16 + E15 + E18 - E14</f>
        <v>0</v>
      </c>
      <c r="F16" s="4">
        <f>E16 + F15 + F18 - F14</f>
        <v>0</v>
      </c>
      <c r="G16" s="4">
        <f>F16 + G15 + G18 - G14</f>
        <v>0</v>
      </c>
      <c r="H16" s="4">
        <f>G16 + H15 + H18 - H14</f>
        <v>0</v>
      </c>
      <c r="I16" s="4">
        <f>H16 + I15 + I18 - I14</f>
        <v>0</v>
      </c>
      <c r="J16" s="4">
        <f>I16 + J15 + J18 - J14</f>
        <v>0</v>
      </c>
      <c r="K16" s="4">
        <f>J16 + K15 + K18 - K14</f>
        <v>0</v>
      </c>
      <c r="L16" s="4">
        <f>K16 + L15 + L18 - L14</f>
        <v>0</v>
      </c>
      <c r="M16" s="4">
        <f>L16 + M15 + M18 - M14</f>
        <v>0</v>
      </c>
      <c r="N16" s="4">
        <f>M16 + N15 + N18 - N14</f>
        <v>0</v>
      </c>
    </row>
    <row r="17" spans="1:18">
      <c r="A17" s="2" t="s">
        <v>62</v>
      </c>
      <c r="C17" s="4">
        <f>MAX(0, C14 + C14 - (C15 + C15))</f>
        <v>0</v>
      </c>
      <c r="D17" s="4">
        <f>MAX(0, C14 + D14 - (C16 + D15))</f>
        <v>0</v>
      </c>
      <c r="E17" s="4">
        <f>MAX(0, C14 + E14 - (D16 + E15))</f>
        <v>0</v>
      </c>
      <c r="F17" s="4">
        <f>MAX(0, C14 + F14 - (E16 + F15))</f>
        <v>0</v>
      </c>
      <c r="G17" s="4">
        <f>MAX(0, C14 + G14 - (F16 + G15))</f>
        <v>0</v>
      </c>
      <c r="H17" s="4">
        <f>MAX(0, C14 + H14 - (G16 + H15))</f>
        <v>0</v>
      </c>
      <c r="I17" s="4">
        <f>MAX(0, C14 + I14 - (H16 + I15))</f>
        <v>0</v>
      </c>
      <c r="J17" s="4">
        <f>MAX(0, C14 + J14 - (I16 + J15))</f>
        <v>0</v>
      </c>
      <c r="K17" s="4">
        <f>MAX(0, C14 + K14 - (J16 + K15))</f>
        <v>0</v>
      </c>
      <c r="L17" s="4">
        <f>MAX(0, C14 + L14 - (K16 + L15))</f>
        <v>0</v>
      </c>
      <c r="M17" s="4">
        <f>MAX(0, C14 + M14 - (L16 + M15))</f>
        <v>0</v>
      </c>
      <c r="N17" s="4">
        <f>MAX(0, C14 + N14 - (M16 + N15))</f>
        <v>0</v>
      </c>
      <c r="O17" s="6" t="s">
        <v>66</v>
      </c>
      <c r="P17" s="6">
        <f>IFERROR(INDEX(Articles!$E$2:$E$200, MATCH(B13, Articles!$A$2:$A$200,0)),"L4L")</f>
        <v>0</v>
      </c>
    </row>
    <row r="18" spans="1:18">
      <c r="A18" s="2" t="s">
        <v>63</v>
      </c>
      <c r="C18" s="4">
        <f>IF(C17=0,0, IF($P17="L4L",C17, ROUNDUP(C17/MAX(1,$P18),0)*MAX(1,$P18)))</f>
        <v>0</v>
      </c>
      <c r="D18" s="4">
        <f>IF(D17=0,0, IF($P17="L4L",D17, ROUNDUP(D17/MAX(1,$P18),0)*MAX(1,$P18)))</f>
        <v>0</v>
      </c>
      <c r="E18" s="4">
        <f>IF(E17=0,0, IF($P17="L4L",E17, ROUNDUP(E17/MAX(1,$P18),0)*MAX(1,$P18)))</f>
        <v>0</v>
      </c>
      <c r="F18" s="4">
        <f>IF(F17=0,0, IF($P17="L4L",F17, ROUNDUP(F17/MAX(1,$P18),0)*MAX(1,$P18)))</f>
        <v>0</v>
      </c>
      <c r="G18" s="4">
        <f>IF(G17=0,0, IF($P17="L4L",G17, ROUNDUP(G17/MAX(1,$P18),0)*MAX(1,$P18)))</f>
        <v>0</v>
      </c>
      <c r="H18" s="4">
        <f>IF(H17=0,0, IF($P17="L4L",H17, ROUNDUP(H17/MAX(1,$P18),0)*MAX(1,$P18)))</f>
        <v>0</v>
      </c>
      <c r="I18" s="4">
        <f>IF(I17=0,0, IF($P17="L4L",I17, ROUNDUP(I17/MAX(1,$P18),0)*MAX(1,$P18)))</f>
        <v>0</v>
      </c>
      <c r="J18" s="4">
        <f>IF(J17=0,0, IF($P17="L4L",J17, ROUNDUP(J17/MAX(1,$P18),0)*MAX(1,$P18)))</f>
        <v>0</v>
      </c>
      <c r="K18" s="4">
        <f>IF(K17=0,0, IF($P17="L4L",K17, ROUNDUP(K17/MAX(1,$P18),0)*MAX(1,$P18)))</f>
        <v>0</v>
      </c>
      <c r="L18" s="4">
        <f>IF(L17=0,0, IF($P17="L4L",L17, ROUNDUP(L17/MAX(1,$P18),0)*MAX(1,$P18)))</f>
        <v>0</v>
      </c>
      <c r="M18" s="4">
        <f>IF(M17=0,0, IF($P17="L4L",M17, ROUNDUP(M17/MAX(1,$P18),0)*MAX(1,$P18)))</f>
        <v>0</v>
      </c>
      <c r="N18" s="4">
        <f>IF(N17=0,0, IF($P17="L4L",N17, ROUNDUP(N17/MAX(1,$P18),0)*MAX(1,$P18)))</f>
        <v>0</v>
      </c>
      <c r="O18" s="6" t="s">
        <v>67</v>
      </c>
      <c r="P18" s="4">
        <f>IFERROR(INDEX(Articles!$F$2:$F$200, MATCH(B13, Articles!$A$2:$A$200,0)),0)</f>
        <v>0</v>
      </c>
    </row>
    <row r="19" spans="1:18">
      <c r="A19" s="2" t="s">
        <v>64</v>
      </c>
      <c r="C19" s="4">
        <f>IFERROR(INDEX(C18:N18, 1, 1+R13), 0)</f>
        <v>0</v>
      </c>
      <c r="D19" s="4">
        <f>IFERROR(INDEX(C18:N18, 1, 2+R13), 0)</f>
        <v>0</v>
      </c>
      <c r="E19" s="4">
        <f>IFERROR(INDEX(C18:N18, 1, 3+R13), 0)</f>
        <v>0</v>
      </c>
      <c r="F19" s="4">
        <f>IFERROR(INDEX(C18:N18, 1, 4+R13), 0)</f>
        <v>0</v>
      </c>
      <c r="G19" s="4">
        <f>IFERROR(INDEX(C18:N18, 1, 5+R13), 0)</f>
        <v>0</v>
      </c>
      <c r="H19" s="4">
        <f>IFERROR(INDEX(C18:N18, 1, 6+R13), 0)</f>
        <v>0</v>
      </c>
      <c r="I19" s="4">
        <f>IFERROR(INDEX(C18:N18, 1, 7+R13), 0)</f>
        <v>0</v>
      </c>
      <c r="J19" s="4">
        <f>IFERROR(INDEX(C18:N18, 1, 8+R13), 0)</f>
        <v>0</v>
      </c>
      <c r="K19" s="4">
        <f>IFERROR(INDEX(C18:N18, 1, 9+R13), 0)</f>
        <v>0</v>
      </c>
      <c r="L19" s="4">
        <f>IFERROR(INDEX(C18:N18, 1, 10+R13), 0)</f>
        <v>0</v>
      </c>
      <c r="M19" s="4">
        <f>IFERROR(INDEX(C18:N18, 1, 11+R13), 0)</f>
        <v>0</v>
      </c>
      <c r="N19" s="4">
        <f>IFERROR(INDEX(C18:N18, 1, 12+R13), 0)</f>
        <v>0</v>
      </c>
    </row>
    <row r="21" spans="1:18">
      <c r="A21" s="2" t="s">
        <v>25</v>
      </c>
      <c r="B21" s="6" t="s">
        <v>39</v>
      </c>
      <c r="O21" s="2" t="s">
        <v>57</v>
      </c>
      <c r="P21" s="6">
        <f>IFERROR(INDEX(Articles!$C$2:$C$200, MATCH(B21, Articles!$A$2:$A$200,0)),"")</f>
        <v>0</v>
      </c>
      <c r="Q21" s="2" t="s">
        <v>58</v>
      </c>
      <c r="R21" s="4">
        <f>IFERROR(INDEX(Articles!$D$2:$D$200, MATCH(B21, Articles!$A$2:$A$200,0)),0)</f>
        <v>0</v>
      </c>
    </row>
    <row r="22" spans="1:18">
      <c r="A22" s="2" t="s">
        <v>59</v>
      </c>
      <c r="B22" s="6" t="s">
        <v>65</v>
      </c>
      <c r="C22" s="4">
        <f>IF(INDEX(Articles!$C$2:$C$200, MATCH($B21, Articles!$A$2:$A$200,0))="FG", IFERROR(INDEX(MPS!B5:B201, MATCH($B21, MPS!$A$4:$A$200,0)),0), IFERROR(SUMPRODUCT((Nomenclature!$B$2:$B$200=$B21)*(Nomenclature!$C$2:$C$200)*(IFERROR(INDEX(MPS!B5:B201, MATCH(Nomenclature!$A$2:$A$200, MPS!$A$4:$A$200,0)),0))),0))</f>
        <v>0</v>
      </c>
      <c r="D22" s="4">
        <f>IF(INDEX(Articles!$C$2:$C$200, MATCH($B21, Articles!$A$2:$A$200,0))="FG", IFERROR(INDEX(MPS!C5:C201, MATCH($B21, MPS!$A$4:$A$200,0)),0), IFERROR(SUMPRODUCT((Nomenclature!$B$2:$B$200=$B21)*(Nomenclature!$C$2:$C$200)*(IFERROR(INDEX(MPS!C5:C201, MATCH(Nomenclature!$A$2:$A$200, MPS!$A$4:$A$200,0)),0))),0))</f>
        <v>0</v>
      </c>
      <c r="E22" s="4">
        <f>IF(INDEX(Articles!$C$2:$C$200, MATCH($B21, Articles!$A$2:$A$200,0))="FG", IFERROR(INDEX(MPS!D5:D201, MATCH($B21, MPS!$A$4:$A$200,0)),0), IFERROR(SUMPRODUCT((Nomenclature!$B$2:$B$200=$B21)*(Nomenclature!$C$2:$C$200)*(IFERROR(INDEX(MPS!D5:D201, MATCH(Nomenclature!$A$2:$A$200, MPS!$A$4:$A$200,0)),0))),0))</f>
        <v>0</v>
      </c>
      <c r="F22" s="4">
        <f>IF(INDEX(Articles!$C$2:$C$200, MATCH($B21, Articles!$A$2:$A$200,0))="FG", IFERROR(INDEX(MPS!E5:E201, MATCH($B21, MPS!$A$4:$A$200,0)),0), IFERROR(SUMPRODUCT((Nomenclature!$B$2:$B$200=$B21)*(Nomenclature!$C$2:$C$200)*(IFERROR(INDEX(MPS!E5:E201, MATCH(Nomenclature!$A$2:$A$200, MPS!$A$4:$A$200,0)),0))),0))</f>
        <v>0</v>
      </c>
      <c r="G22" s="4">
        <f>IF(INDEX(Articles!$C$2:$C$200, MATCH($B21, Articles!$A$2:$A$200,0))="FG", IFERROR(INDEX(MPS!F5:F201, MATCH($B21, MPS!$A$4:$A$200,0)),0), IFERROR(SUMPRODUCT((Nomenclature!$B$2:$B$200=$B21)*(Nomenclature!$C$2:$C$200)*(IFERROR(INDEX(MPS!F5:F201, MATCH(Nomenclature!$A$2:$A$200, MPS!$A$4:$A$200,0)),0))),0))</f>
        <v>0</v>
      </c>
      <c r="H22" s="4">
        <f>IF(INDEX(Articles!$C$2:$C$200, MATCH($B21, Articles!$A$2:$A$200,0))="FG", IFERROR(INDEX(MPS!G5:G201, MATCH($B21, MPS!$A$4:$A$200,0)),0), IFERROR(SUMPRODUCT((Nomenclature!$B$2:$B$200=$B21)*(Nomenclature!$C$2:$C$200)*(IFERROR(INDEX(MPS!G5:G201, MATCH(Nomenclature!$A$2:$A$200, MPS!$A$4:$A$200,0)),0))),0))</f>
        <v>0</v>
      </c>
      <c r="I22" s="4">
        <f>IF(INDEX(Articles!$C$2:$C$200, MATCH($B21, Articles!$A$2:$A$200,0))="FG", IFERROR(INDEX(MPS!H5:H201, MATCH($B21, MPS!$A$4:$A$200,0)),0), IFERROR(SUMPRODUCT((Nomenclature!$B$2:$B$200=$B21)*(Nomenclature!$C$2:$C$200)*(IFERROR(INDEX(MPS!H5:H201, MATCH(Nomenclature!$A$2:$A$200, MPS!$A$4:$A$200,0)),0))),0))</f>
        <v>0</v>
      </c>
      <c r="J22" s="4">
        <f>IF(INDEX(Articles!$C$2:$C$200, MATCH($B21, Articles!$A$2:$A$200,0))="FG", IFERROR(INDEX(MPS!I5:I201, MATCH($B21, MPS!$A$4:$A$200,0)),0), IFERROR(SUMPRODUCT((Nomenclature!$B$2:$B$200=$B21)*(Nomenclature!$C$2:$C$200)*(IFERROR(INDEX(MPS!I5:I201, MATCH(Nomenclature!$A$2:$A$200, MPS!$A$4:$A$200,0)),0))),0))</f>
        <v>0</v>
      </c>
      <c r="K22" s="4">
        <f>IF(INDEX(Articles!$C$2:$C$200, MATCH($B21, Articles!$A$2:$A$200,0))="FG", IFERROR(INDEX(MPS!J5:J201, MATCH($B21, MPS!$A$4:$A$200,0)),0), IFERROR(SUMPRODUCT((Nomenclature!$B$2:$B$200=$B21)*(Nomenclature!$C$2:$C$200)*(IFERROR(INDEX(MPS!J5:J201, MATCH(Nomenclature!$A$2:$A$200, MPS!$A$4:$A$200,0)),0))),0))</f>
        <v>0</v>
      </c>
      <c r="L22" s="4">
        <f>IF(INDEX(Articles!$C$2:$C$200, MATCH($B21, Articles!$A$2:$A$200,0))="FG", IFERROR(INDEX(MPS!K5:K201, MATCH($B21, MPS!$A$4:$A$200,0)),0), IFERROR(SUMPRODUCT((Nomenclature!$B$2:$B$200=$B21)*(Nomenclature!$C$2:$C$200)*(IFERROR(INDEX(MPS!K5:K201, MATCH(Nomenclature!$A$2:$A$200, MPS!$A$4:$A$200,0)),0))),0))</f>
        <v>0</v>
      </c>
      <c r="M22" s="4">
        <f>IF(INDEX(Articles!$C$2:$C$200, MATCH($B21, Articles!$A$2:$A$200,0))="FG", IFERROR(INDEX(MPS!L5:L201, MATCH($B21, MPS!$A$4:$A$200,0)),0), IFERROR(SUMPRODUCT((Nomenclature!$B$2:$B$200=$B21)*(Nomenclature!$C$2:$C$200)*(IFERROR(INDEX(MPS!L5:L201, MATCH(Nomenclature!$A$2:$A$200, MPS!$A$4:$A$200,0)),0))),0))</f>
        <v>0</v>
      </c>
      <c r="N22" s="4">
        <f>IF(INDEX(Articles!$C$2:$C$200, MATCH($B21, Articles!$A$2:$A$200,0))="FG", IFERROR(INDEX(MPS!M5:M201, MATCH($B21, MPS!$A$4:$A$200,0)),0), IFERROR(SUMPRODUCT((Nomenclature!$B$2:$B$200=$B21)*(Nomenclature!$C$2:$C$200)*(IFERROR(INDEX(MPS!M5:M201, MATCH(Nomenclature!$A$2:$A$200, MPS!$A$4:$A$200,0)),0))),0))</f>
        <v>0</v>
      </c>
    </row>
    <row r="23" spans="1:18">
      <c r="A23" s="2" t="s">
        <v>60</v>
      </c>
      <c r="B23" s="6" t="s">
        <v>32</v>
      </c>
      <c r="C23" s="4">
        <f>IFERROR(INDEX(Réceptions!B4:B201, MATCH($B21, Réceptions!$A$3:$A$200, 0)), 0)</f>
        <v>0</v>
      </c>
      <c r="D23" s="4">
        <f>IFERROR(INDEX(Réceptions!C4:C201, MATCH($B21, Réceptions!$A$3:$A$200, 0)), 0)</f>
        <v>0</v>
      </c>
      <c r="E23" s="4">
        <f>IFERROR(INDEX(Réceptions!D4:D201, MATCH($B21, Réceptions!$A$3:$A$200, 0)), 0)</f>
        <v>0</v>
      </c>
      <c r="F23" s="4">
        <f>IFERROR(INDEX(Réceptions!E4:E201, MATCH($B21, Réceptions!$A$3:$A$200, 0)), 0)</f>
        <v>0</v>
      </c>
      <c r="G23" s="4">
        <f>IFERROR(INDEX(Réceptions!F4:F201, MATCH($B21, Réceptions!$A$3:$A$200, 0)), 0)</f>
        <v>0</v>
      </c>
      <c r="H23" s="4">
        <f>IFERROR(INDEX(Réceptions!G4:G201, MATCH($B21, Réceptions!$A$3:$A$200, 0)), 0)</f>
        <v>0</v>
      </c>
      <c r="I23" s="4">
        <f>IFERROR(INDEX(Réceptions!H4:H201, MATCH($B21, Réceptions!$A$3:$A$200, 0)), 0)</f>
        <v>0</v>
      </c>
      <c r="J23" s="4">
        <f>IFERROR(INDEX(Réceptions!I4:I201, MATCH($B21, Réceptions!$A$3:$A$200, 0)), 0)</f>
        <v>0</v>
      </c>
      <c r="K23" s="4">
        <f>IFERROR(INDEX(Réceptions!J4:J201, MATCH($B21, Réceptions!$A$3:$A$200, 0)), 0)</f>
        <v>0</v>
      </c>
      <c r="L23" s="4">
        <f>IFERROR(INDEX(Réceptions!K4:K201, MATCH($B21, Réceptions!$A$3:$A$200, 0)), 0)</f>
        <v>0</v>
      </c>
      <c r="M23" s="4">
        <f>IFERROR(INDEX(Réceptions!L4:L201, MATCH($B21, Réceptions!$A$3:$A$200, 0)), 0)</f>
        <v>0</v>
      </c>
      <c r="N23" s="4">
        <f>IFERROR(INDEX(Réceptions!M4:M201, MATCH($B21, Réceptions!$A$3:$A$200, 0)), 0)</f>
        <v>0</v>
      </c>
    </row>
    <row r="24" spans="1:18">
      <c r="A24" s="2" t="s">
        <v>61</v>
      </c>
      <c r="C24" s="4">
        <f>C23 + C23 + C26 - C22</f>
        <v>0</v>
      </c>
      <c r="D24" s="4">
        <f>C24 + D23 + D26 - D22</f>
        <v>0</v>
      </c>
      <c r="E24" s="4">
        <f>D24 + E23 + E26 - E22</f>
        <v>0</v>
      </c>
      <c r="F24" s="4">
        <f>E24 + F23 + F26 - F22</f>
        <v>0</v>
      </c>
      <c r="G24" s="4">
        <f>F24 + G23 + G26 - G22</f>
        <v>0</v>
      </c>
      <c r="H24" s="4">
        <f>G24 + H23 + H26 - H22</f>
        <v>0</v>
      </c>
      <c r="I24" s="4">
        <f>H24 + I23 + I26 - I22</f>
        <v>0</v>
      </c>
      <c r="J24" s="4">
        <f>I24 + J23 + J26 - J22</f>
        <v>0</v>
      </c>
      <c r="K24" s="4">
        <f>J24 + K23 + K26 - K22</f>
        <v>0</v>
      </c>
      <c r="L24" s="4">
        <f>K24 + L23 + L26 - L22</f>
        <v>0</v>
      </c>
      <c r="M24" s="4">
        <f>L24 + M23 + M26 - M22</f>
        <v>0</v>
      </c>
      <c r="N24" s="4">
        <f>M24 + N23 + N26 - N22</f>
        <v>0</v>
      </c>
    </row>
    <row r="25" spans="1:18">
      <c r="A25" s="2" t="s">
        <v>62</v>
      </c>
      <c r="C25" s="4">
        <f>MAX(0, C22 + C22 - (C23 + C23))</f>
        <v>0</v>
      </c>
      <c r="D25" s="4">
        <f>MAX(0, C22 + D22 - (C24 + D23))</f>
        <v>0</v>
      </c>
      <c r="E25" s="4">
        <f>MAX(0, C22 + E22 - (D24 + E23))</f>
        <v>0</v>
      </c>
      <c r="F25" s="4">
        <f>MAX(0, C22 + F22 - (E24 + F23))</f>
        <v>0</v>
      </c>
      <c r="G25" s="4">
        <f>MAX(0, C22 + G22 - (F24 + G23))</f>
        <v>0</v>
      </c>
      <c r="H25" s="4">
        <f>MAX(0, C22 + H22 - (G24 + H23))</f>
        <v>0</v>
      </c>
      <c r="I25" s="4">
        <f>MAX(0, C22 + I22 - (H24 + I23))</f>
        <v>0</v>
      </c>
      <c r="J25" s="4">
        <f>MAX(0, C22 + J22 - (I24 + J23))</f>
        <v>0</v>
      </c>
      <c r="K25" s="4">
        <f>MAX(0, C22 + K22 - (J24 + K23))</f>
        <v>0</v>
      </c>
      <c r="L25" s="4">
        <f>MAX(0, C22 + L22 - (K24 + L23))</f>
        <v>0</v>
      </c>
      <c r="M25" s="4">
        <f>MAX(0, C22 + M22 - (L24 + M23))</f>
        <v>0</v>
      </c>
      <c r="N25" s="4">
        <f>MAX(0, C22 + N22 - (M24 + N23))</f>
        <v>0</v>
      </c>
      <c r="O25" s="6" t="s">
        <v>66</v>
      </c>
      <c r="P25" s="6">
        <f>IFERROR(INDEX(Articles!$E$2:$E$200, MATCH(B21, Articles!$A$2:$A$200,0)),"L4L")</f>
        <v>0</v>
      </c>
    </row>
    <row r="26" spans="1:18">
      <c r="A26" s="2" t="s">
        <v>63</v>
      </c>
      <c r="C26" s="4">
        <f>IF(C25=0,0, IF($P25="L4L",C25, ROUNDUP(C25/MAX(1,$P26),0)*MAX(1,$P26)))</f>
        <v>0</v>
      </c>
      <c r="D26" s="4">
        <f>IF(D25=0,0, IF($P25="L4L",D25, ROUNDUP(D25/MAX(1,$P26),0)*MAX(1,$P26)))</f>
        <v>0</v>
      </c>
      <c r="E26" s="4">
        <f>IF(E25=0,0, IF($P25="L4L",E25, ROUNDUP(E25/MAX(1,$P26),0)*MAX(1,$P26)))</f>
        <v>0</v>
      </c>
      <c r="F26" s="4">
        <f>IF(F25=0,0, IF($P25="L4L",F25, ROUNDUP(F25/MAX(1,$P26),0)*MAX(1,$P26)))</f>
        <v>0</v>
      </c>
      <c r="G26" s="4">
        <f>IF(G25=0,0, IF($P25="L4L",G25, ROUNDUP(G25/MAX(1,$P26),0)*MAX(1,$P26)))</f>
        <v>0</v>
      </c>
      <c r="H26" s="4">
        <f>IF(H25=0,0, IF($P25="L4L",H25, ROUNDUP(H25/MAX(1,$P26),0)*MAX(1,$P26)))</f>
        <v>0</v>
      </c>
      <c r="I26" s="4">
        <f>IF(I25=0,0, IF($P25="L4L",I25, ROUNDUP(I25/MAX(1,$P26),0)*MAX(1,$P26)))</f>
        <v>0</v>
      </c>
      <c r="J26" s="4">
        <f>IF(J25=0,0, IF($P25="L4L",J25, ROUNDUP(J25/MAX(1,$P26),0)*MAX(1,$P26)))</f>
        <v>0</v>
      </c>
      <c r="K26" s="4">
        <f>IF(K25=0,0, IF($P25="L4L",K25, ROUNDUP(K25/MAX(1,$P26),0)*MAX(1,$P26)))</f>
        <v>0</v>
      </c>
      <c r="L26" s="4">
        <f>IF(L25=0,0, IF($P25="L4L",L25, ROUNDUP(L25/MAX(1,$P26),0)*MAX(1,$P26)))</f>
        <v>0</v>
      </c>
      <c r="M26" s="4">
        <f>IF(M25=0,0, IF($P25="L4L",M25, ROUNDUP(M25/MAX(1,$P26),0)*MAX(1,$P26)))</f>
        <v>0</v>
      </c>
      <c r="N26" s="4">
        <f>IF(N25=0,0, IF($P25="L4L",N25, ROUNDUP(N25/MAX(1,$P26),0)*MAX(1,$P26)))</f>
        <v>0</v>
      </c>
      <c r="O26" s="6" t="s">
        <v>67</v>
      </c>
      <c r="P26" s="4">
        <f>IFERROR(INDEX(Articles!$F$2:$F$200, MATCH(B21, Articles!$A$2:$A$200,0)),0)</f>
        <v>0</v>
      </c>
    </row>
    <row r="27" spans="1:18">
      <c r="A27" s="2" t="s">
        <v>64</v>
      </c>
      <c r="C27" s="4">
        <f>IFERROR(INDEX(C26:N26, 1, 1+R21), 0)</f>
        <v>0</v>
      </c>
      <c r="D27" s="4">
        <f>IFERROR(INDEX(C26:N26, 1, 2+R21), 0)</f>
        <v>0</v>
      </c>
      <c r="E27" s="4">
        <f>IFERROR(INDEX(C26:N26, 1, 3+R21), 0)</f>
        <v>0</v>
      </c>
      <c r="F27" s="4">
        <f>IFERROR(INDEX(C26:N26, 1, 4+R21), 0)</f>
        <v>0</v>
      </c>
      <c r="G27" s="4">
        <f>IFERROR(INDEX(C26:N26, 1, 5+R21), 0)</f>
        <v>0</v>
      </c>
      <c r="H27" s="4">
        <f>IFERROR(INDEX(C26:N26, 1, 6+R21), 0)</f>
        <v>0</v>
      </c>
      <c r="I27" s="4">
        <f>IFERROR(INDEX(C26:N26, 1, 7+R21), 0)</f>
        <v>0</v>
      </c>
      <c r="J27" s="4">
        <f>IFERROR(INDEX(C26:N26, 1, 8+R21), 0)</f>
        <v>0</v>
      </c>
      <c r="K27" s="4">
        <f>IFERROR(INDEX(C26:N26, 1, 9+R21), 0)</f>
        <v>0</v>
      </c>
      <c r="L27" s="4">
        <f>IFERROR(INDEX(C26:N26, 1, 10+R21), 0)</f>
        <v>0</v>
      </c>
      <c r="M27" s="4">
        <f>IFERROR(INDEX(C26:N26, 1, 11+R21), 0)</f>
        <v>0</v>
      </c>
      <c r="N27" s="4">
        <f>IFERROR(INDEX(C26:N26, 1, 12+R21), 0)</f>
        <v>0</v>
      </c>
    </row>
    <row r="29" spans="1:18">
      <c r="A29" s="2" t="s">
        <v>25</v>
      </c>
      <c r="B29" s="6" t="s">
        <v>43</v>
      </c>
      <c r="O29" s="2" t="s">
        <v>57</v>
      </c>
      <c r="P29" s="6">
        <f>IFERROR(INDEX(Articles!$C$2:$C$200, MATCH(B29, Articles!$A$2:$A$200,0)),"")</f>
        <v>0</v>
      </c>
      <c r="Q29" s="2" t="s">
        <v>58</v>
      </c>
      <c r="R29" s="4">
        <f>IFERROR(INDEX(Articles!$D$2:$D$200, MATCH(B29, Articles!$A$2:$A$200,0)),0)</f>
        <v>0</v>
      </c>
    </row>
    <row r="30" spans="1:18">
      <c r="A30" s="2" t="s">
        <v>59</v>
      </c>
      <c r="B30" s="6" t="s">
        <v>65</v>
      </c>
      <c r="C30" s="4">
        <f>IF(INDEX(Articles!$C$2:$C$200, MATCH($B29, Articles!$A$2:$A$200,0))="FG", IFERROR(INDEX(MPS!B5:B201, MATCH($B29, MPS!$A$4:$A$200,0)),0), IFERROR(SUMPRODUCT((Nomenclature!$B$2:$B$200=$B29)*(Nomenclature!$C$2:$C$200)*(IFERROR(INDEX(MPS!B5:B201, MATCH(Nomenclature!$A$2:$A$200, MPS!$A$4:$A$200,0)),0))),0))</f>
        <v>0</v>
      </c>
      <c r="D30" s="4">
        <f>IF(INDEX(Articles!$C$2:$C$200, MATCH($B29, Articles!$A$2:$A$200,0))="FG", IFERROR(INDEX(MPS!C5:C201, MATCH($B29, MPS!$A$4:$A$200,0)),0), IFERROR(SUMPRODUCT((Nomenclature!$B$2:$B$200=$B29)*(Nomenclature!$C$2:$C$200)*(IFERROR(INDEX(MPS!C5:C201, MATCH(Nomenclature!$A$2:$A$200, MPS!$A$4:$A$200,0)),0))),0))</f>
        <v>0</v>
      </c>
      <c r="E30" s="4">
        <f>IF(INDEX(Articles!$C$2:$C$200, MATCH($B29, Articles!$A$2:$A$200,0))="FG", IFERROR(INDEX(MPS!D5:D201, MATCH($B29, MPS!$A$4:$A$200,0)),0), IFERROR(SUMPRODUCT((Nomenclature!$B$2:$B$200=$B29)*(Nomenclature!$C$2:$C$200)*(IFERROR(INDEX(MPS!D5:D201, MATCH(Nomenclature!$A$2:$A$200, MPS!$A$4:$A$200,0)),0))),0))</f>
        <v>0</v>
      </c>
      <c r="F30" s="4">
        <f>IF(INDEX(Articles!$C$2:$C$200, MATCH($B29, Articles!$A$2:$A$200,0))="FG", IFERROR(INDEX(MPS!E5:E201, MATCH($B29, MPS!$A$4:$A$200,0)),0), IFERROR(SUMPRODUCT((Nomenclature!$B$2:$B$200=$B29)*(Nomenclature!$C$2:$C$200)*(IFERROR(INDEX(MPS!E5:E201, MATCH(Nomenclature!$A$2:$A$200, MPS!$A$4:$A$200,0)),0))),0))</f>
        <v>0</v>
      </c>
      <c r="G30" s="4">
        <f>IF(INDEX(Articles!$C$2:$C$200, MATCH($B29, Articles!$A$2:$A$200,0))="FG", IFERROR(INDEX(MPS!F5:F201, MATCH($B29, MPS!$A$4:$A$200,0)),0), IFERROR(SUMPRODUCT((Nomenclature!$B$2:$B$200=$B29)*(Nomenclature!$C$2:$C$200)*(IFERROR(INDEX(MPS!F5:F201, MATCH(Nomenclature!$A$2:$A$200, MPS!$A$4:$A$200,0)),0))),0))</f>
        <v>0</v>
      </c>
      <c r="H30" s="4">
        <f>IF(INDEX(Articles!$C$2:$C$200, MATCH($B29, Articles!$A$2:$A$200,0))="FG", IFERROR(INDEX(MPS!G5:G201, MATCH($B29, MPS!$A$4:$A$200,0)),0), IFERROR(SUMPRODUCT((Nomenclature!$B$2:$B$200=$B29)*(Nomenclature!$C$2:$C$200)*(IFERROR(INDEX(MPS!G5:G201, MATCH(Nomenclature!$A$2:$A$200, MPS!$A$4:$A$200,0)),0))),0))</f>
        <v>0</v>
      </c>
      <c r="I30" s="4">
        <f>IF(INDEX(Articles!$C$2:$C$200, MATCH($B29, Articles!$A$2:$A$200,0))="FG", IFERROR(INDEX(MPS!H5:H201, MATCH($B29, MPS!$A$4:$A$200,0)),0), IFERROR(SUMPRODUCT((Nomenclature!$B$2:$B$200=$B29)*(Nomenclature!$C$2:$C$200)*(IFERROR(INDEX(MPS!H5:H201, MATCH(Nomenclature!$A$2:$A$200, MPS!$A$4:$A$200,0)),0))),0))</f>
        <v>0</v>
      </c>
      <c r="J30" s="4">
        <f>IF(INDEX(Articles!$C$2:$C$200, MATCH($B29, Articles!$A$2:$A$200,0))="FG", IFERROR(INDEX(MPS!I5:I201, MATCH($B29, MPS!$A$4:$A$200,0)),0), IFERROR(SUMPRODUCT((Nomenclature!$B$2:$B$200=$B29)*(Nomenclature!$C$2:$C$200)*(IFERROR(INDEX(MPS!I5:I201, MATCH(Nomenclature!$A$2:$A$200, MPS!$A$4:$A$200,0)),0))),0))</f>
        <v>0</v>
      </c>
      <c r="K30" s="4">
        <f>IF(INDEX(Articles!$C$2:$C$200, MATCH($B29, Articles!$A$2:$A$200,0))="FG", IFERROR(INDEX(MPS!J5:J201, MATCH($B29, MPS!$A$4:$A$200,0)),0), IFERROR(SUMPRODUCT((Nomenclature!$B$2:$B$200=$B29)*(Nomenclature!$C$2:$C$200)*(IFERROR(INDEX(MPS!J5:J201, MATCH(Nomenclature!$A$2:$A$200, MPS!$A$4:$A$200,0)),0))),0))</f>
        <v>0</v>
      </c>
      <c r="L30" s="4">
        <f>IF(INDEX(Articles!$C$2:$C$200, MATCH($B29, Articles!$A$2:$A$200,0))="FG", IFERROR(INDEX(MPS!K5:K201, MATCH($B29, MPS!$A$4:$A$200,0)),0), IFERROR(SUMPRODUCT((Nomenclature!$B$2:$B$200=$B29)*(Nomenclature!$C$2:$C$200)*(IFERROR(INDEX(MPS!K5:K201, MATCH(Nomenclature!$A$2:$A$200, MPS!$A$4:$A$200,0)),0))),0))</f>
        <v>0</v>
      </c>
      <c r="M30" s="4">
        <f>IF(INDEX(Articles!$C$2:$C$200, MATCH($B29, Articles!$A$2:$A$200,0))="FG", IFERROR(INDEX(MPS!L5:L201, MATCH($B29, MPS!$A$4:$A$200,0)),0), IFERROR(SUMPRODUCT((Nomenclature!$B$2:$B$200=$B29)*(Nomenclature!$C$2:$C$200)*(IFERROR(INDEX(MPS!L5:L201, MATCH(Nomenclature!$A$2:$A$200, MPS!$A$4:$A$200,0)),0))),0))</f>
        <v>0</v>
      </c>
      <c r="N30" s="4">
        <f>IF(INDEX(Articles!$C$2:$C$200, MATCH($B29, Articles!$A$2:$A$200,0))="FG", IFERROR(INDEX(MPS!M5:M201, MATCH($B29, MPS!$A$4:$A$200,0)),0), IFERROR(SUMPRODUCT((Nomenclature!$B$2:$B$200=$B29)*(Nomenclature!$C$2:$C$200)*(IFERROR(INDEX(MPS!M5:M201, MATCH(Nomenclature!$A$2:$A$200, MPS!$A$4:$A$200,0)),0))),0))</f>
        <v>0</v>
      </c>
    </row>
    <row r="31" spans="1:18">
      <c r="A31" s="2" t="s">
        <v>60</v>
      </c>
      <c r="B31" s="6" t="s">
        <v>32</v>
      </c>
      <c r="C31" s="4">
        <f>IFERROR(INDEX(Réceptions!B4:B201, MATCH($B29, Réceptions!$A$3:$A$200, 0)), 0)</f>
        <v>0</v>
      </c>
      <c r="D31" s="4">
        <f>IFERROR(INDEX(Réceptions!C4:C201, MATCH($B29, Réceptions!$A$3:$A$200, 0)), 0)</f>
        <v>0</v>
      </c>
      <c r="E31" s="4">
        <f>IFERROR(INDEX(Réceptions!D4:D201, MATCH($B29, Réceptions!$A$3:$A$200, 0)), 0)</f>
        <v>0</v>
      </c>
      <c r="F31" s="4">
        <f>IFERROR(INDEX(Réceptions!E4:E201, MATCH($B29, Réceptions!$A$3:$A$200, 0)), 0)</f>
        <v>0</v>
      </c>
      <c r="G31" s="4">
        <f>IFERROR(INDEX(Réceptions!F4:F201, MATCH($B29, Réceptions!$A$3:$A$200, 0)), 0)</f>
        <v>0</v>
      </c>
      <c r="H31" s="4">
        <f>IFERROR(INDEX(Réceptions!G4:G201, MATCH($B29, Réceptions!$A$3:$A$200, 0)), 0)</f>
        <v>0</v>
      </c>
      <c r="I31" s="4">
        <f>IFERROR(INDEX(Réceptions!H4:H201, MATCH($B29, Réceptions!$A$3:$A$200, 0)), 0)</f>
        <v>0</v>
      </c>
      <c r="J31" s="4">
        <f>IFERROR(INDEX(Réceptions!I4:I201, MATCH($B29, Réceptions!$A$3:$A$200, 0)), 0)</f>
        <v>0</v>
      </c>
      <c r="K31" s="4">
        <f>IFERROR(INDEX(Réceptions!J4:J201, MATCH($B29, Réceptions!$A$3:$A$200, 0)), 0)</f>
        <v>0</v>
      </c>
      <c r="L31" s="4">
        <f>IFERROR(INDEX(Réceptions!K4:K201, MATCH($B29, Réceptions!$A$3:$A$200, 0)), 0)</f>
        <v>0</v>
      </c>
      <c r="M31" s="4">
        <f>IFERROR(INDEX(Réceptions!L4:L201, MATCH($B29, Réceptions!$A$3:$A$200, 0)), 0)</f>
        <v>0</v>
      </c>
      <c r="N31" s="4">
        <f>IFERROR(INDEX(Réceptions!M4:M201, MATCH($B29, Réceptions!$A$3:$A$200, 0)), 0)</f>
        <v>0</v>
      </c>
    </row>
    <row r="32" spans="1:18">
      <c r="A32" s="2" t="s">
        <v>61</v>
      </c>
      <c r="C32" s="4">
        <f>C31 + C31 + C34 - C30</f>
        <v>0</v>
      </c>
      <c r="D32" s="4">
        <f>C32 + D31 + D34 - D30</f>
        <v>0</v>
      </c>
      <c r="E32" s="4">
        <f>D32 + E31 + E34 - E30</f>
        <v>0</v>
      </c>
      <c r="F32" s="4">
        <f>E32 + F31 + F34 - F30</f>
        <v>0</v>
      </c>
      <c r="G32" s="4">
        <f>F32 + G31 + G34 - G30</f>
        <v>0</v>
      </c>
      <c r="H32" s="4">
        <f>G32 + H31 + H34 - H30</f>
        <v>0</v>
      </c>
      <c r="I32" s="4">
        <f>H32 + I31 + I34 - I30</f>
        <v>0</v>
      </c>
      <c r="J32" s="4">
        <f>I32 + J31 + J34 - J30</f>
        <v>0</v>
      </c>
      <c r="K32" s="4">
        <f>J32 + K31 + K34 - K30</f>
        <v>0</v>
      </c>
      <c r="L32" s="4">
        <f>K32 + L31 + L34 - L30</f>
        <v>0</v>
      </c>
      <c r="M32" s="4">
        <f>L32 + M31 + M34 - M30</f>
        <v>0</v>
      </c>
      <c r="N32" s="4">
        <f>M32 + N31 + N34 - N30</f>
        <v>0</v>
      </c>
    </row>
    <row r="33" spans="1:18">
      <c r="A33" s="2" t="s">
        <v>62</v>
      </c>
      <c r="C33" s="4">
        <f>MAX(0, C30 + C30 - (C31 + C31))</f>
        <v>0</v>
      </c>
      <c r="D33" s="4">
        <f>MAX(0, C30 + D30 - (C32 + D31))</f>
        <v>0</v>
      </c>
      <c r="E33" s="4">
        <f>MAX(0, C30 + E30 - (D32 + E31))</f>
        <v>0</v>
      </c>
      <c r="F33" s="4">
        <f>MAX(0, C30 + F30 - (E32 + F31))</f>
        <v>0</v>
      </c>
      <c r="G33" s="4">
        <f>MAX(0, C30 + G30 - (F32 + G31))</f>
        <v>0</v>
      </c>
      <c r="H33" s="4">
        <f>MAX(0, C30 + H30 - (G32 + H31))</f>
        <v>0</v>
      </c>
      <c r="I33" s="4">
        <f>MAX(0, C30 + I30 - (H32 + I31))</f>
        <v>0</v>
      </c>
      <c r="J33" s="4">
        <f>MAX(0, C30 + J30 - (I32 + J31))</f>
        <v>0</v>
      </c>
      <c r="K33" s="4">
        <f>MAX(0, C30 + K30 - (J32 + K31))</f>
        <v>0</v>
      </c>
      <c r="L33" s="4">
        <f>MAX(0, C30 + L30 - (K32 + L31))</f>
        <v>0</v>
      </c>
      <c r="M33" s="4">
        <f>MAX(0, C30 + M30 - (L32 + M31))</f>
        <v>0</v>
      </c>
      <c r="N33" s="4">
        <f>MAX(0, C30 + N30 - (M32 + N31))</f>
        <v>0</v>
      </c>
      <c r="O33" s="6" t="s">
        <v>66</v>
      </c>
      <c r="P33" s="6">
        <f>IFERROR(INDEX(Articles!$E$2:$E$200, MATCH(B29, Articles!$A$2:$A$200,0)),"L4L")</f>
        <v>0</v>
      </c>
    </row>
    <row r="34" spans="1:18">
      <c r="A34" s="2" t="s">
        <v>63</v>
      </c>
      <c r="C34" s="4">
        <f>IF(C33=0,0, IF($P33="L4L",C33, ROUNDUP(C33/MAX(1,$P34),0)*MAX(1,$P34)))</f>
        <v>0</v>
      </c>
      <c r="D34" s="4">
        <f>IF(D33=0,0, IF($P33="L4L",D33, ROUNDUP(D33/MAX(1,$P34),0)*MAX(1,$P34)))</f>
        <v>0</v>
      </c>
      <c r="E34" s="4">
        <f>IF(E33=0,0, IF($P33="L4L",E33, ROUNDUP(E33/MAX(1,$P34),0)*MAX(1,$P34)))</f>
        <v>0</v>
      </c>
      <c r="F34" s="4">
        <f>IF(F33=0,0, IF($P33="L4L",F33, ROUNDUP(F33/MAX(1,$P34),0)*MAX(1,$P34)))</f>
        <v>0</v>
      </c>
      <c r="G34" s="4">
        <f>IF(G33=0,0, IF($P33="L4L",G33, ROUNDUP(G33/MAX(1,$P34),0)*MAX(1,$P34)))</f>
        <v>0</v>
      </c>
      <c r="H34" s="4">
        <f>IF(H33=0,0, IF($P33="L4L",H33, ROUNDUP(H33/MAX(1,$P34),0)*MAX(1,$P34)))</f>
        <v>0</v>
      </c>
      <c r="I34" s="4">
        <f>IF(I33=0,0, IF($P33="L4L",I33, ROUNDUP(I33/MAX(1,$P34),0)*MAX(1,$P34)))</f>
        <v>0</v>
      </c>
      <c r="J34" s="4">
        <f>IF(J33=0,0, IF($P33="L4L",J33, ROUNDUP(J33/MAX(1,$P34),0)*MAX(1,$P34)))</f>
        <v>0</v>
      </c>
      <c r="K34" s="4">
        <f>IF(K33=0,0, IF($P33="L4L",K33, ROUNDUP(K33/MAX(1,$P34),0)*MAX(1,$P34)))</f>
        <v>0</v>
      </c>
      <c r="L34" s="4">
        <f>IF(L33=0,0, IF($P33="L4L",L33, ROUNDUP(L33/MAX(1,$P34),0)*MAX(1,$P34)))</f>
        <v>0</v>
      </c>
      <c r="M34" s="4">
        <f>IF(M33=0,0, IF($P33="L4L",M33, ROUNDUP(M33/MAX(1,$P34),0)*MAX(1,$P34)))</f>
        <v>0</v>
      </c>
      <c r="N34" s="4">
        <f>IF(N33=0,0, IF($P33="L4L",N33, ROUNDUP(N33/MAX(1,$P34),0)*MAX(1,$P34)))</f>
        <v>0</v>
      </c>
      <c r="O34" s="6" t="s">
        <v>67</v>
      </c>
      <c r="P34" s="4">
        <f>IFERROR(INDEX(Articles!$F$2:$F$200, MATCH(B29, Articles!$A$2:$A$200,0)),0)</f>
        <v>0</v>
      </c>
    </row>
    <row r="35" spans="1:18">
      <c r="A35" s="2" t="s">
        <v>64</v>
      </c>
      <c r="C35" s="4">
        <f>IFERROR(INDEX(C34:N34, 1, 1+R29), 0)</f>
        <v>0</v>
      </c>
      <c r="D35" s="4">
        <f>IFERROR(INDEX(C34:N34, 1, 2+R29), 0)</f>
        <v>0</v>
      </c>
      <c r="E35" s="4">
        <f>IFERROR(INDEX(C34:N34, 1, 3+R29), 0)</f>
        <v>0</v>
      </c>
      <c r="F35" s="4">
        <f>IFERROR(INDEX(C34:N34, 1, 4+R29), 0)</f>
        <v>0</v>
      </c>
      <c r="G35" s="4">
        <f>IFERROR(INDEX(C34:N34, 1, 5+R29), 0)</f>
        <v>0</v>
      </c>
      <c r="H35" s="4">
        <f>IFERROR(INDEX(C34:N34, 1, 6+R29), 0)</f>
        <v>0</v>
      </c>
      <c r="I35" s="4">
        <f>IFERROR(INDEX(C34:N34, 1, 7+R29), 0)</f>
        <v>0</v>
      </c>
      <c r="J35" s="4">
        <f>IFERROR(INDEX(C34:N34, 1, 8+R29), 0)</f>
        <v>0</v>
      </c>
      <c r="K35" s="4">
        <f>IFERROR(INDEX(C34:N34, 1, 9+R29), 0)</f>
        <v>0</v>
      </c>
      <c r="L35" s="4">
        <f>IFERROR(INDEX(C34:N34, 1, 10+R29), 0)</f>
        <v>0</v>
      </c>
      <c r="M35" s="4">
        <f>IFERROR(INDEX(C34:N34, 1, 11+R29), 0)</f>
        <v>0</v>
      </c>
      <c r="N35" s="4">
        <f>IFERROR(INDEX(C34:N34, 1, 12+R29), 0)</f>
        <v>0</v>
      </c>
    </row>
    <row r="37" spans="1:18">
      <c r="A37" s="2" t="s">
        <v>25</v>
      </c>
      <c r="B37" s="6" t="s">
        <v>46</v>
      </c>
      <c r="O37" s="2" t="s">
        <v>57</v>
      </c>
      <c r="P37" s="6">
        <f>IFERROR(INDEX(Articles!$C$2:$C$200, MATCH(B37, Articles!$A$2:$A$200,0)),"")</f>
        <v>0</v>
      </c>
      <c r="Q37" s="2" t="s">
        <v>58</v>
      </c>
      <c r="R37" s="4">
        <f>IFERROR(INDEX(Articles!$D$2:$D$200, MATCH(B37, Articles!$A$2:$A$200,0)),0)</f>
        <v>0</v>
      </c>
    </row>
    <row r="38" spans="1:18">
      <c r="A38" s="2" t="s">
        <v>59</v>
      </c>
      <c r="B38" s="6" t="s">
        <v>65</v>
      </c>
      <c r="C38" s="4">
        <f>IF(INDEX(Articles!$C$2:$C$200, MATCH($B37, Articles!$A$2:$A$200,0))="FG", IFERROR(INDEX(MPS!B5:B201, MATCH($B37, MPS!$A$4:$A$200,0)),0), IFERROR(SUMPRODUCT((Nomenclature!$B$2:$B$200=$B37)*(Nomenclature!$C$2:$C$200)*(IFERROR(INDEX(MPS!B5:B201, MATCH(Nomenclature!$A$2:$A$200, MPS!$A$4:$A$200,0)),0))),0))</f>
        <v>0</v>
      </c>
      <c r="D38" s="4">
        <f>IF(INDEX(Articles!$C$2:$C$200, MATCH($B37, Articles!$A$2:$A$200,0))="FG", IFERROR(INDEX(MPS!C5:C201, MATCH($B37, MPS!$A$4:$A$200,0)),0), IFERROR(SUMPRODUCT((Nomenclature!$B$2:$B$200=$B37)*(Nomenclature!$C$2:$C$200)*(IFERROR(INDEX(MPS!C5:C201, MATCH(Nomenclature!$A$2:$A$200, MPS!$A$4:$A$200,0)),0))),0))</f>
        <v>0</v>
      </c>
      <c r="E38" s="4">
        <f>IF(INDEX(Articles!$C$2:$C$200, MATCH($B37, Articles!$A$2:$A$200,0))="FG", IFERROR(INDEX(MPS!D5:D201, MATCH($B37, MPS!$A$4:$A$200,0)),0), IFERROR(SUMPRODUCT((Nomenclature!$B$2:$B$200=$B37)*(Nomenclature!$C$2:$C$200)*(IFERROR(INDEX(MPS!D5:D201, MATCH(Nomenclature!$A$2:$A$200, MPS!$A$4:$A$200,0)),0))),0))</f>
        <v>0</v>
      </c>
      <c r="F38" s="4">
        <f>IF(INDEX(Articles!$C$2:$C$200, MATCH($B37, Articles!$A$2:$A$200,0))="FG", IFERROR(INDEX(MPS!E5:E201, MATCH($B37, MPS!$A$4:$A$200,0)),0), IFERROR(SUMPRODUCT((Nomenclature!$B$2:$B$200=$B37)*(Nomenclature!$C$2:$C$200)*(IFERROR(INDEX(MPS!E5:E201, MATCH(Nomenclature!$A$2:$A$200, MPS!$A$4:$A$200,0)),0))),0))</f>
        <v>0</v>
      </c>
      <c r="G38" s="4">
        <f>IF(INDEX(Articles!$C$2:$C$200, MATCH($B37, Articles!$A$2:$A$200,0))="FG", IFERROR(INDEX(MPS!F5:F201, MATCH($B37, MPS!$A$4:$A$200,0)),0), IFERROR(SUMPRODUCT((Nomenclature!$B$2:$B$200=$B37)*(Nomenclature!$C$2:$C$200)*(IFERROR(INDEX(MPS!F5:F201, MATCH(Nomenclature!$A$2:$A$200, MPS!$A$4:$A$200,0)),0))),0))</f>
        <v>0</v>
      </c>
      <c r="H38" s="4">
        <f>IF(INDEX(Articles!$C$2:$C$200, MATCH($B37, Articles!$A$2:$A$200,0))="FG", IFERROR(INDEX(MPS!G5:G201, MATCH($B37, MPS!$A$4:$A$200,0)),0), IFERROR(SUMPRODUCT((Nomenclature!$B$2:$B$200=$B37)*(Nomenclature!$C$2:$C$200)*(IFERROR(INDEX(MPS!G5:G201, MATCH(Nomenclature!$A$2:$A$200, MPS!$A$4:$A$200,0)),0))),0))</f>
        <v>0</v>
      </c>
      <c r="I38" s="4">
        <f>IF(INDEX(Articles!$C$2:$C$200, MATCH($B37, Articles!$A$2:$A$200,0))="FG", IFERROR(INDEX(MPS!H5:H201, MATCH($B37, MPS!$A$4:$A$200,0)),0), IFERROR(SUMPRODUCT((Nomenclature!$B$2:$B$200=$B37)*(Nomenclature!$C$2:$C$200)*(IFERROR(INDEX(MPS!H5:H201, MATCH(Nomenclature!$A$2:$A$200, MPS!$A$4:$A$200,0)),0))),0))</f>
        <v>0</v>
      </c>
      <c r="J38" s="4">
        <f>IF(INDEX(Articles!$C$2:$C$200, MATCH($B37, Articles!$A$2:$A$200,0))="FG", IFERROR(INDEX(MPS!I5:I201, MATCH($B37, MPS!$A$4:$A$200,0)),0), IFERROR(SUMPRODUCT((Nomenclature!$B$2:$B$200=$B37)*(Nomenclature!$C$2:$C$200)*(IFERROR(INDEX(MPS!I5:I201, MATCH(Nomenclature!$A$2:$A$200, MPS!$A$4:$A$200,0)),0))),0))</f>
        <v>0</v>
      </c>
      <c r="K38" s="4">
        <f>IF(INDEX(Articles!$C$2:$C$200, MATCH($B37, Articles!$A$2:$A$200,0))="FG", IFERROR(INDEX(MPS!J5:J201, MATCH($B37, MPS!$A$4:$A$200,0)),0), IFERROR(SUMPRODUCT((Nomenclature!$B$2:$B$200=$B37)*(Nomenclature!$C$2:$C$200)*(IFERROR(INDEX(MPS!J5:J201, MATCH(Nomenclature!$A$2:$A$200, MPS!$A$4:$A$200,0)),0))),0))</f>
        <v>0</v>
      </c>
      <c r="L38" s="4">
        <f>IF(INDEX(Articles!$C$2:$C$200, MATCH($B37, Articles!$A$2:$A$200,0))="FG", IFERROR(INDEX(MPS!K5:K201, MATCH($B37, MPS!$A$4:$A$200,0)),0), IFERROR(SUMPRODUCT((Nomenclature!$B$2:$B$200=$B37)*(Nomenclature!$C$2:$C$200)*(IFERROR(INDEX(MPS!K5:K201, MATCH(Nomenclature!$A$2:$A$200, MPS!$A$4:$A$200,0)),0))),0))</f>
        <v>0</v>
      </c>
      <c r="M38" s="4">
        <f>IF(INDEX(Articles!$C$2:$C$200, MATCH($B37, Articles!$A$2:$A$200,0))="FG", IFERROR(INDEX(MPS!L5:L201, MATCH($B37, MPS!$A$4:$A$200,0)),0), IFERROR(SUMPRODUCT((Nomenclature!$B$2:$B$200=$B37)*(Nomenclature!$C$2:$C$200)*(IFERROR(INDEX(MPS!L5:L201, MATCH(Nomenclature!$A$2:$A$200, MPS!$A$4:$A$200,0)),0))),0))</f>
        <v>0</v>
      </c>
      <c r="N38" s="4">
        <f>IF(INDEX(Articles!$C$2:$C$200, MATCH($B37, Articles!$A$2:$A$200,0))="FG", IFERROR(INDEX(MPS!M5:M201, MATCH($B37, MPS!$A$4:$A$200,0)),0), IFERROR(SUMPRODUCT((Nomenclature!$B$2:$B$200=$B37)*(Nomenclature!$C$2:$C$200)*(IFERROR(INDEX(MPS!M5:M201, MATCH(Nomenclature!$A$2:$A$200, MPS!$A$4:$A$200,0)),0))),0))</f>
        <v>0</v>
      </c>
    </row>
    <row r="39" spans="1:18">
      <c r="A39" s="2" t="s">
        <v>60</v>
      </c>
      <c r="B39" s="6" t="s">
        <v>32</v>
      </c>
      <c r="C39" s="4">
        <f>IFERROR(INDEX(Réceptions!B4:B201, MATCH($B37, Réceptions!$A$3:$A$200, 0)), 0)</f>
        <v>0</v>
      </c>
      <c r="D39" s="4">
        <f>IFERROR(INDEX(Réceptions!C4:C201, MATCH($B37, Réceptions!$A$3:$A$200, 0)), 0)</f>
        <v>0</v>
      </c>
      <c r="E39" s="4">
        <f>IFERROR(INDEX(Réceptions!D4:D201, MATCH($B37, Réceptions!$A$3:$A$200, 0)), 0)</f>
        <v>0</v>
      </c>
      <c r="F39" s="4">
        <f>IFERROR(INDEX(Réceptions!E4:E201, MATCH($B37, Réceptions!$A$3:$A$200, 0)), 0)</f>
        <v>0</v>
      </c>
      <c r="G39" s="4">
        <f>IFERROR(INDEX(Réceptions!F4:F201, MATCH($B37, Réceptions!$A$3:$A$200, 0)), 0)</f>
        <v>0</v>
      </c>
      <c r="H39" s="4">
        <f>IFERROR(INDEX(Réceptions!G4:G201, MATCH($B37, Réceptions!$A$3:$A$200, 0)), 0)</f>
        <v>0</v>
      </c>
      <c r="I39" s="4">
        <f>IFERROR(INDEX(Réceptions!H4:H201, MATCH($B37, Réceptions!$A$3:$A$200, 0)), 0)</f>
        <v>0</v>
      </c>
      <c r="J39" s="4">
        <f>IFERROR(INDEX(Réceptions!I4:I201, MATCH($B37, Réceptions!$A$3:$A$200, 0)), 0)</f>
        <v>0</v>
      </c>
      <c r="K39" s="4">
        <f>IFERROR(INDEX(Réceptions!J4:J201, MATCH($B37, Réceptions!$A$3:$A$200, 0)), 0)</f>
        <v>0</v>
      </c>
      <c r="L39" s="4">
        <f>IFERROR(INDEX(Réceptions!K4:K201, MATCH($B37, Réceptions!$A$3:$A$200, 0)), 0)</f>
        <v>0</v>
      </c>
      <c r="M39" s="4">
        <f>IFERROR(INDEX(Réceptions!L4:L201, MATCH($B37, Réceptions!$A$3:$A$200, 0)), 0)</f>
        <v>0</v>
      </c>
      <c r="N39" s="4">
        <f>IFERROR(INDEX(Réceptions!M4:M201, MATCH($B37, Réceptions!$A$3:$A$200, 0)), 0)</f>
        <v>0</v>
      </c>
    </row>
    <row r="40" spans="1:18">
      <c r="A40" s="2" t="s">
        <v>61</v>
      </c>
      <c r="C40" s="4">
        <f>C39 + C39 + C42 - C38</f>
        <v>0</v>
      </c>
      <c r="D40" s="4">
        <f>C40 + D39 + D42 - D38</f>
        <v>0</v>
      </c>
      <c r="E40" s="4">
        <f>D40 + E39 + E42 - E38</f>
        <v>0</v>
      </c>
      <c r="F40" s="4">
        <f>E40 + F39 + F42 - F38</f>
        <v>0</v>
      </c>
      <c r="G40" s="4">
        <f>F40 + G39 + G42 - G38</f>
        <v>0</v>
      </c>
      <c r="H40" s="4">
        <f>G40 + H39 + H42 - H38</f>
        <v>0</v>
      </c>
      <c r="I40" s="4">
        <f>H40 + I39 + I42 - I38</f>
        <v>0</v>
      </c>
      <c r="J40" s="4">
        <f>I40 + J39 + J42 - J38</f>
        <v>0</v>
      </c>
      <c r="K40" s="4">
        <f>J40 + K39 + K42 - K38</f>
        <v>0</v>
      </c>
      <c r="L40" s="4">
        <f>K40 + L39 + L42 - L38</f>
        <v>0</v>
      </c>
      <c r="M40" s="4">
        <f>L40 + M39 + M42 - M38</f>
        <v>0</v>
      </c>
      <c r="N40" s="4">
        <f>M40 + N39 + N42 - N38</f>
        <v>0</v>
      </c>
    </row>
    <row r="41" spans="1:18">
      <c r="A41" s="2" t="s">
        <v>62</v>
      </c>
      <c r="C41" s="4">
        <f>MAX(0, C38 + C38 - (C39 + C39))</f>
        <v>0</v>
      </c>
      <c r="D41" s="4">
        <f>MAX(0, C38 + D38 - (C40 + D39))</f>
        <v>0</v>
      </c>
      <c r="E41" s="4">
        <f>MAX(0, C38 + E38 - (D40 + E39))</f>
        <v>0</v>
      </c>
      <c r="F41" s="4">
        <f>MAX(0, C38 + F38 - (E40 + F39))</f>
        <v>0</v>
      </c>
      <c r="G41" s="4">
        <f>MAX(0, C38 + G38 - (F40 + G39))</f>
        <v>0</v>
      </c>
      <c r="H41" s="4">
        <f>MAX(0, C38 + H38 - (G40 + H39))</f>
        <v>0</v>
      </c>
      <c r="I41" s="4">
        <f>MAX(0, C38 + I38 - (H40 + I39))</f>
        <v>0</v>
      </c>
      <c r="J41" s="4">
        <f>MAX(0, C38 + J38 - (I40 + J39))</f>
        <v>0</v>
      </c>
      <c r="K41" s="4">
        <f>MAX(0, C38 + K38 - (J40 + K39))</f>
        <v>0</v>
      </c>
      <c r="L41" s="4">
        <f>MAX(0, C38 + L38 - (K40 + L39))</f>
        <v>0</v>
      </c>
      <c r="M41" s="4">
        <f>MAX(0, C38 + M38 - (L40 + M39))</f>
        <v>0</v>
      </c>
      <c r="N41" s="4">
        <f>MAX(0, C38 + N38 - (M40 + N39))</f>
        <v>0</v>
      </c>
      <c r="O41" s="6" t="s">
        <v>66</v>
      </c>
      <c r="P41" s="6">
        <f>IFERROR(INDEX(Articles!$E$2:$E$200, MATCH(B37, Articles!$A$2:$A$200,0)),"L4L")</f>
        <v>0</v>
      </c>
    </row>
    <row r="42" spans="1:18">
      <c r="A42" s="2" t="s">
        <v>63</v>
      </c>
      <c r="C42" s="4">
        <f>IF(C41=0,0, IF($P41="L4L",C41, ROUNDUP(C41/MAX(1,$P42),0)*MAX(1,$P42)))</f>
        <v>0</v>
      </c>
      <c r="D42" s="4">
        <f>IF(D41=0,0, IF($P41="L4L",D41, ROUNDUP(D41/MAX(1,$P42),0)*MAX(1,$P42)))</f>
        <v>0</v>
      </c>
      <c r="E42" s="4">
        <f>IF(E41=0,0, IF($P41="L4L",E41, ROUNDUP(E41/MAX(1,$P42),0)*MAX(1,$P42)))</f>
        <v>0</v>
      </c>
      <c r="F42" s="4">
        <f>IF(F41=0,0, IF($P41="L4L",F41, ROUNDUP(F41/MAX(1,$P42),0)*MAX(1,$P42)))</f>
        <v>0</v>
      </c>
      <c r="G42" s="4">
        <f>IF(G41=0,0, IF($P41="L4L",G41, ROUNDUP(G41/MAX(1,$P42),0)*MAX(1,$P42)))</f>
        <v>0</v>
      </c>
      <c r="H42" s="4">
        <f>IF(H41=0,0, IF($P41="L4L",H41, ROUNDUP(H41/MAX(1,$P42),0)*MAX(1,$P42)))</f>
        <v>0</v>
      </c>
      <c r="I42" s="4">
        <f>IF(I41=0,0, IF($P41="L4L",I41, ROUNDUP(I41/MAX(1,$P42),0)*MAX(1,$P42)))</f>
        <v>0</v>
      </c>
      <c r="J42" s="4">
        <f>IF(J41=0,0, IF($P41="L4L",J41, ROUNDUP(J41/MAX(1,$P42),0)*MAX(1,$P42)))</f>
        <v>0</v>
      </c>
      <c r="K42" s="4">
        <f>IF(K41=0,0, IF($P41="L4L",K41, ROUNDUP(K41/MAX(1,$P42),0)*MAX(1,$P42)))</f>
        <v>0</v>
      </c>
      <c r="L42" s="4">
        <f>IF(L41=0,0, IF($P41="L4L",L41, ROUNDUP(L41/MAX(1,$P42),0)*MAX(1,$P42)))</f>
        <v>0</v>
      </c>
      <c r="M42" s="4">
        <f>IF(M41=0,0, IF($P41="L4L",M41, ROUNDUP(M41/MAX(1,$P42),0)*MAX(1,$P42)))</f>
        <v>0</v>
      </c>
      <c r="N42" s="4">
        <f>IF(N41=0,0, IF($P41="L4L",N41, ROUNDUP(N41/MAX(1,$P42),0)*MAX(1,$P42)))</f>
        <v>0</v>
      </c>
      <c r="O42" s="6" t="s">
        <v>67</v>
      </c>
      <c r="P42" s="4">
        <f>IFERROR(INDEX(Articles!$F$2:$F$200, MATCH(B37, Articles!$A$2:$A$200,0)),0)</f>
        <v>0</v>
      </c>
    </row>
    <row r="43" spans="1:18">
      <c r="A43" s="2" t="s">
        <v>64</v>
      </c>
      <c r="C43" s="4">
        <f>IFERROR(INDEX(C42:N42, 1, 1+R37), 0)</f>
        <v>0</v>
      </c>
      <c r="D43" s="4">
        <f>IFERROR(INDEX(C42:N42, 1, 2+R37), 0)</f>
        <v>0</v>
      </c>
      <c r="E43" s="4">
        <f>IFERROR(INDEX(C42:N42, 1, 3+R37), 0)</f>
        <v>0</v>
      </c>
      <c r="F43" s="4">
        <f>IFERROR(INDEX(C42:N42, 1, 4+R37), 0)</f>
        <v>0</v>
      </c>
      <c r="G43" s="4">
        <f>IFERROR(INDEX(C42:N42, 1, 5+R37), 0)</f>
        <v>0</v>
      </c>
      <c r="H43" s="4">
        <f>IFERROR(INDEX(C42:N42, 1, 6+R37), 0)</f>
        <v>0</v>
      </c>
      <c r="I43" s="4">
        <f>IFERROR(INDEX(C42:N42, 1, 7+R37), 0)</f>
        <v>0</v>
      </c>
      <c r="J43" s="4">
        <f>IFERROR(INDEX(C42:N42, 1, 8+R37), 0)</f>
        <v>0</v>
      </c>
      <c r="K43" s="4">
        <f>IFERROR(INDEX(C42:N42, 1, 9+R37), 0)</f>
        <v>0</v>
      </c>
      <c r="L43" s="4">
        <f>IFERROR(INDEX(C42:N42, 1, 10+R37), 0)</f>
        <v>0</v>
      </c>
      <c r="M43" s="4">
        <f>IFERROR(INDEX(C42:N42, 1, 11+R37), 0)</f>
        <v>0</v>
      </c>
      <c r="N43" s="4">
        <f>IFERROR(INDEX(C42:N42, 1, 12+R37), 0)</f>
        <v>0</v>
      </c>
    </row>
  </sheetData>
  <mergeCells count="1">
    <mergeCell ref="A1:Q1"/>
  </mergeCells>
  <conditionalFormatting sqref="C16:N16">
    <cfRule type="cellIs" dxfId="0" priority="2" operator="lessThan">
      <formula>0</formula>
    </cfRule>
  </conditionalFormatting>
  <conditionalFormatting sqref="C24:N24">
    <cfRule type="cellIs" dxfId="0" priority="3" operator="lessThan">
      <formula>0</formula>
    </cfRule>
  </conditionalFormatting>
  <conditionalFormatting sqref="C32:N32">
    <cfRule type="cellIs" dxfId="0" priority="4" operator="lessThan">
      <formula>0</formula>
    </cfRule>
  </conditionalFormatting>
  <conditionalFormatting sqref="C40:N40">
    <cfRule type="cellIs" dxfId="0" priority="5" operator="lessThan">
      <formula>0</formula>
    </cfRule>
  </conditionalFormatting>
  <conditionalFormatting sqref="C8:N8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"/>
  <cols>
    <col min="1" max="1" width="12.7109375" customWidth="1"/>
    <col min="2" max="2" width="18.7109375" customWidth="1"/>
    <col min="3" max="7" width="20.7109375" customWidth="1"/>
  </cols>
  <sheetData>
    <row r="1" spans="1:10">
      <c r="A1" s="1" t="s">
        <v>68</v>
      </c>
      <c r="B1" s="1"/>
      <c r="C1" s="1"/>
      <c r="D1" s="1"/>
      <c r="E1" s="1"/>
      <c r="F1" s="1"/>
      <c r="G1" s="1"/>
    </row>
    <row r="3" spans="1:10">
      <c r="A3" s="5" t="s">
        <v>25</v>
      </c>
      <c r="B3" s="5" t="s">
        <v>69</v>
      </c>
      <c r="C3" s="5" t="s">
        <v>70</v>
      </c>
      <c r="D3" s="5" t="s">
        <v>71</v>
      </c>
      <c r="E3" s="5" t="s">
        <v>72</v>
      </c>
      <c r="F3" s="5" t="s">
        <v>73</v>
      </c>
      <c r="G3" s="5" t="s">
        <v>74</v>
      </c>
      <c r="I3" s="2" t="s">
        <v>75</v>
      </c>
    </row>
    <row r="4" spans="1:10">
      <c r="I4" s="6" t="s">
        <v>76</v>
      </c>
      <c r="J4" s="9">
        <f>AVERAGE(B4:B15)</f>
        <v>0</v>
      </c>
    </row>
    <row r="5" spans="1:10">
      <c r="A5" s="6" t="s">
        <v>33</v>
      </c>
      <c r="B5" s="9">
        <f>IFERROR(1-COUNTIF(MRP!C8:N8,"&lt;0")/12,0)</f>
        <v>0</v>
      </c>
      <c r="C5" s="4">
        <f>COUNTIF(MRP!C8:N8,"&lt;0")</f>
        <v>0</v>
      </c>
      <c r="D5" s="4">
        <f>SUMPRODUCT(--(MRP!C8:N8&lt;C6))</f>
        <v>0</v>
      </c>
      <c r="E5" s="7">
        <f>AVERAGE(MRP!C8:N8)</f>
        <v>0</v>
      </c>
      <c r="F5" s="7">
        <f>AVERAGE(MRP!C6:N6)</f>
        <v>0</v>
      </c>
      <c r="G5" s="7">
        <f>IFERROR(E5/F5,0)</f>
        <v>0</v>
      </c>
      <c r="I5" s="6" t="s">
        <v>77</v>
      </c>
      <c r="J5" s="4">
        <f>SUM(C4:C15)</f>
        <v>0</v>
      </c>
    </row>
    <row r="6" spans="1:10">
      <c r="A6" s="6" t="s">
        <v>37</v>
      </c>
      <c r="B6" s="9">
        <f>IFERROR(1-COUNTIF(MRP!C16:N16,"&lt;0")/12,0)</f>
        <v>0</v>
      </c>
      <c r="C6" s="4">
        <f>COUNTIF(MRP!C16:N16,"&lt;0")</f>
        <v>0</v>
      </c>
      <c r="D6" s="4">
        <f>SUMPRODUCT(--(MRP!C16:N16&lt;C14))</f>
        <v>0</v>
      </c>
      <c r="E6" s="7">
        <f>AVERAGE(MRP!C16:N16)</f>
        <v>0</v>
      </c>
      <c r="F6" s="7">
        <f>AVERAGE(MRP!C14:N14)</f>
        <v>0</v>
      </c>
      <c r="G6" s="7">
        <f>IFERROR(E6/F6,0)</f>
        <v>0</v>
      </c>
      <c r="I6" s="6" t="s">
        <v>74</v>
      </c>
      <c r="J6" s="7">
        <f>AVERAGE(G4:G15)</f>
        <v>0</v>
      </c>
    </row>
    <row r="7" spans="1:10">
      <c r="A7" s="6" t="s">
        <v>39</v>
      </c>
      <c r="B7" s="9">
        <f>IFERROR(1-COUNTIF(MRP!C24:N24,"&lt;0")/12,0)</f>
        <v>0</v>
      </c>
      <c r="C7" s="4">
        <f>COUNTIF(MRP!C24:N24,"&lt;0")</f>
        <v>0</v>
      </c>
      <c r="D7" s="4">
        <f>SUMPRODUCT(--(MRP!C24:N24&lt;C22))</f>
        <v>0</v>
      </c>
      <c r="E7" s="7">
        <f>AVERAGE(MRP!C24:N24)</f>
        <v>0</v>
      </c>
      <c r="F7" s="7">
        <f>AVERAGE(MRP!C22:N22)</f>
        <v>0</v>
      </c>
      <c r="G7" s="7">
        <f>IFERROR(E7/F7,0)</f>
        <v>0</v>
      </c>
    </row>
    <row r="8" spans="1:10">
      <c r="A8" s="6" t="s">
        <v>43</v>
      </c>
      <c r="B8" s="9">
        <f>IFERROR(1-COUNTIF(MRP!C32:N32,"&lt;0")/12,0)</f>
        <v>0</v>
      </c>
      <c r="C8" s="4">
        <f>COUNTIF(MRP!C32:N32,"&lt;0")</f>
        <v>0</v>
      </c>
      <c r="D8" s="4">
        <f>SUMPRODUCT(--(MRP!C32:N32&lt;C30))</f>
        <v>0</v>
      </c>
      <c r="E8" s="7">
        <f>AVERAGE(MRP!C32:N32)</f>
        <v>0</v>
      </c>
      <c r="F8" s="7">
        <f>AVERAGE(MRP!C30:N30)</f>
        <v>0</v>
      </c>
      <c r="G8" s="7">
        <f>IFERROR(E8/F8,0)</f>
        <v>0</v>
      </c>
    </row>
    <row r="9" spans="1:10">
      <c r="A9" s="6" t="s">
        <v>46</v>
      </c>
      <c r="B9" s="9">
        <f>IFERROR(1-COUNTIF(MRP!C40:N40,"&lt;0")/12,0)</f>
        <v>0</v>
      </c>
      <c r="C9" s="4">
        <f>COUNTIF(MRP!C40:N40,"&lt;0")</f>
        <v>0</v>
      </c>
      <c r="D9" s="4">
        <f>SUMPRODUCT(--(MRP!C40:N40&lt;C38))</f>
        <v>0</v>
      </c>
      <c r="E9" s="7">
        <f>AVERAGE(MRP!C40:N40)</f>
        <v>0</v>
      </c>
      <c r="F9" s="7">
        <f>AVERAGE(MRP!C38:N38)</f>
        <v>0</v>
      </c>
      <c r="G9" s="7">
        <f>IFERROR(E9/F9,0)</f>
        <v>0</v>
      </c>
    </row>
  </sheetData>
  <mergeCells count="1">
    <mergeCell ref="A1:G1"/>
  </mergeCells>
  <conditionalFormatting sqref="B4:B21">
    <cfRule type="expression" dxfId="1" priority="1">
      <formula>B4&gt;=SL_G</formula>
    </cfRule>
    <cfRule type="expression" dxfId="2" priority="2">
      <formula>AND(B4&lt;SL_G,B4&gt;=SL_Y)</formula>
    </cfRule>
    <cfRule type="expression" dxfId="0" priority="3">
      <formula>B4&lt;SL_Y</formula>
    </cfRule>
  </conditionalFormatting>
  <conditionalFormatting sqref="C4:C21">
    <cfRule type="expression" dxfId="1" priority="4">
      <formula>C4=0</formula>
    </cfRule>
    <cfRule type="expression" dxfId="2" priority="5">
      <formula>AND(C4&gt;0,C4&lt;=SO_Y)</formula>
    </cfRule>
    <cfRule type="expression" dxfId="0" priority="6">
      <formula>C4&gt;SO_R</formula>
    </cfRule>
  </conditionalFormatting>
  <conditionalFormatting sqref="G4:G21">
    <cfRule type="expression" dxfId="1" priority="7">
      <formula>AND(G4&gt;=COVER_MIN,G4&lt;=COVER_MAX)</formula>
    </cfRule>
    <cfRule type="expression" dxfId="0" priority="8">
      <formula>OR(G4&lt;COVER_MIN,G4&gt;COVER_MAX)</formula>
    </cfRule>
  </conditionalFormatting>
  <conditionalFormatting sqref="J4">
    <cfRule type="expression" dxfId="1" priority="9">
      <formula>J4&gt;=SL_G</formula>
    </cfRule>
    <cfRule type="expression" dxfId="2" priority="10">
      <formula>AND(J4&lt;SL_G,J4&gt;=SL_Y)</formula>
    </cfRule>
    <cfRule type="expression" dxfId="0" priority="11">
      <formula>J4&lt;SL_Y</formula>
    </cfRule>
  </conditionalFormatting>
  <conditionalFormatting sqref="J6">
    <cfRule type="expression" dxfId="1" priority="12">
      <formula>AND(J6&gt;=COVER_MIN,J6&lt;=COVER_MAX)</formula>
    </cfRule>
    <cfRule type="expression" dxfId="0" priority="13">
      <formula>OR(J6&lt;COVER_MIN,J6&gt;COVER_MAX)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Paramètres</vt:lpstr>
      <vt:lpstr>Articles</vt:lpstr>
      <vt:lpstr>Nomenclature</vt:lpstr>
      <vt:lpstr>MPS</vt:lpstr>
      <vt:lpstr>Réceptions</vt:lpstr>
      <vt:lpstr>MRP</vt:lpstr>
      <vt:lpstr>KPI &amp; Benchmarks</vt:lpstr>
      <vt:lpstr>COVER_MAX</vt:lpstr>
      <vt:lpstr>COVER_MIN</vt:lpstr>
      <vt:lpstr>SL_G</vt:lpstr>
      <vt:lpstr>SL_Y</vt:lpstr>
      <vt:lpstr>SO_R</vt:lpstr>
      <vt:lpstr>SO_Y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2025-09-06T13:21:36Z</dcterms:created>
  <dcterms:modified xsi:type="dcterms:W3CDTF">2025-09-06T13:21:36Z</dcterms:modified>
</cp:coreProperties>
</file>