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EC5179C3-C3A1-455B-A357-286C36D36215}" xr6:coauthVersionLast="47" xr6:coauthVersionMax="47" xr10:uidLastSave="{00000000-0000-0000-0000-000000000000}"/>
  <bookViews>
    <workbookView xWindow="-120" yWindow="-120" windowWidth="20730" windowHeight="11040" activeTab="7" xr2:uid="{00000000-000D-0000-FFFF-FFFF00000000}"/>
  </bookViews>
  <sheets>
    <sheet name="Listes" sheetId="1" state="hidden" r:id="rId1"/>
    <sheet name="Feuille_de_route" sheetId="2" r:id="rId2"/>
    <sheet name="Timeline" sheetId="3" r:id="rId3"/>
    <sheet name="KPIs" sheetId="4" r:id="rId4"/>
    <sheet name="RACI" sheetId="5" r:id="rId5"/>
    <sheet name="Risques" sheetId="6" r:id="rId6"/>
    <sheet name="Tableau_de_bord" sheetId="7" r:id="rId7"/>
    <sheet name="Rétroplanning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" i="8" l="1"/>
  <c r="E13" i="8" s="1"/>
  <c r="D12" i="8" s="1"/>
  <c r="E12" i="8" s="1"/>
  <c r="D11" i="8" s="1"/>
  <c r="E11" i="8" s="1"/>
  <c r="D10" i="8" s="1"/>
  <c r="E10" i="8" s="1"/>
  <c r="D9" i="8" s="1"/>
  <c r="E9" i="8" s="1"/>
  <c r="D8" i="8" s="1"/>
  <c r="E8" i="8" s="1"/>
  <c r="D7" i="8" s="1"/>
  <c r="E7" i="8" s="1"/>
  <c r="D6" i="8" s="1"/>
  <c r="E6" i="8" s="1"/>
  <c r="B8" i="7"/>
  <c r="B7" i="7"/>
  <c r="B6" i="7"/>
  <c r="B5" i="7"/>
  <c r="B4" i="7"/>
  <c r="B3" i="7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E199" i="4"/>
  <c r="E198" i="4"/>
  <c r="E197" i="4"/>
  <c r="E196" i="4"/>
  <c r="E195" i="4"/>
  <c r="E194" i="4"/>
  <c r="E193" i="4"/>
  <c r="E192" i="4"/>
  <c r="E191" i="4"/>
  <c r="E190" i="4"/>
  <c r="E18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P67" i="3"/>
  <c r="O67" i="3"/>
  <c r="N67" i="3"/>
  <c r="M67" i="3"/>
  <c r="L67" i="3"/>
  <c r="K67" i="3"/>
  <c r="J67" i="3"/>
  <c r="I67" i="3"/>
  <c r="H67" i="3"/>
  <c r="G67" i="3"/>
  <c r="F67" i="3"/>
  <c r="E67" i="3"/>
  <c r="P66" i="3"/>
  <c r="O66" i="3"/>
  <c r="N66" i="3"/>
  <c r="M66" i="3"/>
  <c r="L66" i="3"/>
  <c r="K66" i="3"/>
  <c r="J66" i="3"/>
  <c r="I66" i="3"/>
  <c r="H66" i="3"/>
  <c r="G66" i="3"/>
  <c r="F66" i="3"/>
  <c r="E66" i="3"/>
  <c r="P65" i="3"/>
  <c r="O65" i="3"/>
  <c r="N65" i="3"/>
  <c r="M65" i="3"/>
  <c r="L65" i="3"/>
  <c r="K65" i="3"/>
  <c r="J65" i="3"/>
  <c r="I65" i="3"/>
  <c r="H65" i="3"/>
  <c r="G65" i="3"/>
  <c r="F65" i="3"/>
  <c r="E65" i="3"/>
  <c r="P64" i="3"/>
  <c r="O64" i="3"/>
  <c r="N64" i="3"/>
  <c r="M64" i="3"/>
  <c r="L64" i="3"/>
  <c r="K64" i="3"/>
  <c r="J64" i="3"/>
  <c r="I64" i="3"/>
  <c r="H64" i="3"/>
  <c r="G64" i="3"/>
  <c r="F64" i="3"/>
  <c r="E64" i="3"/>
  <c r="P63" i="3"/>
  <c r="O63" i="3"/>
  <c r="N63" i="3"/>
  <c r="M63" i="3"/>
  <c r="L63" i="3"/>
  <c r="K63" i="3"/>
  <c r="J63" i="3"/>
  <c r="I63" i="3"/>
  <c r="H63" i="3"/>
  <c r="G63" i="3"/>
  <c r="F63" i="3"/>
  <c r="E63" i="3"/>
  <c r="P62" i="3"/>
  <c r="O62" i="3"/>
  <c r="N62" i="3"/>
  <c r="M62" i="3"/>
  <c r="L62" i="3"/>
  <c r="K62" i="3"/>
  <c r="J62" i="3"/>
  <c r="I62" i="3"/>
  <c r="H62" i="3"/>
  <c r="G62" i="3"/>
  <c r="F62" i="3"/>
  <c r="E62" i="3"/>
  <c r="P61" i="3"/>
  <c r="O61" i="3"/>
  <c r="N61" i="3"/>
  <c r="M61" i="3"/>
  <c r="L61" i="3"/>
  <c r="K61" i="3"/>
  <c r="J61" i="3"/>
  <c r="I61" i="3"/>
  <c r="H61" i="3"/>
  <c r="G61" i="3"/>
  <c r="F61" i="3"/>
  <c r="E61" i="3"/>
  <c r="P60" i="3"/>
  <c r="O60" i="3"/>
  <c r="N60" i="3"/>
  <c r="M60" i="3"/>
  <c r="L60" i="3"/>
  <c r="K60" i="3"/>
  <c r="J60" i="3"/>
  <c r="I60" i="3"/>
  <c r="H60" i="3"/>
  <c r="G60" i="3"/>
  <c r="F60" i="3"/>
  <c r="E60" i="3"/>
  <c r="P59" i="3"/>
  <c r="O59" i="3"/>
  <c r="N59" i="3"/>
  <c r="M59" i="3"/>
  <c r="L59" i="3"/>
  <c r="K59" i="3"/>
  <c r="J59" i="3"/>
  <c r="I59" i="3"/>
  <c r="H59" i="3"/>
  <c r="G59" i="3"/>
  <c r="F59" i="3"/>
  <c r="E59" i="3"/>
  <c r="P58" i="3"/>
  <c r="O58" i="3"/>
  <c r="N58" i="3"/>
  <c r="M58" i="3"/>
  <c r="L58" i="3"/>
  <c r="K58" i="3"/>
  <c r="J58" i="3"/>
  <c r="I58" i="3"/>
  <c r="H58" i="3"/>
  <c r="G58" i="3"/>
  <c r="F58" i="3"/>
  <c r="E58" i="3"/>
  <c r="P57" i="3"/>
  <c r="O57" i="3"/>
  <c r="N57" i="3"/>
  <c r="M57" i="3"/>
  <c r="L57" i="3"/>
  <c r="K57" i="3"/>
  <c r="J57" i="3"/>
  <c r="I57" i="3"/>
  <c r="H57" i="3"/>
  <c r="G57" i="3"/>
  <c r="F57" i="3"/>
  <c r="E57" i="3"/>
  <c r="P56" i="3"/>
  <c r="O56" i="3"/>
  <c r="N56" i="3"/>
  <c r="M56" i="3"/>
  <c r="L56" i="3"/>
  <c r="K56" i="3"/>
  <c r="J56" i="3"/>
  <c r="I56" i="3"/>
  <c r="H56" i="3"/>
  <c r="G56" i="3"/>
  <c r="F56" i="3"/>
  <c r="E56" i="3"/>
  <c r="P55" i="3"/>
  <c r="O55" i="3"/>
  <c r="N55" i="3"/>
  <c r="M55" i="3"/>
  <c r="L55" i="3"/>
  <c r="K55" i="3"/>
  <c r="J55" i="3"/>
  <c r="I55" i="3"/>
  <c r="H55" i="3"/>
  <c r="G55" i="3"/>
  <c r="F55" i="3"/>
  <c r="E55" i="3"/>
  <c r="P54" i="3"/>
  <c r="O54" i="3"/>
  <c r="N54" i="3"/>
  <c r="M54" i="3"/>
  <c r="L54" i="3"/>
  <c r="K54" i="3"/>
  <c r="J54" i="3"/>
  <c r="I54" i="3"/>
  <c r="H54" i="3"/>
  <c r="G54" i="3"/>
  <c r="F54" i="3"/>
  <c r="E54" i="3"/>
  <c r="P53" i="3"/>
  <c r="O53" i="3"/>
  <c r="N53" i="3"/>
  <c r="M53" i="3"/>
  <c r="L53" i="3"/>
  <c r="K53" i="3"/>
  <c r="J53" i="3"/>
  <c r="I53" i="3"/>
  <c r="H53" i="3"/>
  <c r="G53" i="3"/>
  <c r="F53" i="3"/>
  <c r="E53" i="3"/>
  <c r="P52" i="3"/>
  <c r="O52" i="3"/>
  <c r="N52" i="3"/>
  <c r="M52" i="3"/>
  <c r="L52" i="3"/>
  <c r="K52" i="3"/>
  <c r="J52" i="3"/>
  <c r="I52" i="3"/>
  <c r="H52" i="3"/>
  <c r="G52" i="3"/>
  <c r="F52" i="3"/>
  <c r="E52" i="3"/>
  <c r="P51" i="3"/>
  <c r="O51" i="3"/>
  <c r="N51" i="3"/>
  <c r="M51" i="3"/>
  <c r="L51" i="3"/>
  <c r="K51" i="3"/>
  <c r="J51" i="3"/>
  <c r="I51" i="3"/>
  <c r="H51" i="3"/>
  <c r="G51" i="3"/>
  <c r="F51" i="3"/>
  <c r="E51" i="3"/>
  <c r="P50" i="3"/>
  <c r="O50" i="3"/>
  <c r="N50" i="3"/>
  <c r="M50" i="3"/>
  <c r="L50" i="3"/>
  <c r="K50" i="3"/>
  <c r="J50" i="3"/>
  <c r="I50" i="3"/>
  <c r="H50" i="3"/>
  <c r="G50" i="3"/>
  <c r="F50" i="3"/>
  <c r="E50" i="3"/>
  <c r="P49" i="3"/>
  <c r="O49" i="3"/>
  <c r="N49" i="3"/>
  <c r="M49" i="3"/>
  <c r="L49" i="3"/>
  <c r="K49" i="3"/>
  <c r="J49" i="3"/>
  <c r="I49" i="3"/>
  <c r="H49" i="3"/>
  <c r="G49" i="3"/>
  <c r="F49" i="3"/>
  <c r="E49" i="3"/>
  <c r="P48" i="3"/>
  <c r="O48" i="3"/>
  <c r="N48" i="3"/>
  <c r="M48" i="3"/>
  <c r="L48" i="3"/>
  <c r="K48" i="3"/>
  <c r="J48" i="3"/>
  <c r="I48" i="3"/>
  <c r="H48" i="3"/>
  <c r="G48" i="3"/>
  <c r="F48" i="3"/>
  <c r="E48" i="3"/>
  <c r="P47" i="3"/>
  <c r="O47" i="3"/>
  <c r="N47" i="3"/>
  <c r="M47" i="3"/>
  <c r="L47" i="3"/>
  <c r="K47" i="3"/>
  <c r="J47" i="3"/>
  <c r="I47" i="3"/>
  <c r="H47" i="3"/>
  <c r="G47" i="3"/>
  <c r="F47" i="3"/>
  <c r="E47" i="3"/>
  <c r="P46" i="3"/>
  <c r="O46" i="3"/>
  <c r="N46" i="3"/>
  <c r="M46" i="3"/>
  <c r="L46" i="3"/>
  <c r="K46" i="3"/>
  <c r="J46" i="3"/>
  <c r="I46" i="3"/>
  <c r="H46" i="3"/>
  <c r="G46" i="3"/>
  <c r="F46" i="3"/>
  <c r="E46" i="3"/>
  <c r="P45" i="3"/>
  <c r="O45" i="3"/>
  <c r="N45" i="3"/>
  <c r="M45" i="3"/>
  <c r="L45" i="3"/>
  <c r="K45" i="3"/>
  <c r="J45" i="3"/>
  <c r="I45" i="3"/>
  <c r="H45" i="3"/>
  <c r="G45" i="3"/>
  <c r="F45" i="3"/>
  <c r="E45" i="3"/>
  <c r="P44" i="3"/>
  <c r="O44" i="3"/>
  <c r="N44" i="3"/>
  <c r="M44" i="3"/>
  <c r="L44" i="3"/>
  <c r="K44" i="3"/>
  <c r="J44" i="3"/>
  <c r="I44" i="3"/>
  <c r="H44" i="3"/>
  <c r="G44" i="3"/>
  <c r="F44" i="3"/>
  <c r="E44" i="3"/>
  <c r="P43" i="3"/>
  <c r="O43" i="3"/>
  <c r="N43" i="3"/>
  <c r="M43" i="3"/>
  <c r="L43" i="3"/>
  <c r="K43" i="3"/>
  <c r="J43" i="3"/>
  <c r="I43" i="3"/>
  <c r="H43" i="3"/>
  <c r="G43" i="3"/>
  <c r="F43" i="3"/>
  <c r="E43" i="3"/>
  <c r="P42" i="3"/>
  <c r="O42" i="3"/>
  <c r="N42" i="3"/>
  <c r="M42" i="3"/>
  <c r="L42" i="3"/>
  <c r="K42" i="3"/>
  <c r="J42" i="3"/>
  <c r="I42" i="3"/>
  <c r="H42" i="3"/>
  <c r="G42" i="3"/>
  <c r="F42" i="3"/>
  <c r="E42" i="3"/>
  <c r="P41" i="3"/>
  <c r="O41" i="3"/>
  <c r="N41" i="3"/>
  <c r="M41" i="3"/>
  <c r="L41" i="3"/>
  <c r="K41" i="3"/>
  <c r="J41" i="3"/>
  <c r="I41" i="3"/>
  <c r="H41" i="3"/>
  <c r="G41" i="3"/>
  <c r="F41" i="3"/>
  <c r="E41" i="3"/>
  <c r="P40" i="3"/>
  <c r="O40" i="3"/>
  <c r="N40" i="3"/>
  <c r="M40" i="3"/>
  <c r="L40" i="3"/>
  <c r="K40" i="3"/>
  <c r="J40" i="3"/>
  <c r="I40" i="3"/>
  <c r="H40" i="3"/>
  <c r="G40" i="3"/>
  <c r="F40" i="3"/>
  <c r="E40" i="3"/>
  <c r="P39" i="3"/>
  <c r="O39" i="3"/>
  <c r="N39" i="3"/>
  <c r="M39" i="3"/>
  <c r="L39" i="3"/>
  <c r="K39" i="3"/>
  <c r="J39" i="3"/>
  <c r="I39" i="3"/>
  <c r="H39" i="3"/>
  <c r="G39" i="3"/>
  <c r="F39" i="3"/>
  <c r="E39" i="3"/>
  <c r="P38" i="3"/>
  <c r="O38" i="3"/>
  <c r="N38" i="3"/>
  <c r="M38" i="3"/>
  <c r="L38" i="3"/>
  <c r="K38" i="3"/>
  <c r="J38" i="3"/>
  <c r="I38" i="3"/>
  <c r="H38" i="3"/>
  <c r="G38" i="3"/>
  <c r="F38" i="3"/>
  <c r="E38" i="3"/>
  <c r="P37" i="3"/>
  <c r="O37" i="3"/>
  <c r="N37" i="3"/>
  <c r="M37" i="3"/>
  <c r="L37" i="3"/>
  <c r="K37" i="3"/>
  <c r="J37" i="3"/>
  <c r="I37" i="3"/>
  <c r="H37" i="3"/>
  <c r="G37" i="3"/>
  <c r="F37" i="3"/>
  <c r="E37" i="3"/>
  <c r="P36" i="3"/>
  <c r="O36" i="3"/>
  <c r="N36" i="3"/>
  <c r="M36" i="3"/>
  <c r="L36" i="3"/>
  <c r="K36" i="3"/>
  <c r="J36" i="3"/>
  <c r="I36" i="3"/>
  <c r="H36" i="3"/>
  <c r="G36" i="3"/>
  <c r="F36" i="3"/>
  <c r="E36" i="3"/>
  <c r="P35" i="3"/>
  <c r="O35" i="3"/>
  <c r="N35" i="3"/>
  <c r="M35" i="3"/>
  <c r="L35" i="3"/>
  <c r="K35" i="3"/>
  <c r="J35" i="3"/>
  <c r="I35" i="3"/>
  <c r="H35" i="3"/>
  <c r="G35" i="3"/>
  <c r="F35" i="3"/>
  <c r="E35" i="3"/>
  <c r="P34" i="3"/>
  <c r="O34" i="3"/>
  <c r="N34" i="3"/>
  <c r="M34" i="3"/>
  <c r="L34" i="3"/>
  <c r="K34" i="3"/>
  <c r="J34" i="3"/>
  <c r="I34" i="3"/>
  <c r="H34" i="3"/>
  <c r="G34" i="3"/>
  <c r="F34" i="3"/>
  <c r="E34" i="3"/>
  <c r="P33" i="3"/>
  <c r="O33" i="3"/>
  <c r="N33" i="3"/>
  <c r="M33" i="3"/>
  <c r="L33" i="3"/>
  <c r="K33" i="3"/>
  <c r="J33" i="3"/>
  <c r="I33" i="3"/>
  <c r="H33" i="3"/>
  <c r="G33" i="3"/>
  <c r="F33" i="3"/>
  <c r="E33" i="3"/>
  <c r="P32" i="3"/>
  <c r="O32" i="3"/>
  <c r="N32" i="3"/>
  <c r="M32" i="3"/>
  <c r="L32" i="3"/>
  <c r="K32" i="3"/>
  <c r="J32" i="3"/>
  <c r="I32" i="3"/>
  <c r="H32" i="3"/>
  <c r="G32" i="3"/>
  <c r="F32" i="3"/>
  <c r="E32" i="3"/>
  <c r="P31" i="3"/>
  <c r="O31" i="3"/>
  <c r="N31" i="3"/>
  <c r="M31" i="3"/>
  <c r="L31" i="3"/>
  <c r="K31" i="3"/>
  <c r="J31" i="3"/>
  <c r="I31" i="3"/>
  <c r="H31" i="3"/>
  <c r="G31" i="3"/>
  <c r="F31" i="3"/>
  <c r="E31" i="3"/>
  <c r="P30" i="3"/>
  <c r="O30" i="3"/>
  <c r="N30" i="3"/>
  <c r="M30" i="3"/>
  <c r="L30" i="3"/>
  <c r="K30" i="3"/>
  <c r="J30" i="3"/>
  <c r="I30" i="3"/>
  <c r="H30" i="3"/>
  <c r="G30" i="3"/>
  <c r="F30" i="3"/>
  <c r="E30" i="3"/>
  <c r="P29" i="3"/>
  <c r="O29" i="3"/>
  <c r="N29" i="3"/>
  <c r="M29" i="3"/>
  <c r="L29" i="3"/>
  <c r="K29" i="3"/>
  <c r="J29" i="3"/>
  <c r="I29" i="3"/>
  <c r="H29" i="3"/>
  <c r="G29" i="3"/>
  <c r="F29" i="3"/>
  <c r="E29" i="3"/>
  <c r="P28" i="3"/>
  <c r="O28" i="3"/>
  <c r="N28" i="3"/>
  <c r="M28" i="3"/>
  <c r="L28" i="3"/>
  <c r="K28" i="3"/>
  <c r="J28" i="3"/>
  <c r="I28" i="3"/>
  <c r="H28" i="3"/>
  <c r="G28" i="3"/>
  <c r="F28" i="3"/>
  <c r="E28" i="3"/>
  <c r="P27" i="3"/>
  <c r="O27" i="3"/>
  <c r="N27" i="3"/>
  <c r="M27" i="3"/>
  <c r="L27" i="3"/>
  <c r="K27" i="3"/>
  <c r="J27" i="3"/>
  <c r="I27" i="3"/>
  <c r="H27" i="3"/>
  <c r="G27" i="3"/>
  <c r="F27" i="3"/>
  <c r="E27" i="3"/>
  <c r="P26" i="3"/>
  <c r="O26" i="3"/>
  <c r="N26" i="3"/>
  <c r="M26" i="3"/>
  <c r="L26" i="3"/>
  <c r="K26" i="3"/>
  <c r="J26" i="3"/>
  <c r="I26" i="3"/>
  <c r="H26" i="3"/>
  <c r="G26" i="3"/>
  <c r="F26" i="3"/>
  <c r="E26" i="3"/>
  <c r="P25" i="3"/>
  <c r="O25" i="3"/>
  <c r="N25" i="3"/>
  <c r="M25" i="3"/>
  <c r="L25" i="3"/>
  <c r="K25" i="3"/>
  <c r="J25" i="3"/>
  <c r="I25" i="3"/>
  <c r="H25" i="3"/>
  <c r="G25" i="3"/>
  <c r="F25" i="3"/>
  <c r="E25" i="3"/>
  <c r="P24" i="3"/>
  <c r="O24" i="3"/>
  <c r="N24" i="3"/>
  <c r="M24" i="3"/>
  <c r="L24" i="3"/>
  <c r="K24" i="3"/>
  <c r="J24" i="3"/>
  <c r="I24" i="3"/>
  <c r="H24" i="3"/>
  <c r="G24" i="3"/>
  <c r="F24" i="3"/>
  <c r="E24" i="3"/>
  <c r="P23" i="3"/>
  <c r="O23" i="3"/>
  <c r="N23" i="3"/>
  <c r="M23" i="3"/>
  <c r="L23" i="3"/>
  <c r="K23" i="3"/>
  <c r="J23" i="3"/>
  <c r="I23" i="3"/>
  <c r="H23" i="3"/>
  <c r="G23" i="3"/>
  <c r="F23" i="3"/>
  <c r="E23" i="3"/>
  <c r="P22" i="3"/>
  <c r="O22" i="3"/>
  <c r="N22" i="3"/>
  <c r="M22" i="3"/>
  <c r="L22" i="3"/>
  <c r="K22" i="3"/>
  <c r="J22" i="3"/>
  <c r="I22" i="3"/>
  <c r="H22" i="3"/>
  <c r="G22" i="3"/>
  <c r="F22" i="3"/>
  <c r="E22" i="3"/>
  <c r="P21" i="3"/>
  <c r="O21" i="3"/>
  <c r="N21" i="3"/>
  <c r="M21" i="3"/>
  <c r="L21" i="3"/>
  <c r="K21" i="3"/>
  <c r="J21" i="3"/>
  <c r="I21" i="3"/>
  <c r="H21" i="3"/>
  <c r="G21" i="3"/>
  <c r="F21" i="3"/>
  <c r="E21" i="3"/>
  <c r="P20" i="3"/>
  <c r="O20" i="3"/>
  <c r="N20" i="3"/>
  <c r="M20" i="3"/>
  <c r="L20" i="3"/>
  <c r="K20" i="3"/>
  <c r="J20" i="3"/>
  <c r="I20" i="3"/>
  <c r="H20" i="3"/>
  <c r="G20" i="3"/>
  <c r="F20" i="3"/>
  <c r="E20" i="3"/>
  <c r="P19" i="3"/>
  <c r="O19" i="3"/>
  <c r="N19" i="3"/>
  <c r="M19" i="3"/>
  <c r="L19" i="3"/>
  <c r="K19" i="3"/>
  <c r="J19" i="3"/>
  <c r="I19" i="3"/>
  <c r="H19" i="3"/>
  <c r="G19" i="3"/>
  <c r="F19" i="3"/>
  <c r="E19" i="3"/>
  <c r="P18" i="3"/>
  <c r="O18" i="3"/>
  <c r="N18" i="3"/>
  <c r="M18" i="3"/>
  <c r="L18" i="3"/>
  <c r="K18" i="3"/>
  <c r="J18" i="3"/>
  <c r="I18" i="3"/>
  <c r="H18" i="3"/>
  <c r="G18" i="3"/>
  <c r="F18" i="3"/>
  <c r="E18" i="3"/>
  <c r="P17" i="3"/>
  <c r="O17" i="3"/>
  <c r="N17" i="3"/>
  <c r="M17" i="3"/>
  <c r="L17" i="3"/>
  <c r="K17" i="3"/>
  <c r="J17" i="3"/>
  <c r="I17" i="3"/>
  <c r="H17" i="3"/>
  <c r="G17" i="3"/>
  <c r="F17" i="3"/>
  <c r="E17" i="3"/>
  <c r="P16" i="3"/>
  <c r="O16" i="3"/>
  <c r="N16" i="3"/>
  <c r="M16" i="3"/>
  <c r="L16" i="3"/>
  <c r="K16" i="3"/>
  <c r="J16" i="3"/>
  <c r="I16" i="3"/>
  <c r="H16" i="3"/>
  <c r="G16" i="3"/>
  <c r="F16" i="3"/>
  <c r="E16" i="3"/>
  <c r="P15" i="3"/>
  <c r="O15" i="3"/>
  <c r="N15" i="3"/>
  <c r="M15" i="3"/>
  <c r="L15" i="3"/>
  <c r="K15" i="3"/>
  <c r="J15" i="3"/>
  <c r="I15" i="3"/>
  <c r="H15" i="3"/>
  <c r="G15" i="3"/>
  <c r="F15" i="3"/>
  <c r="E15" i="3"/>
  <c r="P14" i="3"/>
  <c r="O14" i="3"/>
  <c r="N14" i="3"/>
  <c r="M14" i="3"/>
  <c r="L14" i="3"/>
  <c r="K14" i="3"/>
  <c r="J14" i="3"/>
  <c r="I14" i="3"/>
  <c r="H14" i="3"/>
  <c r="G14" i="3"/>
  <c r="F14" i="3"/>
  <c r="E14" i="3"/>
  <c r="P13" i="3"/>
  <c r="O13" i="3"/>
  <c r="N13" i="3"/>
  <c r="M13" i="3"/>
  <c r="L13" i="3"/>
  <c r="K13" i="3"/>
  <c r="J13" i="3"/>
  <c r="I13" i="3"/>
  <c r="H13" i="3"/>
  <c r="G13" i="3"/>
  <c r="F13" i="3"/>
  <c r="E13" i="3"/>
  <c r="P12" i="3"/>
  <c r="O12" i="3"/>
  <c r="N12" i="3"/>
  <c r="M12" i="3"/>
  <c r="L12" i="3"/>
  <c r="K12" i="3"/>
  <c r="J12" i="3"/>
  <c r="I12" i="3"/>
  <c r="H12" i="3"/>
  <c r="G12" i="3"/>
  <c r="F12" i="3"/>
  <c r="E12" i="3"/>
  <c r="P11" i="3"/>
  <c r="O11" i="3"/>
  <c r="N11" i="3"/>
  <c r="M11" i="3"/>
  <c r="L11" i="3"/>
  <c r="K11" i="3"/>
  <c r="J11" i="3"/>
  <c r="I11" i="3"/>
  <c r="H11" i="3"/>
  <c r="G11" i="3"/>
  <c r="F11" i="3"/>
  <c r="E11" i="3"/>
  <c r="P10" i="3"/>
  <c r="O10" i="3"/>
  <c r="N10" i="3"/>
  <c r="M10" i="3"/>
  <c r="L10" i="3"/>
  <c r="K10" i="3"/>
  <c r="J10" i="3"/>
  <c r="I10" i="3"/>
  <c r="H10" i="3"/>
  <c r="G10" i="3"/>
  <c r="F10" i="3"/>
  <c r="E10" i="3"/>
  <c r="P9" i="3"/>
  <c r="O9" i="3"/>
  <c r="N9" i="3"/>
  <c r="M9" i="3"/>
  <c r="L9" i="3"/>
  <c r="K9" i="3"/>
  <c r="J9" i="3"/>
  <c r="I9" i="3"/>
  <c r="H9" i="3"/>
  <c r="G9" i="3"/>
  <c r="F9" i="3"/>
  <c r="E9" i="3"/>
  <c r="P8" i="3"/>
  <c r="O8" i="3"/>
  <c r="N8" i="3"/>
  <c r="M8" i="3"/>
  <c r="L8" i="3"/>
  <c r="K8" i="3"/>
  <c r="J8" i="3"/>
  <c r="I8" i="3"/>
  <c r="H8" i="3"/>
  <c r="G8" i="3"/>
  <c r="F8" i="3"/>
  <c r="E8" i="3"/>
  <c r="P7" i="3"/>
  <c r="O7" i="3"/>
  <c r="N7" i="3"/>
  <c r="M7" i="3"/>
  <c r="L7" i="3"/>
  <c r="K7" i="3"/>
  <c r="J7" i="3"/>
  <c r="I7" i="3"/>
  <c r="H7" i="3"/>
  <c r="G7" i="3"/>
  <c r="F7" i="3"/>
  <c r="E7" i="3"/>
  <c r="P6" i="3"/>
  <c r="O6" i="3"/>
  <c r="N6" i="3"/>
  <c r="M6" i="3"/>
  <c r="L6" i="3"/>
  <c r="K6" i="3"/>
  <c r="J6" i="3"/>
  <c r="I6" i="3"/>
  <c r="H6" i="3"/>
  <c r="G6" i="3"/>
  <c r="F6" i="3"/>
  <c r="E6" i="3"/>
  <c r="P5" i="3"/>
  <c r="O5" i="3"/>
  <c r="N5" i="3"/>
  <c r="M5" i="3"/>
  <c r="L5" i="3"/>
  <c r="K5" i="3"/>
  <c r="J5" i="3"/>
  <c r="I5" i="3"/>
  <c r="H5" i="3"/>
  <c r="G5" i="3"/>
  <c r="F5" i="3"/>
  <c r="E5" i="3"/>
  <c r="P4" i="3"/>
  <c r="O4" i="3"/>
  <c r="N4" i="3"/>
  <c r="M4" i="3"/>
  <c r="L4" i="3"/>
  <c r="K4" i="3"/>
  <c r="J4" i="3"/>
  <c r="I4" i="3"/>
  <c r="H4" i="3"/>
  <c r="G4" i="3"/>
  <c r="F4" i="3"/>
  <c r="E4" i="3"/>
  <c r="P3" i="3"/>
  <c r="O3" i="3"/>
  <c r="N3" i="3"/>
  <c r="M3" i="3"/>
  <c r="L3" i="3"/>
  <c r="K3" i="3"/>
  <c r="J3" i="3"/>
  <c r="I3" i="3"/>
  <c r="H3" i="3"/>
  <c r="G3" i="3"/>
  <c r="F3" i="3"/>
  <c r="E3" i="3"/>
  <c r="P2" i="3"/>
  <c r="O2" i="3"/>
  <c r="N2" i="3"/>
  <c r="M2" i="3"/>
  <c r="L2" i="3"/>
  <c r="K2" i="3"/>
  <c r="J2" i="3"/>
  <c r="I2" i="3"/>
  <c r="H2" i="3"/>
  <c r="G2" i="3"/>
  <c r="F2" i="3"/>
  <c r="E2" i="3"/>
</calcChain>
</file>

<file path=xl/sharedStrings.xml><?xml version="1.0" encoding="utf-8"?>
<sst xmlns="http://schemas.openxmlformats.org/spreadsheetml/2006/main" count="358" uniqueCount="198">
  <si>
    <t>Statuts</t>
  </si>
  <si>
    <t>Idée</t>
  </si>
  <si>
    <t>Étude</t>
  </si>
  <si>
    <t>En cours</t>
  </si>
  <si>
    <t>Bloqué</t>
  </si>
  <si>
    <t>Terminé</t>
  </si>
  <si>
    <t>Priorité</t>
  </si>
  <si>
    <t>Critique</t>
  </si>
  <si>
    <t>Haute</t>
  </si>
  <si>
    <t>Moyenne</t>
  </si>
  <si>
    <t>Basse</t>
  </si>
  <si>
    <t>Risque</t>
  </si>
  <si>
    <t>Faible</t>
  </si>
  <si>
    <t>Modéré</t>
  </si>
  <si>
    <t>Élevé</t>
  </si>
  <si>
    <t>RACI</t>
  </si>
  <si>
    <t>R</t>
  </si>
  <si>
    <t>A</t>
  </si>
  <si>
    <t>C</t>
  </si>
  <si>
    <t>I</t>
  </si>
  <si>
    <t>Fréquence</t>
  </si>
  <si>
    <t>Hebdo</t>
  </si>
  <si>
    <t>Mensuel</t>
  </si>
  <si>
    <t>Trimestriel</t>
  </si>
  <si>
    <t>ID</t>
  </si>
  <si>
    <t>Flux (Workstream)</t>
  </si>
  <si>
    <t>Initiative</t>
  </si>
  <si>
    <t>Propriétaire</t>
  </si>
  <si>
    <t>Quarter</t>
  </si>
  <si>
    <t>Début</t>
  </si>
  <si>
    <t>Fin</t>
  </si>
  <si>
    <t>Statut</t>
  </si>
  <si>
    <t>% Avancement</t>
  </si>
  <si>
    <t>Dépendances</t>
  </si>
  <si>
    <t>Budget (k€)</t>
  </si>
  <si>
    <t>Capex/Opex</t>
  </si>
  <si>
    <t>Impact KPI (résumé)</t>
  </si>
  <si>
    <t>Notes</t>
  </si>
  <si>
    <t>ERP &amp; Données</t>
  </si>
  <si>
    <t>Nettoyage master data + MDM</t>
  </si>
  <si>
    <t>Alice Dupont</t>
  </si>
  <si>
    <t>Q4-2025</t>
  </si>
  <si>
    <t>1</t>
  </si>
  <si>
    <t>Opex</t>
  </si>
  <si>
    <t>Qualité de données, % correspondance fournisseurs</t>
  </si>
  <si>
    <t>Règles de dédoublonnage en test</t>
  </si>
  <si>
    <t>Finance</t>
  </si>
  <si>
    <t>Dématérialisation factures + OCR</t>
  </si>
  <si>
    <t>C. Martin</t>
  </si>
  <si>
    <t>Q1-2026</t>
  </si>
  <si>
    <t>101</t>
  </si>
  <si>
    <t>Capex</t>
  </si>
  <si>
    <t>Cycle P2P -2 jours</t>
  </si>
  <si>
    <t>RFI outils lancé</t>
  </si>
  <si>
    <t>Industrie 4.0</t>
  </si>
  <si>
    <t>IoT qualité - SPC en ligne</t>
  </si>
  <si>
    <t>L. Bernard</t>
  </si>
  <si>
    <t>Q2-2026</t>
  </si>
  <si>
    <t>2</t>
  </si>
  <si>
    <t>PPM -30%, scrap -2 pts</t>
  </si>
  <si>
    <t>Réseau OT sécurisé requis</t>
  </si>
  <si>
    <t>MES léger — capture TRS poste</t>
  </si>
  <si>
    <t>E. Durand</t>
  </si>
  <si>
    <t>TRS +5 pts, arrêts -10%</t>
  </si>
  <si>
    <t>Pilote sur ligne B</t>
  </si>
  <si>
    <t>Expérience client</t>
  </si>
  <si>
    <t>CDP / 360 client + segmentation</t>
  </si>
  <si>
    <t>T. Leroy</t>
  </si>
  <si>
    <t>NPS +5, churn -1 pt</t>
  </si>
  <si>
    <t>Consentements RGPD cartographiés</t>
  </si>
  <si>
    <t>E-commerce</t>
  </si>
  <si>
    <t>Refonte checkout + paiement local</t>
  </si>
  <si>
    <t>S. Moreau</t>
  </si>
  <si>
    <t>Conversion +0,8 pt</t>
  </si>
  <si>
    <t>A/B test 3 variantes</t>
  </si>
  <si>
    <t>Data &amp; Analytics</t>
  </si>
  <si>
    <t>Lac de données + gouvernance</t>
  </si>
  <si>
    <t>N. Petit</t>
  </si>
  <si>
    <t>Self BI, délais reporting -50%</t>
  </si>
  <si>
    <t>Catalogue en POC</t>
  </si>
  <si>
    <t>Dashboard exécutif (Fin/Op/Ventes)</t>
  </si>
  <si>
    <t>M. Garnier</t>
  </si>
  <si>
    <t>401</t>
  </si>
  <si>
    <t>Décisions J+1, forecast +</t>
  </si>
  <si>
    <t>Sources à harmoniser</t>
  </si>
  <si>
    <t>Cybersécurité</t>
  </si>
  <si>
    <t>MFA + PAM + sensibilisation</t>
  </si>
  <si>
    <t>H. Lambert</t>
  </si>
  <si>
    <t>Réduction surface d'attaque</t>
  </si>
  <si>
    <t>Campagne phishing mensuelle</t>
  </si>
  <si>
    <t>IT Ops</t>
  </si>
  <si>
    <t>ITSM — gestion des changements (RFC)</t>
  </si>
  <si>
    <t>R. Dubois</t>
  </si>
  <si>
    <t>MTTR -15%</t>
  </si>
  <si>
    <t>Processus RFC actif</t>
  </si>
  <si>
    <t>RH &amp; Change</t>
  </si>
  <si>
    <t>Academy digitale — 10 modules</t>
  </si>
  <si>
    <t>K. Laurent</t>
  </si>
  <si>
    <t>Adoption +, NPS interne +4</t>
  </si>
  <si>
    <t>Parcours par persona</t>
  </si>
  <si>
    <t>Plan de conduite du changement (kit terrain)</t>
  </si>
  <si>
    <t>P. Fontaine</t>
  </si>
  <si>
    <t>601</t>
  </si>
  <si>
    <t>Taux d'adoption &gt;70%</t>
  </si>
  <si>
    <t>Com interne + champions</t>
  </si>
  <si>
    <t>CRM &amp; Sales</t>
  </si>
  <si>
    <t>CRM — pipeline &amp; devis e‑sign</t>
  </si>
  <si>
    <t>J. Lefèvre</t>
  </si>
  <si>
    <t>Taux de win +2 pts</t>
  </si>
  <si>
    <t>RFP en cours</t>
  </si>
  <si>
    <t>Supply Chain</t>
  </si>
  <si>
    <t>EDI fournisseurs — commandes/ASNs</t>
  </si>
  <si>
    <t>F. Renaud</t>
  </si>
  <si>
    <t>101,102</t>
  </si>
  <si>
    <t>Ruptures -, fiabilité délais +</t>
  </si>
  <si>
    <t>Cadrage top 10 fournisseurs</t>
  </si>
  <si>
    <t>Conformité</t>
  </si>
  <si>
    <t>RGPD — registre &amp; DPIA outillé</t>
  </si>
  <si>
    <t>D. Caron</t>
  </si>
  <si>
    <t>Risques juridiques ↓</t>
  </si>
  <si>
    <t>Privacy by design sur nouveaux projets</t>
  </si>
  <si>
    <t>Migration vers ERP Cloud</t>
  </si>
  <si>
    <t>Qualité de données, clôture J+1</t>
  </si>
  <si>
    <t>Phase cadrage &amp; POC</t>
  </si>
  <si>
    <t>Capteurs OEE lignes A/B</t>
  </si>
  <si>
    <t>OEE +6 pts, TRS temps réel</t>
  </si>
  <si>
    <t>Pilote sur ligne A</t>
  </si>
  <si>
    <t>Portail e‑Service &amp; Chatbot</t>
  </si>
  <si>
    <t>Taux self‑care 30%</t>
  </si>
  <si>
    <t>Étude des parcours</t>
  </si>
  <si>
    <t>Sep-2025</t>
  </si>
  <si>
    <t>Oct-2025</t>
  </si>
  <si>
    <t>Nov-2025</t>
  </si>
  <si>
    <t>Dec-2025</t>
  </si>
  <si>
    <t>Jan-2026</t>
  </si>
  <si>
    <t>Feb-2026</t>
  </si>
  <si>
    <t>Mar-2026</t>
  </si>
  <si>
    <t>Apr-2026</t>
  </si>
  <si>
    <t>May-2026</t>
  </si>
  <si>
    <t>Jun-2026</t>
  </si>
  <si>
    <t>Jul-2026</t>
  </si>
  <si>
    <t>Aug-2026</t>
  </si>
  <si>
    <t>KPI</t>
  </si>
  <si>
    <t>Baseline</t>
  </si>
  <si>
    <t>Cible</t>
  </si>
  <si>
    <t>Actuel</t>
  </si>
  <si>
    <t>Écart</t>
  </si>
  <si>
    <t>Dernière MAJ</t>
  </si>
  <si>
    <t>OEE lignes A/B</t>
  </si>
  <si>
    <t>Taux de self‑care</t>
  </si>
  <si>
    <t>Clôture comptable (jours)</t>
  </si>
  <si>
    <t>Tâche</t>
  </si>
  <si>
    <t>Direction</t>
  </si>
  <si>
    <t>DSI</t>
  </si>
  <si>
    <t>Métiers</t>
  </si>
  <si>
    <t>Qualité</t>
  </si>
  <si>
    <t>Cadrage stratégie digitale</t>
  </si>
  <si>
    <t>Architecture cible</t>
  </si>
  <si>
    <t>Sélection ERP</t>
  </si>
  <si>
    <t>Déploiement capteurs IoT</t>
  </si>
  <si>
    <t>Portail e‑Service</t>
  </si>
  <si>
    <t>Gouvernance data</t>
  </si>
  <si>
    <t>Cause</t>
  </si>
  <si>
    <t>Impact (1-5)</t>
  </si>
  <si>
    <t>Probabilité (1-5)</t>
  </si>
  <si>
    <t>Score</t>
  </si>
  <si>
    <t>Réponse</t>
  </si>
  <si>
    <t>Échéance</t>
  </si>
  <si>
    <t>Tableau de bord — Digitalisation</t>
  </si>
  <si>
    <t>Indicateur</t>
  </si>
  <si>
    <t>Valeur</t>
  </si>
  <si>
    <t>Total initiatives</t>
  </si>
  <si>
    <t>% moyen d'avancement</t>
  </si>
  <si>
    <t>Initiatives en cours</t>
  </si>
  <si>
    <t>Bloquées</t>
  </si>
  <si>
    <t>Terminées</t>
  </si>
  <si>
    <t>Budget total (k€)</t>
  </si>
  <si>
    <t>Rétroplanning — de la date butoir vers aujourd’hui</t>
  </si>
  <si>
    <t>Projet</t>
  </si>
  <si>
    <t>Date butoir (Go‑Live)</t>
  </si>
  <si>
    <t>Phase</t>
  </si>
  <si>
    <t>Durée (jours)</t>
  </si>
  <si>
    <t>Dépend de</t>
  </si>
  <si>
    <t>Fin (calculée)</t>
  </si>
  <si>
    <t>Début (calculé)</t>
  </si>
  <si>
    <t>Responsable</t>
  </si>
  <si>
    <t>Cadrage &amp; business case</t>
  </si>
  <si>
    <t>Parcours clients &amp; KPI</t>
  </si>
  <si>
    <t>Conception fonctionnelle</t>
  </si>
  <si>
    <t>À faire</t>
  </si>
  <si>
    <t>Conception technique</t>
  </si>
  <si>
    <t>Dev &amp; intégrations</t>
  </si>
  <si>
    <t>Tests &amp; UAT</t>
  </si>
  <si>
    <t>Formation &amp; com'</t>
  </si>
  <si>
    <t>Déploiement pilote</t>
  </si>
  <si>
    <t>Go‑Live</t>
  </si>
  <si>
    <t>Planifié</t>
  </si>
  <si>
    <t>T0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</si>
</sst>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0.0"/>
    <numFmt numFmtId="166" formatCode=";;;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name val="Calibri"/>
    </font>
    <font>
      <b/>
      <sz val="14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BDD7EE"/>
      </patternFill>
    </fill>
  </fills>
  <borders count="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6" fontId="0" fillId="0" borderId="0" xfId="0" applyNumberFormat="1"/>
    <xf numFmtId="1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64" fontId="0" fillId="0" borderId="0" xfId="0" applyNumberFormat="1"/>
    <xf numFmtId="165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19">
    <dxf>
      <fill>
        <patternFill patternType="solid">
          <fgColor rgb="FFF8CBAD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C6E0B4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DDEBF7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E2EFD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Écarts KPI (Actuel vs Cible)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KPIs!$D$1</c:f>
              <c:strCache>
                <c:ptCount val="1"/>
                <c:pt idx="0">
                  <c:v>Actuel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KPIs!$A$2:$A$4</c:f>
              <c:strCache>
                <c:ptCount val="3"/>
                <c:pt idx="0">
                  <c:v>OEE lignes A/B</c:v>
                </c:pt>
                <c:pt idx="1">
                  <c:v>Taux de self‑care</c:v>
                </c:pt>
                <c:pt idx="2">
                  <c:v>Clôture comptable (jours)</c:v>
                </c:pt>
              </c:strCache>
            </c:strRef>
          </c:cat>
          <c:val>
            <c:numRef>
              <c:f>KPIs!$D$2:$D$4</c:f>
              <c:numCache>
                <c:formatCode>0.0</c:formatCode>
                <c:ptCount val="3"/>
                <c:pt idx="0">
                  <c:v>64</c:v>
                </c:pt>
                <c:pt idx="1">
                  <c:v>12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DA-4C12-ABD4-0268F132ED3C}"/>
            </c:ext>
          </c:extLst>
        </c:ser>
        <c:ser>
          <c:idx val="1"/>
          <c:order val="1"/>
          <c:tx>
            <c:strRef>
              <c:f>KPIs!$E$1</c:f>
              <c:strCache>
                <c:ptCount val="1"/>
                <c:pt idx="0">
                  <c:v>Écart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KPIs!$A$2:$A$4</c:f>
              <c:strCache>
                <c:ptCount val="3"/>
                <c:pt idx="0">
                  <c:v>OEE lignes A/B</c:v>
                </c:pt>
                <c:pt idx="1">
                  <c:v>Taux de self‑care</c:v>
                </c:pt>
                <c:pt idx="2">
                  <c:v>Clôture comptable (jours)</c:v>
                </c:pt>
              </c:strCache>
            </c:strRef>
          </c:cat>
          <c:val>
            <c:numRef>
              <c:f>KPIs!$E$2:$E$4</c:f>
              <c:numCache>
                <c:formatCode>General</c:formatCode>
                <c:ptCount val="3"/>
                <c:pt idx="0">
                  <c:v>-6</c:v>
                </c:pt>
                <c:pt idx="1">
                  <c:v>-18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DA-4C12-ABD4-0268F132ED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numFmt formatCode="0.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1</xdr:row>
      <xdr:rowOff>0</xdr:rowOff>
    </xdr:from>
    <xdr:ext cx="648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workbookViewId="0"/>
  </sheetViews>
  <sheetFormatPr baseColWidth="10" defaultColWidth="9.140625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</row>
    <row r="3" spans="1:6" x14ac:dyDescent="0.25">
      <c r="A3" t="s">
        <v>11</v>
      </c>
      <c r="B3" t="s">
        <v>12</v>
      </c>
      <c r="C3" t="s">
        <v>13</v>
      </c>
      <c r="D3" t="s">
        <v>14</v>
      </c>
      <c r="E3" t="s">
        <v>7</v>
      </c>
    </row>
    <row r="4" spans="1:6" x14ac:dyDescent="0.25">
      <c r="A4" t="s">
        <v>15</v>
      </c>
      <c r="B4" t="s">
        <v>16</v>
      </c>
      <c r="C4" t="s">
        <v>17</v>
      </c>
      <c r="D4" t="s">
        <v>18</v>
      </c>
      <c r="E4" t="s">
        <v>19</v>
      </c>
    </row>
    <row r="5" spans="1:6" x14ac:dyDescent="0.25">
      <c r="A5" t="s">
        <v>20</v>
      </c>
      <c r="B5" t="s">
        <v>21</v>
      </c>
      <c r="C5" t="s">
        <v>22</v>
      </c>
      <c r="D5" t="s">
        <v>23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03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8" customWidth="1"/>
    <col min="2" max="2" width="22" customWidth="1"/>
    <col min="3" max="3" width="36" customWidth="1"/>
    <col min="4" max="4" width="18" customWidth="1"/>
    <col min="5" max="5" width="10" customWidth="1"/>
    <col min="6" max="8" width="12" customWidth="1"/>
    <col min="9" max="9" width="14" customWidth="1"/>
    <col min="10" max="10" width="16" customWidth="1"/>
    <col min="11" max="11" width="14" customWidth="1"/>
    <col min="12" max="12" width="12" customWidth="1"/>
    <col min="13" max="13" width="24" customWidth="1"/>
    <col min="14" max="15" width="12" customWidth="1"/>
    <col min="16" max="16" width="28" customWidth="1"/>
  </cols>
  <sheetData>
    <row r="1" spans="1:16" ht="30" x14ac:dyDescent="0.25">
      <c r="A1" s="1" t="s">
        <v>24</v>
      </c>
      <c r="B1" s="1" t="s">
        <v>25</v>
      </c>
      <c r="C1" s="1" t="s">
        <v>26</v>
      </c>
      <c r="D1" s="1" t="s">
        <v>27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  <c r="K1" s="1" t="s">
        <v>34</v>
      </c>
      <c r="L1" s="1" t="s">
        <v>35</v>
      </c>
      <c r="M1" s="1" t="s">
        <v>36</v>
      </c>
      <c r="N1" s="1" t="s">
        <v>6</v>
      </c>
      <c r="O1" s="1" t="s">
        <v>11</v>
      </c>
      <c r="P1" s="1" t="s">
        <v>37</v>
      </c>
    </row>
    <row r="2" spans="1:16" ht="45" x14ac:dyDescent="0.25">
      <c r="A2" s="2">
        <v>101</v>
      </c>
      <c r="B2" s="2" t="s">
        <v>38</v>
      </c>
      <c r="C2" s="3" t="s">
        <v>39</v>
      </c>
      <c r="D2" s="2" t="s">
        <v>40</v>
      </c>
      <c r="E2" s="2" t="s">
        <v>41</v>
      </c>
      <c r="F2" s="8">
        <v>45935</v>
      </c>
      <c r="G2" s="8">
        <v>46011</v>
      </c>
      <c r="H2" s="2" t="s">
        <v>3</v>
      </c>
      <c r="I2" s="4">
        <v>0.45</v>
      </c>
      <c r="J2" s="2" t="s">
        <v>42</v>
      </c>
      <c r="K2" s="9">
        <v>60</v>
      </c>
      <c r="L2" s="2" t="s">
        <v>43</v>
      </c>
      <c r="M2" s="3" t="s">
        <v>44</v>
      </c>
      <c r="N2" s="2" t="s">
        <v>8</v>
      </c>
      <c r="O2" s="2" t="s">
        <v>13</v>
      </c>
      <c r="P2" s="3" t="s">
        <v>45</v>
      </c>
    </row>
    <row r="3" spans="1:16" x14ac:dyDescent="0.25">
      <c r="A3" s="2">
        <v>102</v>
      </c>
      <c r="B3" s="2" t="s">
        <v>46</v>
      </c>
      <c r="C3" s="3" t="s">
        <v>47</v>
      </c>
      <c r="D3" s="2" t="s">
        <v>48</v>
      </c>
      <c r="E3" s="2" t="s">
        <v>49</v>
      </c>
      <c r="F3" s="8">
        <v>46037</v>
      </c>
      <c r="G3" s="8">
        <v>46096</v>
      </c>
      <c r="H3" s="2" t="s">
        <v>2</v>
      </c>
      <c r="I3" s="4">
        <v>0.1</v>
      </c>
      <c r="J3" s="2" t="s">
        <v>50</v>
      </c>
      <c r="K3" s="9">
        <v>90</v>
      </c>
      <c r="L3" s="2" t="s">
        <v>51</v>
      </c>
      <c r="M3" s="3" t="s">
        <v>52</v>
      </c>
      <c r="N3" s="2" t="s">
        <v>9</v>
      </c>
      <c r="O3" s="2" t="s">
        <v>12</v>
      </c>
      <c r="P3" s="3" t="s">
        <v>53</v>
      </c>
    </row>
    <row r="4" spans="1:16" x14ac:dyDescent="0.25">
      <c r="A4" s="2">
        <v>201</v>
      </c>
      <c r="B4" s="2" t="s">
        <v>54</v>
      </c>
      <c r="C4" s="3" t="s">
        <v>55</v>
      </c>
      <c r="D4" s="2" t="s">
        <v>56</v>
      </c>
      <c r="E4" s="2" t="s">
        <v>57</v>
      </c>
      <c r="F4" s="8">
        <v>46117</v>
      </c>
      <c r="G4" s="8">
        <v>46213</v>
      </c>
      <c r="H4" s="2" t="s">
        <v>1</v>
      </c>
      <c r="I4" s="4">
        <v>0</v>
      </c>
      <c r="J4" s="2" t="s">
        <v>58</v>
      </c>
      <c r="K4" s="9">
        <v>140</v>
      </c>
      <c r="L4" s="2" t="s">
        <v>51</v>
      </c>
      <c r="M4" s="3" t="s">
        <v>59</v>
      </c>
      <c r="N4" s="2" t="s">
        <v>8</v>
      </c>
      <c r="O4" s="2" t="s">
        <v>14</v>
      </c>
      <c r="P4" s="3" t="s">
        <v>60</v>
      </c>
    </row>
    <row r="5" spans="1:16" x14ac:dyDescent="0.25">
      <c r="A5" s="2">
        <v>202</v>
      </c>
      <c r="B5" s="2" t="s">
        <v>54</v>
      </c>
      <c r="C5" s="3" t="s">
        <v>61</v>
      </c>
      <c r="D5" s="2" t="s">
        <v>62</v>
      </c>
      <c r="E5" s="2" t="s">
        <v>49</v>
      </c>
      <c r="F5" s="8">
        <v>46054</v>
      </c>
      <c r="G5" s="8">
        <v>46142</v>
      </c>
      <c r="H5" s="2" t="s">
        <v>3</v>
      </c>
      <c r="I5" s="4">
        <v>0.25</v>
      </c>
      <c r="J5" s="2" t="s">
        <v>58</v>
      </c>
      <c r="K5" s="9">
        <v>110</v>
      </c>
      <c r="L5" s="2" t="s">
        <v>51</v>
      </c>
      <c r="M5" s="3" t="s">
        <v>63</v>
      </c>
      <c r="N5" s="2" t="s">
        <v>7</v>
      </c>
      <c r="O5" s="2" t="s">
        <v>13</v>
      </c>
      <c r="P5" s="3" t="s">
        <v>64</v>
      </c>
    </row>
    <row r="6" spans="1:16" ht="30" x14ac:dyDescent="0.25">
      <c r="A6" s="2">
        <v>301</v>
      </c>
      <c r="B6" s="2" t="s">
        <v>65</v>
      </c>
      <c r="C6" s="3" t="s">
        <v>66</v>
      </c>
      <c r="D6" s="2" t="s">
        <v>67</v>
      </c>
      <c r="E6" s="2" t="s">
        <v>57</v>
      </c>
      <c r="F6" s="8">
        <v>46143</v>
      </c>
      <c r="G6" s="8">
        <v>46265</v>
      </c>
      <c r="H6" s="2" t="s">
        <v>1</v>
      </c>
      <c r="I6" s="4">
        <v>0</v>
      </c>
      <c r="J6" s="2"/>
      <c r="K6" s="9">
        <v>130</v>
      </c>
      <c r="L6" s="2" t="s">
        <v>51</v>
      </c>
      <c r="M6" s="3" t="s">
        <v>68</v>
      </c>
      <c r="N6" s="2" t="s">
        <v>8</v>
      </c>
      <c r="O6" s="2" t="s">
        <v>13</v>
      </c>
      <c r="P6" s="3" t="s">
        <v>69</v>
      </c>
    </row>
    <row r="7" spans="1:16" x14ac:dyDescent="0.25">
      <c r="A7" s="2">
        <v>302</v>
      </c>
      <c r="B7" s="2" t="s">
        <v>70</v>
      </c>
      <c r="C7" s="3" t="s">
        <v>71</v>
      </c>
      <c r="D7" s="2" t="s">
        <v>72</v>
      </c>
      <c r="E7" s="2" t="s">
        <v>41</v>
      </c>
      <c r="F7" s="8">
        <v>45962</v>
      </c>
      <c r="G7" s="8">
        <v>46042</v>
      </c>
      <c r="H7" s="2" t="s">
        <v>3</v>
      </c>
      <c r="I7" s="4">
        <v>0.55000000000000004</v>
      </c>
      <c r="J7" s="2"/>
      <c r="K7" s="9">
        <v>75</v>
      </c>
      <c r="L7" s="2" t="s">
        <v>43</v>
      </c>
      <c r="M7" s="3" t="s">
        <v>73</v>
      </c>
      <c r="N7" s="2" t="s">
        <v>8</v>
      </c>
      <c r="O7" s="2" t="s">
        <v>12</v>
      </c>
      <c r="P7" s="3" t="s">
        <v>74</v>
      </c>
    </row>
    <row r="8" spans="1:16" ht="30" x14ac:dyDescent="0.25">
      <c r="A8" s="2">
        <v>401</v>
      </c>
      <c r="B8" s="2" t="s">
        <v>75</v>
      </c>
      <c r="C8" s="3" t="s">
        <v>76</v>
      </c>
      <c r="D8" s="2" t="s">
        <v>77</v>
      </c>
      <c r="E8" s="2" t="s">
        <v>49</v>
      </c>
      <c r="F8" s="8">
        <v>46027</v>
      </c>
      <c r="G8" s="8">
        <v>46203</v>
      </c>
      <c r="H8" s="2" t="s">
        <v>2</v>
      </c>
      <c r="I8" s="4">
        <v>0.15</v>
      </c>
      <c r="J8" s="2" t="s">
        <v>50</v>
      </c>
      <c r="K8" s="9">
        <v>220</v>
      </c>
      <c r="L8" s="2" t="s">
        <v>51</v>
      </c>
      <c r="M8" s="3" t="s">
        <v>78</v>
      </c>
      <c r="N8" s="2" t="s">
        <v>8</v>
      </c>
      <c r="O8" s="2" t="s">
        <v>14</v>
      </c>
      <c r="P8" s="3" t="s">
        <v>79</v>
      </c>
    </row>
    <row r="9" spans="1:16" x14ac:dyDescent="0.25">
      <c r="A9" s="2">
        <v>402</v>
      </c>
      <c r="B9" s="2" t="s">
        <v>75</v>
      </c>
      <c r="C9" s="3" t="s">
        <v>80</v>
      </c>
      <c r="D9" s="2" t="s">
        <v>81</v>
      </c>
      <c r="E9" s="2" t="s">
        <v>49</v>
      </c>
      <c r="F9" s="8">
        <v>46068</v>
      </c>
      <c r="G9" s="8">
        <v>46127</v>
      </c>
      <c r="H9" s="2" t="s">
        <v>3</v>
      </c>
      <c r="I9" s="4">
        <v>0.3</v>
      </c>
      <c r="J9" s="2" t="s">
        <v>82</v>
      </c>
      <c r="K9" s="9">
        <v>45</v>
      </c>
      <c r="L9" s="2" t="s">
        <v>43</v>
      </c>
      <c r="M9" s="3" t="s">
        <v>83</v>
      </c>
      <c r="N9" s="2" t="s">
        <v>9</v>
      </c>
      <c r="O9" s="2" t="s">
        <v>13</v>
      </c>
      <c r="P9" s="3" t="s">
        <v>84</v>
      </c>
    </row>
    <row r="10" spans="1:16" ht="30" x14ac:dyDescent="0.25">
      <c r="A10" s="2">
        <v>501</v>
      </c>
      <c r="B10" s="2" t="s">
        <v>85</v>
      </c>
      <c r="C10" s="3" t="s">
        <v>86</v>
      </c>
      <c r="D10" s="2" t="s">
        <v>87</v>
      </c>
      <c r="E10" s="2" t="s">
        <v>41</v>
      </c>
      <c r="F10" s="8">
        <v>45940</v>
      </c>
      <c r="G10" s="8">
        <v>46053</v>
      </c>
      <c r="H10" s="2" t="s">
        <v>3</v>
      </c>
      <c r="I10" s="4">
        <v>0.6</v>
      </c>
      <c r="J10" s="2"/>
      <c r="K10" s="9">
        <v>95</v>
      </c>
      <c r="L10" s="2" t="s">
        <v>43</v>
      </c>
      <c r="M10" s="3" t="s">
        <v>88</v>
      </c>
      <c r="N10" s="2" t="s">
        <v>7</v>
      </c>
      <c r="O10" s="2" t="s">
        <v>13</v>
      </c>
      <c r="P10" s="3" t="s">
        <v>89</v>
      </c>
    </row>
    <row r="11" spans="1:16" ht="30" x14ac:dyDescent="0.25">
      <c r="A11" s="2">
        <v>502</v>
      </c>
      <c r="B11" s="2" t="s">
        <v>90</v>
      </c>
      <c r="C11" s="3" t="s">
        <v>91</v>
      </c>
      <c r="D11" s="2" t="s">
        <v>92</v>
      </c>
      <c r="E11" s="2" t="s">
        <v>41</v>
      </c>
      <c r="F11" s="8">
        <v>45931</v>
      </c>
      <c r="G11" s="8">
        <v>46022</v>
      </c>
      <c r="H11" s="2" t="s">
        <v>5</v>
      </c>
      <c r="I11" s="4">
        <v>1</v>
      </c>
      <c r="J11" s="2"/>
      <c r="K11" s="9">
        <v>30</v>
      </c>
      <c r="L11" s="2" t="s">
        <v>43</v>
      </c>
      <c r="M11" s="3" t="s">
        <v>93</v>
      </c>
      <c r="N11" s="2" t="s">
        <v>9</v>
      </c>
      <c r="O11" s="2" t="s">
        <v>12</v>
      </c>
      <c r="P11" s="3" t="s">
        <v>94</v>
      </c>
    </row>
    <row r="12" spans="1:16" ht="30" x14ac:dyDescent="0.25">
      <c r="A12" s="2">
        <v>601</v>
      </c>
      <c r="B12" s="2" t="s">
        <v>95</v>
      </c>
      <c r="C12" s="3" t="s">
        <v>96</v>
      </c>
      <c r="D12" s="2" t="s">
        <v>97</v>
      </c>
      <c r="E12" s="2" t="s">
        <v>49</v>
      </c>
      <c r="F12" s="8">
        <v>46042</v>
      </c>
      <c r="G12" s="8">
        <v>46162</v>
      </c>
      <c r="H12" s="2" t="s">
        <v>3</v>
      </c>
      <c r="I12" s="4">
        <v>0.2</v>
      </c>
      <c r="J12" s="2"/>
      <c r="K12" s="9">
        <v>55</v>
      </c>
      <c r="L12" s="2" t="s">
        <v>43</v>
      </c>
      <c r="M12" s="3" t="s">
        <v>98</v>
      </c>
      <c r="N12" s="2" t="s">
        <v>9</v>
      </c>
      <c r="O12" s="2" t="s">
        <v>13</v>
      </c>
      <c r="P12" s="3" t="s">
        <v>99</v>
      </c>
    </row>
    <row r="13" spans="1:16" ht="30" x14ac:dyDescent="0.25">
      <c r="A13" s="2">
        <v>602</v>
      </c>
      <c r="B13" s="2" t="s">
        <v>95</v>
      </c>
      <c r="C13" s="3" t="s">
        <v>100</v>
      </c>
      <c r="D13" s="2" t="s">
        <v>101</v>
      </c>
      <c r="E13" s="2" t="s">
        <v>41</v>
      </c>
      <c r="F13" s="8">
        <v>45935</v>
      </c>
      <c r="G13" s="8">
        <v>46068</v>
      </c>
      <c r="H13" s="2" t="s">
        <v>3</v>
      </c>
      <c r="I13" s="4">
        <v>0.4</v>
      </c>
      <c r="J13" s="2" t="s">
        <v>102</v>
      </c>
      <c r="K13" s="9">
        <v>25</v>
      </c>
      <c r="L13" s="2" t="s">
        <v>43</v>
      </c>
      <c r="M13" s="3" t="s">
        <v>103</v>
      </c>
      <c r="N13" s="2" t="s">
        <v>8</v>
      </c>
      <c r="O13" s="2" t="s">
        <v>12</v>
      </c>
      <c r="P13" s="3" t="s">
        <v>104</v>
      </c>
    </row>
    <row r="14" spans="1:16" x14ac:dyDescent="0.25">
      <c r="A14" s="2">
        <v>701</v>
      </c>
      <c r="B14" s="2" t="s">
        <v>105</v>
      </c>
      <c r="C14" s="3" t="s">
        <v>106</v>
      </c>
      <c r="D14" s="2" t="s">
        <v>107</v>
      </c>
      <c r="E14" s="2" t="s">
        <v>49</v>
      </c>
      <c r="F14" s="8">
        <v>46063</v>
      </c>
      <c r="G14" s="8">
        <v>46173</v>
      </c>
      <c r="H14" s="2" t="s">
        <v>2</v>
      </c>
      <c r="I14" s="4">
        <v>0.1</v>
      </c>
      <c r="J14" s="2"/>
      <c r="K14" s="9">
        <v>80</v>
      </c>
      <c r="L14" s="2" t="s">
        <v>51</v>
      </c>
      <c r="M14" s="3" t="s">
        <v>108</v>
      </c>
      <c r="N14" s="2" t="s">
        <v>9</v>
      </c>
      <c r="O14" s="2" t="s">
        <v>13</v>
      </c>
      <c r="P14" s="3" t="s">
        <v>109</v>
      </c>
    </row>
    <row r="15" spans="1:16" ht="30" x14ac:dyDescent="0.25">
      <c r="A15" s="2">
        <v>801</v>
      </c>
      <c r="B15" s="2" t="s">
        <v>110</v>
      </c>
      <c r="C15" s="3" t="s">
        <v>111</v>
      </c>
      <c r="D15" s="2" t="s">
        <v>112</v>
      </c>
      <c r="E15" s="2" t="s">
        <v>57</v>
      </c>
      <c r="F15" s="8">
        <v>46122</v>
      </c>
      <c r="G15" s="8">
        <v>46295</v>
      </c>
      <c r="H15" s="2" t="s">
        <v>1</v>
      </c>
      <c r="I15" s="4">
        <v>0</v>
      </c>
      <c r="J15" s="2" t="s">
        <v>113</v>
      </c>
      <c r="K15" s="9">
        <v>160</v>
      </c>
      <c r="L15" s="2" t="s">
        <v>51</v>
      </c>
      <c r="M15" s="3" t="s">
        <v>114</v>
      </c>
      <c r="N15" s="2" t="s">
        <v>8</v>
      </c>
      <c r="O15" s="2" t="s">
        <v>14</v>
      </c>
      <c r="P15" s="3" t="s">
        <v>115</v>
      </c>
    </row>
    <row r="16" spans="1:16" ht="30" x14ac:dyDescent="0.25">
      <c r="A16" s="2">
        <v>901</v>
      </c>
      <c r="B16" s="2" t="s">
        <v>116</v>
      </c>
      <c r="C16" s="3" t="s">
        <v>117</v>
      </c>
      <c r="D16" s="2" t="s">
        <v>118</v>
      </c>
      <c r="E16" s="2" t="s">
        <v>41</v>
      </c>
      <c r="F16" s="8">
        <v>45942</v>
      </c>
      <c r="G16" s="8">
        <v>46013</v>
      </c>
      <c r="H16" s="2" t="s">
        <v>3</v>
      </c>
      <c r="I16" s="4">
        <v>0.5</v>
      </c>
      <c r="J16" s="2"/>
      <c r="K16" s="9">
        <v>20</v>
      </c>
      <c r="L16" s="2" t="s">
        <v>43</v>
      </c>
      <c r="M16" s="3" t="s">
        <v>119</v>
      </c>
      <c r="N16" s="2" t="s">
        <v>8</v>
      </c>
      <c r="O16" s="2" t="s">
        <v>13</v>
      </c>
      <c r="P16" s="3" t="s">
        <v>120</v>
      </c>
    </row>
    <row r="17" spans="1:16" x14ac:dyDescent="0.25">
      <c r="A17" s="2"/>
      <c r="B17" s="2"/>
      <c r="C17" s="3"/>
      <c r="D17" s="2"/>
      <c r="E17" s="2"/>
      <c r="F17" s="8"/>
      <c r="G17" s="8"/>
      <c r="H17" s="2"/>
      <c r="I17" s="4"/>
      <c r="J17" s="2"/>
      <c r="K17" s="9"/>
      <c r="L17" s="2"/>
      <c r="M17" s="3"/>
      <c r="N17" s="2"/>
      <c r="O17" s="2"/>
      <c r="P17" s="3"/>
    </row>
    <row r="18" spans="1:16" x14ac:dyDescent="0.25">
      <c r="A18" s="2"/>
      <c r="B18" s="2"/>
      <c r="C18" s="3"/>
      <c r="D18" s="2"/>
      <c r="E18" s="2"/>
      <c r="F18" s="8"/>
      <c r="G18" s="8"/>
      <c r="H18" s="2"/>
      <c r="I18" s="4"/>
      <c r="J18" s="2"/>
      <c r="K18" s="9"/>
      <c r="L18" s="2"/>
      <c r="M18" s="3"/>
      <c r="N18" s="2"/>
      <c r="O18" s="2"/>
      <c r="P18" s="3"/>
    </row>
    <row r="19" spans="1:16" x14ac:dyDescent="0.25">
      <c r="A19" s="2"/>
      <c r="B19" s="2"/>
      <c r="C19" s="3"/>
      <c r="D19" s="2"/>
      <c r="E19" s="2"/>
      <c r="F19" s="8"/>
      <c r="G19" s="8"/>
      <c r="H19" s="2"/>
      <c r="I19" s="4"/>
      <c r="J19" s="2"/>
      <c r="K19" s="9"/>
      <c r="L19" s="2"/>
      <c r="M19" s="3"/>
      <c r="N19" s="2"/>
      <c r="O19" s="2"/>
      <c r="P19" s="3"/>
    </row>
    <row r="20" spans="1:16" x14ac:dyDescent="0.25">
      <c r="A20" s="2"/>
      <c r="B20" s="2"/>
      <c r="C20" s="3"/>
      <c r="D20" s="2"/>
      <c r="E20" s="2"/>
      <c r="F20" s="8"/>
      <c r="G20" s="8"/>
      <c r="H20" s="2"/>
      <c r="I20" s="4"/>
      <c r="J20" s="2"/>
      <c r="K20" s="9"/>
      <c r="L20" s="2"/>
      <c r="M20" s="3"/>
      <c r="N20" s="2"/>
      <c r="O20" s="2"/>
      <c r="P20" s="3"/>
    </row>
    <row r="21" spans="1:16" x14ac:dyDescent="0.25">
      <c r="A21" s="2"/>
      <c r="B21" s="2"/>
      <c r="C21" s="3"/>
      <c r="D21" s="2"/>
      <c r="E21" s="2"/>
      <c r="F21" s="8"/>
      <c r="G21" s="8"/>
      <c r="H21" s="2"/>
      <c r="I21" s="4"/>
      <c r="J21" s="2"/>
      <c r="K21" s="9"/>
      <c r="L21" s="2"/>
      <c r="M21" s="3"/>
      <c r="N21" s="2"/>
      <c r="O21" s="2"/>
      <c r="P21" s="3"/>
    </row>
    <row r="22" spans="1:16" x14ac:dyDescent="0.25">
      <c r="A22" s="2"/>
      <c r="B22" s="2"/>
      <c r="C22" s="3"/>
      <c r="D22" s="2"/>
      <c r="E22" s="2"/>
      <c r="F22" s="8"/>
      <c r="G22" s="8"/>
      <c r="H22" s="2"/>
      <c r="I22" s="4"/>
      <c r="J22" s="2"/>
      <c r="K22" s="9"/>
      <c r="L22" s="2"/>
      <c r="M22" s="3"/>
      <c r="N22" s="2"/>
      <c r="O22" s="2"/>
      <c r="P22" s="3"/>
    </row>
    <row r="23" spans="1:16" x14ac:dyDescent="0.25">
      <c r="A23" s="2"/>
      <c r="B23" s="2"/>
      <c r="C23" s="3"/>
      <c r="D23" s="2"/>
      <c r="E23" s="2"/>
      <c r="F23" s="8"/>
      <c r="G23" s="8"/>
      <c r="H23" s="2"/>
      <c r="I23" s="4"/>
      <c r="J23" s="2"/>
      <c r="K23" s="9"/>
      <c r="L23" s="2"/>
      <c r="M23" s="3"/>
      <c r="N23" s="2"/>
      <c r="O23" s="2"/>
      <c r="P23" s="3"/>
    </row>
    <row r="24" spans="1:16" x14ac:dyDescent="0.25">
      <c r="A24" s="2"/>
      <c r="B24" s="2"/>
      <c r="C24" s="3"/>
      <c r="D24" s="2"/>
      <c r="E24" s="2"/>
      <c r="F24" s="8"/>
      <c r="G24" s="8"/>
      <c r="H24" s="2"/>
      <c r="I24" s="4"/>
      <c r="J24" s="2"/>
      <c r="K24" s="9"/>
      <c r="L24" s="2"/>
      <c r="M24" s="3"/>
      <c r="N24" s="2"/>
      <c r="O24" s="2"/>
      <c r="P24" s="3"/>
    </row>
    <row r="25" spans="1:16" x14ac:dyDescent="0.25">
      <c r="A25" s="2"/>
      <c r="B25" s="2"/>
      <c r="C25" s="3"/>
      <c r="D25" s="2"/>
      <c r="E25" s="2"/>
      <c r="F25" s="8"/>
      <c r="G25" s="8"/>
      <c r="H25" s="2"/>
      <c r="I25" s="4"/>
      <c r="J25" s="2"/>
      <c r="K25" s="9"/>
      <c r="L25" s="2"/>
      <c r="M25" s="3"/>
      <c r="N25" s="2"/>
      <c r="O25" s="2"/>
      <c r="P25" s="3"/>
    </row>
    <row r="26" spans="1:16" x14ac:dyDescent="0.25">
      <c r="A26" s="2"/>
      <c r="B26" s="2"/>
      <c r="C26" s="3"/>
      <c r="D26" s="2"/>
      <c r="E26" s="2"/>
      <c r="F26" s="8"/>
      <c r="G26" s="8"/>
      <c r="H26" s="2"/>
      <c r="I26" s="4"/>
      <c r="J26" s="2"/>
      <c r="K26" s="9"/>
      <c r="L26" s="2"/>
      <c r="M26" s="3"/>
      <c r="N26" s="2"/>
      <c r="O26" s="2"/>
      <c r="P26" s="3"/>
    </row>
    <row r="27" spans="1:16" x14ac:dyDescent="0.25">
      <c r="A27" s="2"/>
      <c r="B27" s="2"/>
      <c r="C27" s="3"/>
      <c r="D27" s="2"/>
      <c r="E27" s="2"/>
      <c r="F27" s="8"/>
      <c r="G27" s="8"/>
      <c r="H27" s="2"/>
      <c r="I27" s="4"/>
      <c r="J27" s="2"/>
      <c r="K27" s="9"/>
      <c r="L27" s="2"/>
      <c r="M27" s="3"/>
      <c r="N27" s="2"/>
      <c r="O27" s="2"/>
      <c r="P27" s="3"/>
    </row>
    <row r="28" spans="1:16" x14ac:dyDescent="0.25">
      <c r="A28" s="2"/>
      <c r="B28" s="2"/>
      <c r="C28" s="3"/>
      <c r="D28" s="2"/>
      <c r="E28" s="2"/>
      <c r="F28" s="8"/>
      <c r="G28" s="8"/>
      <c r="H28" s="2"/>
      <c r="I28" s="4"/>
      <c r="J28" s="2"/>
      <c r="K28" s="9"/>
      <c r="L28" s="2"/>
      <c r="M28" s="3"/>
      <c r="N28" s="2"/>
      <c r="O28" s="2"/>
      <c r="P28" s="3"/>
    </row>
    <row r="29" spans="1:16" x14ac:dyDescent="0.25">
      <c r="A29" s="2"/>
      <c r="B29" s="2"/>
      <c r="C29" s="3"/>
      <c r="D29" s="2"/>
      <c r="E29" s="2"/>
      <c r="F29" s="8"/>
      <c r="G29" s="8"/>
      <c r="H29" s="2"/>
      <c r="I29" s="4"/>
      <c r="J29" s="2"/>
      <c r="K29" s="9"/>
      <c r="L29" s="2"/>
      <c r="M29" s="3"/>
      <c r="N29" s="2"/>
      <c r="O29" s="2"/>
      <c r="P29" s="3"/>
    </row>
    <row r="30" spans="1:16" x14ac:dyDescent="0.25">
      <c r="A30" s="2"/>
      <c r="B30" s="2"/>
      <c r="C30" s="3"/>
      <c r="D30" s="2"/>
      <c r="E30" s="2"/>
      <c r="F30" s="8"/>
      <c r="G30" s="8"/>
      <c r="H30" s="2"/>
      <c r="I30" s="4"/>
      <c r="J30" s="2"/>
      <c r="K30" s="9"/>
      <c r="L30" s="2"/>
      <c r="M30" s="3"/>
      <c r="N30" s="2"/>
      <c r="O30" s="2"/>
      <c r="P30" s="3"/>
    </row>
    <row r="31" spans="1:16" x14ac:dyDescent="0.25">
      <c r="A31" s="2"/>
      <c r="B31" s="2"/>
      <c r="C31" s="3"/>
      <c r="D31" s="2"/>
      <c r="E31" s="2"/>
      <c r="F31" s="8"/>
      <c r="G31" s="8"/>
      <c r="H31" s="2"/>
      <c r="I31" s="4"/>
      <c r="J31" s="2"/>
      <c r="K31" s="9"/>
      <c r="L31" s="2"/>
      <c r="M31" s="3"/>
      <c r="N31" s="2"/>
      <c r="O31" s="2"/>
      <c r="P31" s="3"/>
    </row>
    <row r="32" spans="1:16" x14ac:dyDescent="0.25">
      <c r="A32" s="2"/>
      <c r="B32" s="2"/>
      <c r="C32" s="3"/>
      <c r="D32" s="2"/>
      <c r="E32" s="2"/>
      <c r="F32" s="8"/>
      <c r="G32" s="8"/>
      <c r="H32" s="2"/>
      <c r="I32" s="4"/>
      <c r="J32" s="2"/>
      <c r="K32" s="9"/>
      <c r="L32" s="2"/>
      <c r="M32" s="3"/>
      <c r="N32" s="2"/>
      <c r="O32" s="2"/>
      <c r="P32" s="3"/>
    </row>
    <row r="33" spans="1:16" x14ac:dyDescent="0.25">
      <c r="A33" s="2"/>
      <c r="B33" s="2"/>
      <c r="C33" s="3"/>
      <c r="D33" s="2"/>
      <c r="E33" s="2"/>
      <c r="F33" s="8"/>
      <c r="G33" s="8"/>
      <c r="H33" s="2"/>
      <c r="I33" s="4"/>
      <c r="J33" s="2"/>
      <c r="K33" s="9"/>
      <c r="L33" s="2"/>
      <c r="M33" s="3"/>
      <c r="N33" s="2"/>
      <c r="O33" s="2"/>
      <c r="P33" s="3"/>
    </row>
    <row r="34" spans="1:16" x14ac:dyDescent="0.25">
      <c r="A34" s="2"/>
      <c r="B34" s="2"/>
      <c r="C34" s="3"/>
      <c r="D34" s="2"/>
      <c r="E34" s="2"/>
      <c r="F34" s="8"/>
      <c r="G34" s="8"/>
      <c r="H34" s="2"/>
      <c r="I34" s="4"/>
      <c r="J34" s="2"/>
      <c r="K34" s="9"/>
      <c r="L34" s="2"/>
      <c r="M34" s="3"/>
      <c r="N34" s="2"/>
      <c r="O34" s="2"/>
      <c r="P34" s="3"/>
    </row>
    <row r="35" spans="1:16" x14ac:dyDescent="0.25">
      <c r="A35" s="2"/>
      <c r="B35" s="2"/>
      <c r="C35" s="3"/>
      <c r="D35" s="2"/>
      <c r="E35" s="2"/>
      <c r="F35" s="8"/>
      <c r="G35" s="8"/>
      <c r="H35" s="2"/>
      <c r="I35" s="4"/>
      <c r="J35" s="2"/>
      <c r="K35" s="9"/>
      <c r="L35" s="2"/>
      <c r="M35" s="3"/>
      <c r="N35" s="2"/>
      <c r="O35" s="2"/>
      <c r="P35" s="3"/>
    </row>
    <row r="36" spans="1:16" x14ac:dyDescent="0.25">
      <c r="A36" s="2"/>
      <c r="B36" s="2"/>
      <c r="C36" s="3"/>
      <c r="D36" s="2"/>
      <c r="E36" s="2"/>
      <c r="F36" s="8"/>
      <c r="G36" s="8"/>
      <c r="H36" s="2"/>
      <c r="I36" s="4"/>
      <c r="J36" s="2"/>
      <c r="K36" s="9"/>
      <c r="L36" s="2"/>
      <c r="M36" s="3"/>
      <c r="N36" s="2"/>
      <c r="O36" s="2"/>
      <c r="P36" s="3"/>
    </row>
    <row r="37" spans="1:16" x14ac:dyDescent="0.25">
      <c r="A37" s="2"/>
      <c r="B37" s="2"/>
      <c r="C37" s="3"/>
      <c r="D37" s="2"/>
      <c r="E37" s="2"/>
      <c r="F37" s="8"/>
      <c r="G37" s="8"/>
      <c r="H37" s="2"/>
      <c r="I37" s="4"/>
      <c r="J37" s="2"/>
      <c r="K37" s="9"/>
      <c r="L37" s="2"/>
      <c r="M37" s="3"/>
      <c r="N37" s="2"/>
      <c r="O37" s="2"/>
      <c r="P37" s="3"/>
    </row>
    <row r="38" spans="1:16" x14ac:dyDescent="0.25">
      <c r="A38" s="2"/>
      <c r="B38" s="2"/>
      <c r="C38" s="3"/>
      <c r="D38" s="2"/>
      <c r="E38" s="2"/>
      <c r="F38" s="8"/>
      <c r="G38" s="8"/>
      <c r="H38" s="2"/>
      <c r="I38" s="4"/>
      <c r="J38" s="2"/>
      <c r="K38" s="9"/>
      <c r="L38" s="2"/>
      <c r="M38" s="3"/>
      <c r="N38" s="2"/>
      <c r="O38" s="2"/>
      <c r="P38" s="3"/>
    </row>
    <row r="39" spans="1:16" x14ac:dyDescent="0.25">
      <c r="A39" s="2"/>
      <c r="B39" s="2"/>
      <c r="C39" s="3"/>
      <c r="D39" s="2"/>
      <c r="E39" s="2"/>
      <c r="F39" s="8"/>
      <c r="G39" s="8"/>
      <c r="H39" s="2"/>
      <c r="I39" s="4"/>
      <c r="J39" s="2"/>
      <c r="K39" s="9"/>
      <c r="L39" s="2"/>
      <c r="M39" s="3"/>
      <c r="N39" s="2"/>
      <c r="O39" s="2"/>
      <c r="P39" s="3"/>
    </row>
    <row r="40" spans="1:16" x14ac:dyDescent="0.25">
      <c r="A40" s="2"/>
      <c r="B40" s="2"/>
      <c r="C40" s="3"/>
      <c r="D40" s="2"/>
      <c r="E40" s="2"/>
      <c r="F40" s="8"/>
      <c r="G40" s="8"/>
      <c r="H40" s="2"/>
      <c r="I40" s="4"/>
      <c r="J40" s="2"/>
      <c r="K40" s="9"/>
      <c r="L40" s="2"/>
      <c r="M40" s="3"/>
      <c r="N40" s="2"/>
      <c r="O40" s="2"/>
      <c r="P40" s="3"/>
    </row>
    <row r="41" spans="1:16" x14ac:dyDescent="0.25">
      <c r="A41" s="2"/>
      <c r="B41" s="2"/>
      <c r="C41" s="3"/>
      <c r="D41" s="2"/>
      <c r="E41" s="2"/>
      <c r="F41" s="8"/>
      <c r="G41" s="8"/>
      <c r="H41" s="2"/>
      <c r="I41" s="4"/>
      <c r="J41" s="2"/>
      <c r="K41" s="9"/>
      <c r="L41" s="2"/>
      <c r="M41" s="3"/>
      <c r="N41" s="2"/>
      <c r="O41" s="2"/>
      <c r="P41" s="3"/>
    </row>
    <row r="42" spans="1:16" x14ac:dyDescent="0.25">
      <c r="A42" s="2"/>
      <c r="B42" s="2"/>
      <c r="C42" s="3"/>
      <c r="D42" s="2"/>
      <c r="E42" s="2"/>
      <c r="F42" s="8"/>
      <c r="G42" s="8"/>
      <c r="H42" s="2"/>
      <c r="I42" s="4"/>
      <c r="J42" s="2"/>
      <c r="K42" s="9"/>
      <c r="L42" s="2"/>
      <c r="M42" s="3"/>
      <c r="N42" s="2"/>
      <c r="O42" s="2"/>
      <c r="P42" s="3"/>
    </row>
    <row r="43" spans="1:16" x14ac:dyDescent="0.25">
      <c r="A43" s="2"/>
      <c r="B43" s="2"/>
      <c r="C43" s="3"/>
      <c r="D43" s="2"/>
      <c r="E43" s="2"/>
      <c r="F43" s="8"/>
      <c r="G43" s="8"/>
      <c r="H43" s="2"/>
      <c r="I43" s="4"/>
      <c r="J43" s="2"/>
      <c r="K43" s="9"/>
      <c r="L43" s="2"/>
      <c r="M43" s="3"/>
      <c r="N43" s="2"/>
      <c r="O43" s="2"/>
      <c r="P43" s="3"/>
    </row>
    <row r="44" spans="1:16" x14ac:dyDescent="0.25">
      <c r="A44" s="2"/>
      <c r="B44" s="2"/>
      <c r="C44" s="3"/>
      <c r="D44" s="2"/>
      <c r="E44" s="2"/>
      <c r="F44" s="8"/>
      <c r="G44" s="8"/>
      <c r="H44" s="2"/>
      <c r="I44" s="4"/>
      <c r="J44" s="2"/>
      <c r="K44" s="9"/>
      <c r="L44" s="2"/>
      <c r="M44" s="3"/>
      <c r="N44" s="2"/>
      <c r="O44" s="2"/>
      <c r="P44" s="3"/>
    </row>
    <row r="45" spans="1:16" x14ac:dyDescent="0.25">
      <c r="A45" s="2"/>
      <c r="B45" s="2"/>
      <c r="C45" s="3"/>
      <c r="D45" s="2"/>
      <c r="E45" s="2"/>
      <c r="F45" s="8"/>
      <c r="G45" s="8"/>
      <c r="H45" s="2"/>
      <c r="I45" s="4"/>
      <c r="J45" s="2"/>
      <c r="K45" s="9"/>
      <c r="L45" s="2"/>
      <c r="M45" s="3"/>
      <c r="N45" s="2"/>
      <c r="O45" s="2"/>
      <c r="P45" s="3"/>
    </row>
    <row r="46" spans="1:16" x14ac:dyDescent="0.25">
      <c r="A46" s="2"/>
      <c r="B46" s="2"/>
      <c r="C46" s="3"/>
      <c r="D46" s="2"/>
      <c r="E46" s="2"/>
      <c r="F46" s="8"/>
      <c r="G46" s="8"/>
      <c r="H46" s="2"/>
      <c r="I46" s="4"/>
      <c r="J46" s="2"/>
      <c r="K46" s="9"/>
      <c r="L46" s="2"/>
      <c r="M46" s="3"/>
      <c r="N46" s="2"/>
      <c r="O46" s="2"/>
      <c r="P46" s="3"/>
    </row>
    <row r="47" spans="1:16" x14ac:dyDescent="0.25">
      <c r="A47" s="2"/>
      <c r="B47" s="2"/>
      <c r="C47" s="3"/>
      <c r="D47" s="2"/>
      <c r="E47" s="2"/>
      <c r="F47" s="8"/>
      <c r="G47" s="8"/>
      <c r="H47" s="2"/>
      <c r="I47" s="4"/>
      <c r="J47" s="2"/>
      <c r="K47" s="9"/>
      <c r="L47" s="2"/>
      <c r="M47" s="3"/>
      <c r="N47" s="2"/>
      <c r="O47" s="2"/>
      <c r="P47" s="3"/>
    </row>
    <row r="48" spans="1:16" x14ac:dyDescent="0.25">
      <c r="A48" s="2"/>
      <c r="B48" s="2"/>
      <c r="C48" s="3"/>
      <c r="D48" s="2"/>
      <c r="E48" s="2"/>
      <c r="F48" s="8"/>
      <c r="G48" s="8"/>
      <c r="H48" s="2"/>
      <c r="I48" s="4"/>
      <c r="J48" s="2"/>
      <c r="K48" s="9"/>
      <c r="L48" s="2"/>
      <c r="M48" s="3"/>
      <c r="N48" s="2"/>
      <c r="O48" s="2"/>
      <c r="P48" s="3"/>
    </row>
    <row r="49" spans="1:16" x14ac:dyDescent="0.25">
      <c r="A49" s="2"/>
      <c r="B49" s="2"/>
      <c r="C49" s="3"/>
      <c r="D49" s="2"/>
      <c r="E49" s="2"/>
      <c r="F49" s="8"/>
      <c r="G49" s="8"/>
      <c r="H49" s="2"/>
      <c r="I49" s="4"/>
      <c r="J49" s="2"/>
      <c r="K49" s="9"/>
      <c r="L49" s="2"/>
      <c r="M49" s="3"/>
      <c r="N49" s="2"/>
      <c r="O49" s="2"/>
      <c r="P49" s="3"/>
    </row>
    <row r="50" spans="1:16" x14ac:dyDescent="0.25">
      <c r="A50" s="2"/>
      <c r="B50" s="2"/>
      <c r="C50" s="3"/>
      <c r="D50" s="2"/>
      <c r="E50" s="2"/>
      <c r="F50" s="8"/>
      <c r="G50" s="8"/>
      <c r="H50" s="2"/>
      <c r="I50" s="4"/>
      <c r="J50" s="2"/>
      <c r="K50" s="9"/>
      <c r="L50" s="2"/>
      <c r="M50" s="3"/>
      <c r="N50" s="2"/>
      <c r="O50" s="2"/>
      <c r="P50" s="3"/>
    </row>
    <row r="51" spans="1:16" x14ac:dyDescent="0.25">
      <c r="A51" s="2"/>
      <c r="B51" s="2"/>
      <c r="C51" s="3"/>
      <c r="D51" s="2"/>
      <c r="E51" s="2"/>
      <c r="F51" s="8"/>
      <c r="G51" s="8"/>
      <c r="H51" s="2"/>
      <c r="I51" s="4"/>
      <c r="J51" s="2"/>
      <c r="K51" s="9"/>
      <c r="L51" s="2"/>
      <c r="M51" s="3"/>
      <c r="N51" s="2"/>
      <c r="O51" s="2"/>
      <c r="P51" s="3"/>
    </row>
    <row r="52" spans="1:16" x14ac:dyDescent="0.25">
      <c r="A52" s="2"/>
      <c r="B52" s="2"/>
      <c r="C52" s="3"/>
      <c r="D52" s="2"/>
      <c r="E52" s="2"/>
      <c r="F52" s="8"/>
      <c r="G52" s="8"/>
      <c r="H52" s="2"/>
      <c r="I52" s="4"/>
      <c r="J52" s="2"/>
      <c r="K52" s="9"/>
      <c r="L52" s="2"/>
      <c r="M52" s="3"/>
      <c r="N52" s="2"/>
      <c r="O52" s="2"/>
      <c r="P52" s="3"/>
    </row>
    <row r="53" spans="1:16" x14ac:dyDescent="0.25">
      <c r="A53" s="2"/>
      <c r="B53" s="2"/>
      <c r="C53" s="3"/>
      <c r="D53" s="2"/>
      <c r="E53" s="2"/>
      <c r="F53" s="8"/>
      <c r="G53" s="8"/>
      <c r="H53" s="2"/>
      <c r="I53" s="4"/>
      <c r="J53" s="2"/>
      <c r="K53" s="9"/>
      <c r="L53" s="2"/>
      <c r="M53" s="3"/>
      <c r="N53" s="2"/>
      <c r="O53" s="2"/>
      <c r="P53" s="3"/>
    </row>
    <row r="54" spans="1:16" x14ac:dyDescent="0.25">
      <c r="A54" s="2"/>
      <c r="B54" s="2"/>
      <c r="C54" s="3"/>
      <c r="D54" s="2"/>
      <c r="E54" s="2"/>
      <c r="F54" s="8"/>
      <c r="G54" s="8"/>
      <c r="H54" s="2"/>
      <c r="I54" s="4"/>
      <c r="J54" s="2"/>
      <c r="K54" s="9"/>
      <c r="L54" s="2"/>
      <c r="M54" s="3"/>
      <c r="N54" s="2"/>
      <c r="O54" s="2"/>
      <c r="P54" s="3"/>
    </row>
    <row r="55" spans="1:16" x14ac:dyDescent="0.25">
      <c r="A55" s="2"/>
      <c r="B55" s="2"/>
      <c r="C55" s="3"/>
      <c r="D55" s="2"/>
      <c r="E55" s="2"/>
      <c r="F55" s="8"/>
      <c r="G55" s="8"/>
      <c r="H55" s="2"/>
      <c r="I55" s="4"/>
      <c r="J55" s="2"/>
      <c r="K55" s="9"/>
      <c r="L55" s="2"/>
      <c r="M55" s="3"/>
      <c r="N55" s="2"/>
      <c r="O55" s="2"/>
      <c r="P55" s="3"/>
    </row>
    <row r="56" spans="1:16" x14ac:dyDescent="0.25">
      <c r="A56" s="2"/>
      <c r="B56" s="2"/>
      <c r="C56" s="3"/>
      <c r="D56" s="2"/>
      <c r="E56" s="2"/>
      <c r="F56" s="8"/>
      <c r="G56" s="8"/>
      <c r="H56" s="2"/>
      <c r="I56" s="4"/>
      <c r="J56" s="2"/>
      <c r="K56" s="9"/>
      <c r="L56" s="2"/>
      <c r="M56" s="3"/>
      <c r="N56" s="2"/>
      <c r="O56" s="2"/>
      <c r="P56" s="3"/>
    </row>
    <row r="57" spans="1:16" x14ac:dyDescent="0.25">
      <c r="A57" s="2"/>
      <c r="B57" s="2"/>
      <c r="C57" s="3"/>
      <c r="D57" s="2"/>
      <c r="E57" s="2"/>
      <c r="F57" s="8"/>
      <c r="G57" s="8"/>
      <c r="H57" s="2"/>
      <c r="I57" s="4"/>
      <c r="J57" s="2"/>
      <c r="K57" s="9"/>
      <c r="L57" s="2"/>
      <c r="M57" s="3"/>
      <c r="N57" s="2"/>
      <c r="O57" s="2"/>
      <c r="P57" s="3"/>
    </row>
    <row r="58" spans="1:16" x14ac:dyDescent="0.25">
      <c r="A58" s="2"/>
      <c r="B58" s="2"/>
      <c r="C58" s="3"/>
      <c r="D58" s="2"/>
      <c r="E58" s="2"/>
      <c r="F58" s="8"/>
      <c r="G58" s="8"/>
      <c r="H58" s="2"/>
      <c r="I58" s="4"/>
      <c r="J58" s="2"/>
      <c r="K58" s="9"/>
      <c r="L58" s="2"/>
      <c r="M58" s="3"/>
      <c r="N58" s="2"/>
      <c r="O58" s="2"/>
      <c r="P58" s="3"/>
    </row>
    <row r="59" spans="1:16" x14ac:dyDescent="0.25">
      <c r="A59" s="2"/>
      <c r="B59" s="2"/>
      <c r="C59" s="3"/>
      <c r="D59" s="2"/>
      <c r="E59" s="2"/>
      <c r="F59" s="8"/>
      <c r="G59" s="8"/>
      <c r="H59" s="2"/>
      <c r="I59" s="4"/>
      <c r="J59" s="2"/>
      <c r="K59" s="9"/>
      <c r="L59" s="2"/>
      <c r="M59" s="3"/>
      <c r="N59" s="2"/>
      <c r="O59" s="2"/>
      <c r="P59" s="3"/>
    </row>
    <row r="60" spans="1:16" x14ac:dyDescent="0.25">
      <c r="A60" s="2"/>
      <c r="B60" s="2"/>
      <c r="C60" s="3"/>
      <c r="D60" s="2"/>
      <c r="E60" s="2"/>
      <c r="F60" s="8"/>
      <c r="G60" s="8"/>
      <c r="H60" s="2"/>
      <c r="I60" s="4"/>
      <c r="J60" s="2"/>
      <c r="K60" s="9"/>
      <c r="L60" s="2"/>
      <c r="M60" s="3"/>
      <c r="N60" s="2"/>
      <c r="O60" s="2"/>
      <c r="P60" s="3"/>
    </row>
    <row r="61" spans="1:16" x14ac:dyDescent="0.25">
      <c r="A61" s="2"/>
      <c r="B61" s="2"/>
      <c r="C61" s="3"/>
      <c r="D61" s="2"/>
      <c r="E61" s="2"/>
      <c r="F61" s="8"/>
      <c r="G61" s="8"/>
      <c r="H61" s="2"/>
      <c r="I61" s="4"/>
      <c r="J61" s="2"/>
      <c r="K61" s="9"/>
      <c r="L61" s="2"/>
      <c r="M61" s="3"/>
      <c r="N61" s="2"/>
      <c r="O61" s="2"/>
      <c r="P61" s="3"/>
    </row>
    <row r="62" spans="1:16" x14ac:dyDescent="0.25">
      <c r="A62" s="2"/>
      <c r="B62" s="2"/>
      <c r="C62" s="3"/>
      <c r="D62" s="2"/>
      <c r="E62" s="2"/>
      <c r="F62" s="8"/>
      <c r="G62" s="8"/>
      <c r="H62" s="2"/>
      <c r="I62" s="4"/>
      <c r="J62" s="2"/>
      <c r="K62" s="9"/>
      <c r="L62" s="2"/>
      <c r="M62" s="3"/>
      <c r="N62" s="2"/>
      <c r="O62" s="2"/>
      <c r="P62" s="3"/>
    </row>
    <row r="63" spans="1:16" x14ac:dyDescent="0.25">
      <c r="A63" s="2"/>
      <c r="B63" s="2"/>
      <c r="C63" s="3"/>
      <c r="D63" s="2"/>
      <c r="E63" s="2"/>
      <c r="F63" s="8"/>
      <c r="G63" s="8"/>
      <c r="H63" s="2"/>
      <c r="I63" s="4"/>
      <c r="J63" s="2"/>
      <c r="K63" s="9"/>
      <c r="L63" s="2"/>
      <c r="M63" s="3"/>
      <c r="N63" s="2"/>
      <c r="O63" s="2"/>
      <c r="P63" s="3"/>
    </row>
    <row r="64" spans="1:16" x14ac:dyDescent="0.25">
      <c r="A64" s="2"/>
      <c r="B64" s="2"/>
      <c r="C64" s="3"/>
      <c r="D64" s="2"/>
      <c r="E64" s="2"/>
      <c r="F64" s="8"/>
      <c r="G64" s="8"/>
      <c r="H64" s="2"/>
      <c r="I64" s="4"/>
      <c r="J64" s="2"/>
      <c r="K64" s="9"/>
      <c r="L64" s="2"/>
      <c r="M64" s="3"/>
      <c r="N64" s="2"/>
      <c r="O64" s="2"/>
      <c r="P64" s="3"/>
    </row>
    <row r="65" spans="1:16" x14ac:dyDescent="0.25">
      <c r="A65" s="2"/>
      <c r="B65" s="2"/>
      <c r="C65" s="3"/>
      <c r="D65" s="2"/>
      <c r="E65" s="2"/>
      <c r="F65" s="8"/>
      <c r="G65" s="8"/>
      <c r="H65" s="2"/>
      <c r="I65" s="4"/>
      <c r="J65" s="2"/>
      <c r="K65" s="9"/>
      <c r="L65" s="2"/>
      <c r="M65" s="3"/>
      <c r="N65" s="2"/>
      <c r="O65" s="2"/>
      <c r="P65" s="3"/>
    </row>
    <row r="66" spans="1:16" x14ac:dyDescent="0.25">
      <c r="A66" s="2"/>
      <c r="B66" s="2"/>
      <c r="C66" s="3"/>
      <c r="D66" s="2"/>
      <c r="E66" s="2"/>
      <c r="F66" s="8"/>
      <c r="G66" s="8"/>
      <c r="H66" s="2"/>
      <c r="I66" s="4"/>
      <c r="J66" s="2"/>
      <c r="K66" s="9"/>
      <c r="L66" s="2"/>
      <c r="M66" s="3"/>
      <c r="N66" s="2"/>
      <c r="O66" s="2"/>
      <c r="P66" s="3"/>
    </row>
    <row r="67" spans="1:16" x14ac:dyDescent="0.25">
      <c r="A67" s="2"/>
      <c r="B67" s="2"/>
      <c r="C67" s="3"/>
      <c r="D67" s="2"/>
      <c r="E67" s="2"/>
      <c r="F67" s="8"/>
      <c r="G67" s="8"/>
      <c r="H67" s="2"/>
      <c r="I67" s="4"/>
      <c r="J67" s="2"/>
      <c r="K67" s="9"/>
      <c r="L67" s="2"/>
      <c r="M67" s="3"/>
      <c r="N67" s="2"/>
      <c r="O67" s="2"/>
      <c r="P67" s="3"/>
    </row>
    <row r="68" spans="1:16" x14ac:dyDescent="0.25">
      <c r="A68" s="2"/>
      <c r="B68" s="2"/>
      <c r="C68" s="3"/>
      <c r="D68" s="2"/>
      <c r="E68" s="2"/>
      <c r="F68" s="8"/>
      <c r="G68" s="8"/>
      <c r="H68" s="2"/>
      <c r="I68" s="4"/>
      <c r="J68" s="2"/>
      <c r="K68" s="9"/>
      <c r="L68" s="2"/>
      <c r="M68" s="3"/>
      <c r="N68" s="2"/>
      <c r="O68" s="2"/>
      <c r="P68" s="3"/>
    </row>
    <row r="69" spans="1:16" x14ac:dyDescent="0.25">
      <c r="A69" s="2"/>
      <c r="B69" s="2"/>
      <c r="C69" s="3"/>
      <c r="D69" s="2"/>
      <c r="E69" s="2"/>
      <c r="F69" s="8"/>
      <c r="G69" s="8"/>
      <c r="H69" s="2"/>
      <c r="I69" s="4"/>
      <c r="J69" s="2"/>
      <c r="K69" s="9"/>
      <c r="L69" s="2"/>
      <c r="M69" s="3"/>
      <c r="N69" s="2"/>
      <c r="O69" s="2"/>
      <c r="P69" s="3"/>
    </row>
    <row r="70" spans="1:16" x14ac:dyDescent="0.25">
      <c r="A70" s="2"/>
      <c r="B70" s="2"/>
      <c r="C70" s="3"/>
      <c r="D70" s="2"/>
      <c r="E70" s="2"/>
      <c r="F70" s="8"/>
      <c r="G70" s="8"/>
      <c r="H70" s="2"/>
      <c r="I70" s="4"/>
      <c r="J70" s="2"/>
      <c r="K70" s="9"/>
      <c r="L70" s="2"/>
      <c r="M70" s="3"/>
      <c r="N70" s="2"/>
      <c r="O70" s="2"/>
      <c r="P70" s="3"/>
    </row>
    <row r="71" spans="1:16" x14ac:dyDescent="0.25">
      <c r="A71" s="2"/>
      <c r="B71" s="2"/>
      <c r="C71" s="3"/>
      <c r="D71" s="2"/>
      <c r="E71" s="2"/>
      <c r="F71" s="8"/>
      <c r="G71" s="8"/>
      <c r="H71" s="2"/>
      <c r="I71" s="4"/>
      <c r="J71" s="2"/>
      <c r="K71" s="9"/>
      <c r="L71" s="2"/>
      <c r="M71" s="3"/>
      <c r="N71" s="2"/>
      <c r="O71" s="2"/>
      <c r="P71" s="3"/>
    </row>
    <row r="72" spans="1:16" x14ac:dyDescent="0.25">
      <c r="A72" s="2"/>
      <c r="B72" s="2"/>
      <c r="C72" s="3"/>
      <c r="D72" s="2"/>
      <c r="E72" s="2"/>
      <c r="F72" s="8"/>
      <c r="G72" s="8"/>
      <c r="H72" s="2"/>
      <c r="I72" s="4"/>
      <c r="J72" s="2"/>
      <c r="K72" s="9"/>
      <c r="L72" s="2"/>
      <c r="M72" s="3"/>
      <c r="N72" s="2"/>
      <c r="O72" s="2"/>
      <c r="P72" s="3"/>
    </row>
    <row r="73" spans="1:16" x14ac:dyDescent="0.25">
      <c r="A73" s="2"/>
      <c r="B73" s="2"/>
      <c r="C73" s="3"/>
      <c r="D73" s="2"/>
      <c r="E73" s="2"/>
      <c r="F73" s="8"/>
      <c r="G73" s="8"/>
      <c r="H73" s="2"/>
      <c r="I73" s="4"/>
      <c r="J73" s="2"/>
      <c r="K73" s="9"/>
      <c r="L73" s="2"/>
      <c r="M73" s="3"/>
      <c r="N73" s="2"/>
      <c r="O73" s="2"/>
      <c r="P73" s="3"/>
    </row>
    <row r="74" spans="1:16" x14ac:dyDescent="0.25">
      <c r="A74" s="2"/>
      <c r="B74" s="2"/>
      <c r="C74" s="3"/>
      <c r="D74" s="2"/>
      <c r="E74" s="2"/>
      <c r="F74" s="8"/>
      <c r="G74" s="8"/>
      <c r="H74" s="2"/>
      <c r="I74" s="4"/>
      <c r="J74" s="2"/>
      <c r="K74" s="9"/>
      <c r="L74" s="2"/>
      <c r="M74" s="3"/>
      <c r="N74" s="2"/>
      <c r="O74" s="2"/>
      <c r="P74" s="3"/>
    </row>
    <row r="75" spans="1:16" x14ac:dyDescent="0.25">
      <c r="A75" s="2"/>
      <c r="B75" s="2"/>
      <c r="C75" s="3"/>
      <c r="D75" s="2"/>
      <c r="E75" s="2"/>
      <c r="F75" s="8"/>
      <c r="G75" s="8"/>
      <c r="H75" s="2"/>
      <c r="I75" s="4"/>
      <c r="J75" s="2"/>
      <c r="K75" s="9"/>
      <c r="L75" s="2"/>
      <c r="M75" s="3"/>
      <c r="N75" s="2"/>
      <c r="O75" s="2"/>
      <c r="P75" s="3"/>
    </row>
    <row r="76" spans="1:16" x14ac:dyDescent="0.25">
      <c r="A76" s="2"/>
      <c r="B76" s="2"/>
      <c r="C76" s="3"/>
      <c r="D76" s="2"/>
      <c r="E76" s="2"/>
      <c r="F76" s="8"/>
      <c r="G76" s="8"/>
      <c r="H76" s="2"/>
      <c r="I76" s="4"/>
      <c r="J76" s="2"/>
      <c r="K76" s="9"/>
      <c r="L76" s="2"/>
      <c r="M76" s="3"/>
      <c r="N76" s="2"/>
      <c r="O76" s="2"/>
      <c r="P76" s="3"/>
    </row>
    <row r="77" spans="1:16" x14ac:dyDescent="0.25">
      <c r="A77" s="2"/>
      <c r="B77" s="2"/>
      <c r="C77" s="3"/>
      <c r="D77" s="2"/>
      <c r="E77" s="2"/>
      <c r="F77" s="8"/>
      <c r="G77" s="8"/>
      <c r="H77" s="2"/>
      <c r="I77" s="4"/>
      <c r="J77" s="2"/>
      <c r="K77" s="9"/>
      <c r="L77" s="2"/>
      <c r="M77" s="3"/>
      <c r="N77" s="2"/>
      <c r="O77" s="2"/>
      <c r="P77" s="3"/>
    </row>
    <row r="78" spans="1:16" x14ac:dyDescent="0.25">
      <c r="A78" s="2"/>
      <c r="B78" s="2"/>
      <c r="C78" s="3"/>
      <c r="D78" s="2"/>
      <c r="E78" s="2"/>
      <c r="F78" s="8"/>
      <c r="G78" s="8"/>
      <c r="H78" s="2"/>
      <c r="I78" s="4"/>
      <c r="J78" s="2"/>
      <c r="K78" s="9"/>
      <c r="L78" s="2"/>
      <c r="M78" s="3"/>
      <c r="N78" s="2"/>
      <c r="O78" s="2"/>
      <c r="P78" s="3"/>
    </row>
    <row r="79" spans="1:16" x14ac:dyDescent="0.25">
      <c r="A79" s="2"/>
      <c r="B79" s="2"/>
      <c r="C79" s="3"/>
      <c r="D79" s="2"/>
      <c r="E79" s="2"/>
      <c r="F79" s="8"/>
      <c r="G79" s="8"/>
      <c r="H79" s="2"/>
      <c r="I79" s="4"/>
      <c r="J79" s="2"/>
      <c r="K79" s="9"/>
      <c r="L79" s="2"/>
      <c r="M79" s="3"/>
      <c r="N79" s="2"/>
      <c r="O79" s="2"/>
      <c r="P79" s="3"/>
    </row>
    <row r="80" spans="1:16" x14ac:dyDescent="0.25">
      <c r="A80" s="2"/>
      <c r="B80" s="2"/>
      <c r="C80" s="3"/>
      <c r="D80" s="2"/>
      <c r="E80" s="2"/>
      <c r="F80" s="8"/>
      <c r="G80" s="8"/>
      <c r="H80" s="2"/>
      <c r="I80" s="4"/>
      <c r="J80" s="2"/>
      <c r="K80" s="9"/>
      <c r="L80" s="2"/>
      <c r="M80" s="3"/>
      <c r="N80" s="2"/>
      <c r="O80" s="2"/>
      <c r="P80" s="3"/>
    </row>
    <row r="81" spans="1:16" x14ac:dyDescent="0.25">
      <c r="A81" s="2"/>
      <c r="B81" s="2"/>
      <c r="C81" s="3"/>
      <c r="D81" s="2"/>
      <c r="E81" s="2"/>
      <c r="F81" s="8"/>
      <c r="G81" s="8"/>
      <c r="H81" s="2"/>
      <c r="I81" s="4"/>
      <c r="J81" s="2"/>
      <c r="K81" s="9"/>
      <c r="L81" s="2"/>
      <c r="M81" s="3"/>
      <c r="N81" s="2"/>
      <c r="O81" s="2"/>
      <c r="P81" s="3"/>
    </row>
    <row r="82" spans="1:16" x14ac:dyDescent="0.25">
      <c r="A82" s="2"/>
      <c r="B82" s="2"/>
      <c r="C82" s="3"/>
      <c r="D82" s="2"/>
      <c r="E82" s="2"/>
      <c r="F82" s="8"/>
      <c r="G82" s="8"/>
      <c r="H82" s="2"/>
      <c r="I82" s="4"/>
      <c r="J82" s="2"/>
      <c r="K82" s="9"/>
      <c r="L82" s="2"/>
      <c r="M82" s="3"/>
      <c r="N82" s="2"/>
      <c r="O82" s="2"/>
      <c r="P82" s="3"/>
    </row>
    <row r="83" spans="1:16" x14ac:dyDescent="0.25">
      <c r="A83" s="2"/>
      <c r="B83" s="2"/>
      <c r="C83" s="3"/>
      <c r="D83" s="2"/>
      <c r="E83" s="2"/>
      <c r="F83" s="8"/>
      <c r="G83" s="8"/>
      <c r="H83" s="2"/>
      <c r="I83" s="4"/>
      <c r="J83" s="2"/>
      <c r="K83" s="9"/>
      <c r="L83" s="2"/>
      <c r="M83" s="3"/>
      <c r="N83" s="2"/>
      <c r="O83" s="2"/>
      <c r="P83" s="3"/>
    </row>
    <row r="84" spans="1:16" x14ac:dyDescent="0.25">
      <c r="A84" s="2"/>
      <c r="B84" s="2"/>
      <c r="C84" s="3"/>
      <c r="D84" s="2"/>
      <c r="E84" s="2"/>
      <c r="F84" s="8"/>
      <c r="G84" s="8"/>
      <c r="H84" s="2"/>
      <c r="I84" s="4"/>
      <c r="J84" s="2"/>
      <c r="K84" s="9"/>
      <c r="L84" s="2"/>
      <c r="M84" s="3"/>
      <c r="N84" s="2"/>
      <c r="O84" s="2"/>
      <c r="P84" s="3"/>
    </row>
    <row r="85" spans="1:16" x14ac:dyDescent="0.25">
      <c r="A85" s="2"/>
      <c r="B85" s="2"/>
      <c r="C85" s="3"/>
      <c r="D85" s="2"/>
      <c r="E85" s="2"/>
      <c r="F85" s="8"/>
      <c r="G85" s="8"/>
      <c r="H85" s="2"/>
      <c r="I85" s="4"/>
      <c r="J85" s="2"/>
      <c r="K85" s="9"/>
      <c r="L85" s="2"/>
      <c r="M85" s="3"/>
      <c r="N85" s="2"/>
      <c r="O85" s="2"/>
      <c r="P85" s="3"/>
    </row>
    <row r="86" spans="1:16" x14ac:dyDescent="0.25">
      <c r="A86" s="2"/>
      <c r="B86" s="2"/>
      <c r="C86" s="3"/>
      <c r="D86" s="2"/>
      <c r="E86" s="2"/>
      <c r="F86" s="8"/>
      <c r="G86" s="8"/>
      <c r="H86" s="2"/>
      <c r="I86" s="4"/>
      <c r="J86" s="2"/>
      <c r="K86" s="9"/>
      <c r="L86" s="2"/>
      <c r="M86" s="3"/>
      <c r="N86" s="2"/>
      <c r="O86" s="2"/>
      <c r="P86" s="3"/>
    </row>
    <row r="87" spans="1:16" x14ac:dyDescent="0.25">
      <c r="A87" s="2"/>
      <c r="B87" s="2"/>
      <c r="C87" s="3"/>
      <c r="D87" s="2"/>
      <c r="E87" s="2"/>
      <c r="F87" s="8"/>
      <c r="G87" s="8"/>
      <c r="H87" s="2"/>
      <c r="I87" s="4"/>
      <c r="J87" s="2"/>
      <c r="K87" s="9"/>
      <c r="L87" s="2"/>
      <c r="M87" s="3"/>
      <c r="N87" s="2"/>
      <c r="O87" s="2"/>
      <c r="P87" s="3"/>
    </row>
    <row r="88" spans="1:16" x14ac:dyDescent="0.25">
      <c r="A88" s="2"/>
      <c r="B88" s="2"/>
      <c r="C88" s="3"/>
      <c r="D88" s="2"/>
      <c r="E88" s="2"/>
      <c r="F88" s="8"/>
      <c r="G88" s="8"/>
      <c r="H88" s="2"/>
      <c r="I88" s="4"/>
      <c r="J88" s="2"/>
      <c r="K88" s="9"/>
      <c r="L88" s="2"/>
      <c r="M88" s="3"/>
      <c r="N88" s="2"/>
      <c r="O88" s="2"/>
      <c r="P88" s="3"/>
    </row>
    <row r="89" spans="1:16" x14ac:dyDescent="0.25">
      <c r="A89" s="2"/>
      <c r="B89" s="2"/>
      <c r="C89" s="3"/>
      <c r="D89" s="2"/>
      <c r="E89" s="2"/>
      <c r="F89" s="8"/>
      <c r="G89" s="8"/>
      <c r="H89" s="2"/>
      <c r="I89" s="4"/>
      <c r="J89" s="2"/>
      <c r="K89" s="9"/>
      <c r="L89" s="2"/>
      <c r="M89" s="3"/>
      <c r="N89" s="2"/>
      <c r="O89" s="2"/>
      <c r="P89" s="3"/>
    </row>
    <row r="90" spans="1:16" x14ac:dyDescent="0.25">
      <c r="A90" s="2"/>
      <c r="B90" s="2"/>
      <c r="C90" s="3"/>
      <c r="D90" s="2"/>
      <c r="E90" s="2"/>
      <c r="F90" s="8"/>
      <c r="G90" s="8"/>
      <c r="H90" s="2"/>
      <c r="I90" s="4"/>
      <c r="J90" s="2"/>
      <c r="K90" s="9"/>
      <c r="L90" s="2"/>
      <c r="M90" s="3"/>
      <c r="N90" s="2"/>
      <c r="O90" s="2"/>
      <c r="P90" s="3"/>
    </row>
    <row r="91" spans="1:16" x14ac:dyDescent="0.25">
      <c r="A91" s="2"/>
      <c r="B91" s="2"/>
      <c r="C91" s="3"/>
      <c r="D91" s="2"/>
      <c r="E91" s="2"/>
      <c r="F91" s="8"/>
      <c r="G91" s="8"/>
      <c r="H91" s="2"/>
      <c r="I91" s="4"/>
      <c r="J91" s="2"/>
      <c r="K91" s="9"/>
      <c r="L91" s="2"/>
      <c r="M91" s="3"/>
      <c r="N91" s="2"/>
      <c r="O91" s="2"/>
      <c r="P91" s="3"/>
    </row>
    <row r="92" spans="1:16" x14ac:dyDescent="0.25">
      <c r="A92" s="2"/>
      <c r="B92" s="2"/>
      <c r="C92" s="3"/>
      <c r="D92" s="2"/>
      <c r="E92" s="2"/>
      <c r="F92" s="8"/>
      <c r="G92" s="8"/>
      <c r="H92" s="2"/>
      <c r="I92" s="4"/>
      <c r="J92" s="2"/>
      <c r="K92" s="9"/>
      <c r="L92" s="2"/>
      <c r="M92" s="3"/>
      <c r="N92" s="2"/>
      <c r="O92" s="2"/>
      <c r="P92" s="3"/>
    </row>
    <row r="93" spans="1:16" x14ac:dyDescent="0.25">
      <c r="A93" s="2"/>
      <c r="B93" s="2"/>
      <c r="C93" s="3"/>
      <c r="D93" s="2"/>
      <c r="E93" s="2"/>
      <c r="F93" s="8"/>
      <c r="G93" s="8"/>
      <c r="H93" s="2"/>
      <c r="I93" s="4"/>
      <c r="J93" s="2"/>
      <c r="K93" s="9"/>
      <c r="L93" s="2"/>
      <c r="M93" s="3"/>
      <c r="N93" s="2"/>
      <c r="O93" s="2"/>
      <c r="P93" s="3"/>
    </row>
    <row r="94" spans="1:16" x14ac:dyDescent="0.25">
      <c r="A94" s="2"/>
      <c r="B94" s="2"/>
      <c r="C94" s="3"/>
      <c r="D94" s="2"/>
      <c r="E94" s="2"/>
      <c r="F94" s="8"/>
      <c r="G94" s="8"/>
      <c r="H94" s="2"/>
      <c r="I94" s="4"/>
      <c r="J94" s="2"/>
      <c r="K94" s="9"/>
      <c r="L94" s="2"/>
      <c r="M94" s="3"/>
      <c r="N94" s="2"/>
      <c r="O94" s="2"/>
      <c r="P94" s="3"/>
    </row>
    <row r="95" spans="1:16" x14ac:dyDescent="0.25">
      <c r="A95" s="2"/>
      <c r="B95" s="2"/>
      <c r="C95" s="3"/>
      <c r="D95" s="2"/>
      <c r="E95" s="2"/>
      <c r="F95" s="8"/>
      <c r="G95" s="8"/>
      <c r="H95" s="2"/>
      <c r="I95" s="4"/>
      <c r="J95" s="2"/>
      <c r="K95" s="9"/>
      <c r="L95" s="2"/>
      <c r="M95" s="3"/>
      <c r="N95" s="2"/>
      <c r="O95" s="2"/>
      <c r="P95" s="3"/>
    </row>
    <row r="96" spans="1:16" x14ac:dyDescent="0.25">
      <c r="A96" s="2"/>
      <c r="B96" s="2"/>
      <c r="C96" s="3"/>
      <c r="D96" s="2"/>
      <c r="E96" s="2"/>
      <c r="F96" s="8"/>
      <c r="G96" s="8"/>
      <c r="H96" s="2"/>
      <c r="I96" s="4"/>
      <c r="J96" s="2"/>
      <c r="K96" s="9"/>
      <c r="L96" s="2"/>
      <c r="M96" s="3"/>
      <c r="N96" s="2"/>
      <c r="O96" s="2"/>
      <c r="P96" s="3"/>
    </row>
    <row r="97" spans="1:16" x14ac:dyDescent="0.25">
      <c r="A97" s="2"/>
      <c r="B97" s="2"/>
      <c r="C97" s="3"/>
      <c r="D97" s="2"/>
      <c r="E97" s="2"/>
      <c r="F97" s="8"/>
      <c r="G97" s="8"/>
      <c r="H97" s="2"/>
      <c r="I97" s="4"/>
      <c r="J97" s="2"/>
      <c r="K97" s="9"/>
      <c r="L97" s="2"/>
      <c r="M97" s="3"/>
      <c r="N97" s="2"/>
      <c r="O97" s="2"/>
      <c r="P97" s="3"/>
    </row>
    <row r="98" spans="1:16" x14ac:dyDescent="0.25">
      <c r="A98" s="2"/>
      <c r="B98" s="2"/>
      <c r="C98" s="3"/>
      <c r="D98" s="2"/>
      <c r="E98" s="2"/>
      <c r="F98" s="8"/>
      <c r="G98" s="8"/>
      <c r="H98" s="2"/>
      <c r="I98" s="4"/>
      <c r="J98" s="2"/>
      <c r="K98" s="9"/>
      <c r="L98" s="2"/>
      <c r="M98" s="3"/>
      <c r="N98" s="2"/>
      <c r="O98" s="2"/>
      <c r="P98" s="3"/>
    </row>
    <row r="99" spans="1:16" x14ac:dyDescent="0.25">
      <c r="A99" s="2"/>
      <c r="B99" s="2"/>
      <c r="C99" s="3"/>
      <c r="D99" s="2"/>
      <c r="E99" s="2"/>
      <c r="F99" s="8"/>
      <c r="G99" s="8"/>
      <c r="H99" s="2"/>
      <c r="I99" s="4"/>
      <c r="J99" s="2"/>
      <c r="K99" s="9"/>
      <c r="L99" s="2"/>
      <c r="M99" s="3"/>
      <c r="N99" s="2"/>
      <c r="O99" s="2"/>
      <c r="P99" s="3"/>
    </row>
    <row r="100" spans="1:16" x14ac:dyDescent="0.25">
      <c r="A100" s="2"/>
      <c r="B100" s="2"/>
      <c r="C100" s="3"/>
      <c r="D100" s="2"/>
      <c r="E100" s="2"/>
      <c r="F100" s="8"/>
      <c r="G100" s="8"/>
      <c r="H100" s="2"/>
      <c r="I100" s="4"/>
      <c r="J100" s="2"/>
      <c r="K100" s="9"/>
      <c r="L100" s="2"/>
      <c r="M100" s="3"/>
      <c r="N100" s="2"/>
      <c r="O100" s="2"/>
      <c r="P100" s="3"/>
    </row>
    <row r="101" spans="1:16" x14ac:dyDescent="0.25">
      <c r="A101" s="2"/>
      <c r="B101" s="2"/>
      <c r="C101" s="3"/>
      <c r="D101" s="2"/>
      <c r="E101" s="2"/>
      <c r="F101" s="8"/>
      <c r="G101" s="8"/>
      <c r="H101" s="2"/>
      <c r="I101" s="4"/>
      <c r="J101" s="2"/>
      <c r="K101" s="9"/>
      <c r="L101" s="2"/>
      <c r="M101" s="3"/>
      <c r="N101" s="2"/>
      <c r="O101" s="2"/>
      <c r="P101" s="3"/>
    </row>
    <row r="102" spans="1:16" x14ac:dyDescent="0.25">
      <c r="A102" s="2"/>
      <c r="B102" s="2"/>
      <c r="C102" s="3"/>
      <c r="D102" s="2"/>
      <c r="E102" s="2"/>
      <c r="F102" s="8"/>
      <c r="G102" s="8"/>
      <c r="H102" s="2"/>
      <c r="I102" s="4"/>
      <c r="J102" s="2"/>
      <c r="K102" s="9"/>
      <c r="L102" s="2"/>
      <c r="M102" s="3"/>
      <c r="N102" s="2"/>
      <c r="O102" s="2"/>
      <c r="P102" s="3"/>
    </row>
    <row r="103" spans="1:16" x14ac:dyDescent="0.25">
      <c r="A103" s="2"/>
      <c r="B103" s="2"/>
      <c r="C103" s="3"/>
      <c r="D103" s="2"/>
      <c r="E103" s="2"/>
      <c r="F103" s="8"/>
      <c r="G103" s="8"/>
      <c r="H103" s="2"/>
      <c r="I103" s="4"/>
      <c r="J103" s="2"/>
      <c r="K103" s="9"/>
      <c r="L103" s="2"/>
      <c r="M103" s="3"/>
      <c r="N103" s="2"/>
      <c r="O103" s="2"/>
      <c r="P103" s="3"/>
    </row>
    <row r="104" spans="1:16" x14ac:dyDescent="0.25">
      <c r="A104" s="2"/>
      <c r="B104" s="2"/>
      <c r="C104" s="3"/>
      <c r="D104" s="2"/>
      <c r="E104" s="2"/>
      <c r="F104" s="8"/>
      <c r="G104" s="8"/>
      <c r="H104" s="2"/>
      <c r="I104" s="4"/>
      <c r="J104" s="2"/>
      <c r="K104" s="9"/>
      <c r="L104" s="2"/>
      <c r="M104" s="3"/>
      <c r="N104" s="2"/>
      <c r="O104" s="2"/>
      <c r="P104" s="3"/>
    </row>
    <row r="105" spans="1:16" x14ac:dyDescent="0.25">
      <c r="A105" s="2"/>
      <c r="B105" s="2"/>
      <c r="C105" s="3"/>
      <c r="D105" s="2"/>
      <c r="E105" s="2"/>
      <c r="F105" s="8"/>
      <c r="G105" s="8"/>
      <c r="H105" s="2"/>
      <c r="I105" s="4"/>
      <c r="J105" s="2"/>
      <c r="K105" s="9"/>
      <c r="L105" s="2"/>
      <c r="M105" s="3"/>
      <c r="N105" s="2"/>
      <c r="O105" s="2"/>
      <c r="P105" s="3"/>
    </row>
    <row r="106" spans="1:16" x14ac:dyDescent="0.25">
      <c r="A106" s="2"/>
      <c r="B106" s="2"/>
      <c r="C106" s="3"/>
      <c r="D106" s="2"/>
      <c r="E106" s="2"/>
      <c r="F106" s="8"/>
      <c r="G106" s="8"/>
      <c r="H106" s="2"/>
      <c r="I106" s="4"/>
      <c r="J106" s="2"/>
      <c r="K106" s="9"/>
      <c r="L106" s="2"/>
      <c r="M106" s="3"/>
      <c r="N106" s="2"/>
      <c r="O106" s="2"/>
      <c r="P106" s="3"/>
    </row>
    <row r="107" spans="1:16" x14ac:dyDescent="0.25">
      <c r="A107" s="2"/>
      <c r="B107" s="2"/>
      <c r="C107" s="3"/>
      <c r="D107" s="2"/>
      <c r="E107" s="2"/>
      <c r="F107" s="8"/>
      <c r="G107" s="8"/>
      <c r="H107" s="2"/>
      <c r="I107" s="4"/>
      <c r="J107" s="2"/>
      <c r="K107" s="9"/>
      <c r="L107" s="2"/>
      <c r="M107" s="3"/>
      <c r="N107" s="2"/>
      <c r="O107" s="2"/>
      <c r="P107" s="3"/>
    </row>
    <row r="108" spans="1:16" x14ac:dyDescent="0.25">
      <c r="A108" s="2"/>
      <c r="B108" s="2"/>
      <c r="C108" s="3"/>
      <c r="D108" s="2"/>
      <c r="E108" s="2"/>
      <c r="F108" s="8"/>
      <c r="G108" s="8"/>
      <c r="H108" s="2"/>
      <c r="I108" s="4"/>
      <c r="J108" s="2"/>
      <c r="K108" s="9"/>
      <c r="L108" s="2"/>
      <c r="M108" s="3"/>
      <c r="N108" s="2"/>
      <c r="O108" s="2"/>
      <c r="P108" s="3"/>
    </row>
    <row r="109" spans="1:16" x14ac:dyDescent="0.25">
      <c r="A109" s="2"/>
      <c r="B109" s="2"/>
      <c r="C109" s="3"/>
      <c r="D109" s="2"/>
      <c r="E109" s="2"/>
      <c r="F109" s="8"/>
      <c r="G109" s="8"/>
      <c r="H109" s="2"/>
      <c r="I109" s="4"/>
      <c r="J109" s="2"/>
      <c r="K109" s="9"/>
      <c r="L109" s="2"/>
      <c r="M109" s="3"/>
      <c r="N109" s="2"/>
      <c r="O109" s="2"/>
      <c r="P109" s="3"/>
    </row>
    <row r="110" spans="1:16" x14ac:dyDescent="0.25">
      <c r="A110" s="2"/>
      <c r="B110" s="2"/>
      <c r="C110" s="3"/>
      <c r="D110" s="2"/>
      <c r="E110" s="2"/>
      <c r="F110" s="8"/>
      <c r="G110" s="8"/>
      <c r="H110" s="2"/>
      <c r="I110" s="4"/>
      <c r="J110" s="2"/>
      <c r="K110" s="9"/>
      <c r="L110" s="2"/>
      <c r="M110" s="3"/>
      <c r="N110" s="2"/>
      <c r="O110" s="2"/>
      <c r="P110" s="3"/>
    </row>
    <row r="111" spans="1:16" x14ac:dyDescent="0.25">
      <c r="A111" s="2"/>
      <c r="B111" s="2"/>
      <c r="C111" s="3"/>
      <c r="D111" s="2"/>
      <c r="E111" s="2"/>
      <c r="F111" s="8"/>
      <c r="G111" s="8"/>
      <c r="H111" s="2"/>
      <c r="I111" s="4"/>
      <c r="J111" s="2"/>
      <c r="K111" s="9"/>
      <c r="L111" s="2"/>
      <c r="M111" s="3"/>
      <c r="N111" s="2"/>
      <c r="O111" s="2"/>
      <c r="P111" s="3"/>
    </row>
    <row r="112" spans="1:16" x14ac:dyDescent="0.25">
      <c r="A112" s="2"/>
      <c r="B112" s="2"/>
      <c r="C112" s="3"/>
      <c r="D112" s="2"/>
      <c r="E112" s="2"/>
      <c r="F112" s="8"/>
      <c r="G112" s="8"/>
      <c r="H112" s="2"/>
      <c r="I112" s="4"/>
      <c r="J112" s="2"/>
      <c r="K112" s="9"/>
      <c r="L112" s="2"/>
      <c r="M112" s="3"/>
      <c r="N112" s="2"/>
      <c r="O112" s="2"/>
      <c r="P112" s="3"/>
    </row>
    <row r="113" spans="1:16" x14ac:dyDescent="0.25">
      <c r="A113" s="2"/>
      <c r="B113" s="2"/>
      <c r="C113" s="3"/>
      <c r="D113" s="2"/>
      <c r="E113" s="2"/>
      <c r="F113" s="8"/>
      <c r="G113" s="8"/>
      <c r="H113" s="2"/>
      <c r="I113" s="4"/>
      <c r="J113" s="2"/>
      <c r="K113" s="9"/>
      <c r="L113" s="2"/>
      <c r="M113" s="3"/>
      <c r="N113" s="2"/>
      <c r="O113" s="2"/>
      <c r="P113" s="3"/>
    </row>
    <row r="114" spans="1:16" x14ac:dyDescent="0.25">
      <c r="A114" s="2"/>
      <c r="B114" s="2"/>
      <c r="C114" s="3"/>
      <c r="D114" s="2"/>
      <c r="E114" s="2"/>
      <c r="F114" s="8"/>
      <c r="G114" s="8"/>
      <c r="H114" s="2"/>
      <c r="I114" s="4"/>
      <c r="J114" s="2"/>
      <c r="K114" s="9"/>
      <c r="L114" s="2"/>
      <c r="M114" s="3"/>
      <c r="N114" s="2"/>
      <c r="O114" s="2"/>
      <c r="P114" s="3"/>
    </row>
    <row r="115" spans="1:16" x14ac:dyDescent="0.25">
      <c r="A115" s="2"/>
      <c r="B115" s="2"/>
      <c r="C115" s="3"/>
      <c r="D115" s="2"/>
      <c r="E115" s="2"/>
      <c r="F115" s="8"/>
      <c r="G115" s="8"/>
      <c r="H115" s="2"/>
      <c r="I115" s="4"/>
      <c r="J115" s="2"/>
      <c r="K115" s="9"/>
      <c r="L115" s="2"/>
      <c r="M115" s="3"/>
      <c r="N115" s="2"/>
      <c r="O115" s="2"/>
      <c r="P115" s="3"/>
    </row>
    <row r="116" spans="1:16" x14ac:dyDescent="0.25">
      <c r="A116" s="2"/>
      <c r="B116" s="2"/>
      <c r="C116" s="3"/>
      <c r="D116" s="2"/>
      <c r="E116" s="2"/>
      <c r="F116" s="8"/>
      <c r="G116" s="8"/>
      <c r="H116" s="2"/>
      <c r="I116" s="4"/>
      <c r="J116" s="2"/>
      <c r="K116" s="9"/>
      <c r="L116" s="2"/>
      <c r="M116" s="3"/>
      <c r="N116" s="2"/>
      <c r="O116" s="2"/>
      <c r="P116" s="3"/>
    </row>
    <row r="117" spans="1:16" x14ac:dyDescent="0.25">
      <c r="A117" s="2"/>
      <c r="B117" s="2"/>
      <c r="C117" s="3"/>
      <c r="D117" s="2"/>
      <c r="E117" s="2"/>
      <c r="F117" s="8"/>
      <c r="G117" s="8"/>
      <c r="H117" s="2"/>
      <c r="I117" s="4"/>
      <c r="J117" s="2"/>
      <c r="K117" s="9"/>
      <c r="L117" s="2"/>
      <c r="M117" s="3"/>
      <c r="N117" s="2"/>
      <c r="O117" s="2"/>
      <c r="P117" s="3"/>
    </row>
    <row r="118" spans="1:16" x14ac:dyDescent="0.25">
      <c r="A118" s="2"/>
      <c r="B118" s="2"/>
      <c r="C118" s="3"/>
      <c r="D118" s="2"/>
      <c r="E118" s="2"/>
      <c r="F118" s="8"/>
      <c r="G118" s="8"/>
      <c r="H118" s="2"/>
      <c r="I118" s="4"/>
      <c r="J118" s="2"/>
      <c r="K118" s="9"/>
      <c r="L118" s="2"/>
      <c r="M118" s="3"/>
      <c r="N118" s="2"/>
      <c r="O118" s="2"/>
      <c r="P118" s="3"/>
    </row>
    <row r="119" spans="1:16" x14ac:dyDescent="0.25">
      <c r="A119" s="2"/>
      <c r="B119" s="2"/>
      <c r="C119" s="3"/>
      <c r="D119" s="2"/>
      <c r="E119" s="2"/>
      <c r="F119" s="8"/>
      <c r="G119" s="8"/>
      <c r="H119" s="2"/>
      <c r="I119" s="4"/>
      <c r="J119" s="2"/>
      <c r="K119" s="9"/>
      <c r="L119" s="2"/>
      <c r="M119" s="3"/>
      <c r="N119" s="2"/>
      <c r="O119" s="2"/>
      <c r="P119" s="3"/>
    </row>
    <row r="120" spans="1:16" x14ac:dyDescent="0.25">
      <c r="A120" s="2"/>
      <c r="B120" s="2"/>
      <c r="C120" s="3"/>
      <c r="D120" s="2"/>
      <c r="E120" s="2"/>
      <c r="F120" s="8"/>
      <c r="G120" s="8"/>
      <c r="H120" s="2"/>
      <c r="I120" s="4"/>
      <c r="J120" s="2"/>
      <c r="K120" s="9"/>
      <c r="L120" s="2"/>
      <c r="M120" s="3"/>
      <c r="N120" s="2"/>
      <c r="O120" s="2"/>
      <c r="P120" s="3"/>
    </row>
    <row r="121" spans="1:16" x14ac:dyDescent="0.25">
      <c r="A121" s="2"/>
      <c r="B121" s="2"/>
      <c r="C121" s="3"/>
      <c r="D121" s="2"/>
      <c r="E121" s="2"/>
      <c r="F121" s="8"/>
      <c r="G121" s="8"/>
      <c r="H121" s="2"/>
      <c r="I121" s="4"/>
      <c r="J121" s="2"/>
      <c r="K121" s="9"/>
      <c r="L121" s="2"/>
      <c r="M121" s="3"/>
      <c r="N121" s="2"/>
      <c r="O121" s="2"/>
      <c r="P121" s="3"/>
    </row>
    <row r="122" spans="1:16" x14ac:dyDescent="0.25">
      <c r="A122" s="2"/>
      <c r="B122" s="2"/>
      <c r="C122" s="3"/>
      <c r="D122" s="2"/>
      <c r="E122" s="2"/>
      <c r="F122" s="8"/>
      <c r="G122" s="8"/>
      <c r="H122" s="2"/>
      <c r="I122" s="4"/>
      <c r="J122" s="2"/>
      <c r="K122" s="9"/>
      <c r="L122" s="2"/>
      <c r="M122" s="3"/>
      <c r="N122" s="2"/>
      <c r="O122" s="2"/>
      <c r="P122" s="3"/>
    </row>
    <row r="123" spans="1:16" x14ac:dyDescent="0.25">
      <c r="A123" s="2"/>
      <c r="B123" s="2"/>
      <c r="C123" s="3"/>
      <c r="D123" s="2"/>
      <c r="E123" s="2"/>
      <c r="F123" s="8"/>
      <c r="G123" s="8"/>
      <c r="H123" s="2"/>
      <c r="I123" s="4"/>
      <c r="J123" s="2"/>
      <c r="K123" s="9"/>
      <c r="L123" s="2"/>
      <c r="M123" s="3"/>
      <c r="N123" s="2"/>
      <c r="O123" s="2"/>
      <c r="P123" s="3"/>
    </row>
    <row r="124" spans="1:16" x14ac:dyDescent="0.25">
      <c r="A124" s="2"/>
      <c r="B124" s="2"/>
      <c r="C124" s="3"/>
      <c r="D124" s="2"/>
      <c r="E124" s="2"/>
      <c r="F124" s="8"/>
      <c r="G124" s="8"/>
      <c r="H124" s="2"/>
      <c r="I124" s="4"/>
      <c r="J124" s="2"/>
      <c r="K124" s="9"/>
      <c r="L124" s="2"/>
      <c r="M124" s="3"/>
      <c r="N124" s="2"/>
      <c r="O124" s="2"/>
      <c r="P124" s="3"/>
    </row>
    <row r="125" spans="1:16" x14ac:dyDescent="0.25">
      <c r="A125" s="2"/>
      <c r="B125" s="2"/>
      <c r="C125" s="3"/>
      <c r="D125" s="2"/>
      <c r="E125" s="2"/>
      <c r="F125" s="8"/>
      <c r="G125" s="8"/>
      <c r="H125" s="2"/>
      <c r="I125" s="4"/>
      <c r="J125" s="2"/>
      <c r="K125" s="9"/>
      <c r="L125" s="2"/>
      <c r="M125" s="3"/>
      <c r="N125" s="2"/>
      <c r="O125" s="2"/>
      <c r="P125" s="3"/>
    </row>
    <row r="126" spans="1:16" x14ac:dyDescent="0.25">
      <c r="A126" s="2"/>
      <c r="B126" s="2"/>
      <c r="C126" s="3"/>
      <c r="D126" s="2"/>
      <c r="E126" s="2"/>
      <c r="F126" s="8"/>
      <c r="G126" s="8"/>
      <c r="H126" s="2"/>
      <c r="I126" s="4"/>
      <c r="J126" s="2"/>
      <c r="K126" s="9"/>
      <c r="L126" s="2"/>
      <c r="M126" s="3"/>
      <c r="N126" s="2"/>
      <c r="O126" s="2"/>
      <c r="P126" s="3"/>
    </row>
    <row r="127" spans="1:16" x14ac:dyDescent="0.25">
      <c r="A127" s="2"/>
      <c r="B127" s="2"/>
      <c r="C127" s="3"/>
      <c r="D127" s="2"/>
      <c r="E127" s="2"/>
      <c r="F127" s="8"/>
      <c r="G127" s="8"/>
      <c r="H127" s="2"/>
      <c r="I127" s="4"/>
      <c r="J127" s="2"/>
      <c r="K127" s="9"/>
      <c r="L127" s="2"/>
      <c r="M127" s="3"/>
      <c r="N127" s="2"/>
      <c r="O127" s="2"/>
      <c r="P127" s="3"/>
    </row>
    <row r="128" spans="1:16" x14ac:dyDescent="0.25">
      <c r="A128" s="2"/>
      <c r="B128" s="2"/>
      <c r="C128" s="3"/>
      <c r="D128" s="2"/>
      <c r="E128" s="2"/>
      <c r="F128" s="8"/>
      <c r="G128" s="8"/>
      <c r="H128" s="2"/>
      <c r="I128" s="4"/>
      <c r="J128" s="2"/>
      <c r="K128" s="9"/>
      <c r="L128" s="2"/>
      <c r="M128" s="3"/>
      <c r="N128" s="2"/>
      <c r="O128" s="2"/>
      <c r="P128" s="3"/>
    </row>
    <row r="129" spans="1:16" x14ac:dyDescent="0.25">
      <c r="A129" s="2"/>
      <c r="B129" s="2"/>
      <c r="C129" s="3"/>
      <c r="D129" s="2"/>
      <c r="E129" s="2"/>
      <c r="F129" s="8"/>
      <c r="G129" s="8"/>
      <c r="H129" s="2"/>
      <c r="I129" s="4"/>
      <c r="J129" s="2"/>
      <c r="K129" s="9"/>
      <c r="L129" s="2"/>
      <c r="M129" s="3"/>
      <c r="N129" s="2"/>
      <c r="O129" s="2"/>
      <c r="P129" s="3"/>
    </row>
    <row r="130" spans="1:16" x14ac:dyDescent="0.25">
      <c r="A130" s="2"/>
      <c r="B130" s="2"/>
      <c r="C130" s="3"/>
      <c r="D130" s="2"/>
      <c r="E130" s="2"/>
      <c r="F130" s="8"/>
      <c r="G130" s="8"/>
      <c r="H130" s="2"/>
      <c r="I130" s="4"/>
      <c r="J130" s="2"/>
      <c r="K130" s="9"/>
      <c r="L130" s="2"/>
      <c r="M130" s="3"/>
      <c r="N130" s="2"/>
      <c r="O130" s="2"/>
      <c r="P130" s="3"/>
    </row>
    <row r="131" spans="1:16" x14ac:dyDescent="0.25">
      <c r="A131" s="2"/>
      <c r="B131" s="2"/>
      <c r="C131" s="3"/>
      <c r="D131" s="2"/>
      <c r="E131" s="2"/>
      <c r="F131" s="8"/>
      <c r="G131" s="8"/>
      <c r="H131" s="2"/>
      <c r="I131" s="4"/>
      <c r="J131" s="2"/>
      <c r="K131" s="9"/>
      <c r="L131" s="2"/>
      <c r="M131" s="3"/>
      <c r="N131" s="2"/>
      <c r="O131" s="2"/>
      <c r="P131" s="3"/>
    </row>
    <row r="132" spans="1:16" x14ac:dyDescent="0.25">
      <c r="A132" s="2"/>
      <c r="B132" s="2"/>
      <c r="C132" s="3"/>
      <c r="D132" s="2"/>
      <c r="E132" s="2"/>
      <c r="F132" s="8"/>
      <c r="G132" s="8"/>
      <c r="H132" s="2"/>
      <c r="I132" s="4"/>
      <c r="J132" s="2"/>
      <c r="K132" s="9"/>
      <c r="L132" s="2"/>
      <c r="M132" s="3"/>
      <c r="N132" s="2"/>
      <c r="O132" s="2"/>
      <c r="P132" s="3"/>
    </row>
    <row r="133" spans="1:16" x14ac:dyDescent="0.25">
      <c r="A133" s="2"/>
      <c r="B133" s="2"/>
      <c r="C133" s="3"/>
      <c r="D133" s="2"/>
      <c r="E133" s="2"/>
      <c r="F133" s="8"/>
      <c r="G133" s="8"/>
      <c r="H133" s="2"/>
      <c r="I133" s="4"/>
      <c r="J133" s="2"/>
      <c r="K133" s="9"/>
      <c r="L133" s="2"/>
      <c r="M133" s="3"/>
      <c r="N133" s="2"/>
      <c r="O133" s="2"/>
      <c r="P133" s="3"/>
    </row>
    <row r="134" spans="1:16" x14ac:dyDescent="0.25">
      <c r="A134" s="2"/>
      <c r="B134" s="2"/>
      <c r="C134" s="3"/>
      <c r="D134" s="2"/>
      <c r="E134" s="2"/>
      <c r="F134" s="8"/>
      <c r="G134" s="8"/>
      <c r="H134" s="2"/>
      <c r="I134" s="4"/>
      <c r="J134" s="2"/>
      <c r="K134" s="9"/>
      <c r="L134" s="2"/>
      <c r="M134" s="3"/>
      <c r="N134" s="2"/>
      <c r="O134" s="2"/>
      <c r="P134" s="3"/>
    </row>
    <row r="135" spans="1:16" x14ac:dyDescent="0.25">
      <c r="A135" s="2"/>
      <c r="B135" s="2"/>
      <c r="C135" s="3"/>
      <c r="D135" s="2"/>
      <c r="E135" s="2"/>
      <c r="F135" s="8"/>
      <c r="G135" s="8"/>
      <c r="H135" s="2"/>
      <c r="I135" s="4"/>
      <c r="J135" s="2"/>
      <c r="K135" s="9"/>
      <c r="L135" s="2"/>
      <c r="M135" s="3"/>
      <c r="N135" s="2"/>
      <c r="O135" s="2"/>
      <c r="P135" s="3"/>
    </row>
    <row r="136" spans="1:16" x14ac:dyDescent="0.25">
      <c r="A136" s="2"/>
      <c r="B136" s="2"/>
      <c r="C136" s="3"/>
      <c r="D136" s="2"/>
      <c r="E136" s="2"/>
      <c r="F136" s="8"/>
      <c r="G136" s="8"/>
      <c r="H136" s="2"/>
      <c r="I136" s="4"/>
      <c r="J136" s="2"/>
      <c r="K136" s="9"/>
      <c r="L136" s="2"/>
      <c r="M136" s="3"/>
      <c r="N136" s="2"/>
      <c r="O136" s="2"/>
      <c r="P136" s="3"/>
    </row>
    <row r="137" spans="1:16" x14ac:dyDescent="0.25">
      <c r="A137" s="2"/>
      <c r="B137" s="2"/>
      <c r="C137" s="3"/>
      <c r="D137" s="2"/>
      <c r="E137" s="2"/>
      <c r="F137" s="8"/>
      <c r="G137" s="8"/>
      <c r="H137" s="2"/>
      <c r="I137" s="4"/>
      <c r="J137" s="2"/>
      <c r="K137" s="9"/>
      <c r="L137" s="2"/>
      <c r="M137" s="3"/>
      <c r="N137" s="2"/>
      <c r="O137" s="2"/>
      <c r="P137" s="3"/>
    </row>
    <row r="138" spans="1:16" x14ac:dyDescent="0.25">
      <c r="A138" s="2"/>
      <c r="B138" s="2"/>
      <c r="C138" s="3"/>
      <c r="D138" s="2"/>
      <c r="E138" s="2"/>
      <c r="F138" s="8"/>
      <c r="G138" s="8"/>
      <c r="H138" s="2"/>
      <c r="I138" s="4"/>
      <c r="J138" s="2"/>
      <c r="K138" s="9"/>
      <c r="L138" s="2"/>
      <c r="M138" s="3"/>
      <c r="N138" s="2"/>
      <c r="O138" s="2"/>
      <c r="P138" s="3"/>
    </row>
    <row r="139" spans="1:16" x14ac:dyDescent="0.25">
      <c r="A139" s="2"/>
      <c r="B139" s="2"/>
      <c r="C139" s="3"/>
      <c r="D139" s="2"/>
      <c r="E139" s="2"/>
      <c r="F139" s="8"/>
      <c r="G139" s="8"/>
      <c r="H139" s="2"/>
      <c r="I139" s="4"/>
      <c r="J139" s="2"/>
      <c r="K139" s="9"/>
      <c r="L139" s="2"/>
      <c r="M139" s="3"/>
      <c r="N139" s="2"/>
      <c r="O139" s="2"/>
      <c r="P139" s="3"/>
    </row>
    <row r="140" spans="1:16" x14ac:dyDescent="0.25">
      <c r="A140" s="2"/>
      <c r="B140" s="2"/>
      <c r="C140" s="3"/>
      <c r="D140" s="2"/>
      <c r="E140" s="2"/>
      <c r="F140" s="8"/>
      <c r="G140" s="8"/>
      <c r="H140" s="2"/>
      <c r="I140" s="4"/>
      <c r="J140" s="2"/>
      <c r="K140" s="9"/>
      <c r="L140" s="2"/>
      <c r="M140" s="3"/>
      <c r="N140" s="2"/>
      <c r="O140" s="2"/>
      <c r="P140" s="3"/>
    </row>
    <row r="141" spans="1:16" x14ac:dyDescent="0.25">
      <c r="A141" s="2"/>
      <c r="B141" s="2"/>
      <c r="C141" s="3"/>
      <c r="D141" s="2"/>
      <c r="E141" s="2"/>
      <c r="F141" s="8"/>
      <c r="G141" s="8"/>
      <c r="H141" s="2"/>
      <c r="I141" s="4"/>
      <c r="J141" s="2"/>
      <c r="K141" s="9"/>
      <c r="L141" s="2"/>
      <c r="M141" s="3"/>
      <c r="N141" s="2"/>
      <c r="O141" s="2"/>
      <c r="P141" s="3"/>
    </row>
    <row r="142" spans="1:16" x14ac:dyDescent="0.25">
      <c r="A142" s="2"/>
      <c r="B142" s="2"/>
      <c r="C142" s="3"/>
      <c r="D142" s="2"/>
      <c r="E142" s="2"/>
      <c r="F142" s="8"/>
      <c r="G142" s="8"/>
      <c r="H142" s="2"/>
      <c r="I142" s="4"/>
      <c r="J142" s="2"/>
      <c r="K142" s="9"/>
      <c r="L142" s="2"/>
      <c r="M142" s="3"/>
      <c r="N142" s="2"/>
      <c r="O142" s="2"/>
      <c r="P142" s="3"/>
    </row>
    <row r="143" spans="1:16" x14ac:dyDescent="0.25">
      <c r="A143" s="2"/>
      <c r="B143" s="2"/>
      <c r="C143" s="3"/>
      <c r="D143" s="2"/>
      <c r="E143" s="2"/>
      <c r="F143" s="8"/>
      <c r="G143" s="8"/>
      <c r="H143" s="2"/>
      <c r="I143" s="4"/>
      <c r="J143" s="2"/>
      <c r="K143" s="9"/>
      <c r="L143" s="2"/>
      <c r="M143" s="3"/>
      <c r="N143" s="2"/>
      <c r="O143" s="2"/>
      <c r="P143" s="3"/>
    </row>
    <row r="144" spans="1:16" x14ac:dyDescent="0.25">
      <c r="A144" s="2"/>
      <c r="B144" s="2"/>
      <c r="C144" s="3"/>
      <c r="D144" s="2"/>
      <c r="E144" s="2"/>
      <c r="F144" s="8"/>
      <c r="G144" s="8"/>
      <c r="H144" s="2"/>
      <c r="I144" s="4"/>
      <c r="J144" s="2"/>
      <c r="K144" s="9"/>
      <c r="L144" s="2"/>
      <c r="M144" s="3"/>
      <c r="N144" s="2"/>
      <c r="O144" s="2"/>
      <c r="P144" s="3"/>
    </row>
    <row r="145" spans="1:16" x14ac:dyDescent="0.25">
      <c r="A145" s="2"/>
      <c r="B145" s="2"/>
      <c r="C145" s="3"/>
      <c r="D145" s="2"/>
      <c r="E145" s="2"/>
      <c r="F145" s="8"/>
      <c r="G145" s="8"/>
      <c r="H145" s="2"/>
      <c r="I145" s="4"/>
      <c r="J145" s="2"/>
      <c r="K145" s="9"/>
      <c r="L145" s="2"/>
      <c r="M145" s="3"/>
      <c r="N145" s="2"/>
      <c r="O145" s="2"/>
      <c r="P145" s="3"/>
    </row>
    <row r="146" spans="1:16" x14ac:dyDescent="0.25">
      <c r="A146" s="2"/>
      <c r="B146" s="2"/>
      <c r="C146" s="3"/>
      <c r="D146" s="2"/>
      <c r="E146" s="2"/>
      <c r="F146" s="8"/>
      <c r="G146" s="8"/>
      <c r="H146" s="2"/>
      <c r="I146" s="4"/>
      <c r="J146" s="2"/>
      <c r="K146" s="9"/>
      <c r="L146" s="2"/>
      <c r="M146" s="3"/>
      <c r="N146" s="2"/>
      <c r="O146" s="2"/>
      <c r="P146" s="3"/>
    </row>
    <row r="147" spans="1:16" x14ac:dyDescent="0.25">
      <c r="A147" s="2"/>
      <c r="B147" s="2"/>
      <c r="C147" s="3"/>
      <c r="D147" s="2"/>
      <c r="E147" s="2"/>
      <c r="F147" s="8"/>
      <c r="G147" s="8"/>
      <c r="H147" s="2"/>
      <c r="I147" s="4"/>
      <c r="J147" s="2"/>
      <c r="K147" s="9"/>
      <c r="L147" s="2"/>
      <c r="M147" s="3"/>
      <c r="N147" s="2"/>
      <c r="O147" s="2"/>
      <c r="P147" s="3"/>
    </row>
    <row r="148" spans="1:16" x14ac:dyDescent="0.25">
      <c r="A148" s="2"/>
      <c r="B148" s="2"/>
      <c r="C148" s="3"/>
      <c r="D148" s="2"/>
      <c r="E148" s="2"/>
      <c r="F148" s="8"/>
      <c r="G148" s="8"/>
      <c r="H148" s="2"/>
      <c r="I148" s="4"/>
      <c r="J148" s="2"/>
      <c r="K148" s="9"/>
      <c r="L148" s="2"/>
      <c r="M148" s="3"/>
      <c r="N148" s="2"/>
      <c r="O148" s="2"/>
      <c r="P148" s="3"/>
    </row>
    <row r="149" spans="1:16" x14ac:dyDescent="0.25">
      <c r="A149" s="2"/>
      <c r="B149" s="2"/>
      <c r="C149" s="3"/>
      <c r="D149" s="2"/>
      <c r="E149" s="2"/>
      <c r="F149" s="8"/>
      <c r="G149" s="8"/>
      <c r="H149" s="2"/>
      <c r="I149" s="4"/>
      <c r="J149" s="2"/>
      <c r="K149" s="9"/>
      <c r="L149" s="2"/>
      <c r="M149" s="3"/>
      <c r="N149" s="2"/>
      <c r="O149" s="2"/>
      <c r="P149" s="3"/>
    </row>
    <row r="150" spans="1:16" x14ac:dyDescent="0.25">
      <c r="A150" s="2"/>
      <c r="B150" s="2"/>
      <c r="C150" s="3"/>
      <c r="D150" s="2"/>
      <c r="E150" s="2"/>
      <c r="F150" s="8"/>
      <c r="G150" s="8"/>
      <c r="H150" s="2"/>
      <c r="I150" s="4"/>
      <c r="J150" s="2"/>
      <c r="K150" s="9"/>
      <c r="L150" s="2"/>
      <c r="M150" s="3"/>
      <c r="N150" s="2"/>
      <c r="O150" s="2"/>
      <c r="P150" s="3"/>
    </row>
    <row r="151" spans="1:16" x14ac:dyDescent="0.25">
      <c r="A151" s="2"/>
      <c r="B151" s="2"/>
      <c r="C151" s="3"/>
      <c r="D151" s="2"/>
      <c r="E151" s="2"/>
      <c r="F151" s="8"/>
      <c r="G151" s="8"/>
      <c r="H151" s="2"/>
      <c r="I151" s="4"/>
      <c r="J151" s="2"/>
      <c r="K151" s="9"/>
      <c r="L151" s="2"/>
      <c r="M151" s="3"/>
      <c r="N151" s="2"/>
      <c r="O151" s="2"/>
      <c r="P151" s="3"/>
    </row>
    <row r="152" spans="1:16" x14ac:dyDescent="0.25">
      <c r="A152" s="2"/>
      <c r="B152" s="2"/>
      <c r="C152" s="3"/>
      <c r="D152" s="2"/>
      <c r="E152" s="2"/>
      <c r="F152" s="8"/>
      <c r="G152" s="8"/>
      <c r="H152" s="2"/>
      <c r="I152" s="4"/>
      <c r="J152" s="2"/>
      <c r="K152" s="9"/>
      <c r="L152" s="2"/>
      <c r="M152" s="3"/>
      <c r="N152" s="2"/>
      <c r="O152" s="2"/>
      <c r="P152" s="3"/>
    </row>
    <row r="153" spans="1:16" x14ac:dyDescent="0.25">
      <c r="A153" s="2"/>
      <c r="B153" s="2"/>
      <c r="C153" s="3"/>
      <c r="D153" s="2"/>
      <c r="E153" s="2"/>
      <c r="F153" s="8"/>
      <c r="G153" s="8"/>
      <c r="H153" s="2"/>
      <c r="I153" s="4"/>
      <c r="J153" s="2"/>
      <c r="K153" s="9"/>
      <c r="L153" s="2"/>
      <c r="M153" s="3"/>
      <c r="N153" s="2"/>
      <c r="O153" s="2"/>
      <c r="P153" s="3"/>
    </row>
    <row r="154" spans="1:16" x14ac:dyDescent="0.25">
      <c r="A154" s="2"/>
      <c r="B154" s="2"/>
      <c r="C154" s="3"/>
      <c r="D154" s="2"/>
      <c r="E154" s="2"/>
      <c r="F154" s="8"/>
      <c r="G154" s="8"/>
      <c r="H154" s="2"/>
      <c r="I154" s="4"/>
      <c r="J154" s="2"/>
      <c r="K154" s="9"/>
      <c r="L154" s="2"/>
      <c r="M154" s="3"/>
      <c r="N154" s="2"/>
      <c r="O154" s="2"/>
      <c r="P154" s="3"/>
    </row>
    <row r="155" spans="1:16" x14ac:dyDescent="0.25">
      <c r="A155" s="2"/>
      <c r="B155" s="2"/>
      <c r="C155" s="3"/>
      <c r="D155" s="2"/>
      <c r="E155" s="2"/>
      <c r="F155" s="8"/>
      <c r="G155" s="8"/>
      <c r="H155" s="2"/>
      <c r="I155" s="4"/>
      <c r="J155" s="2"/>
      <c r="K155" s="9"/>
      <c r="L155" s="2"/>
      <c r="M155" s="3"/>
      <c r="N155" s="2"/>
      <c r="O155" s="2"/>
      <c r="P155" s="3"/>
    </row>
    <row r="156" spans="1:16" x14ac:dyDescent="0.25">
      <c r="A156" s="2"/>
      <c r="B156" s="2"/>
      <c r="C156" s="3"/>
      <c r="D156" s="2"/>
      <c r="E156" s="2"/>
      <c r="F156" s="8"/>
      <c r="G156" s="8"/>
      <c r="H156" s="2"/>
      <c r="I156" s="4"/>
      <c r="J156" s="2"/>
      <c r="K156" s="9"/>
      <c r="L156" s="2"/>
      <c r="M156" s="3"/>
      <c r="N156" s="2"/>
      <c r="O156" s="2"/>
      <c r="P156" s="3"/>
    </row>
    <row r="157" spans="1:16" x14ac:dyDescent="0.25">
      <c r="A157" s="2"/>
      <c r="B157" s="2"/>
      <c r="C157" s="3"/>
      <c r="D157" s="2"/>
      <c r="E157" s="2"/>
      <c r="F157" s="8"/>
      <c r="G157" s="8"/>
      <c r="H157" s="2"/>
      <c r="I157" s="4"/>
      <c r="J157" s="2"/>
      <c r="K157" s="9"/>
      <c r="L157" s="2"/>
      <c r="M157" s="3"/>
      <c r="N157" s="2"/>
      <c r="O157" s="2"/>
      <c r="P157" s="3"/>
    </row>
    <row r="158" spans="1:16" x14ac:dyDescent="0.25">
      <c r="A158" s="2"/>
      <c r="B158" s="2"/>
      <c r="C158" s="3"/>
      <c r="D158" s="2"/>
      <c r="E158" s="2"/>
      <c r="F158" s="8"/>
      <c r="G158" s="8"/>
      <c r="H158" s="2"/>
      <c r="I158" s="4"/>
      <c r="J158" s="2"/>
      <c r="K158" s="9"/>
      <c r="L158" s="2"/>
      <c r="M158" s="3"/>
      <c r="N158" s="2"/>
      <c r="O158" s="2"/>
      <c r="P158" s="3"/>
    </row>
    <row r="159" spans="1:16" x14ac:dyDescent="0.25">
      <c r="A159" s="2"/>
      <c r="B159" s="2"/>
      <c r="C159" s="3"/>
      <c r="D159" s="2"/>
      <c r="E159" s="2"/>
      <c r="F159" s="8"/>
      <c r="G159" s="8"/>
      <c r="H159" s="2"/>
      <c r="I159" s="4"/>
      <c r="J159" s="2"/>
      <c r="K159" s="9"/>
      <c r="L159" s="2"/>
      <c r="M159" s="3"/>
      <c r="N159" s="2"/>
      <c r="O159" s="2"/>
      <c r="P159" s="3"/>
    </row>
    <row r="160" spans="1:16" x14ac:dyDescent="0.25">
      <c r="A160" s="2"/>
      <c r="B160" s="2"/>
      <c r="C160" s="3"/>
      <c r="D160" s="2"/>
      <c r="E160" s="2"/>
      <c r="F160" s="8"/>
      <c r="G160" s="8"/>
      <c r="H160" s="2"/>
      <c r="I160" s="4"/>
      <c r="J160" s="2"/>
      <c r="K160" s="9"/>
      <c r="L160" s="2"/>
      <c r="M160" s="3"/>
      <c r="N160" s="2"/>
      <c r="O160" s="2"/>
      <c r="P160" s="3"/>
    </row>
    <row r="161" spans="1:16" x14ac:dyDescent="0.25">
      <c r="A161" s="2"/>
      <c r="B161" s="2"/>
      <c r="C161" s="3"/>
      <c r="D161" s="2"/>
      <c r="E161" s="2"/>
      <c r="F161" s="8"/>
      <c r="G161" s="8"/>
      <c r="H161" s="2"/>
      <c r="I161" s="4"/>
      <c r="J161" s="2"/>
      <c r="K161" s="9"/>
      <c r="L161" s="2"/>
      <c r="M161" s="3"/>
      <c r="N161" s="2"/>
      <c r="O161" s="2"/>
      <c r="P161" s="3"/>
    </row>
    <row r="162" spans="1:16" x14ac:dyDescent="0.25">
      <c r="A162" s="2"/>
      <c r="B162" s="2"/>
      <c r="C162" s="3"/>
      <c r="D162" s="2"/>
      <c r="E162" s="2"/>
      <c r="F162" s="8"/>
      <c r="G162" s="8"/>
      <c r="H162" s="2"/>
      <c r="I162" s="4"/>
      <c r="J162" s="2"/>
      <c r="K162" s="9"/>
      <c r="L162" s="2"/>
      <c r="M162" s="3"/>
      <c r="N162" s="2"/>
      <c r="O162" s="2"/>
      <c r="P162" s="3"/>
    </row>
    <row r="163" spans="1:16" x14ac:dyDescent="0.25">
      <c r="A163" s="2"/>
      <c r="B163" s="2"/>
      <c r="C163" s="3"/>
      <c r="D163" s="2"/>
      <c r="E163" s="2"/>
      <c r="F163" s="8"/>
      <c r="G163" s="8"/>
      <c r="H163" s="2"/>
      <c r="I163" s="4"/>
      <c r="J163" s="2"/>
      <c r="K163" s="9"/>
      <c r="L163" s="2"/>
      <c r="M163" s="3"/>
      <c r="N163" s="2"/>
      <c r="O163" s="2"/>
      <c r="P163" s="3"/>
    </row>
    <row r="164" spans="1:16" x14ac:dyDescent="0.25">
      <c r="A164" s="2"/>
      <c r="B164" s="2"/>
      <c r="C164" s="3"/>
      <c r="D164" s="2"/>
      <c r="E164" s="2"/>
      <c r="F164" s="8"/>
      <c r="G164" s="8"/>
      <c r="H164" s="2"/>
      <c r="I164" s="4"/>
      <c r="J164" s="2"/>
      <c r="K164" s="9"/>
      <c r="L164" s="2"/>
      <c r="M164" s="3"/>
      <c r="N164" s="2"/>
      <c r="O164" s="2"/>
      <c r="P164" s="3"/>
    </row>
    <row r="165" spans="1:16" x14ac:dyDescent="0.25">
      <c r="A165" s="2"/>
      <c r="B165" s="2"/>
      <c r="C165" s="3"/>
      <c r="D165" s="2"/>
      <c r="E165" s="2"/>
      <c r="F165" s="8"/>
      <c r="G165" s="8"/>
      <c r="H165" s="2"/>
      <c r="I165" s="4"/>
      <c r="J165" s="2"/>
      <c r="K165" s="9"/>
      <c r="L165" s="2"/>
      <c r="M165" s="3"/>
      <c r="N165" s="2"/>
      <c r="O165" s="2"/>
      <c r="P165" s="3"/>
    </row>
    <row r="166" spans="1:16" x14ac:dyDescent="0.25">
      <c r="A166" s="2"/>
      <c r="B166" s="2"/>
      <c r="C166" s="3"/>
      <c r="D166" s="2"/>
      <c r="E166" s="2"/>
      <c r="F166" s="8"/>
      <c r="G166" s="8"/>
      <c r="H166" s="2"/>
      <c r="I166" s="4"/>
      <c r="J166" s="2"/>
      <c r="K166" s="9"/>
      <c r="L166" s="2"/>
      <c r="M166" s="3"/>
      <c r="N166" s="2"/>
      <c r="O166" s="2"/>
      <c r="P166" s="3"/>
    </row>
    <row r="167" spans="1:16" x14ac:dyDescent="0.25">
      <c r="A167" s="2"/>
      <c r="B167" s="2"/>
      <c r="C167" s="3"/>
      <c r="D167" s="2"/>
      <c r="E167" s="2"/>
      <c r="F167" s="8"/>
      <c r="G167" s="8"/>
      <c r="H167" s="2"/>
      <c r="I167" s="4"/>
      <c r="J167" s="2"/>
      <c r="K167" s="9"/>
      <c r="L167" s="2"/>
      <c r="M167" s="3"/>
      <c r="N167" s="2"/>
      <c r="O167" s="2"/>
      <c r="P167" s="3"/>
    </row>
    <row r="168" spans="1:16" x14ac:dyDescent="0.25">
      <c r="A168" s="2"/>
      <c r="B168" s="2"/>
      <c r="C168" s="3"/>
      <c r="D168" s="2"/>
      <c r="E168" s="2"/>
      <c r="F168" s="8"/>
      <c r="G168" s="8"/>
      <c r="H168" s="2"/>
      <c r="I168" s="4"/>
      <c r="J168" s="2"/>
      <c r="K168" s="9"/>
      <c r="L168" s="2"/>
      <c r="M168" s="3"/>
      <c r="N168" s="2"/>
      <c r="O168" s="2"/>
      <c r="P168" s="3"/>
    </row>
    <row r="169" spans="1:16" x14ac:dyDescent="0.25">
      <c r="A169" s="2"/>
      <c r="B169" s="2"/>
      <c r="C169" s="3"/>
      <c r="D169" s="2"/>
      <c r="E169" s="2"/>
      <c r="F169" s="8"/>
      <c r="G169" s="8"/>
      <c r="H169" s="2"/>
      <c r="I169" s="4"/>
      <c r="J169" s="2"/>
      <c r="K169" s="9"/>
      <c r="L169" s="2"/>
      <c r="M169" s="3"/>
      <c r="N169" s="2"/>
      <c r="O169" s="2"/>
      <c r="P169" s="3"/>
    </row>
    <row r="170" spans="1:16" x14ac:dyDescent="0.25">
      <c r="A170" s="2"/>
      <c r="B170" s="2"/>
      <c r="C170" s="3"/>
      <c r="D170" s="2"/>
      <c r="E170" s="2"/>
      <c r="F170" s="8"/>
      <c r="G170" s="8"/>
      <c r="H170" s="2"/>
      <c r="I170" s="4"/>
      <c r="J170" s="2"/>
      <c r="K170" s="9"/>
      <c r="L170" s="2"/>
      <c r="M170" s="3"/>
      <c r="N170" s="2"/>
      <c r="O170" s="2"/>
      <c r="P170" s="3"/>
    </row>
    <row r="171" spans="1:16" x14ac:dyDescent="0.25">
      <c r="A171" s="2"/>
      <c r="B171" s="2"/>
      <c r="C171" s="3"/>
      <c r="D171" s="2"/>
      <c r="E171" s="2"/>
      <c r="F171" s="8"/>
      <c r="G171" s="8"/>
      <c r="H171" s="2"/>
      <c r="I171" s="4"/>
      <c r="J171" s="2"/>
      <c r="K171" s="9"/>
      <c r="L171" s="2"/>
      <c r="M171" s="3"/>
      <c r="N171" s="2"/>
      <c r="O171" s="2"/>
      <c r="P171" s="3"/>
    </row>
    <row r="172" spans="1:16" x14ac:dyDescent="0.25">
      <c r="A172" s="2"/>
      <c r="B172" s="2"/>
      <c r="C172" s="3"/>
      <c r="D172" s="2"/>
      <c r="E172" s="2"/>
      <c r="F172" s="8"/>
      <c r="G172" s="8"/>
      <c r="H172" s="2"/>
      <c r="I172" s="4"/>
      <c r="J172" s="2"/>
      <c r="K172" s="9"/>
      <c r="L172" s="2"/>
      <c r="M172" s="3"/>
      <c r="N172" s="2"/>
      <c r="O172" s="2"/>
      <c r="P172" s="3"/>
    </row>
    <row r="173" spans="1:16" x14ac:dyDescent="0.25">
      <c r="A173" s="2"/>
      <c r="B173" s="2"/>
      <c r="C173" s="3"/>
      <c r="D173" s="2"/>
      <c r="E173" s="2"/>
      <c r="F173" s="8"/>
      <c r="G173" s="8"/>
      <c r="H173" s="2"/>
      <c r="I173" s="4"/>
      <c r="J173" s="2"/>
      <c r="K173" s="9"/>
      <c r="L173" s="2"/>
      <c r="M173" s="3"/>
      <c r="N173" s="2"/>
      <c r="O173" s="2"/>
      <c r="P173" s="3"/>
    </row>
    <row r="174" spans="1:16" x14ac:dyDescent="0.25">
      <c r="A174" s="2"/>
      <c r="B174" s="2"/>
      <c r="C174" s="3"/>
      <c r="D174" s="2"/>
      <c r="E174" s="2"/>
      <c r="F174" s="8"/>
      <c r="G174" s="8"/>
      <c r="H174" s="2"/>
      <c r="I174" s="4"/>
      <c r="J174" s="2"/>
      <c r="K174" s="9"/>
      <c r="L174" s="2"/>
      <c r="M174" s="3"/>
      <c r="N174" s="2"/>
      <c r="O174" s="2"/>
      <c r="P174" s="3"/>
    </row>
    <row r="175" spans="1:16" x14ac:dyDescent="0.25">
      <c r="A175" s="2"/>
      <c r="B175" s="2"/>
      <c r="C175" s="3"/>
      <c r="D175" s="2"/>
      <c r="E175" s="2"/>
      <c r="F175" s="8"/>
      <c r="G175" s="8"/>
      <c r="H175" s="2"/>
      <c r="I175" s="4"/>
      <c r="J175" s="2"/>
      <c r="K175" s="9"/>
      <c r="L175" s="2"/>
      <c r="M175" s="3"/>
      <c r="N175" s="2"/>
      <c r="O175" s="2"/>
      <c r="P175" s="3"/>
    </row>
    <row r="176" spans="1:16" x14ac:dyDescent="0.25">
      <c r="A176" s="2"/>
      <c r="B176" s="2"/>
      <c r="C176" s="3"/>
      <c r="D176" s="2"/>
      <c r="E176" s="2"/>
      <c r="F176" s="8"/>
      <c r="G176" s="8"/>
      <c r="H176" s="2"/>
      <c r="I176" s="4"/>
      <c r="J176" s="2"/>
      <c r="K176" s="9"/>
      <c r="L176" s="2"/>
      <c r="M176" s="3"/>
      <c r="N176" s="2"/>
      <c r="O176" s="2"/>
      <c r="P176" s="3"/>
    </row>
    <row r="177" spans="1:16" x14ac:dyDescent="0.25">
      <c r="A177" s="2"/>
      <c r="B177" s="2"/>
      <c r="C177" s="3"/>
      <c r="D177" s="2"/>
      <c r="E177" s="2"/>
      <c r="F177" s="8"/>
      <c r="G177" s="8"/>
      <c r="H177" s="2"/>
      <c r="I177" s="4"/>
      <c r="J177" s="2"/>
      <c r="K177" s="9"/>
      <c r="L177" s="2"/>
      <c r="M177" s="3"/>
      <c r="N177" s="2"/>
      <c r="O177" s="2"/>
      <c r="P177" s="3"/>
    </row>
    <row r="178" spans="1:16" x14ac:dyDescent="0.25">
      <c r="A178" s="2"/>
      <c r="B178" s="2"/>
      <c r="C178" s="3"/>
      <c r="D178" s="2"/>
      <c r="E178" s="2"/>
      <c r="F178" s="8"/>
      <c r="G178" s="8"/>
      <c r="H178" s="2"/>
      <c r="I178" s="4"/>
      <c r="J178" s="2"/>
      <c r="K178" s="9"/>
      <c r="L178" s="2"/>
      <c r="M178" s="3"/>
      <c r="N178" s="2"/>
      <c r="O178" s="2"/>
      <c r="P178" s="3"/>
    </row>
    <row r="179" spans="1:16" x14ac:dyDescent="0.25">
      <c r="A179" s="2"/>
      <c r="B179" s="2"/>
      <c r="C179" s="3"/>
      <c r="D179" s="2"/>
      <c r="E179" s="2"/>
      <c r="F179" s="8"/>
      <c r="G179" s="8"/>
      <c r="H179" s="2"/>
      <c r="I179" s="4"/>
      <c r="J179" s="2"/>
      <c r="K179" s="9"/>
      <c r="L179" s="2"/>
      <c r="M179" s="3"/>
      <c r="N179" s="2"/>
      <c r="O179" s="2"/>
      <c r="P179" s="3"/>
    </row>
    <row r="180" spans="1:16" x14ac:dyDescent="0.25">
      <c r="A180" s="2"/>
      <c r="B180" s="2"/>
      <c r="C180" s="3"/>
      <c r="D180" s="2"/>
      <c r="E180" s="2"/>
      <c r="F180" s="8"/>
      <c r="G180" s="8"/>
      <c r="H180" s="2"/>
      <c r="I180" s="4"/>
      <c r="J180" s="2"/>
      <c r="K180" s="9"/>
      <c r="L180" s="2"/>
      <c r="M180" s="3"/>
      <c r="N180" s="2"/>
      <c r="O180" s="2"/>
      <c r="P180" s="3"/>
    </row>
    <row r="181" spans="1:16" x14ac:dyDescent="0.25">
      <c r="A181" s="2"/>
      <c r="B181" s="2"/>
      <c r="C181" s="3"/>
      <c r="D181" s="2"/>
      <c r="E181" s="2"/>
      <c r="F181" s="8"/>
      <c r="G181" s="8"/>
      <c r="H181" s="2"/>
      <c r="I181" s="4"/>
      <c r="J181" s="2"/>
      <c r="K181" s="9"/>
      <c r="L181" s="2"/>
      <c r="M181" s="3"/>
      <c r="N181" s="2"/>
      <c r="O181" s="2"/>
      <c r="P181" s="3"/>
    </row>
    <row r="182" spans="1:16" x14ac:dyDescent="0.25">
      <c r="A182" s="2"/>
      <c r="B182" s="2"/>
      <c r="C182" s="3"/>
      <c r="D182" s="2"/>
      <c r="E182" s="2"/>
      <c r="F182" s="8"/>
      <c r="G182" s="8"/>
      <c r="H182" s="2"/>
      <c r="I182" s="4"/>
      <c r="J182" s="2"/>
      <c r="K182" s="9"/>
      <c r="L182" s="2"/>
      <c r="M182" s="3"/>
      <c r="N182" s="2"/>
      <c r="O182" s="2"/>
      <c r="P182" s="3"/>
    </row>
    <row r="183" spans="1:16" x14ac:dyDescent="0.25">
      <c r="A183" s="2"/>
      <c r="B183" s="2"/>
      <c r="C183" s="3"/>
      <c r="D183" s="2"/>
      <c r="E183" s="2"/>
      <c r="F183" s="8"/>
      <c r="G183" s="8"/>
      <c r="H183" s="2"/>
      <c r="I183" s="4"/>
      <c r="J183" s="2"/>
      <c r="K183" s="9"/>
      <c r="L183" s="2"/>
      <c r="M183" s="3"/>
      <c r="N183" s="2"/>
      <c r="O183" s="2"/>
      <c r="P183" s="3"/>
    </row>
    <row r="184" spans="1:16" x14ac:dyDescent="0.25">
      <c r="A184" s="2"/>
      <c r="B184" s="2"/>
      <c r="C184" s="3"/>
      <c r="D184" s="2"/>
      <c r="E184" s="2"/>
      <c r="F184" s="8"/>
      <c r="G184" s="8"/>
      <c r="H184" s="2"/>
      <c r="I184" s="4"/>
      <c r="J184" s="2"/>
      <c r="K184" s="9"/>
      <c r="L184" s="2"/>
      <c r="M184" s="3"/>
      <c r="N184" s="2"/>
      <c r="O184" s="2"/>
      <c r="P184" s="3"/>
    </row>
    <row r="185" spans="1:16" x14ac:dyDescent="0.25">
      <c r="A185" s="2"/>
      <c r="B185" s="2"/>
      <c r="C185" s="3"/>
      <c r="D185" s="2"/>
      <c r="E185" s="2"/>
      <c r="F185" s="8"/>
      <c r="G185" s="8"/>
      <c r="H185" s="2"/>
      <c r="I185" s="4"/>
      <c r="J185" s="2"/>
      <c r="K185" s="9"/>
      <c r="L185" s="2"/>
      <c r="M185" s="3"/>
      <c r="N185" s="2"/>
      <c r="O185" s="2"/>
      <c r="P185" s="3"/>
    </row>
    <row r="186" spans="1:16" x14ac:dyDescent="0.25">
      <c r="A186" s="2"/>
      <c r="B186" s="2"/>
      <c r="C186" s="3"/>
      <c r="D186" s="2"/>
      <c r="E186" s="2"/>
      <c r="F186" s="8"/>
      <c r="G186" s="8"/>
      <c r="H186" s="2"/>
      <c r="I186" s="4"/>
      <c r="J186" s="2"/>
      <c r="K186" s="9"/>
      <c r="L186" s="2"/>
      <c r="M186" s="3"/>
      <c r="N186" s="2"/>
      <c r="O186" s="2"/>
      <c r="P186" s="3"/>
    </row>
    <row r="187" spans="1:16" x14ac:dyDescent="0.25">
      <c r="A187" s="2"/>
      <c r="B187" s="2"/>
      <c r="C187" s="3"/>
      <c r="D187" s="2"/>
      <c r="E187" s="2"/>
      <c r="F187" s="8"/>
      <c r="G187" s="8"/>
      <c r="H187" s="2"/>
      <c r="I187" s="4"/>
      <c r="J187" s="2"/>
      <c r="K187" s="9"/>
      <c r="L187" s="2"/>
      <c r="M187" s="3"/>
      <c r="N187" s="2"/>
      <c r="O187" s="2"/>
      <c r="P187" s="3"/>
    </row>
    <row r="188" spans="1:16" x14ac:dyDescent="0.25">
      <c r="A188" s="2"/>
      <c r="B188" s="2"/>
      <c r="C188" s="3"/>
      <c r="D188" s="2"/>
      <c r="E188" s="2"/>
      <c r="F188" s="8"/>
      <c r="G188" s="8"/>
      <c r="H188" s="2"/>
      <c r="I188" s="4"/>
      <c r="J188" s="2"/>
      <c r="K188" s="9"/>
      <c r="L188" s="2"/>
      <c r="M188" s="3"/>
      <c r="N188" s="2"/>
      <c r="O188" s="2"/>
      <c r="P188" s="3"/>
    </row>
    <row r="189" spans="1:16" x14ac:dyDescent="0.25">
      <c r="A189" s="2"/>
      <c r="B189" s="2"/>
      <c r="C189" s="3"/>
      <c r="D189" s="2"/>
      <c r="E189" s="2"/>
      <c r="F189" s="8"/>
      <c r="G189" s="8"/>
      <c r="H189" s="2"/>
      <c r="I189" s="4"/>
      <c r="J189" s="2"/>
      <c r="K189" s="9"/>
      <c r="L189" s="2"/>
      <c r="M189" s="3"/>
      <c r="N189" s="2"/>
      <c r="O189" s="2"/>
      <c r="P189" s="3"/>
    </row>
    <row r="190" spans="1:16" x14ac:dyDescent="0.25">
      <c r="A190" s="2"/>
      <c r="B190" s="2"/>
      <c r="C190" s="3"/>
      <c r="D190" s="2"/>
      <c r="E190" s="2"/>
      <c r="F190" s="8"/>
      <c r="G190" s="8"/>
      <c r="H190" s="2"/>
      <c r="I190" s="4"/>
      <c r="J190" s="2"/>
      <c r="K190" s="9"/>
      <c r="L190" s="2"/>
      <c r="M190" s="3"/>
      <c r="N190" s="2"/>
      <c r="O190" s="2"/>
      <c r="P190" s="3"/>
    </row>
    <row r="191" spans="1:16" x14ac:dyDescent="0.25">
      <c r="A191" s="2"/>
      <c r="B191" s="2"/>
      <c r="C191" s="3"/>
      <c r="D191" s="2"/>
      <c r="E191" s="2"/>
      <c r="F191" s="8"/>
      <c r="G191" s="8"/>
      <c r="H191" s="2"/>
      <c r="I191" s="4"/>
      <c r="J191" s="2"/>
      <c r="K191" s="9"/>
      <c r="L191" s="2"/>
      <c r="M191" s="3"/>
      <c r="N191" s="2"/>
      <c r="O191" s="2"/>
      <c r="P191" s="3"/>
    </row>
    <row r="192" spans="1:16" x14ac:dyDescent="0.25">
      <c r="A192" s="2"/>
      <c r="B192" s="2"/>
      <c r="C192" s="3"/>
      <c r="D192" s="2"/>
      <c r="E192" s="2"/>
      <c r="F192" s="8"/>
      <c r="G192" s="8"/>
      <c r="H192" s="2"/>
      <c r="I192" s="4"/>
      <c r="J192" s="2"/>
      <c r="K192" s="9"/>
      <c r="L192" s="2"/>
      <c r="M192" s="3"/>
      <c r="N192" s="2"/>
      <c r="O192" s="2"/>
      <c r="P192" s="3"/>
    </row>
    <row r="193" spans="1:16" x14ac:dyDescent="0.25">
      <c r="A193" s="2"/>
      <c r="B193" s="2"/>
      <c r="C193" s="3"/>
      <c r="D193" s="2"/>
      <c r="E193" s="2"/>
      <c r="F193" s="8"/>
      <c r="G193" s="8"/>
      <c r="H193" s="2"/>
      <c r="I193" s="4"/>
      <c r="J193" s="2"/>
      <c r="K193" s="9"/>
      <c r="L193" s="2"/>
      <c r="M193" s="3"/>
      <c r="N193" s="2"/>
      <c r="O193" s="2"/>
      <c r="P193" s="3"/>
    </row>
    <row r="194" spans="1:16" x14ac:dyDescent="0.25">
      <c r="A194" s="2"/>
      <c r="B194" s="2"/>
      <c r="C194" s="3"/>
      <c r="D194" s="2"/>
      <c r="E194" s="2"/>
      <c r="F194" s="8"/>
      <c r="G194" s="8"/>
      <c r="H194" s="2"/>
      <c r="I194" s="4"/>
      <c r="J194" s="2"/>
      <c r="K194" s="9"/>
      <c r="L194" s="2"/>
      <c r="M194" s="3"/>
      <c r="N194" s="2"/>
      <c r="O194" s="2"/>
      <c r="P194" s="3"/>
    </row>
    <row r="195" spans="1:16" x14ac:dyDescent="0.25">
      <c r="A195" s="2"/>
      <c r="B195" s="2"/>
      <c r="C195" s="3"/>
      <c r="D195" s="2"/>
      <c r="E195" s="2"/>
      <c r="F195" s="8"/>
      <c r="G195" s="8"/>
      <c r="H195" s="2"/>
      <c r="I195" s="4"/>
      <c r="J195" s="2"/>
      <c r="K195" s="9"/>
      <c r="L195" s="2"/>
      <c r="M195" s="3"/>
      <c r="N195" s="2"/>
      <c r="O195" s="2"/>
      <c r="P195" s="3"/>
    </row>
    <row r="196" spans="1:16" x14ac:dyDescent="0.25">
      <c r="A196" s="2"/>
      <c r="B196" s="2"/>
      <c r="C196" s="3"/>
      <c r="D196" s="2"/>
      <c r="E196" s="2"/>
      <c r="F196" s="8"/>
      <c r="G196" s="8"/>
      <c r="H196" s="2"/>
      <c r="I196" s="4"/>
      <c r="J196" s="2"/>
      <c r="K196" s="9"/>
      <c r="L196" s="2"/>
      <c r="M196" s="3"/>
      <c r="N196" s="2"/>
      <c r="O196" s="2"/>
      <c r="P196" s="3"/>
    </row>
    <row r="197" spans="1:16" x14ac:dyDescent="0.25">
      <c r="A197" s="2"/>
      <c r="B197" s="2"/>
      <c r="C197" s="3"/>
      <c r="D197" s="2"/>
      <c r="E197" s="2"/>
      <c r="F197" s="8"/>
      <c r="G197" s="8"/>
      <c r="H197" s="2"/>
      <c r="I197" s="4"/>
      <c r="J197" s="2"/>
      <c r="K197" s="9"/>
      <c r="L197" s="2"/>
      <c r="M197" s="3"/>
      <c r="N197" s="2"/>
      <c r="O197" s="2"/>
      <c r="P197" s="3"/>
    </row>
    <row r="198" spans="1:16" x14ac:dyDescent="0.25">
      <c r="A198" s="2"/>
      <c r="B198" s="2"/>
      <c r="C198" s="3"/>
      <c r="D198" s="2"/>
      <c r="E198" s="2"/>
      <c r="F198" s="8"/>
      <c r="G198" s="8"/>
      <c r="H198" s="2"/>
      <c r="I198" s="4"/>
      <c r="J198" s="2"/>
      <c r="K198" s="9"/>
      <c r="L198" s="2"/>
      <c r="M198" s="3"/>
      <c r="N198" s="2"/>
      <c r="O198" s="2"/>
      <c r="P198" s="3"/>
    </row>
    <row r="199" spans="1:16" x14ac:dyDescent="0.25">
      <c r="A199" s="2"/>
      <c r="B199" s="2"/>
      <c r="C199" s="3"/>
      <c r="D199" s="2"/>
      <c r="E199" s="2"/>
      <c r="F199" s="8"/>
      <c r="G199" s="8"/>
      <c r="H199" s="2"/>
      <c r="I199" s="4"/>
      <c r="J199" s="2"/>
      <c r="K199" s="9"/>
      <c r="L199" s="2"/>
      <c r="M199" s="3"/>
      <c r="N199" s="2"/>
      <c r="O199" s="2"/>
      <c r="P199" s="3"/>
    </row>
    <row r="200" spans="1:16" x14ac:dyDescent="0.25">
      <c r="A200" s="2"/>
      <c r="B200" s="2"/>
      <c r="C200" s="3"/>
      <c r="D200" s="2"/>
      <c r="E200" s="2"/>
      <c r="F200" s="8"/>
      <c r="G200" s="8"/>
      <c r="H200" s="2"/>
      <c r="I200" s="4"/>
      <c r="J200" s="2"/>
      <c r="K200" s="9"/>
      <c r="L200" s="2"/>
      <c r="M200" s="3"/>
      <c r="N200" s="2"/>
      <c r="O200" s="2"/>
      <c r="P200" s="3"/>
    </row>
    <row r="201" spans="1:16" x14ac:dyDescent="0.25">
      <c r="A201">
        <v>1</v>
      </c>
      <c r="B201" t="s">
        <v>38</v>
      </c>
      <c r="C201" t="s">
        <v>121</v>
      </c>
      <c r="D201" t="s">
        <v>40</v>
      </c>
      <c r="E201" t="s">
        <v>41</v>
      </c>
      <c r="F201" s="10">
        <v>45931</v>
      </c>
      <c r="G201" s="10">
        <v>46081</v>
      </c>
      <c r="H201" t="s">
        <v>2</v>
      </c>
      <c r="I201">
        <v>0.1</v>
      </c>
      <c r="K201">
        <v>350</v>
      </c>
      <c r="L201" t="s">
        <v>51</v>
      </c>
      <c r="M201" t="s">
        <v>122</v>
      </c>
      <c r="N201" t="s">
        <v>8</v>
      </c>
      <c r="O201" t="s">
        <v>13</v>
      </c>
      <c r="P201" t="s">
        <v>123</v>
      </c>
    </row>
    <row r="202" spans="1:16" x14ac:dyDescent="0.25">
      <c r="A202">
        <v>2</v>
      </c>
      <c r="B202" t="s">
        <v>54</v>
      </c>
      <c r="C202" t="s">
        <v>124</v>
      </c>
      <c r="D202" t="s">
        <v>97</v>
      </c>
      <c r="E202" t="s">
        <v>49</v>
      </c>
      <c r="F202" s="10">
        <v>46032</v>
      </c>
      <c r="G202" s="10">
        <v>46111</v>
      </c>
      <c r="H202" t="s">
        <v>3</v>
      </c>
      <c r="I202">
        <v>0.35</v>
      </c>
      <c r="J202" t="s">
        <v>42</v>
      </c>
      <c r="K202">
        <v>120</v>
      </c>
      <c r="L202" t="s">
        <v>51</v>
      </c>
      <c r="M202" t="s">
        <v>125</v>
      </c>
      <c r="N202" t="s">
        <v>7</v>
      </c>
      <c r="O202" t="s">
        <v>14</v>
      </c>
      <c r="P202" t="s">
        <v>126</v>
      </c>
    </row>
    <row r="203" spans="1:16" x14ac:dyDescent="0.25">
      <c r="A203">
        <v>3</v>
      </c>
      <c r="B203" t="s">
        <v>65</v>
      </c>
      <c r="C203" t="s">
        <v>127</v>
      </c>
      <c r="D203" t="s">
        <v>67</v>
      </c>
      <c r="E203" t="s">
        <v>57</v>
      </c>
      <c r="F203" s="10">
        <v>46113</v>
      </c>
      <c r="G203" s="10">
        <v>46234</v>
      </c>
      <c r="H203" t="s">
        <v>1</v>
      </c>
      <c r="I203">
        <v>0</v>
      </c>
      <c r="J203" t="s">
        <v>42</v>
      </c>
      <c r="K203">
        <v>80</v>
      </c>
      <c r="L203" t="s">
        <v>43</v>
      </c>
      <c r="M203" t="s">
        <v>128</v>
      </c>
      <c r="N203" t="s">
        <v>9</v>
      </c>
      <c r="O203" t="s">
        <v>12</v>
      </c>
      <c r="P203" t="s">
        <v>129</v>
      </c>
    </row>
  </sheetData>
  <conditionalFormatting sqref="A2:P200">
    <cfRule type="expression" dxfId="18" priority="1">
      <formula>INDIRECT("H"&amp;ROW())="Idée"</formula>
    </cfRule>
    <cfRule type="expression" dxfId="17" priority="2">
      <formula>INDIRECT("H"&amp;ROW())="Étude"</formula>
    </cfRule>
    <cfRule type="expression" dxfId="16" priority="3">
      <formula>INDIRECT("H"&amp;ROW())="En cours"</formula>
    </cfRule>
    <cfRule type="expression" dxfId="15" priority="4">
      <formula>INDIRECT("H"&amp;ROW())="Bloqué"</formula>
    </cfRule>
    <cfRule type="expression" dxfId="14" priority="5">
      <formula>INDIRECT("H"&amp;ROW())="Terminé"</formula>
    </cfRule>
  </conditionalFormatting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OFFSET(Listes!$B$1,0,0,1,COUNTA(Listes!$2:$2))</xm:f>
          </x14:formula1>
          <xm:sqref>H2:H200</xm:sqref>
        </x14:dataValidation>
        <x14:dataValidation type="list" allowBlank="1" showInputMessage="1" showErrorMessage="1" xr:uid="{00000000-0002-0000-0100-000001000000}">
          <x14:formula1>
            <xm:f>OFFSET(Listes!$B$2,0,0,1,COUNTA(Listes!$3:$3))</xm:f>
          </x14:formula1>
          <xm:sqref>N2:N200</xm:sqref>
        </x14:dataValidation>
        <x14:dataValidation type="list" allowBlank="1" showInputMessage="1" showErrorMessage="1" xr:uid="{00000000-0002-0000-0100-000002000000}">
          <x14:formula1>
            <xm:f>OFFSET(Listes!$B$3,0,0,1,COUNTA(Listes!$4:$4))</xm:f>
          </x14:formula1>
          <xm:sqref>O2:O200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67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8" customWidth="1"/>
    <col min="2" max="2" width="36" customWidth="1"/>
    <col min="3" max="4" width="12" customWidth="1"/>
    <col min="5" max="16" width="11" customWidth="1"/>
  </cols>
  <sheetData>
    <row r="1" spans="1:16" x14ac:dyDescent="0.25">
      <c r="A1" s="1" t="s">
        <v>24</v>
      </c>
      <c r="B1" s="1" t="s">
        <v>26</v>
      </c>
      <c r="C1" s="1" t="s">
        <v>29</v>
      </c>
      <c r="D1" s="1" t="s">
        <v>30</v>
      </c>
      <c r="E1" s="5" t="s">
        <v>130</v>
      </c>
      <c r="F1" s="5" t="s">
        <v>131</v>
      </c>
      <c r="G1" s="5" t="s">
        <v>132</v>
      </c>
      <c r="H1" s="5" t="s">
        <v>133</v>
      </c>
      <c r="I1" s="5" t="s">
        <v>134</v>
      </c>
      <c r="J1" s="5" t="s">
        <v>135</v>
      </c>
      <c r="K1" s="5" t="s">
        <v>136</v>
      </c>
      <c r="L1" s="5" t="s">
        <v>137</v>
      </c>
      <c r="M1" s="5" t="s">
        <v>138</v>
      </c>
      <c r="N1" s="5" t="s">
        <v>139</v>
      </c>
      <c r="O1" s="5" t="s">
        <v>140</v>
      </c>
      <c r="P1" s="5" t="s">
        <v>141</v>
      </c>
    </row>
    <row r="2" spans="1:16" x14ac:dyDescent="0.25">
      <c r="C2" s="10"/>
      <c r="D2" s="10"/>
      <c r="E2" s="6">
        <f>IF(AND($C2&lt;&gt;"",$D2&lt;&gt;""),IF(NOT(OR($D2&lt;DATE(2025,9,1),$C2&gt;DATE(2025,9,30))),1,0),0)</f>
        <v>0</v>
      </c>
      <c r="F2" s="6">
        <f>IF(AND($C2&lt;&gt;"",$D2&lt;&gt;""),IF(NOT(OR($D2&lt;DATE(2025,10,1),$C2&gt;DATE(2025,10,31))),1,0),0)</f>
        <v>0</v>
      </c>
      <c r="G2" s="6">
        <f>IF(AND($C2&lt;&gt;"",$D2&lt;&gt;""),IF(NOT(OR($D2&lt;DATE(2025,11,1),$C2&gt;DATE(2025,11,30))),1,0),0)</f>
        <v>0</v>
      </c>
      <c r="H2" s="6">
        <f>IF(AND($C2&lt;&gt;"",$D2&lt;&gt;""),IF(NOT(OR($D2&lt;DATE(2025,12,1),$C2&gt;DATE(2025,12,31))),1,0),0)</f>
        <v>0</v>
      </c>
      <c r="I2" s="6">
        <f>IF(AND($C2&lt;&gt;"",$D2&lt;&gt;""),IF(NOT(OR($D2&lt;DATE(2026,1,1),$C2&gt;DATE(2026,1,31))),1,0),0)</f>
        <v>0</v>
      </c>
      <c r="J2" s="6">
        <f>IF(AND($C2&lt;&gt;"",$D2&lt;&gt;""),IF(NOT(OR($D2&lt;DATE(2026,2,1),$C2&gt;DATE(2026,2,28))),1,0),0)</f>
        <v>0</v>
      </c>
      <c r="K2" s="6">
        <f>IF(AND($C2&lt;&gt;"",$D2&lt;&gt;""),IF(NOT(OR($D2&lt;DATE(2026,3,1),$C2&gt;DATE(2026,3,31))),1,0),0)</f>
        <v>0</v>
      </c>
      <c r="L2" s="6">
        <f>IF(AND($C2&lt;&gt;"",$D2&lt;&gt;""),IF(NOT(OR($D2&lt;DATE(2026,4,1),$C2&gt;DATE(2026,4,30))),1,0),0)</f>
        <v>0</v>
      </c>
      <c r="M2" s="6">
        <f>IF(AND($C2&lt;&gt;"",$D2&lt;&gt;""),IF(NOT(OR($D2&lt;DATE(2026,5,1),$C2&gt;DATE(2026,5,31))),1,0),0)</f>
        <v>0</v>
      </c>
      <c r="N2" s="6">
        <f>IF(AND($C2&lt;&gt;"",$D2&lt;&gt;""),IF(NOT(OR($D2&lt;DATE(2026,6,1),$C2&gt;DATE(2026,6,30))),1,0),0)</f>
        <v>0</v>
      </c>
      <c r="O2" s="6">
        <f>IF(AND($C2&lt;&gt;"",$D2&lt;&gt;""),IF(NOT(OR($D2&lt;DATE(2026,7,1),$C2&gt;DATE(2026,7,31))),1,0),0)</f>
        <v>0</v>
      </c>
      <c r="P2" s="6">
        <f>IF(AND($C2&lt;&gt;"",$D2&lt;&gt;""),IF(NOT(OR($D2&lt;DATE(2026,8,1),$C2&gt;DATE(2026,8,31))),1,0),0)</f>
        <v>0</v>
      </c>
    </row>
    <row r="3" spans="1:16" x14ac:dyDescent="0.25">
      <c r="C3" s="10"/>
      <c r="D3" s="10"/>
      <c r="E3" s="6">
        <f>IF(AND($C3&lt;&gt;"",$D3&lt;&gt;""),IF(NOT(OR($D3&lt;DATE(3035,9,1),$C3&gt;DATE(3035,9,30))),1,0),0)</f>
        <v>0</v>
      </c>
      <c r="F3" s="6">
        <f>IF(AND($C3&lt;&gt;"",$D3&lt;&gt;""),IF(NOT(OR($D3&lt;DATE(3035,10,1),$C3&gt;DATE(3035,10,31))),1,0),0)</f>
        <v>0</v>
      </c>
      <c r="G3" s="6">
        <f>IF(AND($C3&lt;&gt;"",$D3&lt;&gt;""),IF(NOT(OR($D3&lt;DATE(3035,11,1),$C3&gt;DATE(3035,11,30))),1,0),0)</f>
        <v>0</v>
      </c>
      <c r="H3" s="6">
        <f>IF(AND($C3&lt;&gt;"",$D3&lt;&gt;""),IF(NOT(OR($D3&lt;DATE(3035,13,1),$C3&gt;DATE(3035,13,31))),1,0),0)</f>
        <v>0</v>
      </c>
      <c r="I3" s="6">
        <f>IF(AND($C3&lt;&gt;"",$D3&lt;&gt;""),IF(NOT(OR($D3&lt;DATE(3036,1,1),$C3&gt;DATE(3036,1,31))),1,0),0)</f>
        <v>0</v>
      </c>
      <c r="J3" s="6">
        <f>IF(AND($C3&lt;&gt;"",$D3&lt;&gt;""),IF(NOT(OR($D3&lt;DATE(3036,3,1),$C3&gt;DATE(3036,3,38))),1,0),0)</f>
        <v>0</v>
      </c>
      <c r="K3" s="6">
        <f>IF(AND($C3&lt;&gt;"",$D3&lt;&gt;""),IF(NOT(OR($D3&lt;DATE(3036,3,1),$C3&gt;DATE(3036,3,31))),1,0),0)</f>
        <v>0</v>
      </c>
      <c r="L3" s="6">
        <f>IF(AND($C3&lt;&gt;"",$D3&lt;&gt;""),IF(NOT(OR($D3&lt;DATE(3036,4,1),$C3&gt;DATE(3036,4,30))),1,0),0)</f>
        <v>0</v>
      </c>
      <c r="M3" s="6">
        <f>IF(AND($C3&lt;&gt;"",$D3&lt;&gt;""),IF(NOT(OR($D3&lt;DATE(3036,5,1),$C3&gt;DATE(3036,5,31))),1,0),0)</f>
        <v>0</v>
      </c>
      <c r="N3" s="6">
        <f>IF(AND($C3&lt;&gt;"",$D3&lt;&gt;""),IF(NOT(OR($D3&lt;DATE(3036,6,1),$C3&gt;DATE(3036,6,30))),1,0),0)</f>
        <v>0</v>
      </c>
      <c r="O3" s="6">
        <f>IF(AND($C3&lt;&gt;"",$D3&lt;&gt;""),IF(NOT(OR($D3&lt;DATE(3036,7,1),$C3&gt;DATE(3036,7,31))),1,0),0)</f>
        <v>0</v>
      </c>
      <c r="P3" s="6">
        <f>IF(AND($C3&lt;&gt;"",$D3&lt;&gt;""),IF(NOT(OR($D3&lt;DATE(3036,8,1),$C3&gt;DATE(3036,8,31))),1,0),0)</f>
        <v>0</v>
      </c>
    </row>
    <row r="4" spans="1:16" x14ac:dyDescent="0.25">
      <c r="C4" s="10"/>
      <c r="D4" s="10"/>
      <c r="E4" s="6">
        <f>IF(AND($C4&lt;&gt;"",$D4&lt;&gt;""),IF(NOT(OR($D4&lt;DATE(4045,9,1),$C4&gt;DATE(4045,9,30))),1,0),0)</f>
        <v>0</v>
      </c>
      <c r="F4" s="6">
        <f>IF(AND($C4&lt;&gt;"",$D4&lt;&gt;""),IF(NOT(OR($D4&lt;DATE(4045,10,1),$C4&gt;DATE(4045,10,31))),1,0),0)</f>
        <v>0</v>
      </c>
      <c r="G4" s="6">
        <f>IF(AND($C4&lt;&gt;"",$D4&lt;&gt;""),IF(NOT(OR($D4&lt;DATE(4045,11,1),$C4&gt;DATE(4045,11,30))),1,0),0)</f>
        <v>0</v>
      </c>
      <c r="H4" s="6">
        <f>IF(AND($C4&lt;&gt;"",$D4&lt;&gt;""),IF(NOT(OR($D4&lt;DATE(4045,14,1),$C4&gt;DATE(4045,14,31))),1,0),0)</f>
        <v>0</v>
      </c>
      <c r="I4" s="6">
        <f>IF(AND($C4&lt;&gt;"",$D4&lt;&gt;""),IF(NOT(OR($D4&lt;DATE(4046,1,1),$C4&gt;DATE(4046,1,31))),1,0),0)</f>
        <v>0</v>
      </c>
      <c r="J4" s="6">
        <f>IF(AND($C4&lt;&gt;"",$D4&lt;&gt;""),IF(NOT(OR($D4&lt;DATE(4046,4,1),$C4&gt;DATE(4046,4,48))),1,0),0)</f>
        <v>0</v>
      </c>
      <c r="K4" s="6">
        <f>IF(AND($C4&lt;&gt;"",$D4&lt;&gt;""),IF(NOT(OR($D4&lt;DATE(4046,3,1),$C4&gt;DATE(4046,3,31))),1,0),0)</f>
        <v>0</v>
      </c>
      <c r="L4" s="6">
        <f>IF(AND($C4&lt;&gt;"",$D4&lt;&gt;""),IF(NOT(OR($D4&lt;DATE(4046,4,1),$C4&gt;DATE(4046,4,30))),1,0),0)</f>
        <v>0</v>
      </c>
      <c r="M4" s="6">
        <f>IF(AND($C4&lt;&gt;"",$D4&lt;&gt;""),IF(NOT(OR($D4&lt;DATE(4046,5,1),$C4&gt;DATE(4046,5,31))),1,0),0)</f>
        <v>0</v>
      </c>
      <c r="N4" s="6">
        <f>IF(AND($C4&lt;&gt;"",$D4&lt;&gt;""),IF(NOT(OR($D4&lt;DATE(4046,6,1),$C4&gt;DATE(4046,6,30))),1,0),0)</f>
        <v>0</v>
      </c>
      <c r="O4" s="6">
        <f>IF(AND($C4&lt;&gt;"",$D4&lt;&gt;""),IF(NOT(OR($D4&lt;DATE(4046,7,1),$C4&gt;DATE(4046,7,31))),1,0),0)</f>
        <v>0</v>
      </c>
      <c r="P4" s="6">
        <f>IF(AND($C4&lt;&gt;"",$D4&lt;&gt;""),IF(NOT(OR($D4&lt;DATE(4046,8,1),$C4&gt;DATE(4046,8,31))),1,0),0)</f>
        <v>0</v>
      </c>
    </row>
    <row r="5" spans="1:16" x14ac:dyDescent="0.25">
      <c r="C5" s="10"/>
      <c r="D5" s="10"/>
      <c r="E5" s="6">
        <f>IF(AND($C5&lt;&gt;"",$D5&lt;&gt;""),IF(NOT(OR($D5&lt;DATE(5055,9,1),$C5&gt;DATE(5055,9,30))),1,0),0)</f>
        <v>0</v>
      </c>
      <c r="F5" s="6">
        <f>IF(AND($C5&lt;&gt;"",$D5&lt;&gt;""),IF(NOT(OR($D5&lt;DATE(5055,10,1),$C5&gt;DATE(5055,10,31))),1,0),0)</f>
        <v>0</v>
      </c>
      <c r="G5" s="6">
        <f>IF(AND($C5&lt;&gt;"",$D5&lt;&gt;""),IF(NOT(OR($D5&lt;DATE(5055,11,1),$C5&gt;DATE(5055,11,30))),1,0),0)</f>
        <v>0</v>
      </c>
      <c r="H5" s="6">
        <f>IF(AND($C5&lt;&gt;"",$D5&lt;&gt;""),IF(NOT(OR($D5&lt;DATE(5055,15,1),$C5&gt;DATE(5055,15,31))),1,0),0)</f>
        <v>0</v>
      </c>
      <c r="I5" s="6">
        <f>IF(AND($C5&lt;&gt;"",$D5&lt;&gt;""),IF(NOT(OR($D5&lt;DATE(5056,1,1),$C5&gt;DATE(5056,1,31))),1,0),0)</f>
        <v>0</v>
      </c>
      <c r="J5" s="6">
        <f>IF(AND($C5&lt;&gt;"",$D5&lt;&gt;""),IF(NOT(OR($D5&lt;DATE(5056,5,1),$C5&gt;DATE(5056,5,58))),1,0),0)</f>
        <v>0</v>
      </c>
      <c r="K5" s="6">
        <f>IF(AND($C5&lt;&gt;"",$D5&lt;&gt;""),IF(NOT(OR($D5&lt;DATE(5056,3,1),$C5&gt;DATE(5056,3,31))),1,0),0)</f>
        <v>0</v>
      </c>
      <c r="L5" s="6">
        <f>IF(AND($C5&lt;&gt;"",$D5&lt;&gt;""),IF(NOT(OR($D5&lt;DATE(5056,4,1),$C5&gt;DATE(5056,4,30))),1,0),0)</f>
        <v>0</v>
      </c>
      <c r="M5" s="6">
        <f>IF(AND($C5&lt;&gt;"",$D5&lt;&gt;""),IF(NOT(OR($D5&lt;DATE(5056,5,1),$C5&gt;DATE(5056,5,31))),1,0),0)</f>
        <v>0</v>
      </c>
      <c r="N5" s="6">
        <f>IF(AND($C5&lt;&gt;"",$D5&lt;&gt;""),IF(NOT(OR($D5&lt;DATE(5056,6,1),$C5&gt;DATE(5056,6,30))),1,0),0)</f>
        <v>0</v>
      </c>
      <c r="O5" s="6">
        <f>IF(AND($C5&lt;&gt;"",$D5&lt;&gt;""),IF(NOT(OR($D5&lt;DATE(5056,7,1),$C5&gt;DATE(5056,7,31))),1,0),0)</f>
        <v>0</v>
      </c>
      <c r="P5" s="6">
        <f>IF(AND($C5&lt;&gt;"",$D5&lt;&gt;""),IF(NOT(OR($D5&lt;DATE(5056,8,1),$C5&gt;DATE(5056,8,31))),1,0),0)</f>
        <v>0</v>
      </c>
    </row>
    <row r="6" spans="1:16" x14ac:dyDescent="0.25">
      <c r="C6" s="10"/>
      <c r="D6" s="10"/>
      <c r="E6" s="6">
        <f>IF(AND($C6&lt;&gt;"",$D6&lt;&gt;""),IF(NOT(OR($D6&lt;DATE(6065,9,1),$C6&gt;DATE(6065,9,30))),1,0),0)</f>
        <v>0</v>
      </c>
      <c r="F6" s="6">
        <f>IF(AND($C6&lt;&gt;"",$D6&lt;&gt;""),IF(NOT(OR($D6&lt;DATE(6065,10,1),$C6&gt;DATE(6065,10,31))),1,0),0)</f>
        <v>0</v>
      </c>
      <c r="G6" s="6">
        <f>IF(AND($C6&lt;&gt;"",$D6&lt;&gt;""),IF(NOT(OR($D6&lt;DATE(6065,11,1),$C6&gt;DATE(6065,11,30))),1,0),0)</f>
        <v>0</v>
      </c>
      <c r="H6" s="6">
        <f>IF(AND($C6&lt;&gt;"",$D6&lt;&gt;""),IF(NOT(OR($D6&lt;DATE(6065,16,1),$C6&gt;DATE(6065,16,31))),1,0),0)</f>
        <v>0</v>
      </c>
      <c r="I6" s="6">
        <f>IF(AND($C6&lt;&gt;"",$D6&lt;&gt;""),IF(NOT(OR($D6&lt;DATE(6066,1,1),$C6&gt;DATE(6066,1,31))),1,0),0)</f>
        <v>0</v>
      </c>
      <c r="J6" s="6">
        <f>IF(AND($C6&lt;&gt;"",$D6&lt;&gt;""),IF(NOT(OR($D6&lt;DATE(6066,6,1),$C6&gt;DATE(6066,6,68))),1,0),0)</f>
        <v>0</v>
      </c>
      <c r="K6" s="6">
        <f>IF(AND($C6&lt;&gt;"",$D6&lt;&gt;""),IF(NOT(OR($D6&lt;DATE(6066,3,1),$C6&gt;DATE(6066,3,31))),1,0),0)</f>
        <v>0</v>
      </c>
      <c r="L6" s="6">
        <f>IF(AND($C6&lt;&gt;"",$D6&lt;&gt;""),IF(NOT(OR($D6&lt;DATE(6066,4,1),$C6&gt;DATE(6066,4,30))),1,0),0)</f>
        <v>0</v>
      </c>
      <c r="M6" s="6">
        <f>IF(AND($C6&lt;&gt;"",$D6&lt;&gt;""),IF(NOT(OR($D6&lt;DATE(6066,5,1),$C6&gt;DATE(6066,5,31))),1,0),0)</f>
        <v>0</v>
      </c>
      <c r="N6" s="6">
        <f>IF(AND($C6&lt;&gt;"",$D6&lt;&gt;""),IF(NOT(OR($D6&lt;DATE(6066,6,1),$C6&gt;DATE(6066,6,30))),1,0),0)</f>
        <v>0</v>
      </c>
      <c r="O6" s="6">
        <f>IF(AND($C6&lt;&gt;"",$D6&lt;&gt;""),IF(NOT(OR($D6&lt;DATE(6066,7,1),$C6&gt;DATE(6066,7,31))),1,0),0)</f>
        <v>0</v>
      </c>
      <c r="P6" s="6">
        <f>IF(AND($C6&lt;&gt;"",$D6&lt;&gt;""),IF(NOT(OR($D6&lt;DATE(6066,8,1),$C6&gt;DATE(6066,8,31))),1,0),0)</f>
        <v>0</v>
      </c>
    </row>
    <row r="7" spans="1:16" x14ac:dyDescent="0.25">
      <c r="C7" s="10"/>
      <c r="D7" s="10"/>
      <c r="E7" s="6">
        <f>IF(AND($C7&lt;&gt;"",$D7&lt;&gt;""),IF(NOT(OR($D7&lt;DATE(7075,9,1),$C7&gt;DATE(7075,9,30))),1,0),0)</f>
        <v>0</v>
      </c>
      <c r="F7" s="6">
        <f>IF(AND($C7&lt;&gt;"",$D7&lt;&gt;""),IF(NOT(OR($D7&lt;DATE(7075,10,1),$C7&gt;DATE(7075,10,31))),1,0),0)</f>
        <v>0</v>
      </c>
      <c r="G7" s="6">
        <f>IF(AND($C7&lt;&gt;"",$D7&lt;&gt;""),IF(NOT(OR($D7&lt;DATE(7075,11,1),$C7&gt;DATE(7075,11,30))),1,0),0)</f>
        <v>0</v>
      </c>
      <c r="H7" s="6">
        <f>IF(AND($C7&lt;&gt;"",$D7&lt;&gt;""),IF(NOT(OR($D7&lt;DATE(7075,17,1),$C7&gt;DATE(7075,17,31))),1,0),0)</f>
        <v>0</v>
      </c>
      <c r="I7" s="6">
        <f>IF(AND($C7&lt;&gt;"",$D7&lt;&gt;""),IF(NOT(OR($D7&lt;DATE(7076,1,1),$C7&gt;DATE(7076,1,31))),1,0),0)</f>
        <v>0</v>
      </c>
      <c r="J7" s="6">
        <f>IF(AND($C7&lt;&gt;"",$D7&lt;&gt;""),IF(NOT(OR($D7&lt;DATE(7076,7,1),$C7&gt;DATE(7076,7,78))),1,0),0)</f>
        <v>0</v>
      </c>
      <c r="K7" s="6">
        <f>IF(AND($C7&lt;&gt;"",$D7&lt;&gt;""),IF(NOT(OR($D7&lt;DATE(7076,3,1),$C7&gt;DATE(7076,3,31))),1,0),0)</f>
        <v>0</v>
      </c>
      <c r="L7" s="6">
        <f>IF(AND($C7&lt;&gt;"",$D7&lt;&gt;""),IF(NOT(OR($D7&lt;DATE(7076,4,1),$C7&gt;DATE(7076,4,30))),1,0),0)</f>
        <v>0</v>
      </c>
      <c r="M7" s="6">
        <f>IF(AND($C7&lt;&gt;"",$D7&lt;&gt;""),IF(NOT(OR($D7&lt;DATE(7076,5,1),$C7&gt;DATE(7076,5,31))),1,0),0)</f>
        <v>0</v>
      </c>
      <c r="N7" s="6">
        <f>IF(AND($C7&lt;&gt;"",$D7&lt;&gt;""),IF(NOT(OR($D7&lt;DATE(7076,6,1),$C7&gt;DATE(7076,6,30))),1,0),0)</f>
        <v>0</v>
      </c>
      <c r="O7" s="6">
        <f>IF(AND($C7&lt;&gt;"",$D7&lt;&gt;""),IF(NOT(OR($D7&lt;DATE(7076,7,1),$C7&gt;DATE(7076,7,31))),1,0),0)</f>
        <v>0</v>
      </c>
      <c r="P7" s="6">
        <f>IF(AND($C7&lt;&gt;"",$D7&lt;&gt;""),IF(NOT(OR($D7&lt;DATE(7076,8,1),$C7&gt;DATE(7076,8,31))),1,0),0)</f>
        <v>0</v>
      </c>
    </row>
    <row r="8" spans="1:16" x14ac:dyDescent="0.25">
      <c r="C8" s="10"/>
      <c r="D8" s="10"/>
      <c r="E8" s="6">
        <f>IF(AND($C8&lt;&gt;"",$D8&lt;&gt;""),IF(NOT(OR($D8&lt;DATE(8085,9,1),$C8&gt;DATE(8085,9,30))),1,0),0)</f>
        <v>0</v>
      </c>
      <c r="F8" s="6">
        <f>IF(AND($C8&lt;&gt;"",$D8&lt;&gt;""),IF(NOT(OR($D8&lt;DATE(8085,10,1),$C8&gt;DATE(8085,10,31))),1,0),0)</f>
        <v>0</v>
      </c>
      <c r="G8" s="6">
        <f>IF(AND($C8&lt;&gt;"",$D8&lt;&gt;""),IF(NOT(OR($D8&lt;DATE(8085,11,1),$C8&gt;DATE(8085,11,30))),1,0),0)</f>
        <v>0</v>
      </c>
      <c r="H8" s="6">
        <f>IF(AND($C8&lt;&gt;"",$D8&lt;&gt;""),IF(NOT(OR($D8&lt;DATE(8085,18,1),$C8&gt;DATE(8085,18,31))),1,0),0)</f>
        <v>0</v>
      </c>
      <c r="I8" s="6">
        <f>IF(AND($C8&lt;&gt;"",$D8&lt;&gt;""),IF(NOT(OR($D8&lt;DATE(8086,1,1),$C8&gt;DATE(8086,1,31))),1,0),0)</f>
        <v>0</v>
      </c>
      <c r="J8" s="6">
        <f>IF(AND($C8&lt;&gt;"",$D8&lt;&gt;""),IF(NOT(OR($D8&lt;DATE(8086,8,1),$C8&gt;DATE(8086,8,88))),1,0),0)</f>
        <v>0</v>
      </c>
      <c r="K8" s="6">
        <f>IF(AND($C8&lt;&gt;"",$D8&lt;&gt;""),IF(NOT(OR($D8&lt;DATE(8086,3,1),$C8&gt;DATE(8086,3,31))),1,0),0)</f>
        <v>0</v>
      </c>
      <c r="L8" s="6">
        <f>IF(AND($C8&lt;&gt;"",$D8&lt;&gt;""),IF(NOT(OR($D8&lt;DATE(8086,4,1),$C8&gt;DATE(8086,4,30))),1,0),0)</f>
        <v>0</v>
      </c>
      <c r="M8" s="6">
        <f>IF(AND($C8&lt;&gt;"",$D8&lt;&gt;""),IF(NOT(OR($D8&lt;DATE(8086,5,1),$C8&gt;DATE(8086,5,31))),1,0),0)</f>
        <v>0</v>
      </c>
      <c r="N8" s="6">
        <f>IF(AND($C8&lt;&gt;"",$D8&lt;&gt;""),IF(NOT(OR($D8&lt;DATE(8086,6,1),$C8&gt;DATE(8086,6,30))),1,0),0)</f>
        <v>0</v>
      </c>
      <c r="O8" s="6">
        <f>IF(AND($C8&lt;&gt;"",$D8&lt;&gt;""),IF(NOT(OR($D8&lt;DATE(8086,7,1),$C8&gt;DATE(8086,7,31))),1,0),0)</f>
        <v>0</v>
      </c>
      <c r="P8" s="6">
        <f>IF(AND($C8&lt;&gt;"",$D8&lt;&gt;""),IF(NOT(OR($D8&lt;DATE(8086,8,1),$C8&gt;DATE(8086,8,31))),1,0),0)</f>
        <v>0</v>
      </c>
    </row>
    <row r="9" spans="1:16" x14ac:dyDescent="0.25">
      <c r="C9" s="10"/>
      <c r="D9" s="10"/>
      <c r="E9" s="6">
        <f>IF(AND($C9&lt;&gt;"",$D9&lt;&gt;""),IF(NOT(OR($D9&lt;DATE(9095,9,1),$C9&gt;DATE(9095,9,30))),1,0),0)</f>
        <v>0</v>
      </c>
      <c r="F9" s="6">
        <f>IF(AND($C9&lt;&gt;"",$D9&lt;&gt;""),IF(NOT(OR($D9&lt;DATE(9095,10,1),$C9&gt;DATE(9095,10,31))),1,0),0)</f>
        <v>0</v>
      </c>
      <c r="G9" s="6">
        <f>IF(AND($C9&lt;&gt;"",$D9&lt;&gt;""),IF(NOT(OR($D9&lt;DATE(9095,11,1),$C9&gt;DATE(9095,11,30))),1,0),0)</f>
        <v>0</v>
      </c>
      <c r="H9" s="6">
        <f>IF(AND($C9&lt;&gt;"",$D9&lt;&gt;""),IF(NOT(OR($D9&lt;DATE(9095,19,1),$C9&gt;DATE(9095,19,31))),1,0),0)</f>
        <v>0</v>
      </c>
      <c r="I9" s="6">
        <f>IF(AND($C9&lt;&gt;"",$D9&lt;&gt;""),IF(NOT(OR($D9&lt;DATE(9096,1,1),$C9&gt;DATE(9096,1,31))),1,0),0)</f>
        <v>0</v>
      </c>
      <c r="J9" s="6">
        <f>IF(AND($C9&lt;&gt;"",$D9&lt;&gt;""),IF(NOT(OR($D9&lt;DATE(9096,9,1),$C9&gt;DATE(9096,9,98))),1,0),0)</f>
        <v>0</v>
      </c>
      <c r="K9" s="6">
        <f>IF(AND($C9&lt;&gt;"",$D9&lt;&gt;""),IF(NOT(OR($D9&lt;DATE(9096,3,1),$C9&gt;DATE(9096,3,31))),1,0),0)</f>
        <v>0</v>
      </c>
      <c r="L9" s="6">
        <f>IF(AND($C9&lt;&gt;"",$D9&lt;&gt;""),IF(NOT(OR($D9&lt;DATE(9096,4,1),$C9&gt;DATE(9096,4,30))),1,0),0)</f>
        <v>0</v>
      </c>
      <c r="M9" s="6">
        <f>IF(AND($C9&lt;&gt;"",$D9&lt;&gt;""),IF(NOT(OR($D9&lt;DATE(9096,5,1),$C9&gt;DATE(9096,5,31))),1,0),0)</f>
        <v>0</v>
      </c>
      <c r="N9" s="6">
        <f>IF(AND($C9&lt;&gt;"",$D9&lt;&gt;""),IF(NOT(OR($D9&lt;DATE(9096,6,1),$C9&gt;DATE(9096,6,30))),1,0),0)</f>
        <v>0</v>
      </c>
      <c r="O9" s="6">
        <f>IF(AND($C9&lt;&gt;"",$D9&lt;&gt;""),IF(NOT(OR($D9&lt;DATE(9096,7,1),$C9&gt;DATE(9096,7,31))),1,0),0)</f>
        <v>0</v>
      </c>
      <c r="P9" s="6">
        <f>IF(AND($C9&lt;&gt;"",$D9&lt;&gt;""),IF(NOT(OR($D9&lt;DATE(9096,8,1),$C9&gt;DATE(9096,8,31))),1,0),0)</f>
        <v>0</v>
      </c>
    </row>
    <row r="10" spans="1:16" x14ac:dyDescent="0.25">
      <c r="C10" s="10"/>
      <c r="D10" s="10"/>
      <c r="E10" s="6">
        <f>IF(AND($C10&lt;&gt;"",$D10&lt;&gt;""),IF(NOT(OR($D10&lt;DATE(100105,9,1),$C10&gt;DATE(100105,9,30))),1,0),0)</f>
        <v>0</v>
      </c>
      <c r="F10" s="6">
        <f>IF(AND($C10&lt;&gt;"",$D10&lt;&gt;""),IF(NOT(OR($D10&lt;DATE(100105,10,1),$C10&gt;DATE(100105,10,31))),1,0),0)</f>
        <v>0</v>
      </c>
      <c r="G10" s="6">
        <f>IF(AND($C10&lt;&gt;"",$D10&lt;&gt;""),IF(NOT(OR($D10&lt;DATE(100105,11,1),$C10&gt;DATE(100105,11,30))),1,0),0)</f>
        <v>0</v>
      </c>
      <c r="H10" s="6">
        <f>IF(AND($C10&lt;&gt;"",$D10&lt;&gt;""),IF(NOT(OR($D10&lt;DATE(100105,110,1),$C10&gt;DATE(100105,110,31))),1,0),0)</f>
        <v>0</v>
      </c>
      <c r="I10" s="6">
        <f>IF(AND($C10&lt;&gt;"",$D10&lt;&gt;""),IF(NOT(OR($D10&lt;DATE(100106,1,1),$C10&gt;DATE(100106,1,31))),1,0),0)</f>
        <v>0</v>
      </c>
      <c r="J10" s="6">
        <f>IF(AND($C10&lt;&gt;"",$D10&lt;&gt;""),IF(NOT(OR($D10&lt;DATE(100106,10,1),$C10&gt;DATE(100106,10,108))),1,0),0)</f>
        <v>0</v>
      </c>
      <c r="K10" s="6">
        <f>IF(AND($C10&lt;&gt;"",$D10&lt;&gt;""),IF(NOT(OR($D10&lt;DATE(100106,3,1),$C10&gt;DATE(100106,3,31))),1,0),0)</f>
        <v>0</v>
      </c>
      <c r="L10" s="6">
        <f>IF(AND($C10&lt;&gt;"",$D10&lt;&gt;""),IF(NOT(OR($D10&lt;DATE(100106,4,1),$C10&gt;DATE(100106,4,30))),1,0),0)</f>
        <v>0</v>
      </c>
      <c r="M10" s="6">
        <f>IF(AND($C10&lt;&gt;"",$D10&lt;&gt;""),IF(NOT(OR($D10&lt;DATE(100106,5,1),$C10&gt;DATE(100106,5,31))),1,0),0)</f>
        <v>0</v>
      </c>
      <c r="N10" s="6">
        <f>IF(AND($C10&lt;&gt;"",$D10&lt;&gt;""),IF(NOT(OR($D10&lt;DATE(100106,6,1),$C10&gt;DATE(100106,6,30))),1,0),0)</f>
        <v>0</v>
      </c>
      <c r="O10" s="6">
        <f>IF(AND($C10&lt;&gt;"",$D10&lt;&gt;""),IF(NOT(OR($D10&lt;DATE(100106,7,1),$C10&gt;DATE(100106,7,31))),1,0),0)</f>
        <v>0</v>
      </c>
      <c r="P10" s="6">
        <f>IF(AND($C10&lt;&gt;"",$D10&lt;&gt;""),IF(NOT(OR($D10&lt;DATE(100106,8,1),$C10&gt;DATE(100106,8,31))),1,0),0)</f>
        <v>0</v>
      </c>
    </row>
    <row r="11" spans="1:16" x14ac:dyDescent="0.25">
      <c r="C11" s="10"/>
      <c r="D11" s="10"/>
      <c r="E11" s="6">
        <f>IF(AND($C11&lt;&gt;"",$D11&lt;&gt;""),IF(NOT(OR($D11&lt;DATE(110115,9,1),$C11&gt;DATE(110115,9,30))),1,0),0)</f>
        <v>0</v>
      </c>
      <c r="F11" s="6">
        <f>IF(AND($C11&lt;&gt;"",$D11&lt;&gt;""),IF(NOT(OR($D11&lt;DATE(110115,10,1),$C11&gt;DATE(110115,10,31))),1,0),0)</f>
        <v>0</v>
      </c>
      <c r="G11" s="6">
        <f>IF(AND($C11&lt;&gt;"",$D11&lt;&gt;""),IF(NOT(OR($D11&lt;DATE(110115,11,1),$C11&gt;DATE(110115,11,30))),1,0),0)</f>
        <v>0</v>
      </c>
      <c r="H11" s="6">
        <f>IF(AND($C11&lt;&gt;"",$D11&lt;&gt;""),IF(NOT(OR($D11&lt;DATE(110115,111,1),$C11&gt;DATE(110115,111,31))),1,0),0)</f>
        <v>0</v>
      </c>
      <c r="I11" s="6">
        <f>IF(AND($C11&lt;&gt;"",$D11&lt;&gt;""),IF(NOT(OR($D11&lt;DATE(110116,1,1),$C11&gt;DATE(110116,1,31))),1,0),0)</f>
        <v>0</v>
      </c>
      <c r="J11" s="6">
        <f>IF(AND($C11&lt;&gt;"",$D11&lt;&gt;""),IF(NOT(OR($D11&lt;DATE(110116,11,1),$C11&gt;DATE(110116,11,118))),1,0),0)</f>
        <v>0</v>
      </c>
      <c r="K11" s="6">
        <f>IF(AND($C11&lt;&gt;"",$D11&lt;&gt;""),IF(NOT(OR($D11&lt;DATE(110116,3,1),$C11&gt;DATE(110116,3,31))),1,0),0)</f>
        <v>0</v>
      </c>
      <c r="L11" s="6">
        <f>IF(AND($C11&lt;&gt;"",$D11&lt;&gt;""),IF(NOT(OR($D11&lt;DATE(110116,4,1),$C11&gt;DATE(110116,4,30))),1,0),0)</f>
        <v>0</v>
      </c>
      <c r="M11" s="6">
        <f>IF(AND($C11&lt;&gt;"",$D11&lt;&gt;""),IF(NOT(OR($D11&lt;DATE(110116,5,1),$C11&gt;DATE(110116,5,31))),1,0),0)</f>
        <v>0</v>
      </c>
      <c r="N11" s="6">
        <f>IF(AND($C11&lt;&gt;"",$D11&lt;&gt;""),IF(NOT(OR($D11&lt;DATE(110116,6,1),$C11&gt;DATE(110116,6,30))),1,0),0)</f>
        <v>0</v>
      </c>
      <c r="O11" s="6">
        <f>IF(AND($C11&lt;&gt;"",$D11&lt;&gt;""),IF(NOT(OR($D11&lt;DATE(110116,7,1),$C11&gt;DATE(110116,7,31))),1,0),0)</f>
        <v>0</v>
      </c>
      <c r="P11" s="6">
        <f>IF(AND($C11&lt;&gt;"",$D11&lt;&gt;""),IF(NOT(OR($D11&lt;DATE(110116,8,1),$C11&gt;DATE(110116,8,31))),1,0),0)</f>
        <v>0</v>
      </c>
    </row>
    <row r="12" spans="1:16" x14ac:dyDescent="0.25">
      <c r="C12" s="10"/>
      <c r="D12" s="10"/>
      <c r="E12" s="6">
        <f>IF(AND($C12&lt;&gt;"",$D12&lt;&gt;""),IF(NOT(OR($D12&lt;DATE(120125,9,1),$C12&gt;DATE(120125,9,30))),1,0),0)</f>
        <v>0</v>
      </c>
      <c r="F12" s="6">
        <f>IF(AND($C12&lt;&gt;"",$D12&lt;&gt;""),IF(NOT(OR($D12&lt;DATE(120125,10,1),$C12&gt;DATE(120125,10,31))),1,0),0)</f>
        <v>0</v>
      </c>
      <c r="G12" s="6">
        <f>IF(AND($C12&lt;&gt;"",$D12&lt;&gt;""),IF(NOT(OR($D12&lt;DATE(120125,11,1),$C12&gt;DATE(120125,11,30))),1,0),0)</f>
        <v>0</v>
      </c>
      <c r="H12" s="6">
        <f>IF(AND($C12&lt;&gt;"",$D12&lt;&gt;""),IF(NOT(OR($D12&lt;DATE(120125,112,1),$C12&gt;DATE(120125,112,31))),1,0),0)</f>
        <v>0</v>
      </c>
      <c r="I12" s="6">
        <f>IF(AND($C12&lt;&gt;"",$D12&lt;&gt;""),IF(NOT(OR($D12&lt;DATE(120126,1,1),$C12&gt;DATE(120126,1,31))),1,0),0)</f>
        <v>0</v>
      </c>
      <c r="J12" s="6">
        <f>IF(AND($C12&lt;&gt;"",$D12&lt;&gt;""),IF(NOT(OR($D12&lt;DATE(120126,12,1),$C12&gt;DATE(120126,12,128))),1,0),0)</f>
        <v>0</v>
      </c>
      <c r="K12" s="6">
        <f>IF(AND($C12&lt;&gt;"",$D12&lt;&gt;""),IF(NOT(OR($D12&lt;DATE(120126,3,1),$C12&gt;DATE(120126,3,31))),1,0),0)</f>
        <v>0</v>
      </c>
      <c r="L12" s="6">
        <f>IF(AND($C12&lt;&gt;"",$D12&lt;&gt;""),IF(NOT(OR($D12&lt;DATE(120126,4,1),$C12&gt;DATE(120126,4,30))),1,0),0)</f>
        <v>0</v>
      </c>
      <c r="M12" s="6">
        <f>IF(AND($C12&lt;&gt;"",$D12&lt;&gt;""),IF(NOT(OR($D12&lt;DATE(120126,5,1),$C12&gt;DATE(120126,5,31))),1,0),0)</f>
        <v>0</v>
      </c>
      <c r="N12" s="6">
        <f>IF(AND($C12&lt;&gt;"",$D12&lt;&gt;""),IF(NOT(OR($D12&lt;DATE(120126,6,1),$C12&gt;DATE(120126,6,30))),1,0),0)</f>
        <v>0</v>
      </c>
      <c r="O12" s="6">
        <f>IF(AND($C12&lt;&gt;"",$D12&lt;&gt;""),IF(NOT(OR($D12&lt;DATE(120126,7,1),$C12&gt;DATE(120126,7,31))),1,0),0)</f>
        <v>0</v>
      </c>
      <c r="P12" s="6">
        <f>IF(AND($C12&lt;&gt;"",$D12&lt;&gt;""),IF(NOT(OR($D12&lt;DATE(120126,8,1),$C12&gt;DATE(120126,8,31))),1,0),0)</f>
        <v>0</v>
      </c>
    </row>
    <row r="13" spans="1:16" x14ac:dyDescent="0.25">
      <c r="C13" s="10"/>
      <c r="D13" s="10"/>
      <c r="E13" s="6">
        <f>IF(AND($C13&lt;&gt;"",$D13&lt;&gt;""),IF(NOT(OR($D13&lt;DATE(130135,9,1),$C13&gt;DATE(130135,9,30))),1,0),0)</f>
        <v>0</v>
      </c>
      <c r="F13" s="6">
        <f>IF(AND($C13&lt;&gt;"",$D13&lt;&gt;""),IF(NOT(OR($D13&lt;DATE(130135,10,1),$C13&gt;DATE(130135,10,31))),1,0),0)</f>
        <v>0</v>
      </c>
      <c r="G13" s="6">
        <f>IF(AND($C13&lt;&gt;"",$D13&lt;&gt;""),IF(NOT(OR($D13&lt;DATE(130135,11,1),$C13&gt;DATE(130135,11,30))),1,0),0)</f>
        <v>0</v>
      </c>
      <c r="H13" s="6">
        <f>IF(AND($C13&lt;&gt;"",$D13&lt;&gt;""),IF(NOT(OR($D13&lt;DATE(130135,113,1),$C13&gt;DATE(130135,113,31))),1,0),0)</f>
        <v>0</v>
      </c>
      <c r="I13" s="6">
        <f>IF(AND($C13&lt;&gt;"",$D13&lt;&gt;""),IF(NOT(OR($D13&lt;DATE(130136,1,1),$C13&gt;DATE(130136,1,31))),1,0),0)</f>
        <v>0</v>
      </c>
      <c r="J13" s="6">
        <f>IF(AND($C13&lt;&gt;"",$D13&lt;&gt;""),IF(NOT(OR($D13&lt;DATE(130136,13,1),$C13&gt;DATE(130136,13,138))),1,0),0)</f>
        <v>0</v>
      </c>
      <c r="K13" s="6">
        <f>IF(AND($C13&lt;&gt;"",$D13&lt;&gt;""),IF(NOT(OR($D13&lt;DATE(130136,3,1),$C13&gt;DATE(130136,3,31))),1,0),0)</f>
        <v>0</v>
      </c>
      <c r="L13" s="6">
        <f>IF(AND($C13&lt;&gt;"",$D13&lt;&gt;""),IF(NOT(OR($D13&lt;DATE(130136,4,1),$C13&gt;DATE(130136,4,30))),1,0),0)</f>
        <v>0</v>
      </c>
      <c r="M13" s="6">
        <f>IF(AND($C13&lt;&gt;"",$D13&lt;&gt;""),IF(NOT(OR($D13&lt;DATE(130136,5,1),$C13&gt;DATE(130136,5,31))),1,0),0)</f>
        <v>0</v>
      </c>
      <c r="N13" s="6">
        <f>IF(AND($C13&lt;&gt;"",$D13&lt;&gt;""),IF(NOT(OR($D13&lt;DATE(130136,6,1),$C13&gt;DATE(130136,6,30))),1,0),0)</f>
        <v>0</v>
      </c>
      <c r="O13" s="6">
        <f>IF(AND($C13&lt;&gt;"",$D13&lt;&gt;""),IF(NOT(OR($D13&lt;DATE(130136,7,1),$C13&gt;DATE(130136,7,31))),1,0),0)</f>
        <v>0</v>
      </c>
      <c r="P13" s="6">
        <f>IF(AND($C13&lt;&gt;"",$D13&lt;&gt;""),IF(NOT(OR($D13&lt;DATE(130136,8,1),$C13&gt;DATE(130136,8,31))),1,0),0)</f>
        <v>0</v>
      </c>
    </row>
    <row r="14" spans="1:16" x14ac:dyDescent="0.25">
      <c r="C14" s="10"/>
      <c r="D14" s="10"/>
      <c r="E14" s="6">
        <f>IF(AND($C14&lt;&gt;"",$D14&lt;&gt;""),IF(NOT(OR($D14&lt;DATE(140145,9,1),$C14&gt;DATE(140145,9,30))),1,0),0)</f>
        <v>0</v>
      </c>
      <c r="F14" s="6">
        <f>IF(AND($C14&lt;&gt;"",$D14&lt;&gt;""),IF(NOT(OR($D14&lt;DATE(140145,10,1),$C14&gt;DATE(140145,10,31))),1,0),0)</f>
        <v>0</v>
      </c>
      <c r="G14" s="6">
        <f>IF(AND($C14&lt;&gt;"",$D14&lt;&gt;""),IF(NOT(OR($D14&lt;DATE(140145,11,1),$C14&gt;DATE(140145,11,30))),1,0),0)</f>
        <v>0</v>
      </c>
      <c r="H14" s="6">
        <f>IF(AND($C14&lt;&gt;"",$D14&lt;&gt;""),IF(NOT(OR($D14&lt;DATE(140145,114,1),$C14&gt;DATE(140145,114,31))),1,0),0)</f>
        <v>0</v>
      </c>
      <c r="I14" s="6">
        <f>IF(AND($C14&lt;&gt;"",$D14&lt;&gt;""),IF(NOT(OR($D14&lt;DATE(140146,1,1),$C14&gt;DATE(140146,1,31))),1,0),0)</f>
        <v>0</v>
      </c>
      <c r="J14" s="6">
        <f>IF(AND($C14&lt;&gt;"",$D14&lt;&gt;""),IF(NOT(OR($D14&lt;DATE(140146,14,1),$C14&gt;DATE(140146,14,148))),1,0),0)</f>
        <v>0</v>
      </c>
      <c r="K14" s="6">
        <f>IF(AND($C14&lt;&gt;"",$D14&lt;&gt;""),IF(NOT(OR($D14&lt;DATE(140146,3,1),$C14&gt;DATE(140146,3,31))),1,0),0)</f>
        <v>0</v>
      </c>
      <c r="L14" s="6">
        <f>IF(AND($C14&lt;&gt;"",$D14&lt;&gt;""),IF(NOT(OR($D14&lt;DATE(140146,4,1),$C14&gt;DATE(140146,4,30))),1,0),0)</f>
        <v>0</v>
      </c>
      <c r="M14" s="6">
        <f>IF(AND($C14&lt;&gt;"",$D14&lt;&gt;""),IF(NOT(OR($D14&lt;DATE(140146,5,1),$C14&gt;DATE(140146,5,31))),1,0),0)</f>
        <v>0</v>
      </c>
      <c r="N14" s="6">
        <f>IF(AND($C14&lt;&gt;"",$D14&lt;&gt;""),IF(NOT(OR($D14&lt;DATE(140146,6,1),$C14&gt;DATE(140146,6,30))),1,0),0)</f>
        <v>0</v>
      </c>
      <c r="O14" s="6">
        <f>IF(AND($C14&lt;&gt;"",$D14&lt;&gt;""),IF(NOT(OR($D14&lt;DATE(140146,7,1),$C14&gt;DATE(140146,7,31))),1,0),0)</f>
        <v>0</v>
      </c>
      <c r="P14" s="6">
        <f>IF(AND($C14&lt;&gt;"",$D14&lt;&gt;""),IF(NOT(OR($D14&lt;DATE(140146,8,1),$C14&gt;DATE(140146,8,31))),1,0),0)</f>
        <v>0</v>
      </c>
    </row>
    <row r="15" spans="1:16" x14ac:dyDescent="0.25">
      <c r="C15" s="10"/>
      <c r="D15" s="10"/>
      <c r="E15" s="6">
        <f>IF(AND($C15&lt;&gt;"",$D15&lt;&gt;""),IF(NOT(OR($D15&lt;DATE(150155,9,1),$C15&gt;DATE(150155,9,30))),1,0),0)</f>
        <v>0</v>
      </c>
      <c r="F15" s="6">
        <f>IF(AND($C15&lt;&gt;"",$D15&lt;&gt;""),IF(NOT(OR($D15&lt;DATE(150155,10,1),$C15&gt;DATE(150155,10,31))),1,0),0)</f>
        <v>0</v>
      </c>
      <c r="G15" s="6">
        <f>IF(AND($C15&lt;&gt;"",$D15&lt;&gt;""),IF(NOT(OR($D15&lt;DATE(150155,11,1),$C15&gt;DATE(150155,11,30))),1,0),0)</f>
        <v>0</v>
      </c>
      <c r="H15" s="6">
        <f>IF(AND($C15&lt;&gt;"",$D15&lt;&gt;""),IF(NOT(OR($D15&lt;DATE(150155,115,1),$C15&gt;DATE(150155,115,31))),1,0),0)</f>
        <v>0</v>
      </c>
      <c r="I15" s="6">
        <f>IF(AND($C15&lt;&gt;"",$D15&lt;&gt;""),IF(NOT(OR($D15&lt;DATE(150156,1,1),$C15&gt;DATE(150156,1,31))),1,0),0)</f>
        <v>0</v>
      </c>
      <c r="J15" s="6">
        <f>IF(AND($C15&lt;&gt;"",$D15&lt;&gt;""),IF(NOT(OR($D15&lt;DATE(150156,15,1),$C15&gt;DATE(150156,15,158))),1,0),0)</f>
        <v>0</v>
      </c>
      <c r="K15" s="6">
        <f>IF(AND($C15&lt;&gt;"",$D15&lt;&gt;""),IF(NOT(OR($D15&lt;DATE(150156,3,1),$C15&gt;DATE(150156,3,31))),1,0),0)</f>
        <v>0</v>
      </c>
      <c r="L15" s="6">
        <f>IF(AND($C15&lt;&gt;"",$D15&lt;&gt;""),IF(NOT(OR($D15&lt;DATE(150156,4,1),$C15&gt;DATE(150156,4,30))),1,0),0)</f>
        <v>0</v>
      </c>
      <c r="M15" s="6">
        <f>IF(AND($C15&lt;&gt;"",$D15&lt;&gt;""),IF(NOT(OR($D15&lt;DATE(150156,5,1),$C15&gt;DATE(150156,5,31))),1,0),0)</f>
        <v>0</v>
      </c>
      <c r="N15" s="6">
        <f>IF(AND($C15&lt;&gt;"",$D15&lt;&gt;""),IF(NOT(OR($D15&lt;DATE(150156,6,1),$C15&gt;DATE(150156,6,30))),1,0),0)</f>
        <v>0</v>
      </c>
      <c r="O15" s="6">
        <f>IF(AND($C15&lt;&gt;"",$D15&lt;&gt;""),IF(NOT(OR($D15&lt;DATE(150156,7,1),$C15&gt;DATE(150156,7,31))),1,0),0)</f>
        <v>0</v>
      </c>
      <c r="P15" s="6">
        <f>IF(AND($C15&lt;&gt;"",$D15&lt;&gt;""),IF(NOT(OR($D15&lt;DATE(150156,8,1),$C15&gt;DATE(150156,8,31))),1,0),0)</f>
        <v>0</v>
      </c>
    </row>
    <row r="16" spans="1:16" x14ac:dyDescent="0.25">
      <c r="C16" s="10"/>
      <c r="D16" s="10"/>
      <c r="E16" s="6">
        <f>IF(AND($C16&lt;&gt;"",$D16&lt;&gt;""),IF(NOT(OR($D16&lt;DATE(160165,9,1),$C16&gt;DATE(160165,9,30))),1,0),0)</f>
        <v>0</v>
      </c>
      <c r="F16" s="6">
        <f>IF(AND($C16&lt;&gt;"",$D16&lt;&gt;""),IF(NOT(OR($D16&lt;DATE(160165,10,1),$C16&gt;DATE(160165,10,31))),1,0),0)</f>
        <v>0</v>
      </c>
      <c r="G16" s="6">
        <f>IF(AND($C16&lt;&gt;"",$D16&lt;&gt;""),IF(NOT(OR($D16&lt;DATE(160165,11,1),$C16&gt;DATE(160165,11,30))),1,0),0)</f>
        <v>0</v>
      </c>
      <c r="H16" s="6">
        <f>IF(AND($C16&lt;&gt;"",$D16&lt;&gt;""),IF(NOT(OR($D16&lt;DATE(160165,116,1),$C16&gt;DATE(160165,116,31))),1,0),0)</f>
        <v>0</v>
      </c>
      <c r="I16" s="6">
        <f>IF(AND($C16&lt;&gt;"",$D16&lt;&gt;""),IF(NOT(OR($D16&lt;DATE(160166,1,1),$C16&gt;DATE(160166,1,31))),1,0),0)</f>
        <v>0</v>
      </c>
      <c r="J16" s="6">
        <f>IF(AND($C16&lt;&gt;"",$D16&lt;&gt;""),IF(NOT(OR($D16&lt;DATE(160166,16,1),$C16&gt;DATE(160166,16,168))),1,0),0)</f>
        <v>0</v>
      </c>
      <c r="K16" s="6">
        <f>IF(AND($C16&lt;&gt;"",$D16&lt;&gt;""),IF(NOT(OR($D16&lt;DATE(160166,3,1),$C16&gt;DATE(160166,3,31))),1,0),0)</f>
        <v>0</v>
      </c>
      <c r="L16" s="6">
        <f>IF(AND($C16&lt;&gt;"",$D16&lt;&gt;""),IF(NOT(OR($D16&lt;DATE(160166,4,1),$C16&gt;DATE(160166,4,30))),1,0),0)</f>
        <v>0</v>
      </c>
      <c r="M16" s="6">
        <f>IF(AND($C16&lt;&gt;"",$D16&lt;&gt;""),IF(NOT(OR($D16&lt;DATE(160166,5,1),$C16&gt;DATE(160166,5,31))),1,0),0)</f>
        <v>0</v>
      </c>
      <c r="N16" s="6">
        <f>IF(AND($C16&lt;&gt;"",$D16&lt;&gt;""),IF(NOT(OR($D16&lt;DATE(160166,6,1),$C16&gt;DATE(160166,6,30))),1,0),0)</f>
        <v>0</v>
      </c>
      <c r="O16" s="6">
        <f>IF(AND($C16&lt;&gt;"",$D16&lt;&gt;""),IF(NOT(OR($D16&lt;DATE(160166,7,1),$C16&gt;DATE(160166,7,31))),1,0),0)</f>
        <v>0</v>
      </c>
      <c r="P16" s="6">
        <f>IF(AND($C16&lt;&gt;"",$D16&lt;&gt;""),IF(NOT(OR($D16&lt;DATE(160166,8,1),$C16&gt;DATE(160166,8,31))),1,0),0)</f>
        <v>0</v>
      </c>
    </row>
    <row r="17" spans="3:16" x14ac:dyDescent="0.25">
      <c r="C17" s="10"/>
      <c r="D17" s="10"/>
      <c r="E17" s="6">
        <f>IF(AND($C17&lt;&gt;"",$D17&lt;&gt;""),IF(NOT(OR($D17&lt;DATE(170175,9,1),$C17&gt;DATE(170175,9,30))),1,0),0)</f>
        <v>0</v>
      </c>
      <c r="F17" s="6">
        <f>IF(AND($C17&lt;&gt;"",$D17&lt;&gt;""),IF(NOT(OR($D17&lt;DATE(170175,10,1),$C17&gt;DATE(170175,10,31))),1,0),0)</f>
        <v>0</v>
      </c>
      <c r="G17" s="6">
        <f>IF(AND($C17&lt;&gt;"",$D17&lt;&gt;""),IF(NOT(OR($D17&lt;DATE(170175,11,1),$C17&gt;DATE(170175,11,30))),1,0),0)</f>
        <v>0</v>
      </c>
      <c r="H17" s="6">
        <f>IF(AND($C17&lt;&gt;"",$D17&lt;&gt;""),IF(NOT(OR($D17&lt;DATE(170175,117,1),$C17&gt;DATE(170175,117,31))),1,0),0)</f>
        <v>0</v>
      </c>
      <c r="I17" s="6">
        <f>IF(AND($C17&lt;&gt;"",$D17&lt;&gt;""),IF(NOT(OR($D17&lt;DATE(170176,1,1),$C17&gt;DATE(170176,1,31))),1,0),0)</f>
        <v>0</v>
      </c>
      <c r="J17" s="6">
        <f>IF(AND($C17&lt;&gt;"",$D17&lt;&gt;""),IF(NOT(OR($D17&lt;DATE(170176,17,1),$C17&gt;DATE(170176,17,178))),1,0),0)</f>
        <v>0</v>
      </c>
      <c r="K17" s="6">
        <f>IF(AND($C17&lt;&gt;"",$D17&lt;&gt;""),IF(NOT(OR($D17&lt;DATE(170176,3,1),$C17&gt;DATE(170176,3,31))),1,0),0)</f>
        <v>0</v>
      </c>
      <c r="L17" s="6">
        <f>IF(AND($C17&lt;&gt;"",$D17&lt;&gt;""),IF(NOT(OR($D17&lt;DATE(170176,4,1),$C17&gt;DATE(170176,4,30))),1,0),0)</f>
        <v>0</v>
      </c>
      <c r="M17" s="6">
        <f>IF(AND($C17&lt;&gt;"",$D17&lt;&gt;""),IF(NOT(OR($D17&lt;DATE(170176,5,1),$C17&gt;DATE(170176,5,31))),1,0),0)</f>
        <v>0</v>
      </c>
      <c r="N17" s="6">
        <f>IF(AND($C17&lt;&gt;"",$D17&lt;&gt;""),IF(NOT(OR($D17&lt;DATE(170176,6,1),$C17&gt;DATE(170176,6,30))),1,0),0)</f>
        <v>0</v>
      </c>
      <c r="O17" s="6">
        <f>IF(AND($C17&lt;&gt;"",$D17&lt;&gt;""),IF(NOT(OR($D17&lt;DATE(170176,7,1),$C17&gt;DATE(170176,7,31))),1,0),0)</f>
        <v>0</v>
      </c>
      <c r="P17" s="6">
        <f>IF(AND($C17&lt;&gt;"",$D17&lt;&gt;""),IF(NOT(OR($D17&lt;DATE(170176,8,1),$C17&gt;DATE(170176,8,31))),1,0),0)</f>
        <v>0</v>
      </c>
    </row>
    <row r="18" spans="3:16" x14ac:dyDescent="0.25">
      <c r="C18" s="10"/>
      <c r="D18" s="10"/>
      <c r="E18" s="6">
        <f>IF(AND($C18&lt;&gt;"",$D18&lt;&gt;""),IF(NOT(OR($D18&lt;DATE(180185,9,1),$C18&gt;DATE(180185,9,30))),1,0),0)</f>
        <v>0</v>
      </c>
      <c r="F18" s="6">
        <f>IF(AND($C18&lt;&gt;"",$D18&lt;&gt;""),IF(NOT(OR($D18&lt;DATE(180185,10,1),$C18&gt;DATE(180185,10,31))),1,0),0)</f>
        <v>0</v>
      </c>
      <c r="G18" s="6">
        <f>IF(AND($C18&lt;&gt;"",$D18&lt;&gt;""),IF(NOT(OR($D18&lt;DATE(180185,11,1),$C18&gt;DATE(180185,11,30))),1,0),0)</f>
        <v>0</v>
      </c>
      <c r="H18" s="6">
        <f>IF(AND($C18&lt;&gt;"",$D18&lt;&gt;""),IF(NOT(OR($D18&lt;DATE(180185,118,1),$C18&gt;DATE(180185,118,31))),1,0),0)</f>
        <v>0</v>
      </c>
      <c r="I18" s="6">
        <f>IF(AND($C18&lt;&gt;"",$D18&lt;&gt;""),IF(NOT(OR($D18&lt;DATE(180186,1,1),$C18&gt;DATE(180186,1,31))),1,0),0)</f>
        <v>0</v>
      </c>
      <c r="J18" s="6">
        <f>IF(AND($C18&lt;&gt;"",$D18&lt;&gt;""),IF(NOT(OR($D18&lt;DATE(180186,18,1),$C18&gt;DATE(180186,18,188))),1,0),0)</f>
        <v>0</v>
      </c>
      <c r="K18" s="6">
        <f>IF(AND($C18&lt;&gt;"",$D18&lt;&gt;""),IF(NOT(OR($D18&lt;DATE(180186,3,1),$C18&gt;DATE(180186,3,31))),1,0),0)</f>
        <v>0</v>
      </c>
      <c r="L18" s="6">
        <f>IF(AND($C18&lt;&gt;"",$D18&lt;&gt;""),IF(NOT(OR($D18&lt;DATE(180186,4,1),$C18&gt;DATE(180186,4,30))),1,0),0)</f>
        <v>0</v>
      </c>
      <c r="M18" s="6">
        <f>IF(AND($C18&lt;&gt;"",$D18&lt;&gt;""),IF(NOT(OR($D18&lt;DATE(180186,5,1),$C18&gt;DATE(180186,5,31))),1,0),0)</f>
        <v>0</v>
      </c>
      <c r="N18" s="6">
        <f>IF(AND($C18&lt;&gt;"",$D18&lt;&gt;""),IF(NOT(OR($D18&lt;DATE(180186,6,1),$C18&gt;DATE(180186,6,30))),1,0),0)</f>
        <v>0</v>
      </c>
      <c r="O18" s="6">
        <f>IF(AND($C18&lt;&gt;"",$D18&lt;&gt;""),IF(NOT(OR($D18&lt;DATE(180186,7,1),$C18&gt;DATE(180186,7,31))),1,0),0)</f>
        <v>0</v>
      </c>
      <c r="P18" s="6">
        <f>IF(AND($C18&lt;&gt;"",$D18&lt;&gt;""),IF(NOT(OR($D18&lt;DATE(180186,8,1),$C18&gt;DATE(180186,8,31))),1,0),0)</f>
        <v>0</v>
      </c>
    </row>
    <row r="19" spans="3:16" x14ac:dyDescent="0.25">
      <c r="C19" s="10"/>
      <c r="D19" s="10"/>
      <c r="E19" s="6">
        <f>IF(AND($C19&lt;&gt;"",$D19&lt;&gt;""),IF(NOT(OR($D19&lt;DATE(190195,9,1),$C19&gt;DATE(190195,9,30))),1,0),0)</f>
        <v>0</v>
      </c>
      <c r="F19" s="6">
        <f>IF(AND($C19&lt;&gt;"",$D19&lt;&gt;""),IF(NOT(OR($D19&lt;DATE(190195,10,1),$C19&gt;DATE(190195,10,31))),1,0),0)</f>
        <v>0</v>
      </c>
      <c r="G19" s="6">
        <f>IF(AND($C19&lt;&gt;"",$D19&lt;&gt;""),IF(NOT(OR($D19&lt;DATE(190195,11,1),$C19&gt;DATE(190195,11,30))),1,0),0)</f>
        <v>0</v>
      </c>
      <c r="H19" s="6">
        <f>IF(AND($C19&lt;&gt;"",$D19&lt;&gt;""),IF(NOT(OR($D19&lt;DATE(190195,119,1),$C19&gt;DATE(190195,119,31))),1,0),0)</f>
        <v>0</v>
      </c>
      <c r="I19" s="6">
        <f>IF(AND($C19&lt;&gt;"",$D19&lt;&gt;""),IF(NOT(OR($D19&lt;DATE(190196,1,1),$C19&gt;DATE(190196,1,31))),1,0),0)</f>
        <v>0</v>
      </c>
      <c r="J19" s="6">
        <f>IF(AND($C19&lt;&gt;"",$D19&lt;&gt;""),IF(NOT(OR($D19&lt;DATE(190196,19,1),$C19&gt;DATE(190196,19,198))),1,0),0)</f>
        <v>0</v>
      </c>
      <c r="K19" s="6">
        <f>IF(AND($C19&lt;&gt;"",$D19&lt;&gt;""),IF(NOT(OR($D19&lt;DATE(190196,3,1),$C19&gt;DATE(190196,3,31))),1,0),0)</f>
        <v>0</v>
      </c>
      <c r="L19" s="6">
        <f>IF(AND($C19&lt;&gt;"",$D19&lt;&gt;""),IF(NOT(OR($D19&lt;DATE(190196,4,1),$C19&gt;DATE(190196,4,30))),1,0),0)</f>
        <v>0</v>
      </c>
      <c r="M19" s="6">
        <f>IF(AND($C19&lt;&gt;"",$D19&lt;&gt;""),IF(NOT(OR($D19&lt;DATE(190196,5,1),$C19&gt;DATE(190196,5,31))),1,0),0)</f>
        <v>0</v>
      </c>
      <c r="N19" s="6">
        <f>IF(AND($C19&lt;&gt;"",$D19&lt;&gt;""),IF(NOT(OR($D19&lt;DATE(190196,6,1),$C19&gt;DATE(190196,6,30))),1,0),0)</f>
        <v>0</v>
      </c>
      <c r="O19" s="6">
        <f>IF(AND($C19&lt;&gt;"",$D19&lt;&gt;""),IF(NOT(OR($D19&lt;DATE(190196,7,1),$C19&gt;DATE(190196,7,31))),1,0),0)</f>
        <v>0</v>
      </c>
      <c r="P19" s="6">
        <f>IF(AND($C19&lt;&gt;"",$D19&lt;&gt;""),IF(NOT(OR($D19&lt;DATE(190196,8,1),$C19&gt;DATE(190196,8,31))),1,0),0)</f>
        <v>0</v>
      </c>
    </row>
    <row r="20" spans="3:16" x14ac:dyDescent="0.25">
      <c r="C20" s="10"/>
      <c r="D20" s="10"/>
      <c r="E20" s="6">
        <f>IF(AND($C20&lt;&gt;"",$D20&lt;&gt;""),IF(NOT(OR($D20&lt;DATE(200205,9,1),$C20&gt;DATE(200205,9,30))),1,0),0)</f>
        <v>0</v>
      </c>
      <c r="F20" s="6">
        <f>IF(AND($C20&lt;&gt;"",$D20&lt;&gt;""),IF(NOT(OR($D20&lt;DATE(200205,10,1),$C20&gt;DATE(200205,10,31))),1,0),0)</f>
        <v>0</v>
      </c>
      <c r="G20" s="6">
        <f>IF(AND($C20&lt;&gt;"",$D20&lt;&gt;""),IF(NOT(OR($D20&lt;DATE(200205,11,1),$C20&gt;DATE(200205,11,30))),1,0),0)</f>
        <v>0</v>
      </c>
      <c r="H20" s="6">
        <f>IF(AND($C20&lt;&gt;"",$D20&lt;&gt;""),IF(NOT(OR($D20&lt;DATE(200205,120,1),$C20&gt;DATE(200205,120,31))),1,0),0)</f>
        <v>0</v>
      </c>
      <c r="I20" s="6">
        <f>IF(AND($C20&lt;&gt;"",$D20&lt;&gt;""),IF(NOT(OR($D20&lt;DATE(200206,1,1),$C20&gt;DATE(200206,1,31))),1,0),0)</f>
        <v>0</v>
      </c>
      <c r="J20" s="6">
        <f>IF(AND($C20&lt;&gt;"",$D20&lt;&gt;""),IF(NOT(OR($D20&lt;DATE(200206,20,1),$C20&gt;DATE(200206,20,208))),1,0),0)</f>
        <v>0</v>
      </c>
      <c r="K20" s="6">
        <f>IF(AND($C20&lt;&gt;"",$D20&lt;&gt;""),IF(NOT(OR($D20&lt;DATE(200206,3,1),$C20&gt;DATE(200206,3,31))),1,0),0)</f>
        <v>0</v>
      </c>
      <c r="L20" s="6">
        <f>IF(AND($C20&lt;&gt;"",$D20&lt;&gt;""),IF(NOT(OR($D20&lt;DATE(200206,4,1),$C20&gt;DATE(200206,4,30))),1,0),0)</f>
        <v>0</v>
      </c>
      <c r="M20" s="6">
        <f>IF(AND($C20&lt;&gt;"",$D20&lt;&gt;""),IF(NOT(OR($D20&lt;DATE(200206,5,1),$C20&gt;DATE(200206,5,31))),1,0),0)</f>
        <v>0</v>
      </c>
      <c r="N20" s="6">
        <f>IF(AND($C20&lt;&gt;"",$D20&lt;&gt;""),IF(NOT(OR($D20&lt;DATE(200206,6,1),$C20&gt;DATE(200206,6,30))),1,0),0)</f>
        <v>0</v>
      </c>
      <c r="O20" s="6">
        <f>IF(AND($C20&lt;&gt;"",$D20&lt;&gt;""),IF(NOT(OR($D20&lt;DATE(200206,7,1),$C20&gt;DATE(200206,7,31))),1,0),0)</f>
        <v>0</v>
      </c>
      <c r="P20" s="6">
        <f>IF(AND($C20&lt;&gt;"",$D20&lt;&gt;""),IF(NOT(OR($D20&lt;DATE(200206,8,1),$C20&gt;DATE(200206,8,31))),1,0),0)</f>
        <v>0</v>
      </c>
    </row>
    <row r="21" spans="3:16" x14ac:dyDescent="0.25">
      <c r="C21" s="10"/>
      <c r="D21" s="10"/>
      <c r="E21" s="6">
        <f>IF(AND($C21&lt;&gt;"",$D21&lt;&gt;""),IF(NOT(OR($D21&lt;DATE(210215,9,1),$C21&gt;DATE(210215,9,30))),1,0),0)</f>
        <v>0</v>
      </c>
      <c r="F21" s="6">
        <f>IF(AND($C21&lt;&gt;"",$D21&lt;&gt;""),IF(NOT(OR($D21&lt;DATE(210215,10,1),$C21&gt;DATE(210215,10,31))),1,0),0)</f>
        <v>0</v>
      </c>
      <c r="G21" s="6">
        <f>IF(AND($C21&lt;&gt;"",$D21&lt;&gt;""),IF(NOT(OR($D21&lt;DATE(210215,11,1),$C21&gt;DATE(210215,11,30))),1,0),0)</f>
        <v>0</v>
      </c>
      <c r="H21" s="6">
        <f>IF(AND($C21&lt;&gt;"",$D21&lt;&gt;""),IF(NOT(OR($D21&lt;DATE(210215,121,1),$C21&gt;DATE(210215,121,31))),1,0),0)</f>
        <v>0</v>
      </c>
      <c r="I21" s="6">
        <f>IF(AND($C21&lt;&gt;"",$D21&lt;&gt;""),IF(NOT(OR($D21&lt;DATE(210216,1,1),$C21&gt;DATE(210216,1,31))),1,0),0)</f>
        <v>0</v>
      </c>
      <c r="J21" s="6">
        <f>IF(AND($C21&lt;&gt;"",$D21&lt;&gt;""),IF(NOT(OR($D21&lt;DATE(210216,21,1),$C21&gt;DATE(210216,21,218))),1,0),0)</f>
        <v>0</v>
      </c>
      <c r="K21" s="6">
        <f>IF(AND($C21&lt;&gt;"",$D21&lt;&gt;""),IF(NOT(OR($D21&lt;DATE(210216,3,1),$C21&gt;DATE(210216,3,31))),1,0),0)</f>
        <v>0</v>
      </c>
      <c r="L21" s="6">
        <f>IF(AND($C21&lt;&gt;"",$D21&lt;&gt;""),IF(NOT(OR($D21&lt;DATE(210216,4,1),$C21&gt;DATE(210216,4,30))),1,0),0)</f>
        <v>0</v>
      </c>
      <c r="M21" s="6">
        <f>IF(AND($C21&lt;&gt;"",$D21&lt;&gt;""),IF(NOT(OR($D21&lt;DATE(210216,5,1),$C21&gt;DATE(210216,5,31))),1,0),0)</f>
        <v>0</v>
      </c>
      <c r="N21" s="6">
        <f>IF(AND($C21&lt;&gt;"",$D21&lt;&gt;""),IF(NOT(OR($D21&lt;DATE(210216,6,1),$C21&gt;DATE(210216,6,30))),1,0),0)</f>
        <v>0</v>
      </c>
      <c r="O21" s="6">
        <f>IF(AND($C21&lt;&gt;"",$D21&lt;&gt;""),IF(NOT(OR($D21&lt;DATE(210216,7,1),$C21&gt;DATE(210216,7,31))),1,0),0)</f>
        <v>0</v>
      </c>
      <c r="P21" s="6">
        <f>IF(AND($C21&lt;&gt;"",$D21&lt;&gt;""),IF(NOT(OR($D21&lt;DATE(210216,8,1),$C21&gt;DATE(210216,8,31))),1,0),0)</f>
        <v>0</v>
      </c>
    </row>
    <row r="22" spans="3:16" x14ac:dyDescent="0.25">
      <c r="C22" s="10"/>
      <c r="D22" s="10"/>
      <c r="E22" s="6">
        <f>IF(AND($C22&lt;&gt;"",$D22&lt;&gt;""),IF(NOT(OR($D22&lt;DATE(220225,9,1),$C22&gt;DATE(220225,9,30))),1,0),0)</f>
        <v>0</v>
      </c>
      <c r="F22" s="6">
        <f>IF(AND($C22&lt;&gt;"",$D22&lt;&gt;""),IF(NOT(OR($D22&lt;DATE(220225,10,1),$C22&gt;DATE(220225,10,31))),1,0),0)</f>
        <v>0</v>
      </c>
      <c r="G22" s="6">
        <f>IF(AND($C22&lt;&gt;"",$D22&lt;&gt;""),IF(NOT(OR($D22&lt;DATE(220225,11,1),$C22&gt;DATE(220225,11,30))),1,0),0)</f>
        <v>0</v>
      </c>
      <c r="H22" s="6">
        <f>IF(AND($C22&lt;&gt;"",$D22&lt;&gt;""),IF(NOT(OR($D22&lt;DATE(220225,122,1),$C22&gt;DATE(220225,122,31))),1,0),0)</f>
        <v>0</v>
      </c>
      <c r="I22" s="6">
        <f>IF(AND($C22&lt;&gt;"",$D22&lt;&gt;""),IF(NOT(OR($D22&lt;DATE(220226,1,1),$C22&gt;DATE(220226,1,31))),1,0),0)</f>
        <v>0</v>
      </c>
      <c r="J22" s="6">
        <f>IF(AND($C22&lt;&gt;"",$D22&lt;&gt;""),IF(NOT(OR($D22&lt;DATE(220226,22,1),$C22&gt;DATE(220226,22,228))),1,0),0)</f>
        <v>0</v>
      </c>
      <c r="K22" s="6">
        <f>IF(AND($C22&lt;&gt;"",$D22&lt;&gt;""),IF(NOT(OR($D22&lt;DATE(220226,3,1),$C22&gt;DATE(220226,3,31))),1,0),0)</f>
        <v>0</v>
      </c>
      <c r="L22" s="6">
        <f>IF(AND($C22&lt;&gt;"",$D22&lt;&gt;""),IF(NOT(OR($D22&lt;DATE(220226,4,1),$C22&gt;DATE(220226,4,30))),1,0),0)</f>
        <v>0</v>
      </c>
      <c r="M22" s="6">
        <f>IF(AND($C22&lt;&gt;"",$D22&lt;&gt;""),IF(NOT(OR($D22&lt;DATE(220226,5,1),$C22&gt;DATE(220226,5,31))),1,0),0)</f>
        <v>0</v>
      </c>
      <c r="N22" s="6">
        <f>IF(AND($C22&lt;&gt;"",$D22&lt;&gt;""),IF(NOT(OR($D22&lt;DATE(220226,6,1),$C22&gt;DATE(220226,6,30))),1,0),0)</f>
        <v>0</v>
      </c>
      <c r="O22" s="6">
        <f>IF(AND($C22&lt;&gt;"",$D22&lt;&gt;""),IF(NOT(OR($D22&lt;DATE(220226,7,1),$C22&gt;DATE(220226,7,31))),1,0),0)</f>
        <v>0</v>
      </c>
      <c r="P22" s="6">
        <f>IF(AND($C22&lt;&gt;"",$D22&lt;&gt;""),IF(NOT(OR($D22&lt;DATE(220226,8,1),$C22&gt;DATE(220226,8,31))),1,0),0)</f>
        <v>0</v>
      </c>
    </row>
    <row r="23" spans="3:16" x14ac:dyDescent="0.25">
      <c r="C23" s="10"/>
      <c r="D23" s="10"/>
      <c r="E23" s="6">
        <f>IF(AND($C23&lt;&gt;"",$D23&lt;&gt;""),IF(NOT(OR($D23&lt;DATE(230235,9,1),$C23&gt;DATE(230235,9,30))),1,0),0)</f>
        <v>0</v>
      </c>
      <c r="F23" s="6">
        <f>IF(AND($C23&lt;&gt;"",$D23&lt;&gt;""),IF(NOT(OR($D23&lt;DATE(230235,10,1),$C23&gt;DATE(230235,10,31))),1,0),0)</f>
        <v>0</v>
      </c>
      <c r="G23" s="6">
        <f>IF(AND($C23&lt;&gt;"",$D23&lt;&gt;""),IF(NOT(OR($D23&lt;DATE(230235,11,1),$C23&gt;DATE(230235,11,30))),1,0),0)</f>
        <v>0</v>
      </c>
      <c r="H23" s="6">
        <f>IF(AND($C23&lt;&gt;"",$D23&lt;&gt;""),IF(NOT(OR($D23&lt;DATE(230235,123,1),$C23&gt;DATE(230235,123,31))),1,0),0)</f>
        <v>0</v>
      </c>
      <c r="I23" s="6">
        <f>IF(AND($C23&lt;&gt;"",$D23&lt;&gt;""),IF(NOT(OR($D23&lt;DATE(230236,1,1),$C23&gt;DATE(230236,1,31))),1,0),0)</f>
        <v>0</v>
      </c>
      <c r="J23" s="6">
        <f>IF(AND($C23&lt;&gt;"",$D23&lt;&gt;""),IF(NOT(OR($D23&lt;DATE(230236,23,1),$C23&gt;DATE(230236,23,238))),1,0),0)</f>
        <v>0</v>
      </c>
      <c r="K23" s="6">
        <f>IF(AND($C23&lt;&gt;"",$D23&lt;&gt;""),IF(NOT(OR($D23&lt;DATE(230236,3,1),$C23&gt;DATE(230236,3,31))),1,0),0)</f>
        <v>0</v>
      </c>
      <c r="L23" s="6">
        <f>IF(AND($C23&lt;&gt;"",$D23&lt;&gt;""),IF(NOT(OR($D23&lt;DATE(230236,4,1),$C23&gt;DATE(230236,4,30))),1,0),0)</f>
        <v>0</v>
      </c>
      <c r="M23" s="6">
        <f>IF(AND($C23&lt;&gt;"",$D23&lt;&gt;""),IF(NOT(OR($D23&lt;DATE(230236,5,1),$C23&gt;DATE(230236,5,31))),1,0),0)</f>
        <v>0</v>
      </c>
      <c r="N23" s="6">
        <f>IF(AND($C23&lt;&gt;"",$D23&lt;&gt;""),IF(NOT(OR($D23&lt;DATE(230236,6,1),$C23&gt;DATE(230236,6,30))),1,0),0)</f>
        <v>0</v>
      </c>
      <c r="O23" s="6">
        <f>IF(AND($C23&lt;&gt;"",$D23&lt;&gt;""),IF(NOT(OR($D23&lt;DATE(230236,7,1),$C23&gt;DATE(230236,7,31))),1,0),0)</f>
        <v>0</v>
      </c>
      <c r="P23" s="6">
        <f>IF(AND($C23&lt;&gt;"",$D23&lt;&gt;""),IF(NOT(OR($D23&lt;DATE(230236,8,1),$C23&gt;DATE(230236,8,31))),1,0),0)</f>
        <v>0</v>
      </c>
    </row>
    <row r="24" spans="3:16" x14ac:dyDescent="0.25">
      <c r="C24" s="10"/>
      <c r="D24" s="10"/>
      <c r="E24" s="6">
        <f>IF(AND($C24&lt;&gt;"",$D24&lt;&gt;""),IF(NOT(OR($D24&lt;DATE(240245,9,1),$C24&gt;DATE(240245,9,30))),1,0),0)</f>
        <v>0</v>
      </c>
      <c r="F24" s="6">
        <f>IF(AND($C24&lt;&gt;"",$D24&lt;&gt;""),IF(NOT(OR($D24&lt;DATE(240245,10,1),$C24&gt;DATE(240245,10,31))),1,0),0)</f>
        <v>0</v>
      </c>
      <c r="G24" s="6">
        <f>IF(AND($C24&lt;&gt;"",$D24&lt;&gt;""),IF(NOT(OR($D24&lt;DATE(240245,11,1),$C24&gt;DATE(240245,11,30))),1,0),0)</f>
        <v>0</v>
      </c>
      <c r="H24" s="6">
        <f>IF(AND($C24&lt;&gt;"",$D24&lt;&gt;""),IF(NOT(OR($D24&lt;DATE(240245,124,1),$C24&gt;DATE(240245,124,31))),1,0),0)</f>
        <v>0</v>
      </c>
      <c r="I24" s="6">
        <f>IF(AND($C24&lt;&gt;"",$D24&lt;&gt;""),IF(NOT(OR($D24&lt;DATE(240246,1,1),$C24&gt;DATE(240246,1,31))),1,0),0)</f>
        <v>0</v>
      </c>
      <c r="J24" s="6">
        <f>IF(AND($C24&lt;&gt;"",$D24&lt;&gt;""),IF(NOT(OR($D24&lt;DATE(240246,24,1),$C24&gt;DATE(240246,24,248))),1,0),0)</f>
        <v>0</v>
      </c>
      <c r="K24" s="6">
        <f>IF(AND($C24&lt;&gt;"",$D24&lt;&gt;""),IF(NOT(OR($D24&lt;DATE(240246,3,1),$C24&gt;DATE(240246,3,31))),1,0),0)</f>
        <v>0</v>
      </c>
      <c r="L24" s="6">
        <f>IF(AND($C24&lt;&gt;"",$D24&lt;&gt;""),IF(NOT(OR($D24&lt;DATE(240246,4,1),$C24&gt;DATE(240246,4,30))),1,0),0)</f>
        <v>0</v>
      </c>
      <c r="M24" s="6">
        <f>IF(AND($C24&lt;&gt;"",$D24&lt;&gt;""),IF(NOT(OR($D24&lt;DATE(240246,5,1),$C24&gt;DATE(240246,5,31))),1,0),0)</f>
        <v>0</v>
      </c>
      <c r="N24" s="6">
        <f>IF(AND($C24&lt;&gt;"",$D24&lt;&gt;""),IF(NOT(OR($D24&lt;DATE(240246,6,1),$C24&gt;DATE(240246,6,30))),1,0),0)</f>
        <v>0</v>
      </c>
      <c r="O24" s="6">
        <f>IF(AND($C24&lt;&gt;"",$D24&lt;&gt;""),IF(NOT(OR($D24&lt;DATE(240246,7,1),$C24&gt;DATE(240246,7,31))),1,0),0)</f>
        <v>0</v>
      </c>
      <c r="P24" s="6">
        <f>IF(AND($C24&lt;&gt;"",$D24&lt;&gt;""),IF(NOT(OR($D24&lt;DATE(240246,8,1),$C24&gt;DATE(240246,8,31))),1,0),0)</f>
        <v>0</v>
      </c>
    </row>
    <row r="25" spans="3:16" x14ac:dyDescent="0.25">
      <c r="C25" s="10"/>
      <c r="D25" s="10"/>
      <c r="E25" s="6">
        <f>IF(AND($C25&lt;&gt;"",$D25&lt;&gt;""),IF(NOT(OR($D25&lt;DATE(250255,9,1),$C25&gt;DATE(250255,9,30))),1,0),0)</f>
        <v>0</v>
      </c>
      <c r="F25" s="6">
        <f>IF(AND($C25&lt;&gt;"",$D25&lt;&gt;""),IF(NOT(OR($D25&lt;DATE(250255,10,1),$C25&gt;DATE(250255,10,31))),1,0),0)</f>
        <v>0</v>
      </c>
      <c r="G25" s="6">
        <f>IF(AND($C25&lt;&gt;"",$D25&lt;&gt;""),IF(NOT(OR($D25&lt;DATE(250255,11,1),$C25&gt;DATE(250255,11,30))),1,0),0)</f>
        <v>0</v>
      </c>
      <c r="H25" s="6">
        <f>IF(AND($C25&lt;&gt;"",$D25&lt;&gt;""),IF(NOT(OR($D25&lt;DATE(250255,125,1),$C25&gt;DATE(250255,125,31))),1,0),0)</f>
        <v>0</v>
      </c>
      <c r="I25" s="6">
        <f>IF(AND($C25&lt;&gt;"",$D25&lt;&gt;""),IF(NOT(OR($D25&lt;DATE(250256,1,1),$C25&gt;DATE(250256,1,31))),1,0),0)</f>
        <v>0</v>
      </c>
      <c r="J25" s="6">
        <f>IF(AND($C25&lt;&gt;"",$D25&lt;&gt;""),IF(NOT(OR($D25&lt;DATE(250256,25,1),$C25&gt;DATE(250256,25,258))),1,0),0)</f>
        <v>0</v>
      </c>
      <c r="K25" s="6">
        <f>IF(AND($C25&lt;&gt;"",$D25&lt;&gt;""),IF(NOT(OR($D25&lt;DATE(250256,3,1),$C25&gt;DATE(250256,3,31))),1,0),0)</f>
        <v>0</v>
      </c>
      <c r="L25" s="6">
        <f>IF(AND($C25&lt;&gt;"",$D25&lt;&gt;""),IF(NOT(OR($D25&lt;DATE(250256,4,1),$C25&gt;DATE(250256,4,30))),1,0),0)</f>
        <v>0</v>
      </c>
      <c r="M25" s="6">
        <f>IF(AND($C25&lt;&gt;"",$D25&lt;&gt;""),IF(NOT(OR($D25&lt;DATE(250256,5,1),$C25&gt;DATE(250256,5,31))),1,0),0)</f>
        <v>0</v>
      </c>
      <c r="N25" s="6">
        <f>IF(AND($C25&lt;&gt;"",$D25&lt;&gt;""),IF(NOT(OR($D25&lt;DATE(250256,6,1),$C25&gt;DATE(250256,6,30))),1,0),0)</f>
        <v>0</v>
      </c>
      <c r="O25" s="6">
        <f>IF(AND($C25&lt;&gt;"",$D25&lt;&gt;""),IF(NOT(OR($D25&lt;DATE(250256,7,1),$C25&gt;DATE(250256,7,31))),1,0),0)</f>
        <v>0</v>
      </c>
      <c r="P25" s="6">
        <f>IF(AND($C25&lt;&gt;"",$D25&lt;&gt;""),IF(NOT(OR($D25&lt;DATE(250256,8,1),$C25&gt;DATE(250256,8,31))),1,0),0)</f>
        <v>0</v>
      </c>
    </row>
    <row r="26" spans="3:16" x14ac:dyDescent="0.25">
      <c r="C26" s="10"/>
      <c r="D26" s="10"/>
      <c r="E26" s="6">
        <f>IF(AND($C26&lt;&gt;"",$D26&lt;&gt;""),IF(NOT(OR($D26&lt;DATE(260265,9,1),$C26&gt;DATE(260265,9,30))),1,0),0)</f>
        <v>0</v>
      </c>
      <c r="F26" s="6">
        <f>IF(AND($C26&lt;&gt;"",$D26&lt;&gt;""),IF(NOT(OR($D26&lt;DATE(260265,10,1),$C26&gt;DATE(260265,10,31))),1,0),0)</f>
        <v>0</v>
      </c>
      <c r="G26" s="6">
        <f>IF(AND($C26&lt;&gt;"",$D26&lt;&gt;""),IF(NOT(OR($D26&lt;DATE(260265,11,1),$C26&gt;DATE(260265,11,30))),1,0),0)</f>
        <v>0</v>
      </c>
      <c r="H26" s="6">
        <f>IF(AND($C26&lt;&gt;"",$D26&lt;&gt;""),IF(NOT(OR($D26&lt;DATE(260265,126,1),$C26&gt;DATE(260265,126,31))),1,0),0)</f>
        <v>0</v>
      </c>
      <c r="I26" s="6">
        <f>IF(AND($C26&lt;&gt;"",$D26&lt;&gt;""),IF(NOT(OR($D26&lt;DATE(260266,1,1),$C26&gt;DATE(260266,1,31))),1,0),0)</f>
        <v>0</v>
      </c>
      <c r="J26" s="6">
        <f>IF(AND($C26&lt;&gt;"",$D26&lt;&gt;""),IF(NOT(OR($D26&lt;DATE(260266,26,1),$C26&gt;DATE(260266,26,268))),1,0),0)</f>
        <v>0</v>
      </c>
      <c r="K26" s="6">
        <f>IF(AND($C26&lt;&gt;"",$D26&lt;&gt;""),IF(NOT(OR($D26&lt;DATE(260266,3,1),$C26&gt;DATE(260266,3,31))),1,0),0)</f>
        <v>0</v>
      </c>
      <c r="L26" s="6">
        <f>IF(AND($C26&lt;&gt;"",$D26&lt;&gt;""),IF(NOT(OR($D26&lt;DATE(260266,4,1),$C26&gt;DATE(260266,4,30))),1,0),0)</f>
        <v>0</v>
      </c>
      <c r="M26" s="6">
        <f>IF(AND($C26&lt;&gt;"",$D26&lt;&gt;""),IF(NOT(OR($D26&lt;DATE(260266,5,1),$C26&gt;DATE(260266,5,31))),1,0),0)</f>
        <v>0</v>
      </c>
      <c r="N26" s="6">
        <f>IF(AND($C26&lt;&gt;"",$D26&lt;&gt;""),IF(NOT(OR($D26&lt;DATE(260266,6,1),$C26&gt;DATE(260266,6,30))),1,0),0)</f>
        <v>0</v>
      </c>
      <c r="O26" s="6">
        <f>IF(AND($C26&lt;&gt;"",$D26&lt;&gt;""),IF(NOT(OR($D26&lt;DATE(260266,7,1),$C26&gt;DATE(260266,7,31))),1,0),0)</f>
        <v>0</v>
      </c>
      <c r="P26" s="6">
        <f>IF(AND($C26&lt;&gt;"",$D26&lt;&gt;""),IF(NOT(OR($D26&lt;DATE(260266,8,1),$C26&gt;DATE(260266,8,31))),1,0),0)</f>
        <v>0</v>
      </c>
    </row>
    <row r="27" spans="3:16" x14ac:dyDescent="0.25">
      <c r="C27" s="10"/>
      <c r="D27" s="10"/>
      <c r="E27" s="6">
        <f>IF(AND($C27&lt;&gt;"",$D27&lt;&gt;""),IF(NOT(OR($D27&lt;DATE(270275,9,1),$C27&gt;DATE(270275,9,30))),1,0),0)</f>
        <v>0</v>
      </c>
      <c r="F27" s="6">
        <f>IF(AND($C27&lt;&gt;"",$D27&lt;&gt;""),IF(NOT(OR($D27&lt;DATE(270275,10,1),$C27&gt;DATE(270275,10,31))),1,0),0)</f>
        <v>0</v>
      </c>
      <c r="G27" s="6">
        <f>IF(AND($C27&lt;&gt;"",$D27&lt;&gt;""),IF(NOT(OR($D27&lt;DATE(270275,11,1),$C27&gt;DATE(270275,11,30))),1,0),0)</f>
        <v>0</v>
      </c>
      <c r="H27" s="6">
        <f>IF(AND($C27&lt;&gt;"",$D27&lt;&gt;""),IF(NOT(OR($D27&lt;DATE(270275,127,1),$C27&gt;DATE(270275,127,31))),1,0),0)</f>
        <v>0</v>
      </c>
      <c r="I27" s="6">
        <f>IF(AND($C27&lt;&gt;"",$D27&lt;&gt;""),IF(NOT(OR($D27&lt;DATE(270276,1,1),$C27&gt;DATE(270276,1,31))),1,0),0)</f>
        <v>0</v>
      </c>
      <c r="J27" s="6">
        <f>IF(AND($C27&lt;&gt;"",$D27&lt;&gt;""),IF(NOT(OR($D27&lt;DATE(270276,27,1),$C27&gt;DATE(270276,27,278))),1,0),0)</f>
        <v>0</v>
      </c>
      <c r="K27" s="6">
        <f>IF(AND($C27&lt;&gt;"",$D27&lt;&gt;""),IF(NOT(OR($D27&lt;DATE(270276,3,1),$C27&gt;DATE(270276,3,31))),1,0),0)</f>
        <v>0</v>
      </c>
      <c r="L27" s="6">
        <f>IF(AND($C27&lt;&gt;"",$D27&lt;&gt;""),IF(NOT(OR($D27&lt;DATE(270276,4,1),$C27&gt;DATE(270276,4,30))),1,0),0)</f>
        <v>0</v>
      </c>
      <c r="M27" s="6">
        <f>IF(AND($C27&lt;&gt;"",$D27&lt;&gt;""),IF(NOT(OR($D27&lt;DATE(270276,5,1),$C27&gt;DATE(270276,5,31))),1,0),0)</f>
        <v>0</v>
      </c>
      <c r="N27" s="6">
        <f>IF(AND($C27&lt;&gt;"",$D27&lt;&gt;""),IF(NOT(OR($D27&lt;DATE(270276,6,1),$C27&gt;DATE(270276,6,30))),1,0),0)</f>
        <v>0</v>
      </c>
      <c r="O27" s="6">
        <f>IF(AND($C27&lt;&gt;"",$D27&lt;&gt;""),IF(NOT(OR($D27&lt;DATE(270276,7,1),$C27&gt;DATE(270276,7,31))),1,0),0)</f>
        <v>0</v>
      </c>
      <c r="P27" s="6">
        <f>IF(AND($C27&lt;&gt;"",$D27&lt;&gt;""),IF(NOT(OR($D27&lt;DATE(270276,8,1),$C27&gt;DATE(270276,8,31))),1,0),0)</f>
        <v>0</v>
      </c>
    </row>
    <row r="28" spans="3:16" x14ac:dyDescent="0.25">
      <c r="C28" s="10"/>
      <c r="D28" s="10"/>
      <c r="E28" s="6">
        <f>IF(AND($C28&lt;&gt;"",$D28&lt;&gt;""),IF(NOT(OR($D28&lt;DATE(280285,9,1),$C28&gt;DATE(280285,9,30))),1,0),0)</f>
        <v>0</v>
      </c>
      <c r="F28" s="6">
        <f>IF(AND($C28&lt;&gt;"",$D28&lt;&gt;""),IF(NOT(OR($D28&lt;DATE(280285,10,1),$C28&gt;DATE(280285,10,31))),1,0),0)</f>
        <v>0</v>
      </c>
      <c r="G28" s="6">
        <f>IF(AND($C28&lt;&gt;"",$D28&lt;&gt;""),IF(NOT(OR($D28&lt;DATE(280285,11,1),$C28&gt;DATE(280285,11,30))),1,0),0)</f>
        <v>0</v>
      </c>
      <c r="H28" s="6">
        <f>IF(AND($C28&lt;&gt;"",$D28&lt;&gt;""),IF(NOT(OR($D28&lt;DATE(280285,128,1),$C28&gt;DATE(280285,128,31))),1,0),0)</f>
        <v>0</v>
      </c>
      <c r="I28" s="6">
        <f>IF(AND($C28&lt;&gt;"",$D28&lt;&gt;""),IF(NOT(OR($D28&lt;DATE(280286,1,1),$C28&gt;DATE(280286,1,31))),1,0),0)</f>
        <v>0</v>
      </c>
      <c r="J28" s="6">
        <f>IF(AND($C28&lt;&gt;"",$D28&lt;&gt;""),IF(NOT(OR($D28&lt;DATE(280286,28,1),$C28&gt;DATE(280286,28,288))),1,0),0)</f>
        <v>0</v>
      </c>
      <c r="K28" s="6">
        <f>IF(AND($C28&lt;&gt;"",$D28&lt;&gt;""),IF(NOT(OR($D28&lt;DATE(280286,3,1),$C28&gt;DATE(280286,3,31))),1,0),0)</f>
        <v>0</v>
      </c>
      <c r="L28" s="6">
        <f>IF(AND($C28&lt;&gt;"",$D28&lt;&gt;""),IF(NOT(OR($D28&lt;DATE(280286,4,1),$C28&gt;DATE(280286,4,30))),1,0),0)</f>
        <v>0</v>
      </c>
      <c r="M28" s="6">
        <f>IF(AND($C28&lt;&gt;"",$D28&lt;&gt;""),IF(NOT(OR($D28&lt;DATE(280286,5,1),$C28&gt;DATE(280286,5,31))),1,0),0)</f>
        <v>0</v>
      </c>
      <c r="N28" s="6">
        <f>IF(AND($C28&lt;&gt;"",$D28&lt;&gt;""),IF(NOT(OR($D28&lt;DATE(280286,6,1),$C28&gt;DATE(280286,6,30))),1,0),0)</f>
        <v>0</v>
      </c>
      <c r="O28" s="6">
        <f>IF(AND($C28&lt;&gt;"",$D28&lt;&gt;""),IF(NOT(OR($D28&lt;DATE(280286,7,1),$C28&gt;DATE(280286,7,31))),1,0),0)</f>
        <v>0</v>
      </c>
      <c r="P28" s="6">
        <f>IF(AND($C28&lt;&gt;"",$D28&lt;&gt;""),IF(NOT(OR($D28&lt;DATE(280286,8,1),$C28&gt;DATE(280286,8,31))),1,0),0)</f>
        <v>0</v>
      </c>
    </row>
    <row r="29" spans="3:16" x14ac:dyDescent="0.25">
      <c r="C29" s="10"/>
      <c r="D29" s="10"/>
      <c r="E29" s="6">
        <f>IF(AND($C29&lt;&gt;"",$D29&lt;&gt;""),IF(NOT(OR($D29&lt;DATE(290295,9,1),$C29&gt;DATE(290295,9,30))),1,0),0)</f>
        <v>0</v>
      </c>
      <c r="F29" s="6">
        <f>IF(AND($C29&lt;&gt;"",$D29&lt;&gt;""),IF(NOT(OR($D29&lt;DATE(290295,10,1),$C29&gt;DATE(290295,10,31))),1,0),0)</f>
        <v>0</v>
      </c>
      <c r="G29" s="6">
        <f>IF(AND($C29&lt;&gt;"",$D29&lt;&gt;""),IF(NOT(OR($D29&lt;DATE(290295,11,1),$C29&gt;DATE(290295,11,30))),1,0),0)</f>
        <v>0</v>
      </c>
      <c r="H29" s="6">
        <f>IF(AND($C29&lt;&gt;"",$D29&lt;&gt;""),IF(NOT(OR($D29&lt;DATE(290295,129,1),$C29&gt;DATE(290295,129,31))),1,0),0)</f>
        <v>0</v>
      </c>
      <c r="I29" s="6">
        <f>IF(AND($C29&lt;&gt;"",$D29&lt;&gt;""),IF(NOT(OR($D29&lt;DATE(290296,1,1),$C29&gt;DATE(290296,1,31))),1,0),0)</f>
        <v>0</v>
      </c>
      <c r="J29" s="6">
        <f>IF(AND($C29&lt;&gt;"",$D29&lt;&gt;""),IF(NOT(OR($D29&lt;DATE(290296,29,1),$C29&gt;DATE(290296,29,298))),1,0),0)</f>
        <v>0</v>
      </c>
      <c r="K29" s="6">
        <f>IF(AND($C29&lt;&gt;"",$D29&lt;&gt;""),IF(NOT(OR($D29&lt;DATE(290296,3,1),$C29&gt;DATE(290296,3,31))),1,0),0)</f>
        <v>0</v>
      </c>
      <c r="L29" s="6">
        <f>IF(AND($C29&lt;&gt;"",$D29&lt;&gt;""),IF(NOT(OR($D29&lt;DATE(290296,4,1),$C29&gt;DATE(290296,4,30))),1,0),0)</f>
        <v>0</v>
      </c>
      <c r="M29" s="6">
        <f>IF(AND($C29&lt;&gt;"",$D29&lt;&gt;""),IF(NOT(OR($D29&lt;DATE(290296,5,1),$C29&gt;DATE(290296,5,31))),1,0),0)</f>
        <v>0</v>
      </c>
      <c r="N29" s="6">
        <f>IF(AND($C29&lt;&gt;"",$D29&lt;&gt;""),IF(NOT(OR($D29&lt;DATE(290296,6,1),$C29&gt;DATE(290296,6,30))),1,0),0)</f>
        <v>0</v>
      </c>
      <c r="O29" s="6">
        <f>IF(AND($C29&lt;&gt;"",$D29&lt;&gt;""),IF(NOT(OR($D29&lt;DATE(290296,7,1),$C29&gt;DATE(290296,7,31))),1,0),0)</f>
        <v>0</v>
      </c>
      <c r="P29" s="6">
        <f>IF(AND($C29&lt;&gt;"",$D29&lt;&gt;""),IF(NOT(OR($D29&lt;DATE(290296,8,1),$C29&gt;DATE(290296,8,31))),1,0),0)</f>
        <v>0</v>
      </c>
    </row>
    <row r="30" spans="3:16" x14ac:dyDescent="0.25">
      <c r="C30" s="10"/>
      <c r="D30" s="10"/>
      <c r="E30" s="6">
        <f>IF(AND($C30&lt;&gt;"",$D30&lt;&gt;""),IF(NOT(OR($D30&lt;DATE(300305,9,1),$C30&gt;DATE(300305,9,30))),1,0),0)</f>
        <v>0</v>
      </c>
      <c r="F30" s="6">
        <f>IF(AND($C30&lt;&gt;"",$D30&lt;&gt;""),IF(NOT(OR($D30&lt;DATE(300305,10,1),$C30&gt;DATE(300305,10,31))),1,0),0)</f>
        <v>0</v>
      </c>
      <c r="G30" s="6">
        <f>IF(AND($C30&lt;&gt;"",$D30&lt;&gt;""),IF(NOT(OR($D30&lt;DATE(300305,11,1),$C30&gt;DATE(300305,11,30))),1,0),0)</f>
        <v>0</v>
      </c>
      <c r="H30" s="6">
        <f>IF(AND($C30&lt;&gt;"",$D30&lt;&gt;""),IF(NOT(OR($D30&lt;DATE(300305,130,1),$C30&gt;DATE(300305,130,31))),1,0),0)</f>
        <v>0</v>
      </c>
      <c r="I30" s="6">
        <f>IF(AND($C30&lt;&gt;"",$D30&lt;&gt;""),IF(NOT(OR($D30&lt;DATE(300306,1,1),$C30&gt;DATE(300306,1,31))),1,0),0)</f>
        <v>0</v>
      </c>
      <c r="J30" s="6">
        <f>IF(AND($C30&lt;&gt;"",$D30&lt;&gt;""),IF(NOT(OR($D30&lt;DATE(300306,30,1),$C30&gt;DATE(300306,30,308))),1,0),0)</f>
        <v>0</v>
      </c>
      <c r="K30" s="6">
        <f>IF(AND($C30&lt;&gt;"",$D30&lt;&gt;""),IF(NOT(OR($D30&lt;DATE(300306,3,1),$C30&gt;DATE(300306,3,31))),1,0),0)</f>
        <v>0</v>
      </c>
      <c r="L30" s="6">
        <f>IF(AND($C30&lt;&gt;"",$D30&lt;&gt;""),IF(NOT(OR($D30&lt;DATE(300306,4,1),$C30&gt;DATE(300306,4,30))),1,0),0)</f>
        <v>0</v>
      </c>
      <c r="M30" s="6">
        <f>IF(AND($C30&lt;&gt;"",$D30&lt;&gt;""),IF(NOT(OR($D30&lt;DATE(300306,5,1),$C30&gt;DATE(300306,5,31))),1,0),0)</f>
        <v>0</v>
      </c>
      <c r="N30" s="6">
        <f>IF(AND($C30&lt;&gt;"",$D30&lt;&gt;""),IF(NOT(OR($D30&lt;DATE(300306,6,1),$C30&gt;DATE(300306,6,30))),1,0),0)</f>
        <v>0</v>
      </c>
      <c r="O30" s="6">
        <f>IF(AND($C30&lt;&gt;"",$D30&lt;&gt;""),IF(NOT(OR($D30&lt;DATE(300306,7,1),$C30&gt;DATE(300306,7,31))),1,0),0)</f>
        <v>0</v>
      </c>
      <c r="P30" s="6">
        <f>IF(AND($C30&lt;&gt;"",$D30&lt;&gt;""),IF(NOT(OR($D30&lt;DATE(300306,8,1),$C30&gt;DATE(300306,8,31))),1,0),0)</f>
        <v>0</v>
      </c>
    </row>
    <row r="31" spans="3:16" x14ac:dyDescent="0.25">
      <c r="C31" s="10"/>
      <c r="D31" s="10"/>
      <c r="E31" s="6">
        <f>IF(AND($C31&lt;&gt;"",$D31&lt;&gt;""),IF(NOT(OR($D31&lt;DATE(310315,9,1),$C31&gt;DATE(310315,9,30))),1,0),0)</f>
        <v>0</v>
      </c>
      <c r="F31" s="6">
        <f>IF(AND($C31&lt;&gt;"",$D31&lt;&gt;""),IF(NOT(OR($D31&lt;DATE(310315,10,1),$C31&gt;DATE(310315,10,31))),1,0),0)</f>
        <v>0</v>
      </c>
      <c r="G31" s="6">
        <f>IF(AND($C31&lt;&gt;"",$D31&lt;&gt;""),IF(NOT(OR($D31&lt;DATE(310315,11,1),$C31&gt;DATE(310315,11,30))),1,0),0)</f>
        <v>0</v>
      </c>
      <c r="H31" s="6">
        <f>IF(AND($C31&lt;&gt;"",$D31&lt;&gt;""),IF(NOT(OR($D31&lt;DATE(310315,131,1),$C31&gt;DATE(310315,131,31))),1,0),0)</f>
        <v>0</v>
      </c>
      <c r="I31" s="6">
        <f>IF(AND($C31&lt;&gt;"",$D31&lt;&gt;""),IF(NOT(OR($D31&lt;DATE(310316,1,1),$C31&gt;DATE(310316,1,31))),1,0),0)</f>
        <v>0</v>
      </c>
      <c r="J31" s="6">
        <f>IF(AND($C31&lt;&gt;"",$D31&lt;&gt;""),IF(NOT(OR($D31&lt;DATE(310316,31,1),$C31&gt;DATE(310316,31,318))),1,0),0)</f>
        <v>0</v>
      </c>
      <c r="K31" s="6">
        <f>IF(AND($C31&lt;&gt;"",$D31&lt;&gt;""),IF(NOT(OR($D31&lt;DATE(310316,3,1),$C31&gt;DATE(310316,3,31))),1,0),0)</f>
        <v>0</v>
      </c>
      <c r="L31" s="6">
        <f>IF(AND($C31&lt;&gt;"",$D31&lt;&gt;""),IF(NOT(OR($D31&lt;DATE(310316,4,1),$C31&gt;DATE(310316,4,30))),1,0),0)</f>
        <v>0</v>
      </c>
      <c r="M31" s="6">
        <f>IF(AND($C31&lt;&gt;"",$D31&lt;&gt;""),IF(NOT(OR($D31&lt;DATE(310316,5,1),$C31&gt;DATE(310316,5,31))),1,0),0)</f>
        <v>0</v>
      </c>
      <c r="N31" s="6">
        <f>IF(AND($C31&lt;&gt;"",$D31&lt;&gt;""),IF(NOT(OR($D31&lt;DATE(310316,6,1),$C31&gt;DATE(310316,6,30))),1,0),0)</f>
        <v>0</v>
      </c>
      <c r="O31" s="6">
        <f>IF(AND($C31&lt;&gt;"",$D31&lt;&gt;""),IF(NOT(OR($D31&lt;DATE(310316,7,1),$C31&gt;DATE(310316,7,31))),1,0),0)</f>
        <v>0</v>
      </c>
      <c r="P31" s="6">
        <f>IF(AND($C31&lt;&gt;"",$D31&lt;&gt;""),IF(NOT(OR($D31&lt;DATE(310316,8,1),$C31&gt;DATE(310316,8,31))),1,0),0)</f>
        <v>0</v>
      </c>
    </row>
    <row r="32" spans="3:16" x14ac:dyDescent="0.25">
      <c r="C32" s="10"/>
      <c r="D32" s="10"/>
      <c r="E32" s="6">
        <f>IF(AND($C32&lt;&gt;"",$D32&lt;&gt;""),IF(NOT(OR($D32&lt;DATE(320325,9,1),$C32&gt;DATE(320325,9,30))),1,0),0)</f>
        <v>0</v>
      </c>
      <c r="F32" s="6">
        <f>IF(AND($C32&lt;&gt;"",$D32&lt;&gt;""),IF(NOT(OR($D32&lt;DATE(320325,10,1),$C32&gt;DATE(320325,10,31))),1,0),0)</f>
        <v>0</v>
      </c>
      <c r="G32" s="6">
        <f>IF(AND($C32&lt;&gt;"",$D32&lt;&gt;""),IF(NOT(OR($D32&lt;DATE(320325,11,1),$C32&gt;DATE(320325,11,30))),1,0),0)</f>
        <v>0</v>
      </c>
      <c r="H32" s="6">
        <f>IF(AND($C32&lt;&gt;"",$D32&lt;&gt;""),IF(NOT(OR($D32&lt;DATE(320325,132,1),$C32&gt;DATE(320325,132,31))),1,0),0)</f>
        <v>0</v>
      </c>
      <c r="I32" s="6">
        <f>IF(AND($C32&lt;&gt;"",$D32&lt;&gt;""),IF(NOT(OR($D32&lt;DATE(320326,1,1),$C32&gt;DATE(320326,1,31))),1,0),0)</f>
        <v>0</v>
      </c>
      <c r="J32" s="6">
        <f>IF(AND($C32&lt;&gt;"",$D32&lt;&gt;""),IF(NOT(OR($D32&lt;DATE(320326,32,1),$C32&gt;DATE(320326,32,328))),1,0),0)</f>
        <v>0</v>
      </c>
      <c r="K32" s="6">
        <f>IF(AND($C32&lt;&gt;"",$D32&lt;&gt;""),IF(NOT(OR($D32&lt;DATE(320326,3,1),$C32&gt;DATE(320326,3,31))),1,0),0)</f>
        <v>0</v>
      </c>
      <c r="L32" s="6">
        <f>IF(AND($C32&lt;&gt;"",$D32&lt;&gt;""),IF(NOT(OR($D32&lt;DATE(320326,4,1),$C32&gt;DATE(320326,4,30))),1,0),0)</f>
        <v>0</v>
      </c>
      <c r="M32" s="6">
        <f>IF(AND($C32&lt;&gt;"",$D32&lt;&gt;""),IF(NOT(OR($D32&lt;DATE(320326,5,1),$C32&gt;DATE(320326,5,31))),1,0),0)</f>
        <v>0</v>
      </c>
      <c r="N32" s="6">
        <f>IF(AND($C32&lt;&gt;"",$D32&lt;&gt;""),IF(NOT(OR($D32&lt;DATE(320326,6,1),$C32&gt;DATE(320326,6,30))),1,0),0)</f>
        <v>0</v>
      </c>
      <c r="O32" s="6">
        <f>IF(AND($C32&lt;&gt;"",$D32&lt;&gt;""),IF(NOT(OR($D32&lt;DATE(320326,7,1),$C32&gt;DATE(320326,7,31))),1,0),0)</f>
        <v>0</v>
      </c>
      <c r="P32" s="6">
        <f>IF(AND($C32&lt;&gt;"",$D32&lt;&gt;""),IF(NOT(OR($D32&lt;DATE(320326,8,1),$C32&gt;DATE(320326,8,31))),1,0),0)</f>
        <v>0</v>
      </c>
    </row>
    <row r="33" spans="3:16" x14ac:dyDescent="0.25">
      <c r="C33" s="10"/>
      <c r="D33" s="10"/>
      <c r="E33" s="6">
        <f>IF(AND($C33&lt;&gt;"",$D33&lt;&gt;""),IF(NOT(OR($D33&lt;DATE(330335,9,1),$C33&gt;DATE(330335,9,30))),1,0),0)</f>
        <v>0</v>
      </c>
      <c r="F33" s="6">
        <f>IF(AND($C33&lt;&gt;"",$D33&lt;&gt;""),IF(NOT(OR($D33&lt;DATE(330335,10,1),$C33&gt;DATE(330335,10,31))),1,0),0)</f>
        <v>0</v>
      </c>
      <c r="G33" s="6">
        <f>IF(AND($C33&lt;&gt;"",$D33&lt;&gt;""),IF(NOT(OR($D33&lt;DATE(330335,11,1),$C33&gt;DATE(330335,11,30))),1,0),0)</f>
        <v>0</v>
      </c>
      <c r="H33" s="6">
        <f>IF(AND($C33&lt;&gt;"",$D33&lt;&gt;""),IF(NOT(OR($D33&lt;DATE(330335,133,1),$C33&gt;DATE(330335,133,31))),1,0),0)</f>
        <v>0</v>
      </c>
      <c r="I33" s="6">
        <f>IF(AND($C33&lt;&gt;"",$D33&lt;&gt;""),IF(NOT(OR($D33&lt;DATE(330336,1,1),$C33&gt;DATE(330336,1,31))),1,0),0)</f>
        <v>0</v>
      </c>
      <c r="J33" s="6">
        <f>IF(AND($C33&lt;&gt;"",$D33&lt;&gt;""),IF(NOT(OR($D33&lt;DATE(330336,33,1),$C33&gt;DATE(330336,33,338))),1,0),0)</f>
        <v>0</v>
      </c>
      <c r="K33" s="6">
        <f>IF(AND($C33&lt;&gt;"",$D33&lt;&gt;""),IF(NOT(OR($D33&lt;DATE(330336,3,1),$C33&gt;DATE(330336,3,31))),1,0),0)</f>
        <v>0</v>
      </c>
      <c r="L33" s="6">
        <f>IF(AND($C33&lt;&gt;"",$D33&lt;&gt;""),IF(NOT(OR($D33&lt;DATE(330336,4,1),$C33&gt;DATE(330336,4,30))),1,0),0)</f>
        <v>0</v>
      </c>
      <c r="M33" s="6">
        <f>IF(AND($C33&lt;&gt;"",$D33&lt;&gt;""),IF(NOT(OR($D33&lt;DATE(330336,5,1),$C33&gt;DATE(330336,5,31))),1,0),0)</f>
        <v>0</v>
      </c>
      <c r="N33" s="6">
        <f>IF(AND($C33&lt;&gt;"",$D33&lt;&gt;""),IF(NOT(OR($D33&lt;DATE(330336,6,1),$C33&gt;DATE(330336,6,30))),1,0),0)</f>
        <v>0</v>
      </c>
      <c r="O33" s="6">
        <f>IF(AND($C33&lt;&gt;"",$D33&lt;&gt;""),IF(NOT(OR($D33&lt;DATE(330336,7,1),$C33&gt;DATE(330336,7,31))),1,0),0)</f>
        <v>0</v>
      </c>
      <c r="P33" s="6">
        <f>IF(AND($C33&lt;&gt;"",$D33&lt;&gt;""),IF(NOT(OR($D33&lt;DATE(330336,8,1),$C33&gt;DATE(330336,8,31))),1,0),0)</f>
        <v>0</v>
      </c>
    </row>
    <row r="34" spans="3:16" x14ac:dyDescent="0.25">
      <c r="C34" s="10"/>
      <c r="D34" s="10"/>
      <c r="E34" s="6">
        <f>IF(AND($C34&lt;&gt;"",$D34&lt;&gt;""),IF(NOT(OR($D34&lt;DATE(340345,9,1),$C34&gt;DATE(340345,9,30))),1,0),0)</f>
        <v>0</v>
      </c>
      <c r="F34" s="6">
        <f>IF(AND($C34&lt;&gt;"",$D34&lt;&gt;""),IF(NOT(OR($D34&lt;DATE(340345,10,1),$C34&gt;DATE(340345,10,31))),1,0),0)</f>
        <v>0</v>
      </c>
      <c r="G34" s="6">
        <f>IF(AND($C34&lt;&gt;"",$D34&lt;&gt;""),IF(NOT(OR($D34&lt;DATE(340345,11,1),$C34&gt;DATE(340345,11,30))),1,0),0)</f>
        <v>0</v>
      </c>
      <c r="H34" s="6">
        <f>IF(AND($C34&lt;&gt;"",$D34&lt;&gt;""),IF(NOT(OR($D34&lt;DATE(340345,134,1),$C34&gt;DATE(340345,134,31))),1,0),0)</f>
        <v>0</v>
      </c>
      <c r="I34" s="6">
        <f>IF(AND($C34&lt;&gt;"",$D34&lt;&gt;""),IF(NOT(OR($D34&lt;DATE(340346,1,1),$C34&gt;DATE(340346,1,31))),1,0),0)</f>
        <v>0</v>
      </c>
      <c r="J34" s="6">
        <f>IF(AND($C34&lt;&gt;"",$D34&lt;&gt;""),IF(NOT(OR($D34&lt;DATE(340346,34,1),$C34&gt;DATE(340346,34,348))),1,0),0)</f>
        <v>0</v>
      </c>
      <c r="K34" s="6">
        <f>IF(AND($C34&lt;&gt;"",$D34&lt;&gt;""),IF(NOT(OR($D34&lt;DATE(340346,3,1),$C34&gt;DATE(340346,3,31))),1,0),0)</f>
        <v>0</v>
      </c>
      <c r="L34" s="6">
        <f>IF(AND($C34&lt;&gt;"",$D34&lt;&gt;""),IF(NOT(OR($D34&lt;DATE(340346,4,1),$C34&gt;DATE(340346,4,30))),1,0),0)</f>
        <v>0</v>
      </c>
      <c r="M34" s="6">
        <f>IF(AND($C34&lt;&gt;"",$D34&lt;&gt;""),IF(NOT(OR($D34&lt;DATE(340346,5,1),$C34&gt;DATE(340346,5,31))),1,0),0)</f>
        <v>0</v>
      </c>
      <c r="N34" s="6">
        <f>IF(AND($C34&lt;&gt;"",$D34&lt;&gt;""),IF(NOT(OR($D34&lt;DATE(340346,6,1),$C34&gt;DATE(340346,6,30))),1,0),0)</f>
        <v>0</v>
      </c>
      <c r="O34" s="6">
        <f>IF(AND($C34&lt;&gt;"",$D34&lt;&gt;""),IF(NOT(OR($D34&lt;DATE(340346,7,1),$C34&gt;DATE(340346,7,31))),1,0),0)</f>
        <v>0</v>
      </c>
      <c r="P34" s="6">
        <f>IF(AND($C34&lt;&gt;"",$D34&lt;&gt;""),IF(NOT(OR($D34&lt;DATE(340346,8,1),$C34&gt;DATE(340346,8,31))),1,0),0)</f>
        <v>0</v>
      </c>
    </row>
    <row r="35" spans="3:16" x14ac:dyDescent="0.25">
      <c r="C35" s="10"/>
      <c r="D35" s="10"/>
      <c r="E35" s="6">
        <f>IF(AND($C35&lt;&gt;"",$D35&lt;&gt;""),IF(NOT(OR($D35&lt;DATE(350355,9,1),$C35&gt;DATE(350355,9,30))),1,0),0)</f>
        <v>0</v>
      </c>
      <c r="F35" s="6">
        <f>IF(AND($C35&lt;&gt;"",$D35&lt;&gt;""),IF(NOT(OR($D35&lt;DATE(350355,10,1),$C35&gt;DATE(350355,10,31))),1,0),0)</f>
        <v>0</v>
      </c>
      <c r="G35" s="6">
        <f>IF(AND($C35&lt;&gt;"",$D35&lt;&gt;""),IF(NOT(OR($D35&lt;DATE(350355,11,1),$C35&gt;DATE(350355,11,30))),1,0),0)</f>
        <v>0</v>
      </c>
      <c r="H35" s="6">
        <f>IF(AND($C35&lt;&gt;"",$D35&lt;&gt;""),IF(NOT(OR($D35&lt;DATE(350355,135,1),$C35&gt;DATE(350355,135,31))),1,0),0)</f>
        <v>0</v>
      </c>
      <c r="I35" s="6">
        <f>IF(AND($C35&lt;&gt;"",$D35&lt;&gt;""),IF(NOT(OR($D35&lt;DATE(350356,1,1),$C35&gt;DATE(350356,1,31))),1,0),0)</f>
        <v>0</v>
      </c>
      <c r="J35" s="6">
        <f>IF(AND($C35&lt;&gt;"",$D35&lt;&gt;""),IF(NOT(OR($D35&lt;DATE(350356,35,1),$C35&gt;DATE(350356,35,358))),1,0),0)</f>
        <v>0</v>
      </c>
      <c r="K35" s="6">
        <f>IF(AND($C35&lt;&gt;"",$D35&lt;&gt;""),IF(NOT(OR($D35&lt;DATE(350356,3,1),$C35&gt;DATE(350356,3,31))),1,0),0)</f>
        <v>0</v>
      </c>
      <c r="L35" s="6">
        <f>IF(AND($C35&lt;&gt;"",$D35&lt;&gt;""),IF(NOT(OR($D35&lt;DATE(350356,4,1),$C35&gt;DATE(350356,4,30))),1,0),0)</f>
        <v>0</v>
      </c>
      <c r="M35" s="6">
        <f>IF(AND($C35&lt;&gt;"",$D35&lt;&gt;""),IF(NOT(OR($D35&lt;DATE(350356,5,1),$C35&gt;DATE(350356,5,31))),1,0),0)</f>
        <v>0</v>
      </c>
      <c r="N35" s="6">
        <f>IF(AND($C35&lt;&gt;"",$D35&lt;&gt;""),IF(NOT(OR($D35&lt;DATE(350356,6,1),$C35&gt;DATE(350356,6,30))),1,0),0)</f>
        <v>0</v>
      </c>
      <c r="O35" s="6">
        <f>IF(AND($C35&lt;&gt;"",$D35&lt;&gt;""),IF(NOT(OR($D35&lt;DATE(350356,7,1),$C35&gt;DATE(350356,7,31))),1,0),0)</f>
        <v>0</v>
      </c>
      <c r="P35" s="6">
        <f>IF(AND($C35&lt;&gt;"",$D35&lt;&gt;""),IF(NOT(OR($D35&lt;DATE(350356,8,1),$C35&gt;DATE(350356,8,31))),1,0),0)</f>
        <v>0</v>
      </c>
    </row>
    <row r="36" spans="3:16" x14ac:dyDescent="0.25">
      <c r="C36" s="10"/>
      <c r="D36" s="10"/>
      <c r="E36" s="6">
        <f>IF(AND($C36&lt;&gt;"",$D36&lt;&gt;""),IF(NOT(OR($D36&lt;DATE(360365,9,1),$C36&gt;DATE(360365,9,30))),1,0),0)</f>
        <v>0</v>
      </c>
      <c r="F36" s="6">
        <f>IF(AND($C36&lt;&gt;"",$D36&lt;&gt;""),IF(NOT(OR($D36&lt;DATE(360365,10,1),$C36&gt;DATE(360365,10,31))),1,0),0)</f>
        <v>0</v>
      </c>
      <c r="G36" s="6">
        <f>IF(AND($C36&lt;&gt;"",$D36&lt;&gt;""),IF(NOT(OR($D36&lt;DATE(360365,11,1),$C36&gt;DATE(360365,11,30))),1,0),0)</f>
        <v>0</v>
      </c>
      <c r="H36" s="6">
        <f>IF(AND($C36&lt;&gt;"",$D36&lt;&gt;""),IF(NOT(OR($D36&lt;DATE(360365,136,1),$C36&gt;DATE(360365,136,31))),1,0),0)</f>
        <v>0</v>
      </c>
      <c r="I36" s="6">
        <f>IF(AND($C36&lt;&gt;"",$D36&lt;&gt;""),IF(NOT(OR($D36&lt;DATE(360366,1,1),$C36&gt;DATE(360366,1,31))),1,0),0)</f>
        <v>0</v>
      </c>
      <c r="J36" s="6">
        <f>IF(AND($C36&lt;&gt;"",$D36&lt;&gt;""),IF(NOT(OR($D36&lt;DATE(360366,36,1),$C36&gt;DATE(360366,36,368))),1,0),0)</f>
        <v>0</v>
      </c>
      <c r="K36" s="6">
        <f>IF(AND($C36&lt;&gt;"",$D36&lt;&gt;""),IF(NOT(OR($D36&lt;DATE(360366,3,1),$C36&gt;DATE(360366,3,31))),1,0),0)</f>
        <v>0</v>
      </c>
      <c r="L36" s="6">
        <f>IF(AND($C36&lt;&gt;"",$D36&lt;&gt;""),IF(NOT(OR($D36&lt;DATE(360366,4,1),$C36&gt;DATE(360366,4,30))),1,0),0)</f>
        <v>0</v>
      </c>
      <c r="M36" s="6">
        <f>IF(AND($C36&lt;&gt;"",$D36&lt;&gt;""),IF(NOT(OR($D36&lt;DATE(360366,5,1),$C36&gt;DATE(360366,5,31))),1,0),0)</f>
        <v>0</v>
      </c>
      <c r="N36" s="6">
        <f>IF(AND($C36&lt;&gt;"",$D36&lt;&gt;""),IF(NOT(OR($D36&lt;DATE(360366,6,1),$C36&gt;DATE(360366,6,30))),1,0),0)</f>
        <v>0</v>
      </c>
      <c r="O36" s="6">
        <f>IF(AND($C36&lt;&gt;"",$D36&lt;&gt;""),IF(NOT(OR($D36&lt;DATE(360366,7,1),$C36&gt;DATE(360366,7,31))),1,0),0)</f>
        <v>0</v>
      </c>
      <c r="P36" s="6">
        <f>IF(AND($C36&lt;&gt;"",$D36&lt;&gt;""),IF(NOT(OR($D36&lt;DATE(360366,8,1),$C36&gt;DATE(360366,8,31))),1,0),0)</f>
        <v>0</v>
      </c>
    </row>
    <row r="37" spans="3:16" x14ac:dyDescent="0.25">
      <c r="C37" s="10"/>
      <c r="D37" s="10"/>
      <c r="E37" s="6">
        <f>IF(AND($C37&lt;&gt;"",$D37&lt;&gt;""),IF(NOT(OR($D37&lt;DATE(370375,9,1),$C37&gt;DATE(370375,9,30))),1,0),0)</f>
        <v>0</v>
      </c>
      <c r="F37" s="6">
        <f>IF(AND($C37&lt;&gt;"",$D37&lt;&gt;""),IF(NOT(OR($D37&lt;DATE(370375,10,1),$C37&gt;DATE(370375,10,31))),1,0),0)</f>
        <v>0</v>
      </c>
      <c r="G37" s="6">
        <f>IF(AND($C37&lt;&gt;"",$D37&lt;&gt;""),IF(NOT(OR($D37&lt;DATE(370375,11,1),$C37&gt;DATE(370375,11,30))),1,0),0)</f>
        <v>0</v>
      </c>
      <c r="H37" s="6">
        <f>IF(AND($C37&lt;&gt;"",$D37&lt;&gt;""),IF(NOT(OR($D37&lt;DATE(370375,137,1),$C37&gt;DATE(370375,137,31))),1,0),0)</f>
        <v>0</v>
      </c>
      <c r="I37" s="6">
        <f>IF(AND($C37&lt;&gt;"",$D37&lt;&gt;""),IF(NOT(OR($D37&lt;DATE(370376,1,1),$C37&gt;DATE(370376,1,31))),1,0),0)</f>
        <v>0</v>
      </c>
      <c r="J37" s="6">
        <f>IF(AND($C37&lt;&gt;"",$D37&lt;&gt;""),IF(NOT(OR($D37&lt;DATE(370376,37,1),$C37&gt;DATE(370376,37,378))),1,0),0)</f>
        <v>0</v>
      </c>
      <c r="K37" s="6">
        <f>IF(AND($C37&lt;&gt;"",$D37&lt;&gt;""),IF(NOT(OR($D37&lt;DATE(370376,3,1),$C37&gt;DATE(370376,3,31))),1,0),0)</f>
        <v>0</v>
      </c>
      <c r="L37" s="6">
        <f>IF(AND($C37&lt;&gt;"",$D37&lt;&gt;""),IF(NOT(OR($D37&lt;DATE(370376,4,1),$C37&gt;DATE(370376,4,30))),1,0),0)</f>
        <v>0</v>
      </c>
      <c r="M37" s="6">
        <f>IF(AND($C37&lt;&gt;"",$D37&lt;&gt;""),IF(NOT(OR($D37&lt;DATE(370376,5,1),$C37&gt;DATE(370376,5,31))),1,0),0)</f>
        <v>0</v>
      </c>
      <c r="N37" s="6">
        <f>IF(AND($C37&lt;&gt;"",$D37&lt;&gt;""),IF(NOT(OR($D37&lt;DATE(370376,6,1),$C37&gt;DATE(370376,6,30))),1,0),0)</f>
        <v>0</v>
      </c>
      <c r="O37" s="6">
        <f>IF(AND($C37&lt;&gt;"",$D37&lt;&gt;""),IF(NOT(OR($D37&lt;DATE(370376,7,1),$C37&gt;DATE(370376,7,31))),1,0),0)</f>
        <v>0</v>
      </c>
      <c r="P37" s="6">
        <f>IF(AND($C37&lt;&gt;"",$D37&lt;&gt;""),IF(NOT(OR($D37&lt;DATE(370376,8,1),$C37&gt;DATE(370376,8,31))),1,0),0)</f>
        <v>0</v>
      </c>
    </row>
    <row r="38" spans="3:16" x14ac:dyDescent="0.25">
      <c r="C38" s="10"/>
      <c r="D38" s="10"/>
      <c r="E38" s="6">
        <f>IF(AND($C38&lt;&gt;"",$D38&lt;&gt;""),IF(NOT(OR($D38&lt;DATE(380385,9,1),$C38&gt;DATE(380385,9,30))),1,0),0)</f>
        <v>0</v>
      </c>
      <c r="F38" s="6">
        <f>IF(AND($C38&lt;&gt;"",$D38&lt;&gt;""),IF(NOT(OR($D38&lt;DATE(380385,10,1),$C38&gt;DATE(380385,10,31))),1,0),0)</f>
        <v>0</v>
      </c>
      <c r="G38" s="6">
        <f>IF(AND($C38&lt;&gt;"",$D38&lt;&gt;""),IF(NOT(OR($D38&lt;DATE(380385,11,1),$C38&gt;DATE(380385,11,30))),1,0),0)</f>
        <v>0</v>
      </c>
      <c r="H38" s="6">
        <f>IF(AND($C38&lt;&gt;"",$D38&lt;&gt;""),IF(NOT(OR($D38&lt;DATE(380385,138,1),$C38&gt;DATE(380385,138,31))),1,0),0)</f>
        <v>0</v>
      </c>
      <c r="I38" s="6">
        <f>IF(AND($C38&lt;&gt;"",$D38&lt;&gt;""),IF(NOT(OR($D38&lt;DATE(380386,1,1),$C38&gt;DATE(380386,1,31))),1,0),0)</f>
        <v>0</v>
      </c>
      <c r="J38" s="6">
        <f>IF(AND($C38&lt;&gt;"",$D38&lt;&gt;""),IF(NOT(OR($D38&lt;DATE(380386,38,1),$C38&gt;DATE(380386,38,388))),1,0),0)</f>
        <v>0</v>
      </c>
      <c r="K38" s="6">
        <f>IF(AND($C38&lt;&gt;"",$D38&lt;&gt;""),IF(NOT(OR($D38&lt;DATE(380386,3,1),$C38&gt;DATE(380386,3,31))),1,0),0)</f>
        <v>0</v>
      </c>
      <c r="L38" s="6">
        <f>IF(AND($C38&lt;&gt;"",$D38&lt;&gt;""),IF(NOT(OR($D38&lt;DATE(380386,4,1),$C38&gt;DATE(380386,4,30))),1,0),0)</f>
        <v>0</v>
      </c>
      <c r="M38" s="6">
        <f>IF(AND($C38&lt;&gt;"",$D38&lt;&gt;""),IF(NOT(OR($D38&lt;DATE(380386,5,1),$C38&gt;DATE(380386,5,31))),1,0),0)</f>
        <v>0</v>
      </c>
      <c r="N38" s="6">
        <f>IF(AND($C38&lt;&gt;"",$D38&lt;&gt;""),IF(NOT(OR($D38&lt;DATE(380386,6,1),$C38&gt;DATE(380386,6,30))),1,0),0)</f>
        <v>0</v>
      </c>
      <c r="O38" s="6">
        <f>IF(AND($C38&lt;&gt;"",$D38&lt;&gt;""),IF(NOT(OR($D38&lt;DATE(380386,7,1),$C38&gt;DATE(380386,7,31))),1,0),0)</f>
        <v>0</v>
      </c>
      <c r="P38" s="6">
        <f>IF(AND($C38&lt;&gt;"",$D38&lt;&gt;""),IF(NOT(OR($D38&lt;DATE(380386,8,1),$C38&gt;DATE(380386,8,31))),1,0),0)</f>
        <v>0</v>
      </c>
    </row>
    <row r="39" spans="3:16" x14ac:dyDescent="0.25">
      <c r="C39" s="10"/>
      <c r="D39" s="10"/>
      <c r="E39" s="6">
        <f>IF(AND($C39&lt;&gt;"",$D39&lt;&gt;""),IF(NOT(OR($D39&lt;DATE(390395,9,1),$C39&gt;DATE(390395,9,30))),1,0),0)</f>
        <v>0</v>
      </c>
      <c r="F39" s="6">
        <f>IF(AND($C39&lt;&gt;"",$D39&lt;&gt;""),IF(NOT(OR($D39&lt;DATE(390395,10,1),$C39&gt;DATE(390395,10,31))),1,0),0)</f>
        <v>0</v>
      </c>
      <c r="G39" s="6">
        <f>IF(AND($C39&lt;&gt;"",$D39&lt;&gt;""),IF(NOT(OR($D39&lt;DATE(390395,11,1),$C39&gt;DATE(390395,11,30))),1,0),0)</f>
        <v>0</v>
      </c>
      <c r="H39" s="6">
        <f>IF(AND($C39&lt;&gt;"",$D39&lt;&gt;""),IF(NOT(OR($D39&lt;DATE(390395,139,1),$C39&gt;DATE(390395,139,31))),1,0),0)</f>
        <v>0</v>
      </c>
      <c r="I39" s="6">
        <f>IF(AND($C39&lt;&gt;"",$D39&lt;&gt;""),IF(NOT(OR($D39&lt;DATE(390396,1,1),$C39&gt;DATE(390396,1,31))),1,0),0)</f>
        <v>0</v>
      </c>
      <c r="J39" s="6">
        <f>IF(AND($C39&lt;&gt;"",$D39&lt;&gt;""),IF(NOT(OR($D39&lt;DATE(390396,39,1),$C39&gt;DATE(390396,39,398))),1,0),0)</f>
        <v>0</v>
      </c>
      <c r="K39" s="6">
        <f>IF(AND($C39&lt;&gt;"",$D39&lt;&gt;""),IF(NOT(OR($D39&lt;DATE(390396,3,1),$C39&gt;DATE(390396,3,31))),1,0),0)</f>
        <v>0</v>
      </c>
      <c r="L39" s="6">
        <f>IF(AND($C39&lt;&gt;"",$D39&lt;&gt;""),IF(NOT(OR($D39&lt;DATE(390396,4,1),$C39&gt;DATE(390396,4,30))),1,0),0)</f>
        <v>0</v>
      </c>
      <c r="M39" s="6">
        <f>IF(AND($C39&lt;&gt;"",$D39&lt;&gt;""),IF(NOT(OR($D39&lt;DATE(390396,5,1),$C39&gt;DATE(390396,5,31))),1,0),0)</f>
        <v>0</v>
      </c>
      <c r="N39" s="6">
        <f>IF(AND($C39&lt;&gt;"",$D39&lt;&gt;""),IF(NOT(OR($D39&lt;DATE(390396,6,1),$C39&gt;DATE(390396,6,30))),1,0),0)</f>
        <v>0</v>
      </c>
      <c r="O39" s="6">
        <f>IF(AND($C39&lt;&gt;"",$D39&lt;&gt;""),IF(NOT(OR($D39&lt;DATE(390396,7,1),$C39&gt;DATE(390396,7,31))),1,0),0)</f>
        <v>0</v>
      </c>
      <c r="P39" s="6">
        <f>IF(AND($C39&lt;&gt;"",$D39&lt;&gt;""),IF(NOT(OR($D39&lt;DATE(390396,8,1),$C39&gt;DATE(390396,8,31))),1,0),0)</f>
        <v>0</v>
      </c>
    </row>
    <row r="40" spans="3:16" x14ac:dyDescent="0.25">
      <c r="C40" s="10"/>
      <c r="D40" s="10"/>
      <c r="E40" s="6">
        <f>IF(AND($C40&lt;&gt;"",$D40&lt;&gt;""),IF(NOT(OR($D40&lt;DATE(400405,9,1),$C40&gt;DATE(400405,9,30))),1,0),0)</f>
        <v>0</v>
      </c>
      <c r="F40" s="6">
        <f>IF(AND($C40&lt;&gt;"",$D40&lt;&gt;""),IF(NOT(OR($D40&lt;DATE(400405,10,1),$C40&gt;DATE(400405,10,31))),1,0),0)</f>
        <v>0</v>
      </c>
      <c r="G40" s="6">
        <f>IF(AND($C40&lt;&gt;"",$D40&lt;&gt;""),IF(NOT(OR($D40&lt;DATE(400405,11,1),$C40&gt;DATE(400405,11,30))),1,0),0)</f>
        <v>0</v>
      </c>
      <c r="H40" s="6">
        <f>IF(AND($C40&lt;&gt;"",$D40&lt;&gt;""),IF(NOT(OR($D40&lt;DATE(400405,140,1),$C40&gt;DATE(400405,140,31))),1,0),0)</f>
        <v>0</v>
      </c>
      <c r="I40" s="6">
        <f>IF(AND($C40&lt;&gt;"",$D40&lt;&gt;""),IF(NOT(OR($D40&lt;DATE(400406,1,1),$C40&gt;DATE(400406,1,31))),1,0),0)</f>
        <v>0</v>
      </c>
      <c r="J40" s="6">
        <f>IF(AND($C40&lt;&gt;"",$D40&lt;&gt;""),IF(NOT(OR($D40&lt;DATE(400406,40,1),$C40&gt;DATE(400406,40,408))),1,0),0)</f>
        <v>0</v>
      </c>
      <c r="K40" s="6">
        <f>IF(AND($C40&lt;&gt;"",$D40&lt;&gt;""),IF(NOT(OR($D40&lt;DATE(400406,3,1),$C40&gt;DATE(400406,3,31))),1,0),0)</f>
        <v>0</v>
      </c>
      <c r="L40" s="6">
        <f>IF(AND($C40&lt;&gt;"",$D40&lt;&gt;""),IF(NOT(OR($D40&lt;DATE(400406,4,1),$C40&gt;DATE(400406,4,30))),1,0),0)</f>
        <v>0</v>
      </c>
      <c r="M40" s="6">
        <f>IF(AND($C40&lt;&gt;"",$D40&lt;&gt;""),IF(NOT(OR($D40&lt;DATE(400406,5,1),$C40&gt;DATE(400406,5,31))),1,0),0)</f>
        <v>0</v>
      </c>
      <c r="N40" s="6">
        <f>IF(AND($C40&lt;&gt;"",$D40&lt;&gt;""),IF(NOT(OR($D40&lt;DATE(400406,6,1),$C40&gt;DATE(400406,6,30))),1,0),0)</f>
        <v>0</v>
      </c>
      <c r="O40" s="6">
        <f>IF(AND($C40&lt;&gt;"",$D40&lt;&gt;""),IF(NOT(OR($D40&lt;DATE(400406,7,1),$C40&gt;DATE(400406,7,31))),1,0),0)</f>
        <v>0</v>
      </c>
      <c r="P40" s="6">
        <f>IF(AND($C40&lt;&gt;"",$D40&lt;&gt;""),IF(NOT(OR($D40&lt;DATE(400406,8,1),$C40&gt;DATE(400406,8,31))),1,0),0)</f>
        <v>0</v>
      </c>
    </row>
    <row r="41" spans="3:16" x14ac:dyDescent="0.25">
      <c r="C41" s="10"/>
      <c r="D41" s="10"/>
      <c r="E41" s="6">
        <f>IF(AND($C41&lt;&gt;"",$D41&lt;&gt;""),IF(NOT(OR($D41&lt;DATE(410415,9,1),$C41&gt;DATE(410415,9,30))),1,0),0)</f>
        <v>0</v>
      </c>
      <c r="F41" s="6">
        <f>IF(AND($C41&lt;&gt;"",$D41&lt;&gt;""),IF(NOT(OR($D41&lt;DATE(410415,10,1),$C41&gt;DATE(410415,10,31))),1,0),0)</f>
        <v>0</v>
      </c>
      <c r="G41" s="6">
        <f>IF(AND($C41&lt;&gt;"",$D41&lt;&gt;""),IF(NOT(OR($D41&lt;DATE(410415,11,1),$C41&gt;DATE(410415,11,30))),1,0),0)</f>
        <v>0</v>
      </c>
      <c r="H41" s="6">
        <f>IF(AND($C41&lt;&gt;"",$D41&lt;&gt;""),IF(NOT(OR($D41&lt;DATE(410415,141,1),$C41&gt;DATE(410415,141,31))),1,0),0)</f>
        <v>0</v>
      </c>
      <c r="I41" s="6">
        <f>IF(AND($C41&lt;&gt;"",$D41&lt;&gt;""),IF(NOT(OR($D41&lt;DATE(410416,1,1),$C41&gt;DATE(410416,1,31))),1,0),0)</f>
        <v>0</v>
      </c>
      <c r="J41" s="6">
        <f>IF(AND($C41&lt;&gt;"",$D41&lt;&gt;""),IF(NOT(OR($D41&lt;DATE(410416,41,1),$C41&gt;DATE(410416,41,418))),1,0),0)</f>
        <v>0</v>
      </c>
      <c r="K41" s="6">
        <f>IF(AND($C41&lt;&gt;"",$D41&lt;&gt;""),IF(NOT(OR($D41&lt;DATE(410416,3,1),$C41&gt;DATE(410416,3,31))),1,0),0)</f>
        <v>0</v>
      </c>
      <c r="L41" s="6">
        <f>IF(AND($C41&lt;&gt;"",$D41&lt;&gt;""),IF(NOT(OR($D41&lt;DATE(410416,4,1),$C41&gt;DATE(410416,4,30))),1,0),0)</f>
        <v>0</v>
      </c>
      <c r="M41" s="6">
        <f>IF(AND($C41&lt;&gt;"",$D41&lt;&gt;""),IF(NOT(OR($D41&lt;DATE(410416,5,1),$C41&gt;DATE(410416,5,31))),1,0),0)</f>
        <v>0</v>
      </c>
      <c r="N41" s="6">
        <f>IF(AND($C41&lt;&gt;"",$D41&lt;&gt;""),IF(NOT(OR($D41&lt;DATE(410416,6,1),$C41&gt;DATE(410416,6,30))),1,0),0)</f>
        <v>0</v>
      </c>
      <c r="O41" s="6">
        <f>IF(AND($C41&lt;&gt;"",$D41&lt;&gt;""),IF(NOT(OR($D41&lt;DATE(410416,7,1),$C41&gt;DATE(410416,7,31))),1,0),0)</f>
        <v>0</v>
      </c>
      <c r="P41" s="6">
        <f>IF(AND($C41&lt;&gt;"",$D41&lt;&gt;""),IF(NOT(OR($D41&lt;DATE(410416,8,1),$C41&gt;DATE(410416,8,31))),1,0),0)</f>
        <v>0</v>
      </c>
    </row>
    <row r="42" spans="3:16" x14ac:dyDescent="0.25">
      <c r="C42" s="10"/>
      <c r="D42" s="10"/>
      <c r="E42" s="6">
        <f>IF(AND($C42&lt;&gt;"",$D42&lt;&gt;""),IF(NOT(OR($D42&lt;DATE(420425,9,1),$C42&gt;DATE(420425,9,30))),1,0),0)</f>
        <v>0</v>
      </c>
      <c r="F42" s="6">
        <f>IF(AND($C42&lt;&gt;"",$D42&lt;&gt;""),IF(NOT(OR($D42&lt;DATE(420425,10,1),$C42&gt;DATE(420425,10,31))),1,0),0)</f>
        <v>0</v>
      </c>
      <c r="G42" s="6">
        <f>IF(AND($C42&lt;&gt;"",$D42&lt;&gt;""),IF(NOT(OR($D42&lt;DATE(420425,11,1),$C42&gt;DATE(420425,11,30))),1,0),0)</f>
        <v>0</v>
      </c>
      <c r="H42" s="6">
        <f>IF(AND($C42&lt;&gt;"",$D42&lt;&gt;""),IF(NOT(OR($D42&lt;DATE(420425,142,1),$C42&gt;DATE(420425,142,31))),1,0),0)</f>
        <v>0</v>
      </c>
      <c r="I42" s="6">
        <f>IF(AND($C42&lt;&gt;"",$D42&lt;&gt;""),IF(NOT(OR($D42&lt;DATE(420426,1,1),$C42&gt;DATE(420426,1,31))),1,0),0)</f>
        <v>0</v>
      </c>
      <c r="J42" s="6">
        <f>IF(AND($C42&lt;&gt;"",$D42&lt;&gt;""),IF(NOT(OR($D42&lt;DATE(420426,42,1),$C42&gt;DATE(420426,42,428))),1,0),0)</f>
        <v>0</v>
      </c>
      <c r="K42" s="6">
        <f>IF(AND($C42&lt;&gt;"",$D42&lt;&gt;""),IF(NOT(OR($D42&lt;DATE(420426,3,1),$C42&gt;DATE(420426,3,31))),1,0),0)</f>
        <v>0</v>
      </c>
      <c r="L42" s="6">
        <f>IF(AND($C42&lt;&gt;"",$D42&lt;&gt;""),IF(NOT(OR($D42&lt;DATE(420426,4,1),$C42&gt;DATE(420426,4,30))),1,0),0)</f>
        <v>0</v>
      </c>
      <c r="M42" s="6">
        <f>IF(AND($C42&lt;&gt;"",$D42&lt;&gt;""),IF(NOT(OR($D42&lt;DATE(420426,5,1),$C42&gt;DATE(420426,5,31))),1,0),0)</f>
        <v>0</v>
      </c>
      <c r="N42" s="6">
        <f>IF(AND($C42&lt;&gt;"",$D42&lt;&gt;""),IF(NOT(OR($D42&lt;DATE(420426,6,1),$C42&gt;DATE(420426,6,30))),1,0),0)</f>
        <v>0</v>
      </c>
      <c r="O42" s="6">
        <f>IF(AND($C42&lt;&gt;"",$D42&lt;&gt;""),IF(NOT(OR($D42&lt;DATE(420426,7,1),$C42&gt;DATE(420426,7,31))),1,0),0)</f>
        <v>0</v>
      </c>
      <c r="P42" s="6">
        <f>IF(AND($C42&lt;&gt;"",$D42&lt;&gt;""),IF(NOT(OR($D42&lt;DATE(420426,8,1),$C42&gt;DATE(420426,8,31))),1,0),0)</f>
        <v>0</v>
      </c>
    </row>
    <row r="43" spans="3:16" x14ac:dyDescent="0.25">
      <c r="C43" s="10"/>
      <c r="D43" s="10"/>
      <c r="E43" s="6">
        <f>IF(AND($C43&lt;&gt;"",$D43&lt;&gt;""),IF(NOT(OR($D43&lt;DATE(430435,9,1),$C43&gt;DATE(430435,9,30))),1,0),0)</f>
        <v>0</v>
      </c>
      <c r="F43" s="6">
        <f>IF(AND($C43&lt;&gt;"",$D43&lt;&gt;""),IF(NOT(OR($D43&lt;DATE(430435,10,1),$C43&gt;DATE(430435,10,31))),1,0),0)</f>
        <v>0</v>
      </c>
      <c r="G43" s="6">
        <f>IF(AND($C43&lt;&gt;"",$D43&lt;&gt;""),IF(NOT(OR($D43&lt;DATE(430435,11,1),$C43&gt;DATE(430435,11,30))),1,0),0)</f>
        <v>0</v>
      </c>
      <c r="H43" s="6">
        <f>IF(AND($C43&lt;&gt;"",$D43&lt;&gt;""),IF(NOT(OR($D43&lt;DATE(430435,143,1),$C43&gt;DATE(430435,143,31))),1,0),0)</f>
        <v>0</v>
      </c>
      <c r="I43" s="6">
        <f>IF(AND($C43&lt;&gt;"",$D43&lt;&gt;""),IF(NOT(OR($D43&lt;DATE(430436,1,1),$C43&gt;DATE(430436,1,31))),1,0),0)</f>
        <v>0</v>
      </c>
      <c r="J43" s="6">
        <f>IF(AND($C43&lt;&gt;"",$D43&lt;&gt;""),IF(NOT(OR($D43&lt;DATE(430436,43,1),$C43&gt;DATE(430436,43,438))),1,0),0)</f>
        <v>0</v>
      </c>
      <c r="K43" s="6">
        <f>IF(AND($C43&lt;&gt;"",$D43&lt;&gt;""),IF(NOT(OR($D43&lt;DATE(430436,3,1),$C43&gt;DATE(430436,3,31))),1,0),0)</f>
        <v>0</v>
      </c>
      <c r="L43" s="6">
        <f>IF(AND($C43&lt;&gt;"",$D43&lt;&gt;""),IF(NOT(OR($D43&lt;DATE(430436,4,1),$C43&gt;DATE(430436,4,30))),1,0),0)</f>
        <v>0</v>
      </c>
      <c r="M43" s="6">
        <f>IF(AND($C43&lt;&gt;"",$D43&lt;&gt;""),IF(NOT(OR($D43&lt;DATE(430436,5,1),$C43&gt;DATE(430436,5,31))),1,0),0)</f>
        <v>0</v>
      </c>
      <c r="N43" s="6">
        <f>IF(AND($C43&lt;&gt;"",$D43&lt;&gt;""),IF(NOT(OR($D43&lt;DATE(430436,6,1),$C43&gt;DATE(430436,6,30))),1,0),0)</f>
        <v>0</v>
      </c>
      <c r="O43" s="6">
        <f>IF(AND($C43&lt;&gt;"",$D43&lt;&gt;""),IF(NOT(OR($D43&lt;DATE(430436,7,1),$C43&gt;DATE(430436,7,31))),1,0),0)</f>
        <v>0</v>
      </c>
      <c r="P43" s="6">
        <f>IF(AND($C43&lt;&gt;"",$D43&lt;&gt;""),IF(NOT(OR($D43&lt;DATE(430436,8,1),$C43&gt;DATE(430436,8,31))),1,0),0)</f>
        <v>0</v>
      </c>
    </row>
    <row r="44" spans="3:16" x14ac:dyDescent="0.25">
      <c r="C44" s="10"/>
      <c r="D44" s="10"/>
      <c r="E44" s="6">
        <f>IF(AND($C44&lt;&gt;"",$D44&lt;&gt;""),IF(NOT(OR($D44&lt;DATE(440445,9,1),$C44&gt;DATE(440445,9,30))),1,0),0)</f>
        <v>0</v>
      </c>
      <c r="F44" s="6">
        <f>IF(AND($C44&lt;&gt;"",$D44&lt;&gt;""),IF(NOT(OR($D44&lt;DATE(440445,10,1),$C44&gt;DATE(440445,10,31))),1,0),0)</f>
        <v>0</v>
      </c>
      <c r="G44" s="6">
        <f>IF(AND($C44&lt;&gt;"",$D44&lt;&gt;""),IF(NOT(OR($D44&lt;DATE(440445,11,1),$C44&gt;DATE(440445,11,30))),1,0),0)</f>
        <v>0</v>
      </c>
      <c r="H44" s="6">
        <f>IF(AND($C44&lt;&gt;"",$D44&lt;&gt;""),IF(NOT(OR($D44&lt;DATE(440445,144,1),$C44&gt;DATE(440445,144,31))),1,0),0)</f>
        <v>0</v>
      </c>
      <c r="I44" s="6">
        <f>IF(AND($C44&lt;&gt;"",$D44&lt;&gt;""),IF(NOT(OR($D44&lt;DATE(440446,1,1),$C44&gt;DATE(440446,1,31))),1,0),0)</f>
        <v>0</v>
      </c>
      <c r="J44" s="6">
        <f>IF(AND($C44&lt;&gt;"",$D44&lt;&gt;""),IF(NOT(OR($D44&lt;DATE(440446,44,1),$C44&gt;DATE(440446,44,448))),1,0),0)</f>
        <v>0</v>
      </c>
      <c r="K44" s="6">
        <f>IF(AND($C44&lt;&gt;"",$D44&lt;&gt;""),IF(NOT(OR($D44&lt;DATE(440446,3,1),$C44&gt;DATE(440446,3,31))),1,0),0)</f>
        <v>0</v>
      </c>
      <c r="L44" s="6">
        <f>IF(AND($C44&lt;&gt;"",$D44&lt;&gt;""),IF(NOT(OR($D44&lt;DATE(440446,4,1),$C44&gt;DATE(440446,4,30))),1,0),0)</f>
        <v>0</v>
      </c>
      <c r="M44" s="6">
        <f>IF(AND($C44&lt;&gt;"",$D44&lt;&gt;""),IF(NOT(OR($D44&lt;DATE(440446,5,1),$C44&gt;DATE(440446,5,31))),1,0),0)</f>
        <v>0</v>
      </c>
      <c r="N44" s="6">
        <f>IF(AND($C44&lt;&gt;"",$D44&lt;&gt;""),IF(NOT(OR($D44&lt;DATE(440446,6,1),$C44&gt;DATE(440446,6,30))),1,0),0)</f>
        <v>0</v>
      </c>
      <c r="O44" s="6">
        <f>IF(AND($C44&lt;&gt;"",$D44&lt;&gt;""),IF(NOT(OR($D44&lt;DATE(440446,7,1),$C44&gt;DATE(440446,7,31))),1,0),0)</f>
        <v>0</v>
      </c>
      <c r="P44" s="6">
        <f>IF(AND($C44&lt;&gt;"",$D44&lt;&gt;""),IF(NOT(OR($D44&lt;DATE(440446,8,1),$C44&gt;DATE(440446,8,31))),1,0),0)</f>
        <v>0</v>
      </c>
    </row>
    <row r="45" spans="3:16" x14ac:dyDescent="0.25">
      <c r="C45" s="10"/>
      <c r="D45" s="10"/>
      <c r="E45" s="6">
        <f>IF(AND($C45&lt;&gt;"",$D45&lt;&gt;""),IF(NOT(OR($D45&lt;DATE(450455,9,1),$C45&gt;DATE(450455,9,30))),1,0),0)</f>
        <v>0</v>
      </c>
      <c r="F45" s="6">
        <f>IF(AND($C45&lt;&gt;"",$D45&lt;&gt;""),IF(NOT(OR($D45&lt;DATE(450455,10,1),$C45&gt;DATE(450455,10,31))),1,0),0)</f>
        <v>0</v>
      </c>
      <c r="G45" s="6">
        <f>IF(AND($C45&lt;&gt;"",$D45&lt;&gt;""),IF(NOT(OR($D45&lt;DATE(450455,11,1),$C45&gt;DATE(450455,11,30))),1,0),0)</f>
        <v>0</v>
      </c>
      <c r="H45" s="6">
        <f>IF(AND($C45&lt;&gt;"",$D45&lt;&gt;""),IF(NOT(OR($D45&lt;DATE(450455,145,1),$C45&gt;DATE(450455,145,31))),1,0),0)</f>
        <v>0</v>
      </c>
      <c r="I45" s="6">
        <f>IF(AND($C45&lt;&gt;"",$D45&lt;&gt;""),IF(NOT(OR($D45&lt;DATE(450456,1,1),$C45&gt;DATE(450456,1,31))),1,0),0)</f>
        <v>0</v>
      </c>
      <c r="J45" s="6">
        <f>IF(AND($C45&lt;&gt;"",$D45&lt;&gt;""),IF(NOT(OR($D45&lt;DATE(450456,45,1),$C45&gt;DATE(450456,45,458))),1,0),0)</f>
        <v>0</v>
      </c>
      <c r="K45" s="6">
        <f>IF(AND($C45&lt;&gt;"",$D45&lt;&gt;""),IF(NOT(OR($D45&lt;DATE(450456,3,1),$C45&gt;DATE(450456,3,31))),1,0),0)</f>
        <v>0</v>
      </c>
      <c r="L45" s="6">
        <f>IF(AND($C45&lt;&gt;"",$D45&lt;&gt;""),IF(NOT(OR($D45&lt;DATE(450456,4,1),$C45&gt;DATE(450456,4,30))),1,0),0)</f>
        <v>0</v>
      </c>
      <c r="M45" s="6">
        <f>IF(AND($C45&lt;&gt;"",$D45&lt;&gt;""),IF(NOT(OR($D45&lt;DATE(450456,5,1),$C45&gt;DATE(450456,5,31))),1,0),0)</f>
        <v>0</v>
      </c>
      <c r="N45" s="6">
        <f>IF(AND($C45&lt;&gt;"",$D45&lt;&gt;""),IF(NOT(OR($D45&lt;DATE(450456,6,1),$C45&gt;DATE(450456,6,30))),1,0),0)</f>
        <v>0</v>
      </c>
      <c r="O45" s="6">
        <f>IF(AND($C45&lt;&gt;"",$D45&lt;&gt;""),IF(NOT(OR($D45&lt;DATE(450456,7,1),$C45&gt;DATE(450456,7,31))),1,0),0)</f>
        <v>0</v>
      </c>
      <c r="P45" s="6">
        <f>IF(AND($C45&lt;&gt;"",$D45&lt;&gt;""),IF(NOT(OR($D45&lt;DATE(450456,8,1),$C45&gt;DATE(450456,8,31))),1,0),0)</f>
        <v>0</v>
      </c>
    </row>
    <row r="46" spans="3:16" x14ac:dyDescent="0.25">
      <c r="C46" s="10"/>
      <c r="D46" s="10"/>
      <c r="E46" s="6">
        <f>IF(AND($C46&lt;&gt;"",$D46&lt;&gt;""),IF(NOT(OR($D46&lt;DATE(460465,9,1),$C46&gt;DATE(460465,9,30))),1,0),0)</f>
        <v>0</v>
      </c>
      <c r="F46" s="6">
        <f>IF(AND($C46&lt;&gt;"",$D46&lt;&gt;""),IF(NOT(OR($D46&lt;DATE(460465,10,1),$C46&gt;DATE(460465,10,31))),1,0),0)</f>
        <v>0</v>
      </c>
      <c r="G46" s="6">
        <f>IF(AND($C46&lt;&gt;"",$D46&lt;&gt;""),IF(NOT(OR($D46&lt;DATE(460465,11,1),$C46&gt;DATE(460465,11,30))),1,0),0)</f>
        <v>0</v>
      </c>
      <c r="H46" s="6">
        <f>IF(AND($C46&lt;&gt;"",$D46&lt;&gt;""),IF(NOT(OR($D46&lt;DATE(460465,146,1),$C46&gt;DATE(460465,146,31))),1,0),0)</f>
        <v>0</v>
      </c>
      <c r="I46" s="6">
        <f>IF(AND($C46&lt;&gt;"",$D46&lt;&gt;""),IF(NOT(OR($D46&lt;DATE(460466,1,1),$C46&gt;DATE(460466,1,31))),1,0),0)</f>
        <v>0</v>
      </c>
      <c r="J46" s="6">
        <f>IF(AND($C46&lt;&gt;"",$D46&lt;&gt;""),IF(NOT(OR($D46&lt;DATE(460466,46,1),$C46&gt;DATE(460466,46,468))),1,0),0)</f>
        <v>0</v>
      </c>
      <c r="K46" s="6">
        <f>IF(AND($C46&lt;&gt;"",$D46&lt;&gt;""),IF(NOT(OR($D46&lt;DATE(460466,3,1),$C46&gt;DATE(460466,3,31))),1,0),0)</f>
        <v>0</v>
      </c>
      <c r="L46" s="6">
        <f>IF(AND($C46&lt;&gt;"",$D46&lt;&gt;""),IF(NOT(OR($D46&lt;DATE(460466,4,1),$C46&gt;DATE(460466,4,30))),1,0),0)</f>
        <v>0</v>
      </c>
      <c r="M46" s="6">
        <f>IF(AND($C46&lt;&gt;"",$D46&lt;&gt;""),IF(NOT(OR($D46&lt;DATE(460466,5,1),$C46&gt;DATE(460466,5,31))),1,0),0)</f>
        <v>0</v>
      </c>
      <c r="N46" s="6">
        <f>IF(AND($C46&lt;&gt;"",$D46&lt;&gt;""),IF(NOT(OR($D46&lt;DATE(460466,6,1),$C46&gt;DATE(460466,6,30))),1,0),0)</f>
        <v>0</v>
      </c>
      <c r="O46" s="6">
        <f>IF(AND($C46&lt;&gt;"",$D46&lt;&gt;""),IF(NOT(OR($D46&lt;DATE(460466,7,1),$C46&gt;DATE(460466,7,31))),1,0),0)</f>
        <v>0</v>
      </c>
      <c r="P46" s="6">
        <f>IF(AND($C46&lt;&gt;"",$D46&lt;&gt;""),IF(NOT(OR($D46&lt;DATE(460466,8,1),$C46&gt;DATE(460466,8,31))),1,0),0)</f>
        <v>0</v>
      </c>
    </row>
    <row r="47" spans="3:16" x14ac:dyDescent="0.25">
      <c r="C47" s="10"/>
      <c r="D47" s="10"/>
      <c r="E47" s="6">
        <f>IF(AND($C47&lt;&gt;"",$D47&lt;&gt;""),IF(NOT(OR($D47&lt;DATE(470475,9,1),$C47&gt;DATE(470475,9,30))),1,0),0)</f>
        <v>0</v>
      </c>
      <c r="F47" s="6">
        <f>IF(AND($C47&lt;&gt;"",$D47&lt;&gt;""),IF(NOT(OR($D47&lt;DATE(470475,10,1),$C47&gt;DATE(470475,10,31))),1,0),0)</f>
        <v>0</v>
      </c>
      <c r="G47" s="6">
        <f>IF(AND($C47&lt;&gt;"",$D47&lt;&gt;""),IF(NOT(OR($D47&lt;DATE(470475,11,1),$C47&gt;DATE(470475,11,30))),1,0),0)</f>
        <v>0</v>
      </c>
      <c r="H47" s="6">
        <f>IF(AND($C47&lt;&gt;"",$D47&lt;&gt;""),IF(NOT(OR($D47&lt;DATE(470475,147,1),$C47&gt;DATE(470475,147,31))),1,0),0)</f>
        <v>0</v>
      </c>
      <c r="I47" s="6">
        <f>IF(AND($C47&lt;&gt;"",$D47&lt;&gt;""),IF(NOT(OR($D47&lt;DATE(470476,1,1),$C47&gt;DATE(470476,1,31))),1,0),0)</f>
        <v>0</v>
      </c>
      <c r="J47" s="6">
        <f>IF(AND($C47&lt;&gt;"",$D47&lt;&gt;""),IF(NOT(OR($D47&lt;DATE(470476,47,1),$C47&gt;DATE(470476,47,478))),1,0),0)</f>
        <v>0</v>
      </c>
      <c r="K47" s="6">
        <f>IF(AND($C47&lt;&gt;"",$D47&lt;&gt;""),IF(NOT(OR($D47&lt;DATE(470476,3,1),$C47&gt;DATE(470476,3,31))),1,0),0)</f>
        <v>0</v>
      </c>
      <c r="L47" s="6">
        <f>IF(AND($C47&lt;&gt;"",$D47&lt;&gt;""),IF(NOT(OR($D47&lt;DATE(470476,4,1),$C47&gt;DATE(470476,4,30))),1,0),0)</f>
        <v>0</v>
      </c>
      <c r="M47" s="6">
        <f>IF(AND($C47&lt;&gt;"",$D47&lt;&gt;""),IF(NOT(OR($D47&lt;DATE(470476,5,1),$C47&gt;DATE(470476,5,31))),1,0),0)</f>
        <v>0</v>
      </c>
      <c r="N47" s="6">
        <f>IF(AND($C47&lt;&gt;"",$D47&lt;&gt;""),IF(NOT(OR($D47&lt;DATE(470476,6,1),$C47&gt;DATE(470476,6,30))),1,0),0)</f>
        <v>0</v>
      </c>
      <c r="O47" s="6">
        <f>IF(AND($C47&lt;&gt;"",$D47&lt;&gt;""),IF(NOT(OR($D47&lt;DATE(470476,7,1),$C47&gt;DATE(470476,7,31))),1,0),0)</f>
        <v>0</v>
      </c>
      <c r="P47" s="6">
        <f>IF(AND($C47&lt;&gt;"",$D47&lt;&gt;""),IF(NOT(OR($D47&lt;DATE(470476,8,1),$C47&gt;DATE(470476,8,31))),1,0),0)</f>
        <v>0</v>
      </c>
    </row>
    <row r="48" spans="3:16" x14ac:dyDescent="0.25">
      <c r="C48" s="10"/>
      <c r="D48" s="10"/>
      <c r="E48" s="6">
        <f>IF(AND($C48&lt;&gt;"",$D48&lt;&gt;""),IF(NOT(OR($D48&lt;DATE(480485,9,1),$C48&gt;DATE(480485,9,30))),1,0),0)</f>
        <v>0</v>
      </c>
      <c r="F48" s="6">
        <f>IF(AND($C48&lt;&gt;"",$D48&lt;&gt;""),IF(NOT(OR($D48&lt;DATE(480485,10,1),$C48&gt;DATE(480485,10,31))),1,0),0)</f>
        <v>0</v>
      </c>
      <c r="G48" s="6">
        <f>IF(AND($C48&lt;&gt;"",$D48&lt;&gt;""),IF(NOT(OR($D48&lt;DATE(480485,11,1),$C48&gt;DATE(480485,11,30))),1,0),0)</f>
        <v>0</v>
      </c>
      <c r="H48" s="6">
        <f>IF(AND($C48&lt;&gt;"",$D48&lt;&gt;""),IF(NOT(OR($D48&lt;DATE(480485,148,1),$C48&gt;DATE(480485,148,31))),1,0),0)</f>
        <v>0</v>
      </c>
      <c r="I48" s="6">
        <f>IF(AND($C48&lt;&gt;"",$D48&lt;&gt;""),IF(NOT(OR($D48&lt;DATE(480486,1,1),$C48&gt;DATE(480486,1,31))),1,0),0)</f>
        <v>0</v>
      </c>
      <c r="J48" s="6">
        <f>IF(AND($C48&lt;&gt;"",$D48&lt;&gt;""),IF(NOT(OR($D48&lt;DATE(480486,48,1),$C48&gt;DATE(480486,48,488))),1,0),0)</f>
        <v>0</v>
      </c>
      <c r="K48" s="6">
        <f>IF(AND($C48&lt;&gt;"",$D48&lt;&gt;""),IF(NOT(OR($D48&lt;DATE(480486,3,1),$C48&gt;DATE(480486,3,31))),1,0),0)</f>
        <v>0</v>
      </c>
      <c r="L48" s="6">
        <f>IF(AND($C48&lt;&gt;"",$D48&lt;&gt;""),IF(NOT(OR($D48&lt;DATE(480486,4,1),$C48&gt;DATE(480486,4,30))),1,0),0)</f>
        <v>0</v>
      </c>
      <c r="M48" s="6">
        <f>IF(AND($C48&lt;&gt;"",$D48&lt;&gt;""),IF(NOT(OR($D48&lt;DATE(480486,5,1),$C48&gt;DATE(480486,5,31))),1,0),0)</f>
        <v>0</v>
      </c>
      <c r="N48" s="6">
        <f>IF(AND($C48&lt;&gt;"",$D48&lt;&gt;""),IF(NOT(OR($D48&lt;DATE(480486,6,1),$C48&gt;DATE(480486,6,30))),1,0),0)</f>
        <v>0</v>
      </c>
      <c r="O48" s="6">
        <f>IF(AND($C48&lt;&gt;"",$D48&lt;&gt;""),IF(NOT(OR($D48&lt;DATE(480486,7,1),$C48&gt;DATE(480486,7,31))),1,0),0)</f>
        <v>0</v>
      </c>
      <c r="P48" s="6">
        <f>IF(AND($C48&lt;&gt;"",$D48&lt;&gt;""),IF(NOT(OR($D48&lt;DATE(480486,8,1),$C48&gt;DATE(480486,8,31))),1,0),0)</f>
        <v>0</v>
      </c>
    </row>
    <row r="49" spans="1:16" x14ac:dyDescent="0.25">
      <c r="C49" s="10"/>
      <c r="D49" s="10"/>
      <c r="E49" s="6">
        <f>IF(AND($C49&lt;&gt;"",$D49&lt;&gt;""),IF(NOT(OR($D49&lt;DATE(490495,9,1),$C49&gt;DATE(490495,9,30))),1,0),0)</f>
        <v>0</v>
      </c>
      <c r="F49" s="6">
        <f>IF(AND($C49&lt;&gt;"",$D49&lt;&gt;""),IF(NOT(OR($D49&lt;DATE(490495,10,1),$C49&gt;DATE(490495,10,31))),1,0),0)</f>
        <v>0</v>
      </c>
      <c r="G49" s="6">
        <f>IF(AND($C49&lt;&gt;"",$D49&lt;&gt;""),IF(NOT(OR($D49&lt;DATE(490495,11,1),$C49&gt;DATE(490495,11,30))),1,0),0)</f>
        <v>0</v>
      </c>
      <c r="H49" s="6">
        <f>IF(AND($C49&lt;&gt;"",$D49&lt;&gt;""),IF(NOT(OR($D49&lt;DATE(490495,149,1),$C49&gt;DATE(490495,149,31))),1,0),0)</f>
        <v>0</v>
      </c>
      <c r="I49" s="6">
        <f>IF(AND($C49&lt;&gt;"",$D49&lt;&gt;""),IF(NOT(OR($D49&lt;DATE(490496,1,1),$C49&gt;DATE(490496,1,31))),1,0),0)</f>
        <v>0</v>
      </c>
      <c r="J49" s="6">
        <f>IF(AND($C49&lt;&gt;"",$D49&lt;&gt;""),IF(NOT(OR($D49&lt;DATE(490496,49,1),$C49&gt;DATE(490496,49,498))),1,0),0)</f>
        <v>0</v>
      </c>
      <c r="K49" s="6">
        <f>IF(AND($C49&lt;&gt;"",$D49&lt;&gt;""),IF(NOT(OR($D49&lt;DATE(490496,3,1),$C49&gt;DATE(490496,3,31))),1,0),0)</f>
        <v>0</v>
      </c>
      <c r="L49" s="6">
        <f>IF(AND($C49&lt;&gt;"",$D49&lt;&gt;""),IF(NOT(OR($D49&lt;DATE(490496,4,1),$C49&gt;DATE(490496,4,30))),1,0),0)</f>
        <v>0</v>
      </c>
      <c r="M49" s="6">
        <f>IF(AND($C49&lt;&gt;"",$D49&lt;&gt;""),IF(NOT(OR($D49&lt;DATE(490496,5,1),$C49&gt;DATE(490496,5,31))),1,0),0)</f>
        <v>0</v>
      </c>
      <c r="N49" s="6">
        <f>IF(AND($C49&lt;&gt;"",$D49&lt;&gt;""),IF(NOT(OR($D49&lt;DATE(490496,6,1),$C49&gt;DATE(490496,6,30))),1,0),0)</f>
        <v>0</v>
      </c>
      <c r="O49" s="6">
        <f>IF(AND($C49&lt;&gt;"",$D49&lt;&gt;""),IF(NOT(OR($D49&lt;DATE(490496,7,1),$C49&gt;DATE(490496,7,31))),1,0),0)</f>
        <v>0</v>
      </c>
      <c r="P49" s="6">
        <f>IF(AND($C49&lt;&gt;"",$D49&lt;&gt;""),IF(NOT(OR($D49&lt;DATE(490496,8,1),$C49&gt;DATE(490496,8,31))),1,0),0)</f>
        <v>0</v>
      </c>
    </row>
    <row r="50" spans="1:16" x14ac:dyDescent="0.25">
      <c r="A50" s="2">
        <v>101</v>
      </c>
      <c r="B50" s="3" t="s">
        <v>39</v>
      </c>
      <c r="C50" s="8">
        <v>45935</v>
      </c>
      <c r="D50" s="8">
        <v>46011</v>
      </c>
      <c r="E50" s="6">
        <f t="shared" ref="E50:E67" si="0">IF(AND($C50&lt;&gt;"",$D50&lt;&gt;""),IF(NOT(OR($D50&lt;DATE(2025,9,1),$C50&gt;DATE(2025,9,30))),1,0),0)</f>
        <v>0</v>
      </c>
      <c r="F50" s="6">
        <f t="shared" ref="F50:F67" si="1">IF(AND($C50&lt;&gt;"",$D50&lt;&gt;""),IF(NOT(OR($D50&lt;DATE(2025,10,1),$C50&gt;DATE(2025,10,31))),1,0),0)</f>
        <v>1</v>
      </c>
      <c r="G50" s="6">
        <f t="shared" ref="G50:G67" si="2">IF(AND($C50&lt;&gt;"",$D50&lt;&gt;""),IF(NOT(OR($D50&lt;DATE(2025,11,1),$C50&gt;DATE(2025,11,30))),1,0),0)</f>
        <v>1</v>
      </c>
      <c r="H50" s="6">
        <f t="shared" ref="H50:H67" si="3">IF(AND($C50&lt;&gt;"",$D50&lt;&gt;""),IF(NOT(OR($D50&lt;DATE(2025,12,1),$C50&gt;DATE(2025,12,31))),1,0),0)</f>
        <v>1</v>
      </c>
      <c r="I50" s="6">
        <f t="shared" ref="I50:I67" si="4">IF(AND($C50&lt;&gt;"",$D50&lt;&gt;""),IF(NOT(OR($D50&lt;DATE(2026,1,1),$C50&gt;DATE(2026,1,31))),1,0),0)</f>
        <v>0</v>
      </c>
      <c r="J50" s="6">
        <f t="shared" ref="J50:J67" si="5">IF(AND($C50&lt;&gt;"",$D50&lt;&gt;""),IF(NOT(OR($D50&lt;DATE(2026,2,1),$C50&gt;DATE(2026,2,28))),1,0),0)</f>
        <v>0</v>
      </c>
      <c r="K50" s="6">
        <f t="shared" ref="K50:K67" si="6">IF(AND($C50&lt;&gt;"",$D50&lt;&gt;""),IF(NOT(OR($D50&lt;DATE(2026,3,1),$C50&gt;DATE(2026,3,31))),1,0),0)</f>
        <v>0</v>
      </c>
      <c r="L50" s="6">
        <f t="shared" ref="L50:L67" si="7">IF(AND($C50&lt;&gt;"",$D50&lt;&gt;""),IF(NOT(OR($D50&lt;DATE(2026,4,1),$C50&gt;DATE(2026,4,30))),1,0),0)</f>
        <v>0</v>
      </c>
      <c r="M50" s="6">
        <f t="shared" ref="M50:M67" si="8">IF(AND($C50&lt;&gt;"",$D50&lt;&gt;""),IF(NOT(OR($D50&lt;DATE(2026,5,1),$C50&gt;DATE(2026,5,31))),1,0),0)</f>
        <v>0</v>
      </c>
      <c r="N50" s="6">
        <f t="shared" ref="N50:N67" si="9">IF(AND($C50&lt;&gt;"",$D50&lt;&gt;""),IF(NOT(OR($D50&lt;DATE(2026,6,1),$C50&gt;DATE(2026,6,30))),1,0),0)</f>
        <v>0</v>
      </c>
      <c r="O50" s="6">
        <f t="shared" ref="O50:O67" si="10">IF(AND($C50&lt;&gt;"",$D50&lt;&gt;""),IF(NOT(OR($D50&lt;DATE(2026,7,1),$C50&gt;DATE(2026,7,31))),1,0),0)</f>
        <v>0</v>
      </c>
      <c r="P50" s="6">
        <f t="shared" ref="P50:P67" si="11">IF(AND($C50&lt;&gt;"",$D50&lt;&gt;""),IF(NOT(OR($D50&lt;DATE(2026,8,1),$C50&gt;DATE(2026,8,31))),1,0),0)</f>
        <v>0</v>
      </c>
    </row>
    <row r="51" spans="1:16" x14ac:dyDescent="0.25">
      <c r="A51" s="2">
        <v>102</v>
      </c>
      <c r="B51" s="3" t="s">
        <v>47</v>
      </c>
      <c r="C51" s="8">
        <v>46037</v>
      </c>
      <c r="D51" s="8">
        <v>46096</v>
      </c>
      <c r="E51" s="6">
        <f t="shared" si="0"/>
        <v>0</v>
      </c>
      <c r="F51" s="6">
        <f t="shared" si="1"/>
        <v>0</v>
      </c>
      <c r="G51" s="6">
        <f t="shared" si="2"/>
        <v>0</v>
      </c>
      <c r="H51" s="6">
        <f t="shared" si="3"/>
        <v>0</v>
      </c>
      <c r="I51" s="6">
        <f t="shared" si="4"/>
        <v>1</v>
      </c>
      <c r="J51" s="6">
        <f t="shared" si="5"/>
        <v>1</v>
      </c>
      <c r="K51" s="6">
        <f t="shared" si="6"/>
        <v>1</v>
      </c>
      <c r="L51" s="6">
        <f t="shared" si="7"/>
        <v>0</v>
      </c>
      <c r="M51" s="6">
        <f t="shared" si="8"/>
        <v>0</v>
      </c>
      <c r="N51" s="6">
        <f t="shared" si="9"/>
        <v>0</v>
      </c>
      <c r="O51" s="6">
        <f t="shared" si="10"/>
        <v>0</v>
      </c>
      <c r="P51" s="6">
        <f t="shared" si="11"/>
        <v>0</v>
      </c>
    </row>
    <row r="52" spans="1:16" x14ac:dyDescent="0.25">
      <c r="A52" s="2">
        <v>201</v>
      </c>
      <c r="B52" s="3" t="s">
        <v>55</v>
      </c>
      <c r="C52" s="8">
        <v>46117</v>
      </c>
      <c r="D52" s="8">
        <v>46213</v>
      </c>
      <c r="E52" s="6">
        <f t="shared" si="0"/>
        <v>0</v>
      </c>
      <c r="F52" s="6">
        <f t="shared" si="1"/>
        <v>0</v>
      </c>
      <c r="G52" s="6">
        <f t="shared" si="2"/>
        <v>0</v>
      </c>
      <c r="H52" s="6">
        <f t="shared" si="3"/>
        <v>0</v>
      </c>
      <c r="I52" s="6">
        <f t="shared" si="4"/>
        <v>0</v>
      </c>
      <c r="J52" s="6">
        <f t="shared" si="5"/>
        <v>0</v>
      </c>
      <c r="K52" s="6">
        <f t="shared" si="6"/>
        <v>0</v>
      </c>
      <c r="L52" s="6">
        <f t="shared" si="7"/>
        <v>1</v>
      </c>
      <c r="M52" s="6">
        <f t="shared" si="8"/>
        <v>1</v>
      </c>
      <c r="N52" s="6">
        <f t="shared" si="9"/>
        <v>1</v>
      </c>
      <c r="O52" s="6">
        <f t="shared" si="10"/>
        <v>1</v>
      </c>
      <c r="P52" s="6">
        <f t="shared" si="11"/>
        <v>0</v>
      </c>
    </row>
    <row r="53" spans="1:16" x14ac:dyDescent="0.25">
      <c r="A53" s="2">
        <v>202</v>
      </c>
      <c r="B53" s="3" t="s">
        <v>61</v>
      </c>
      <c r="C53" s="8">
        <v>46054</v>
      </c>
      <c r="D53" s="8">
        <v>46142</v>
      </c>
      <c r="E53" s="6">
        <f t="shared" si="0"/>
        <v>0</v>
      </c>
      <c r="F53" s="6">
        <f t="shared" si="1"/>
        <v>0</v>
      </c>
      <c r="G53" s="6">
        <f t="shared" si="2"/>
        <v>0</v>
      </c>
      <c r="H53" s="6">
        <f t="shared" si="3"/>
        <v>0</v>
      </c>
      <c r="I53" s="6">
        <f t="shared" si="4"/>
        <v>0</v>
      </c>
      <c r="J53" s="6">
        <f t="shared" si="5"/>
        <v>1</v>
      </c>
      <c r="K53" s="6">
        <f t="shared" si="6"/>
        <v>1</v>
      </c>
      <c r="L53" s="6">
        <f t="shared" si="7"/>
        <v>1</v>
      </c>
      <c r="M53" s="6">
        <f t="shared" si="8"/>
        <v>0</v>
      </c>
      <c r="N53" s="6">
        <f t="shared" si="9"/>
        <v>0</v>
      </c>
      <c r="O53" s="6">
        <f t="shared" si="10"/>
        <v>0</v>
      </c>
      <c r="P53" s="6">
        <f t="shared" si="11"/>
        <v>0</v>
      </c>
    </row>
    <row r="54" spans="1:16" x14ac:dyDescent="0.25">
      <c r="A54" s="2">
        <v>301</v>
      </c>
      <c r="B54" s="3" t="s">
        <v>66</v>
      </c>
      <c r="C54" s="8">
        <v>46143</v>
      </c>
      <c r="D54" s="8">
        <v>46265</v>
      </c>
      <c r="E54" s="6">
        <f t="shared" si="0"/>
        <v>0</v>
      </c>
      <c r="F54" s="6">
        <f t="shared" si="1"/>
        <v>0</v>
      </c>
      <c r="G54" s="6">
        <f t="shared" si="2"/>
        <v>0</v>
      </c>
      <c r="H54" s="6">
        <f t="shared" si="3"/>
        <v>0</v>
      </c>
      <c r="I54" s="6">
        <f t="shared" si="4"/>
        <v>0</v>
      </c>
      <c r="J54" s="6">
        <f t="shared" si="5"/>
        <v>0</v>
      </c>
      <c r="K54" s="6">
        <f t="shared" si="6"/>
        <v>0</v>
      </c>
      <c r="L54" s="6">
        <f t="shared" si="7"/>
        <v>0</v>
      </c>
      <c r="M54" s="6">
        <f t="shared" si="8"/>
        <v>1</v>
      </c>
      <c r="N54" s="6">
        <f t="shared" si="9"/>
        <v>1</v>
      </c>
      <c r="O54" s="6">
        <f t="shared" si="10"/>
        <v>1</v>
      </c>
      <c r="P54" s="6">
        <f t="shared" si="11"/>
        <v>1</v>
      </c>
    </row>
    <row r="55" spans="1:16" x14ac:dyDescent="0.25">
      <c r="A55" s="2">
        <v>302</v>
      </c>
      <c r="B55" s="3" t="s">
        <v>71</v>
      </c>
      <c r="C55" s="8">
        <v>45962</v>
      </c>
      <c r="D55" s="8">
        <v>46042</v>
      </c>
      <c r="E55" s="6">
        <f t="shared" si="0"/>
        <v>0</v>
      </c>
      <c r="F55" s="6">
        <f t="shared" si="1"/>
        <v>0</v>
      </c>
      <c r="G55" s="6">
        <f t="shared" si="2"/>
        <v>1</v>
      </c>
      <c r="H55" s="6">
        <f t="shared" si="3"/>
        <v>1</v>
      </c>
      <c r="I55" s="6">
        <f t="shared" si="4"/>
        <v>1</v>
      </c>
      <c r="J55" s="6">
        <f t="shared" si="5"/>
        <v>0</v>
      </c>
      <c r="K55" s="6">
        <f t="shared" si="6"/>
        <v>0</v>
      </c>
      <c r="L55" s="6">
        <f t="shared" si="7"/>
        <v>0</v>
      </c>
      <c r="M55" s="6">
        <f t="shared" si="8"/>
        <v>0</v>
      </c>
      <c r="N55" s="6">
        <f t="shared" si="9"/>
        <v>0</v>
      </c>
      <c r="O55" s="6">
        <f t="shared" si="10"/>
        <v>0</v>
      </c>
      <c r="P55" s="6">
        <f t="shared" si="11"/>
        <v>0</v>
      </c>
    </row>
    <row r="56" spans="1:16" x14ac:dyDescent="0.25">
      <c r="A56" s="2">
        <v>401</v>
      </c>
      <c r="B56" s="3" t="s">
        <v>76</v>
      </c>
      <c r="C56" s="8">
        <v>46027</v>
      </c>
      <c r="D56" s="8">
        <v>46203</v>
      </c>
      <c r="E56" s="6">
        <f t="shared" si="0"/>
        <v>0</v>
      </c>
      <c r="F56" s="6">
        <f t="shared" si="1"/>
        <v>0</v>
      </c>
      <c r="G56" s="6">
        <f t="shared" si="2"/>
        <v>0</v>
      </c>
      <c r="H56" s="6">
        <f t="shared" si="3"/>
        <v>0</v>
      </c>
      <c r="I56" s="6">
        <f t="shared" si="4"/>
        <v>1</v>
      </c>
      <c r="J56" s="6">
        <f t="shared" si="5"/>
        <v>1</v>
      </c>
      <c r="K56" s="6">
        <f t="shared" si="6"/>
        <v>1</v>
      </c>
      <c r="L56" s="6">
        <f t="shared" si="7"/>
        <v>1</v>
      </c>
      <c r="M56" s="6">
        <f t="shared" si="8"/>
        <v>1</v>
      </c>
      <c r="N56" s="6">
        <f t="shared" si="9"/>
        <v>1</v>
      </c>
      <c r="O56" s="6">
        <f t="shared" si="10"/>
        <v>0</v>
      </c>
      <c r="P56" s="6">
        <f t="shared" si="11"/>
        <v>0</v>
      </c>
    </row>
    <row r="57" spans="1:16" x14ac:dyDescent="0.25">
      <c r="A57" s="2">
        <v>402</v>
      </c>
      <c r="B57" s="3" t="s">
        <v>80</v>
      </c>
      <c r="C57" s="8">
        <v>46068</v>
      </c>
      <c r="D57" s="8">
        <v>46127</v>
      </c>
      <c r="E57" s="6">
        <f t="shared" si="0"/>
        <v>0</v>
      </c>
      <c r="F57" s="6">
        <f t="shared" si="1"/>
        <v>0</v>
      </c>
      <c r="G57" s="6">
        <f t="shared" si="2"/>
        <v>0</v>
      </c>
      <c r="H57" s="6">
        <f t="shared" si="3"/>
        <v>0</v>
      </c>
      <c r="I57" s="6">
        <f t="shared" si="4"/>
        <v>0</v>
      </c>
      <c r="J57" s="6">
        <f t="shared" si="5"/>
        <v>1</v>
      </c>
      <c r="K57" s="6">
        <f t="shared" si="6"/>
        <v>1</v>
      </c>
      <c r="L57" s="6">
        <f t="shared" si="7"/>
        <v>1</v>
      </c>
      <c r="M57" s="6">
        <f t="shared" si="8"/>
        <v>0</v>
      </c>
      <c r="N57" s="6">
        <f t="shared" si="9"/>
        <v>0</v>
      </c>
      <c r="O57" s="6">
        <f t="shared" si="10"/>
        <v>0</v>
      </c>
      <c r="P57" s="6">
        <f t="shared" si="11"/>
        <v>0</v>
      </c>
    </row>
    <row r="58" spans="1:16" x14ac:dyDescent="0.25">
      <c r="A58" s="2">
        <v>501</v>
      </c>
      <c r="B58" s="3" t="s">
        <v>86</v>
      </c>
      <c r="C58" s="8">
        <v>45940</v>
      </c>
      <c r="D58" s="8">
        <v>46053</v>
      </c>
      <c r="E58" s="6">
        <f t="shared" si="0"/>
        <v>0</v>
      </c>
      <c r="F58" s="6">
        <f t="shared" si="1"/>
        <v>1</v>
      </c>
      <c r="G58" s="6">
        <f t="shared" si="2"/>
        <v>1</v>
      </c>
      <c r="H58" s="6">
        <f t="shared" si="3"/>
        <v>1</v>
      </c>
      <c r="I58" s="6">
        <f t="shared" si="4"/>
        <v>1</v>
      </c>
      <c r="J58" s="6">
        <f t="shared" si="5"/>
        <v>0</v>
      </c>
      <c r="K58" s="6">
        <f t="shared" si="6"/>
        <v>0</v>
      </c>
      <c r="L58" s="6">
        <f t="shared" si="7"/>
        <v>0</v>
      </c>
      <c r="M58" s="6">
        <f t="shared" si="8"/>
        <v>0</v>
      </c>
      <c r="N58" s="6">
        <f t="shared" si="9"/>
        <v>0</v>
      </c>
      <c r="O58" s="6">
        <f t="shared" si="10"/>
        <v>0</v>
      </c>
      <c r="P58" s="6">
        <f t="shared" si="11"/>
        <v>0</v>
      </c>
    </row>
    <row r="59" spans="1:16" ht="30" x14ac:dyDescent="0.25">
      <c r="A59" s="2">
        <v>502</v>
      </c>
      <c r="B59" s="3" t="s">
        <v>91</v>
      </c>
      <c r="C59" s="8">
        <v>45931</v>
      </c>
      <c r="D59" s="8">
        <v>46022</v>
      </c>
      <c r="E59" s="6">
        <f t="shared" si="0"/>
        <v>0</v>
      </c>
      <c r="F59" s="6">
        <f t="shared" si="1"/>
        <v>1</v>
      </c>
      <c r="G59" s="6">
        <f t="shared" si="2"/>
        <v>1</v>
      </c>
      <c r="H59" s="6">
        <f t="shared" si="3"/>
        <v>1</v>
      </c>
      <c r="I59" s="6">
        <f t="shared" si="4"/>
        <v>0</v>
      </c>
      <c r="J59" s="6">
        <f t="shared" si="5"/>
        <v>0</v>
      </c>
      <c r="K59" s="6">
        <f t="shared" si="6"/>
        <v>0</v>
      </c>
      <c r="L59" s="6">
        <f t="shared" si="7"/>
        <v>0</v>
      </c>
      <c r="M59" s="6">
        <f t="shared" si="8"/>
        <v>0</v>
      </c>
      <c r="N59" s="6">
        <f t="shared" si="9"/>
        <v>0</v>
      </c>
      <c r="O59" s="6">
        <f t="shared" si="10"/>
        <v>0</v>
      </c>
      <c r="P59" s="6">
        <f t="shared" si="11"/>
        <v>0</v>
      </c>
    </row>
    <row r="60" spans="1:16" x14ac:dyDescent="0.25">
      <c r="A60" s="2">
        <v>601</v>
      </c>
      <c r="B60" s="3" t="s">
        <v>96</v>
      </c>
      <c r="C60" s="8">
        <v>46042</v>
      </c>
      <c r="D60" s="8">
        <v>46162</v>
      </c>
      <c r="E60" s="6">
        <f t="shared" si="0"/>
        <v>0</v>
      </c>
      <c r="F60" s="6">
        <f t="shared" si="1"/>
        <v>0</v>
      </c>
      <c r="G60" s="6">
        <f t="shared" si="2"/>
        <v>0</v>
      </c>
      <c r="H60" s="6">
        <f t="shared" si="3"/>
        <v>0</v>
      </c>
      <c r="I60" s="6">
        <f t="shared" si="4"/>
        <v>1</v>
      </c>
      <c r="J60" s="6">
        <f t="shared" si="5"/>
        <v>1</v>
      </c>
      <c r="K60" s="6">
        <f t="shared" si="6"/>
        <v>1</v>
      </c>
      <c r="L60" s="6">
        <f t="shared" si="7"/>
        <v>1</v>
      </c>
      <c r="M60" s="6">
        <f t="shared" si="8"/>
        <v>1</v>
      </c>
      <c r="N60" s="6">
        <f t="shared" si="9"/>
        <v>0</v>
      </c>
      <c r="O60" s="6">
        <f t="shared" si="10"/>
        <v>0</v>
      </c>
      <c r="P60" s="6">
        <f t="shared" si="11"/>
        <v>0</v>
      </c>
    </row>
    <row r="61" spans="1:16" ht="30" x14ac:dyDescent="0.25">
      <c r="A61" s="2">
        <v>602</v>
      </c>
      <c r="B61" s="3" t="s">
        <v>100</v>
      </c>
      <c r="C61" s="8">
        <v>45935</v>
      </c>
      <c r="D61" s="8">
        <v>46068</v>
      </c>
      <c r="E61" s="6">
        <f t="shared" si="0"/>
        <v>0</v>
      </c>
      <c r="F61" s="6">
        <f t="shared" si="1"/>
        <v>1</v>
      </c>
      <c r="G61" s="6">
        <f t="shared" si="2"/>
        <v>1</v>
      </c>
      <c r="H61" s="6">
        <f t="shared" si="3"/>
        <v>1</v>
      </c>
      <c r="I61" s="6">
        <f t="shared" si="4"/>
        <v>1</v>
      </c>
      <c r="J61" s="6">
        <f t="shared" si="5"/>
        <v>1</v>
      </c>
      <c r="K61" s="6">
        <f t="shared" si="6"/>
        <v>0</v>
      </c>
      <c r="L61" s="6">
        <f t="shared" si="7"/>
        <v>0</v>
      </c>
      <c r="M61" s="6">
        <f t="shared" si="8"/>
        <v>0</v>
      </c>
      <c r="N61" s="6">
        <f t="shared" si="9"/>
        <v>0</v>
      </c>
      <c r="O61" s="6">
        <f t="shared" si="10"/>
        <v>0</v>
      </c>
      <c r="P61" s="6">
        <f t="shared" si="11"/>
        <v>0</v>
      </c>
    </row>
    <row r="62" spans="1:16" x14ac:dyDescent="0.25">
      <c r="A62" s="2">
        <v>701</v>
      </c>
      <c r="B62" s="3" t="s">
        <v>106</v>
      </c>
      <c r="C62" s="8">
        <v>46063</v>
      </c>
      <c r="D62" s="8">
        <v>46173</v>
      </c>
      <c r="E62" s="6">
        <f t="shared" si="0"/>
        <v>0</v>
      </c>
      <c r="F62" s="6">
        <f t="shared" si="1"/>
        <v>0</v>
      </c>
      <c r="G62" s="6">
        <f t="shared" si="2"/>
        <v>0</v>
      </c>
      <c r="H62" s="6">
        <f t="shared" si="3"/>
        <v>0</v>
      </c>
      <c r="I62" s="6">
        <f t="shared" si="4"/>
        <v>0</v>
      </c>
      <c r="J62" s="6">
        <f t="shared" si="5"/>
        <v>1</v>
      </c>
      <c r="K62" s="6">
        <f t="shared" si="6"/>
        <v>1</v>
      </c>
      <c r="L62" s="6">
        <f t="shared" si="7"/>
        <v>1</v>
      </c>
      <c r="M62" s="6">
        <f t="shared" si="8"/>
        <v>1</v>
      </c>
      <c r="N62" s="6">
        <f t="shared" si="9"/>
        <v>0</v>
      </c>
      <c r="O62" s="6">
        <f t="shared" si="10"/>
        <v>0</v>
      </c>
      <c r="P62" s="6">
        <f t="shared" si="11"/>
        <v>0</v>
      </c>
    </row>
    <row r="63" spans="1:16" x14ac:dyDescent="0.25">
      <c r="A63" s="2">
        <v>801</v>
      </c>
      <c r="B63" s="3" t="s">
        <v>111</v>
      </c>
      <c r="C63" s="8">
        <v>46122</v>
      </c>
      <c r="D63" s="8">
        <v>46295</v>
      </c>
      <c r="E63" s="6">
        <f t="shared" si="0"/>
        <v>0</v>
      </c>
      <c r="F63" s="6">
        <f t="shared" si="1"/>
        <v>0</v>
      </c>
      <c r="G63" s="6">
        <f t="shared" si="2"/>
        <v>0</v>
      </c>
      <c r="H63" s="6">
        <f t="shared" si="3"/>
        <v>0</v>
      </c>
      <c r="I63" s="6">
        <f t="shared" si="4"/>
        <v>0</v>
      </c>
      <c r="J63" s="6">
        <f t="shared" si="5"/>
        <v>0</v>
      </c>
      <c r="K63" s="6">
        <f t="shared" si="6"/>
        <v>0</v>
      </c>
      <c r="L63" s="6">
        <f t="shared" si="7"/>
        <v>1</v>
      </c>
      <c r="M63" s="6">
        <f t="shared" si="8"/>
        <v>1</v>
      </c>
      <c r="N63" s="6">
        <f t="shared" si="9"/>
        <v>1</v>
      </c>
      <c r="O63" s="6">
        <f t="shared" si="10"/>
        <v>1</v>
      </c>
      <c r="P63" s="6">
        <f t="shared" si="11"/>
        <v>1</v>
      </c>
    </row>
    <row r="64" spans="1:16" x14ac:dyDescent="0.25">
      <c r="A64" s="2">
        <v>901</v>
      </c>
      <c r="B64" s="3" t="s">
        <v>117</v>
      </c>
      <c r="C64" s="8">
        <v>45942</v>
      </c>
      <c r="D64" s="8">
        <v>46013</v>
      </c>
      <c r="E64" s="6">
        <f t="shared" si="0"/>
        <v>0</v>
      </c>
      <c r="F64" s="6">
        <f t="shared" si="1"/>
        <v>1</v>
      </c>
      <c r="G64" s="6">
        <f t="shared" si="2"/>
        <v>1</v>
      </c>
      <c r="H64" s="6">
        <f t="shared" si="3"/>
        <v>1</v>
      </c>
      <c r="I64" s="6">
        <f t="shared" si="4"/>
        <v>0</v>
      </c>
      <c r="J64" s="6">
        <f t="shared" si="5"/>
        <v>0</v>
      </c>
      <c r="K64" s="6">
        <f t="shared" si="6"/>
        <v>0</v>
      </c>
      <c r="L64" s="6">
        <f t="shared" si="7"/>
        <v>0</v>
      </c>
      <c r="M64" s="6">
        <f t="shared" si="8"/>
        <v>0</v>
      </c>
      <c r="N64" s="6">
        <f t="shared" si="9"/>
        <v>0</v>
      </c>
      <c r="O64" s="6">
        <f t="shared" si="10"/>
        <v>0</v>
      </c>
      <c r="P64" s="6">
        <f t="shared" si="11"/>
        <v>0</v>
      </c>
    </row>
    <row r="65" spans="1:16" x14ac:dyDescent="0.25">
      <c r="A65" s="2">
        <v>1</v>
      </c>
      <c r="B65" s="3" t="s">
        <v>121</v>
      </c>
      <c r="C65" s="8">
        <v>45931</v>
      </c>
      <c r="D65" s="8">
        <v>46081</v>
      </c>
      <c r="E65" s="6">
        <f t="shared" si="0"/>
        <v>0</v>
      </c>
      <c r="F65" s="6">
        <f t="shared" si="1"/>
        <v>1</v>
      </c>
      <c r="G65" s="6">
        <f t="shared" si="2"/>
        <v>1</v>
      </c>
      <c r="H65" s="6">
        <f t="shared" si="3"/>
        <v>1</v>
      </c>
      <c r="I65" s="6">
        <f t="shared" si="4"/>
        <v>1</v>
      </c>
      <c r="J65" s="6">
        <f t="shared" si="5"/>
        <v>1</v>
      </c>
      <c r="K65" s="6">
        <f t="shared" si="6"/>
        <v>0</v>
      </c>
      <c r="L65" s="6">
        <f t="shared" si="7"/>
        <v>0</v>
      </c>
      <c r="M65" s="6">
        <f t="shared" si="8"/>
        <v>0</v>
      </c>
      <c r="N65" s="6">
        <f t="shared" si="9"/>
        <v>0</v>
      </c>
      <c r="O65" s="6">
        <f t="shared" si="10"/>
        <v>0</v>
      </c>
      <c r="P65" s="6">
        <f t="shared" si="11"/>
        <v>0</v>
      </c>
    </row>
    <row r="66" spans="1:16" x14ac:dyDescent="0.25">
      <c r="A66" s="2">
        <v>2</v>
      </c>
      <c r="B66" s="3" t="s">
        <v>124</v>
      </c>
      <c r="C66" s="8">
        <v>46032</v>
      </c>
      <c r="D66" s="8">
        <v>46111</v>
      </c>
      <c r="E66" s="6">
        <f t="shared" si="0"/>
        <v>0</v>
      </c>
      <c r="F66" s="6">
        <f t="shared" si="1"/>
        <v>0</v>
      </c>
      <c r="G66" s="6">
        <f t="shared" si="2"/>
        <v>0</v>
      </c>
      <c r="H66" s="6">
        <f t="shared" si="3"/>
        <v>0</v>
      </c>
      <c r="I66" s="6">
        <f t="shared" si="4"/>
        <v>1</v>
      </c>
      <c r="J66" s="6">
        <f t="shared" si="5"/>
        <v>1</v>
      </c>
      <c r="K66" s="6">
        <f t="shared" si="6"/>
        <v>1</v>
      </c>
      <c r="L66" s="6">
        <f t="shared" si="7"/>
        <v>0</v>
      </c>
      <c r="M66" s="6">
        <f t="shared" si="8"/>
        <v>0</v>
      </c>
      <c r="N66" s="6">
        <f t="shared" si="9"/>
        <v>0</v>
      </c>
      <c r="O66" s="6">
        <f t="shared" si="10"/>
        <v>0</v>
      </c>
      <c r="P66" s="6">
        <f t="shared" si="11"/>
        <v>0</v>
      </c>
    </row>
    <row r="67" spans="1:16" x14ac:dyDescent="0.25">
      <c r="A67" s="2">
        <v>3</v>
      </c>
      <c r="B67" s="3" t="s">
        <v>127</v>
      </c>
      <c r="C67" s="8">
        <v>46113</v>
      </c>
      <c r="D67" s="8">
        <v>46234</v>
      </c>
      <c r="E67" s="6">
        <f t="shared" si="0"/>
        <v>0</v>
      </c>
      <c r="F67" s="6">
        <f t="shared" si="1"/>
        <v>0</v>
      </c>
      <c r="G67" s="6">
        <f t="shared" si="2"/>
        <v>0</v>
      </c>
      <c r="H67" s="6">
        <f t="shared" si="3"/>
        <v>0</v>
      </c>
      <c r="I67" s="6">
        <f t="shared" si="4"/>
        <v>0</v>
      </c>
      <c r="J67" s="6">
        <f t="shared" si="5"/>
        <v>0</v>
      </c>
      <c r="K67" s="6">
        <f t="shared" si="6"/>
        <v>0</v>
      </c>
      <c r="L67" s="6">
        <f t="shared" si="7"/>
        <v>1</v>
      </c>
      <c r="M67" s="6">
        <f t="shared" si="8"/>
        <v>1</v>
      </c>
      <c r="N67" s="6">
        <f t="shared" si="9"/>
        <v>1</v>
      </c>
      <c r="O67" s="6">
        <f t="shared" si="10"/>
        <v>1</v>
      </c>
      <c r="P67" s="6">
        <f t="shared" si="11"/>
        <v>0</v>
      </c>
    </row>
  </sheetData>
  <conditionalFormatting sqref="E2:E200">
    <cfRule type="cellIs" dxfId="13" priority="1" operator="equal">
      <formula>1</formula>
    </cfRule>
  </conditionalFormatting>
  <conditionalFormatting sqref="F2:F200">
    <cfRule type="cellIs" dxfId="12" priority="2" operator="equal">
      <formula>1</formula>
    </cfRule>
  </conditionalFormatting>
  <conditionalFormatting sqref="G2:G200">
    <cfRule type="cellIs" dxfId="11" priority="3" operator="equal">
      <formula>1</formula>
    </cfRule>
  </conditionalFormatting>
  <conditionalFormatting sqref="H2:H200">
    <cfRule type="cellIs" dxfId="10" priority="4" operator="equal">
      <formula>1</formula>
    </cfRule>
  </conditionalFormatting>
  <conditionalFormatting sqref="I2:I200">
    <cfRule type="cellIs" dxfId="9" priority="5" operator="equal">
      <formula>1</formula>
    </cfRule>
  </conditionalFormatting>
  <conditionalFormatting sqref="J2:J200">
    <cfRule type="cellIs" dxfId="8" priority="6" operator="equal">
      <formula>1</formula>
    </cfRule>
  </conditionalFormatting>
  <conditionalFormatting sqref="K2:K200">
    <cfRule type="cellIs" dxfId="7" priority="7" operator="equal">
      <formula>1</formula>
    </cfRule>
  </conditionalFormatting>
  <conditionalFormatting sqref="L2:L200">
    <cfRule type="cellIs" dxfId="6" priority="8" operator="equal">
      <formula>1</formula>
    </cfRule>
  </conditionalFormatting>
  <conditionalFormatting sqref="M2:M200">
    <cfRule type="cellIs" dxfId="5" priority="9" operator="equal">
      <formula>1</formula>
    </cfRule>
  </conditionalFormatting>
  <conditionalFormatting sqref="N2:N200">
    <cfRule type="cellIs" dxfId="4" priority="10" operator="equal">
      <formula>1</formula>
    </cfRule>
  </conditionalFormatting>
  <conditionalFormatting sqref="O2:O200">
    <cfRule type="cellIs" dxfId="3" priority="11" operator="equal">
      <formula>1</formula>
    </cfRule>
  </conditionalFormatting>
  <conditionalFormatting sqref="P2:P200">
    <cfRule type="cellIs" dxfId="2" priority="12" operator="equal">
      <formula>1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99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28" customWidth="1"/>
    <col min="2" max="5" width="12" customWidth="1"/>
    <col min="6" max="6" width="18" customWidth="1"/>
    <col min="7" max="7" width="14" customWidth="1"/>
    <col min="8" max="8" width="16" customWidth="1"/>
  </cols>
  <sheetData>
    <row r="1" spans="1:8" x14ac:dyDescent="0.25">
      <c r="A1" s="1" t="s">
        <v>142</v>
      </c>
      <c r="B1" s="1" t="s">
        <v>143</v>
      </c>
      <c r="C1" s="1" t="s">
        <v>144</v>
      </c>
      <c r="D1" s="1" t="s">
        <v>145</v>
      </c>
      <c r="E1" s="1" t="s">
        <v>146</v>
      </c>
      <c r="F1" s="1" t="s">
        <v>27</v>
      </c>
      <c r="G1" s="1" t="s">
        <v>20</v>
      </c>
      <c r="H1" s="1" t="s">
        <v>147</v>
      </c>
    </row>
    <row r="2" spans="1:8" x14ac:dyDescent="0.25">
      <c r="A2" t="s">
        <v>148</v>
      </c>
      <c r="B2" s="11">
        <v>62</v>
      </c>
      <c r="C2" s="11">
        <v>70</v>
      </c>
      <c r="D2" s="11">
        <v>64</v>
      </c>
      <c r="E2">
        <f t="shared" ref="E2:E33" si="0">D2-C2</f>
        <v>-6</v>
      </c>
      <c r="F2" t="s">
        <v>97</v>
      </c>
      <c r="G2" t="s">
        <v>22</v>
      </c>
      <c r="H2" s="10">
        <v>45910</v>
      </c>
    </row>
    <row r="3" spans="1:8" x14ac:dyDescent="0.25">
      <c r="A3" t="s">
        <v>149</v>
      </c>
      <c r="B3" s="11">
        <v>10</v>
      </c>
      <c r="C3" s="11">
        <v>30</v>
      </c>
      <c r="D3" s="11">
        <v>12</v>
      </c>
      <c r="E3">
        <f t="shared" si="0"/>
        <v>-18</v>
      </c>
      <c r="F3" t="s">
        <v>67</v>
      </c>
      <c r="G3" t="s">
        <v>22</v>
      </c>
      <c r="H3" s="10">
        <v>45905</v>
      </c>
    </row>
    <row r="4" spans="1:8" x14ac:dyDescent="0.25">
      <c r="A4" t="s">
        <v>150</v>
      </c>
      <c r="B4" s="11">
        <v>6</v>
      </c>
      <c r="C4" s="11">
        <v>1</v>
      </c>
      <c r="D4" s="11">
        <v>4</v>
      </c>
      <c r="E4">
        <f t="shared" si="0"/>
        <v>3</v>
      </c>
      <c r="F4" t="s">
        <v>40</v>
      </c>
      <c r="G4" t="s">
        <v>23</v>
      </c>
      <c r="H4" s="10">
        <v>45900</v>
      </c>
    </row>
    <row r="5" spans="1:8" x14ac:dyDescent="0.25">
      <c r="B5" s="11"/>
      <c r="C5" s="11"/>
      <c r="D5" s="11"/>
      <c r="E5">
        <f t="shared" si="0"/>
        <v>0</v>
      </c>
      <c r="H5" s="10"/>
    </row>
    <row r="6" spans="1:8" x14ac:dyDescent="0.25">
      <c r="B6" s="11"/>
      <c r="C6" s="11"/>
      <c r="D6" s="11"/>
      <c r="E6">
        <f t="shared" si="0"/>
        <v>0</v>
      </c>
      <c r="H6" s="10"/>
    </row>
    <row r="7" spans="1:8" x14ac:dyDescent="0.25">
      <c r="B7" s="11"/>
      <c r="C7" s="11"/>
      <c r="D7" s="11"/>
      <c r="E7">
        <f t="shared" si="0"/>
        <v>0</v>
      </c>
      <c r="H7" s="10"/>
    </row>
    <row r="8" spans="1:8" x14ac:dyDescent="0.25">
      <c r="B8" s="11"/>
      <c r="C8" s="11"/>
      <c r="D8" s="11"/>
      <c r="E8">
        <f t="shared" si="0"/>
        <v>0</v>
      </c>
      <c r="H8" s="10"/>
    </row>
    <row r="9" spans="1:8" x14ac:dyDescent="0.25">
      <c r="B9" s="11"/>
      <c r="C9" s="11"/>
      <c r="D9" s="11"/>
      <c r="E9">
        <f t="shared" si="0"/>
        <v>0</v>
      </c>
      <c r="H9" s="10"/>
    </row>
    <row r="10" spans="1:8" x14ac:dyDescent="0.25">
      <c r="B10" s="11"/>
      <c r="C10" s="11"/>
      <c r="D10" s="11"/>
      <c r="E10">
        <f t="shared" si="0"/>
        <v>0</v>
      </c>
      <c r="H10" s="10"/>
    </row>
    <row r="11" spans="1:8" x14ac:dyDescent="0.25">
      <c r="B11" s="11"/>
      <c r="C11" s="11"/>
      <c r="D11" s="11"/>
      <c r="E11">
        <f t="shared" si="0"/>
        <v>0</v>
      </c>
      <c r="H11" s="10"/>
    </row>
    <row r="12" spans="1:8" x14ac:dyDescent="0.25">
      <c r="B12" s="11"/>
      <c r="C12" s="11"/>
      <c r="D12" s="11"/>
      <c r="E12">
        <f t="shared" si="0"/>
        <v>0</v>
      </c>
      <c r="H12" s="10"/>
    </row>
    <row r="13" spans="1:8" x14ac:dyDescent="0.25">
      <c r="B13" s="11"/>
      <c r="C13" s="11"/>
      <c r="D13" s="11"/>
      <c r="E13">
        <f t="shared" si="0"/>
        <v>0</v>
      </c>
      <c r="H13" s="10"/>
    </row>
    <row r="14" spans="1:8" x14ac:dyDescent="0.25">
      <c r="B14" s="11"/>
      <c r="C14" s="11"/>
      <c r="D14" s="11"/>
      <c r="E14">
        <f t="shared" si="0"/>
        <v>0</v>
      </c>
      <c r="H14" s="10"/>
    </row>
    <row r="15" spans="1:8" x14ac:dyDescent="0.25">
      <c r="B15" s="11"/>
      <c r="C15" s="11"/>
      <c r="D15" s="11"/>
      <c r="E15">
        <f t="shared" si="0"/>
        <v>0</v>
      </c>
      <c r="H15" s="10"/>
    </row>
    <row r="16" spans="1:8" x14ac:dyDescent="0.25">
      <c r="B16" s="11"/>
      <c r="C16" s="11"/>
      <c r="D16" s="11"/>
      <c r="E16">
        <f t="shared" si="0"/>
        <v>0</v>
      </c>
      <c r="H16" s="10"/>
    </row>
    <row r="17" spans="2:8" x14ac:dyDescent="0.25">
      <c r="B17" s="11"/>
      <c r="C17" s="11"/>
      <c r="D17" s="11"/>
      <c r="E17">
        <f t="shared" si="0"/>
        <v>0</v>
      </c>
      <c r="H17" s="10"/>
    </row>
    <row r="18" spans="2:8" x14ac:dyDescent="0.25">
      <c r="B18" s="11"/>
      <c r="C18" s="11"/>
      <c r="D18" s="11"/>
      <c r="E18">
        <f t="shared" si="0"/>
        <v>0</v>
      </c>
      <c r="H18" s="10"/>
    </row>
    <row r="19" spans="2:8" x14ac:dyDescent="0.25">
      <c r="B19" s="11"/>
      <c r="C19" s="11"/>
      <c r="D19" s="11"/>
      <c r="E19">
        <f t="shared" si="0"/>
        <v>0</v>
      </c>
      <c r="H19" s="10"/>
    </row>
    <row r="20" spans="2:8" x14ac:dyDescent="0.25">
      <c r="B20" s="11"/>
      <c r="C20" s="11"/>
      <c r="D20" s="11"/>
      <c r="E20">
        <f t="shared" si="0"/>
        <v>0</v>
      </c>
      <c r="H20" s="10"/>
    </row>
    <row r="21" spans="2:8" x14ac:dyDescent="0.25">
      <c r="B21" s="11"/>
      <c r="C21" s="11"/>
      <c r="D21" s="11"/>
      <c r="E21">
        <f t="shared" si="0"/>
        <v>0</v>
      </c>
      <c r="H21" s="10"/>
    </row>
    <row r="22" spans="2:8" x14ac:dyDescent="0.25">
      <c r="B22" s="11"/>
      <c r="C22" s="11"/>
      <c r="D22" s="11"/>
      <c r="E22">
        <f t="shared" si="0"/>
        <v>0</v>
      </c>
      <c r="H22" s="10"/>
    </row>
    <row r="23" spans="2:8" x14ac:dyDescent="0.25">
      <c r="B23" s="11"/>
      <c r="C23" s="11"/>
      <c r="D23" s="11"/>
      <c r="E23">
        <f t="shared" si="0"/>
        <v>0</v>
      </c>
      <c r="H23" s="10"/>
    </row>
    <row r="24" spans="2:8" x14ac:dyDescent="0.25">
      <c r="B24" s="11"/>
      <c r="C24" s="11"/>
      <c r="D24" s="11"/>
      <c r="E24">
        <f t="shared" si="0"/>
        <v>0</v>
      </c>
      <c r="H24" s="10"/>
    </row>
    <row r="25" spans="2:8" x14ac:dyDescent="0.25">
      <c r="B25" s="11"/>
      <c r="C25" s="11"/>
      <c r="D25" s="11"/>
      <c r="E25">
        <f t="shared" si="0"/>
        <v>0</v>
      </c>
      <c r="H25" s="10"/>
    </row>
    <row r="26" spans="2:8" x14ac:dyDescent="0.25">
      <c r="B26" s="11"/>
      <c r="C26" s="11"/>
      <c r="D26" s="11"/>
      <c r="E26">
        <f t="shared" si="0"/>
        <v>0</v>
      </c>
      <c r="H26" s="10"/>
    </row>
    <row r="27" spans="2:8" x14ac:dyDescent="0.25">
      <c r="B27" s="11"/>
      <c r="C27" s="11"/>
      <c r="D27" s="11"/>
      <c r="E27">
        <f t="shared" si="0"/>
        <v>0</v>
      </c>
      <c r="H27" s="10"/>
    </row>
    <row r="28" spans="2:8" x14ac:dyDescent="0.25">
      <c r="B28" s="11"/>
      <c r="C28" s="11"/>
      <c r="D28" s="11"/>
      <c r="E28">
        <f t="shared" si="0"/>
        <v>0</v>
      </c>
      <c r="H28" s="10"/>
    </row>
    <row r="29" spans="2:8" x14ac:dyDescent="0.25">
      <c r="B29" s="11"/>
      <c r="C29" s="11"/>
      <c r="D29" s="11"/>
      <c r="E29">
        <f t="shared" si="0"/>
        <v>0</v>
      </c>
      <c r="H29" s="10"/>
    </row>
    <row r="30" spans="2:8" x14ac:dyDescent="0.25">
      <c r="B30" s="11"/>
      <c r="C30" s="11"/>
      <c r="D30" s="11"/>
      <c r="E30">
        <f t="shared" si="0"/>
        <v>0</v>
      </c>
      <c r="H30" s="10"/>
    </row>
    <row r="31" spans="2:8" x14ac:dyDescent="0.25">
      <c r="B31" s="11"/>
      <c r="C31" s="11"/>
      <c r="D31" s="11"/>
      <c r="E31">
        <f t="shared" si="0"/>
        <v>0</v>
      </c>
      <c r="H31" s="10"/>
    </row>
    <row r="32" spans="2:8" x14ac:dyDescent="0.25">
      <c r="B32" s="11"/>
      <c r="C32" s="11"/>
      <c r="D32" s="11"/>
      <c r="E32">
        <f t="shared" si="0"/>
        <v>0</v>
      </c>
      <c r="H32" s="10"/>
    </row>
    <row r="33" spans="2:8" x14ac:dyDescent="0.25">
      <c r="B33" s="11"/>
      <c r="C33" s="11"/>
      <c r="D33" s="11"/>
      <c r="E33">
        <f t="shared" si="0"/>
        <v>0</v>
      </c>
      <c r="H33" s="10"/>
    </row>
    <row r="34" spans="2:8" x14ac:dyDescent="0.25">
      <c r="B34" s="11"/>
      <c r="C34" s="11"/>
      <c r="D34" s="11"/>
      <c r="E34">
        <f t="shared" ref="E34:E65" si="1">D34-C34</f>
        <v>0</v>
      </c>
      <c r="H34" s="10"/>
    </row>
    <row r="35" spans="2:8" x14ac:dyDescent="0.25">
      <c r="B35" s="11"/>
      <c r="C35" s="11"/>
      <c r="D35" s="11"/>
      <c r="E35">
        <f t="shared" si="1"/>
        <v>0</v>
      </c>
      <c r="H35" s="10"/>
    </row>
    <row r="36" spans="2:8" x14ac:dyDescent="0.25">
      <c r="B36" s="11"/>
      <c r="C36" s="11"/>
      <c r="D36" s="11"/>
      <c r="E36">
        <f t="shared" si="1"/>
        <v>0</v>
      </c>
      <c r="H36" s="10"/>
    </row>
    <row r="37" spans="2:8" x14ac:dyDescent="0.25">
      <c r="B37" s="11"/>
      <c r="C37" s="11"/>
      <c r="D37" s="11"/>
      <c r="E37">
        <f t="shared" si="1"/>
        <v>0</v>
      </c>
      <c r="H37" s="10"/>
    </row>
    <row r="38" spans="2:8" x14ac:dyDescent="0.25">
      <c r="B38" s="11"/>
      <c r="C38" s="11"/>
      <c r="D38" s="11"/>
      <c r="E38">
        <f t="shared" si="1"/>
        <v>0</v>
      </c>
      <c r="H38" s="10"/>
    </row>
    <row r="39" spans="2:8" x14ac:dyDescent="0.25">
      <c r="B39" s="11"/>
      <c r="C39" s="11"/>
      <c r="D39" s="11"/>
      <c r="E39">
        <f t="shared" si="1"/>
        <v>0</v>
      </c>
      <c r="H39" s="10"/>
    </row>
    <row r="40" spans="2:8" x14ac:dyDescent="0.25">
      <c r="B40" s="11"/>
      <c r="C40" s="11"/>
      <c r="D40" s="11"/>
      <c r="E40">
        <f t="shared" si="1"/>
        <v>0</v>
      </c>
      <c r="H40" s="10"/>
    </row>
    <row r="41" spans="2:8" x14ac:dyDescent="0.25">
      <c r="B41" s="11"/>
      <c r="C41" s="11"/>
      <c r="D41" s="11"/>
      <c r="E41">
        <f t="shared" si="1"/>
        <v>0</v>
      </c>
      <c r="H41" s="10"/>
    </row>
    <row r="42" spans="2:8" x14ac:dyDescent="0.25">
      <c r="B42" s="11"/>
      <c r="C42" s="11"/>
      <c r="D42" s="11"/>
      <c r="E42">
        <f t="shared" si="1"/>
        <v>0</v>
      </c>
      <c r="H42" s="10"/>
    </row>
    <row r="43" spans="2:8" x14ac:dyDescent="0.25">
      <c r="B43" s="11"/>
      <c r="C43" s="11"/>
      <c r="D43" s="11"/>
      <c r="E43">
        <f t="shared" si="1"/>
        <v>0</v>
      </c>
      <c r="H43" s="10"/>
    </row>
    <row r="44" spans="2:8" x14ac:dyDescent="0.25">
      <c r="B44" s="11"/>
      <c r="C44" s="11"/>
      <c r="D44" s="11"/>
      <c r="E44">
        <f t="shared" si="1"/>
        <v>0</v>
      </c>
      <c r="H44" s="10"/>
    </row>
    <row r="45" spans="2:8" x14ac:dyDescent="0.25">
      <c r="B45" s="11"/>
      <c r="C45" s="11"/>
      <c r="D45" s="11"/>
      <c r="E45">
        <f t="shared" si="1"/>
        <v>0</v>
      </c>
      <c r="H45" s="10"/>
    </row>
    <row r="46" spans="2:8" x14ac:dyDescent="0.25">
      <c r="B46" s="11"/>
      <c r="C46" s="11"/>
      <c r="D46" s="11"/>
      <c r="E46">
        <f t="shared" si="1"/>
        <v>0</v>
      </c>
      <c r="H46" s="10"/>
    </row>
    <row r="47" spans="2:8" x14ac:dyDescent="0.25">
      <c r="B47" s="11"/>
      <c r="C47" s="11"/>
      <c r="D47" s="11"/>
      <c r="E47">
        <f t="shared" si="1"/>
        <v>0</v>
      </c>
      <c r="H47" s="10"/>
    </row>
    <row r="48" spans="2:8" x14ac:dyDescent="0.25">
      <c r="B48" s="11"/>
      <c r="C48" s="11"/>
      <c r="D48" s="11"/>
      <c r="E48">
        <f t="shared" si="1"/>
        <v>0</v>
      </c>
      <c r="H48" s="10"/>
    </row>
    <row r="49" spans="2:8" x14ac:dyDescent="0.25">
      <c r="B49" s="11"/>
      <c r="C49" s="11"/>
      <c r="D49" s="11"/>
      <c r="E49">
        <f t="shared" si="1"/>
        <v>0</v>
      </c>
      <c r="H49" s="10"/>
    </row>
    <row r="50" spans="2:8" x14ac:dyDescent="0.25">
      <c r="B50" s="11"/>
      <c r="C50" s="11"/>
      <c r="D50" s="11"/>
      <c r="E50">
        <f t="shared" si="1"/>
        <v>0</v>
      </c>
      <c r="H50" s="10"/>
    </row>
    <row r="51" spans="2:8" x14ac:dyDescent="0.25">
      <c r="B51" s="11"/>
      <c r="C51" s="11"/>
      <c r="D51" s="11"/>
      <c r="E51">
        <f t="shared" si="1"/>
        <v>0</v>
      </c>
      <c r="H51" s="10"/>
    </row>
    <row r="52" spans="2:8" x14ac:dyDescent="0.25">
      <c r="B52" s="11"/>
      <c r="C52" s="11"/>
      <c r="D52" s="11"/>
      <c r="E52">
        <f t="shared" si="1"/>
        <v>0</v>
      </c>
      <c r="H52" s="10"/>
    </row>
    <row r="53" spans="2:8" x14ac:dyDescent="0.25">
      <c r="B53" s="11"/>
      <c r="C53" s="11"/>
      <c r="D53" s="11"/>
      <c r="E53">
        <f t="shared" si="1"/>
        <v>0</v>
      </c>
      <c r="H53" s="10"/>
    </row>
    <row r="54" spans="2:8" x14ac:dyDescent="0.25">
      <c r="B54" s="11"/>
      <c r="C54" s="11"/>
      <c r="D54" s="11"/>
      <c r="E54">
        <f t="shared" si="1"/>
        <v>0</v>
      </c>
      <c r="H54" s="10"/>
    </row>
    <row r="55" spans="2:8" x14ac:dyDescent="0.25">
      <c r="B55" s="11"/>
      <c r="C55" s="11"/>
      <c r="D55" s="11"/>
      <c r="E55">
        <f t="shared" si="1"/>
        <v>0</v>
      </c>
      <c r="H55" s="10"/>
    </row>
    <row r="56" spans="2:8" x14ac:dyDescent="0.25">
      <c r="B56" s="11"/>
      <c r="C56" s="11"/>
      <c r="D56" s="11"/>
      <c r="E56">
        <f t="shared" si="1"/>
        <v>0</v>
      </c>
      <c r="H56" s="10"/>
    </row>
    <row r="57" spans="2:8" x14ac:dyDescent="0.25">
      <c r="B57" s="11"/>
      <c r="C57" s="11"/>
      <c r="D57" s="11"/>
      <c r="E57">
        <f t="shared" si="1"/>
        <v>0</v>
      </c>
      <c r="H57" s="10"/>
    </row>
    <row r="58" spans="2:8" x14ac:dyDescent="0.25">
      <c r="B58" s="11"/>
      <c r="C58" s="11"/>
      <c r="D58" s="11"/>
      <c r="E58">
        <f t="shared" si="1"/>
        <v>0</v>
      </c>
      <c r="H58" s="10"/>
    </row>
    <row r="59" spans="2:8" x14ac:dyDescent="0.25">
      <c r="B59" s="11"/>
      <c r="C59" s="11"/>
      <c r="D59" s="11"/>
      <c r="E59">
        <f t="shared" si="1"/>
        <v>0</v>
      </c>
      <c r="H59" s="10"/>
    </row>
    <row r="60" spans="2:8" x14ac:dyDescent="0.25">
      <c r="B60" s="11"/>
      <c r="C60" s="11"/>
      <c r="D60" s="11"/>
      <c r="E60">
        <f t="shared" si="1"/>
        <v>0</v>
      </c>
      <c r="H60" s="10"/>
    </row>
    <row r="61" spans="2:8" x14ac:dyDescent="0.25">
      <c r="B61" s="11"/>
      <c r="C61" s="11"/>
      <c r="D61" s="11"/>
      <c r="E61">
        <f t="shared" si="1"/>
        <v>0</v>
      </c>
      <c r="H61" s="10"/>
    </row>
    <row r="62" spans="2:8" x14ac:dyDescent="0.25">
      <c r="B62" s="11"/>
      <c r="C62" s="11"/>
      <c r="D62" s="11"/>
      <c r="E62">
        <f t="shared" si="1"/>
        <v>0</v>
      </c>
      <c r="H62" s="10"/>
    </row>
    <row r="63" spans="2:8" x14ac:dyDescent="0.25">
      <c r="B63" s="11"/>
      <c r="C63" s="11"/>
      <c r="D63" s="11"/>
      <c r="E63">
        <f t="shared" si="1"/>
        <v>0</v>
      </c>
      <c r="H63" s="10"/>
    </row>
    <row r="64" spans="2:8" x14ac:dyDescent="0.25">
      <c r="B64" s="11"/>
      <c r="C64" s="11"/>
      <c r="D64" s="11"/>
      <c r="E64">
        <f t="shared" si="1"/>
        <v>0</v>
      </c>
      <c r="H64" s="10"/>
    </row>
    <row r="65" spans="2:8" x14ac:dyDescent="0.25">
      <c r="B65" s="11"/>
      <c r="C65" s="11"/>
      <c r="D65" s="11"/>
      <c r="E65">
        <f t="shared" si="1"/>
        <v>0</v>
      </c>
      <c r="H65" s="10"/>
    </row>
    <row r="66" spans="2:8" x14ac:dyDescent="0.25">
      <c r="B66" s="11"/>
      <c r="C66" s="11"/>
      <c r="D66" s="11"/>
      <c r="E66">
        <f t="shared" ref="E66:E97" si="2">D66-C66</f>
        <v>0</v>
      </c>
      <c r="H66" s="10"/>
    </row>
    <row r="67" spans="2:8" x14ac:dyDescent="0.25">
      <c r="B67" s="11"/>
      <c r="C67" s="11"/>
      <c r="D67" s="11"/>
      <c r="E67">
        <f t="shared" si="2"/>
        <v>0</v>
      </c>
      <c r="H67" s="10"/>
    </row>
    <row r="68" spans="2:8" x14ac:dyDescent="0.25">
      <c r="B68" s="11"/>
      <c r="C68" s="11"/>
      <c r="D68" s="11"/>
      <c r="E68">
        <f t="shared" si="2"/>
        <v>0</v>
      </c>
      <c r="H68" s="10"/>
    </row>
    <row r="69" spans="2:8" x14ac:dyDescent="0.25">
      <c r="B69" s="11"/>
      <c r="C69" s="11"/>
      <c r="D69" s="11"/>
      <c r="E69">
        <f t="shared" si="2"/>
        <v>0</v>
      </c>
      <c r="H69" s="10"/>
    </row>
    <row r="70" spans="2:8" x14ac:dyDescent="0.25">
      <c r="B70" s="11"/>
      <c r="C70" s="11"/>
      <c r="D70" s="11"/>
      <c r="E70">
        <f t="shared" si="2"/>
        <v>0</v>
      </c>
      <c r="H70" s="10"/>
    </row>
    <row r="71" spans="2:8" x14ac:dyDescent="0.25">
      <c r="B71" s="11"/>
      <c r="C71" s="11"/>
      <c r="D71" s="11"/>
      <c r="E71">
        <f t="shared" si="2"/>
        <v>0</v>
      </c>
      <c r="H71" s="10"/>
    </row>
    <row r="72" spans="2:8" x14ac:dyDescent="0.25">
      <c r="B72" s="11"/>
      <c r="C72" s="11"/>
      <c r="D72" s="11"/>
      <c r="E72">
        <f t="shared" si="2"/>
        <v>0</v>
      </c>
      <c r="H72" s="10"/>
    </row>
    <row r="73" spans="2:8" x14ac:dyDescent="0.25">
      <c r="B73" s="11"/>
      <c r="C73" s="11"/>
      <c r="D73" s="11"/>
      <c r="E73">
        <f t="shared" si="2"/>
        <v>0</v>
      </c>
      <c r="H73" s="10"/>
    </row>
    <row r="74" spans="2:8" x14ac:dyDescent="0.25">
      <c r="B74" s="11"/>
      <c r="C74" s="11"/>
      <c r="D74" s="11"/>
      <c r="E74">
        <f t="shared" si="2"/>
        <v>0</v>
      </c>
      <c r="H74" s="10"/>
    </row>
    <row r="75" spans="2:8" x14ac:dyDescent="0.25">
      <c r="B75" s="11"/>
      <c r="C75" s="11"/>
      <c r="D75" s="11"/>
      <c r="E75">
        <f t="shared" si="2"/>
        <v>0</v>
      </c>
      <c r="H75" s="10"/>
    </row>
    <row r="76" spans="2:8" x14ac:dyDescent="0.25">
      <c r="B76" s="11"/>
      <c r="C76" s="11"/>
      <c r="D76" s="11"/>
      <c r="E76">
        <f t="shared" si="2"/>
        <v>0</v>
      </c>
      <c r="H76" s="10"/>
    </row>
    <row r="77" spans="2:8" x14ac:dyDescent="0.25">
      <c r="B77" s="11"/>
      <c r="C77" s="11"/>
      <c r="D77" s="11"/>
      <c r="E77">
        <f t="shared" si="2"/>
        <v>0</v>
      </c>
      <c r="H77" s="10"/>
    </row>
    <row r="78" spans="2:8" x14ac:dyDescent="0.25">
      <c r="B78" s="11"/>
      <c r="C78" s="11"/>
      <c r="D78" s="11"/>
      <c r="E78">
        <f t="shared" si="2"/>
        <v>0</v>
      </c>
      <c r="H78" s="10"/>
    </row>
    <row r="79" spans="2:8" x14ac:dyDescent="0.25">
      <c r="B79" s="11"/>
      <c r="C79" s="11"/>
      <c r="D79" s="11"/>
      <c r="E79">
        <f t="shared" si="2"/>
        <v>0</v>
      </c>
      <c r="H79" s="10"/>
    </row>
    <row r="80" spans="2:8" x14ac:dyDescent="0.25">
      <c r="B80" s="11"/>
      <c r="C80" s="11"/>
      <c r="D80" s="11"/>
      <c r="E80">
        <f t="shared" si="2"/>
        <v>0</v>
      </c>
      <c r="H80" s="10"/>
    </row>
    <row r="81" spans="2:8" x14ac:dyDescent="0.25">
      <c r="B81" s="11"/>
      <c r="C81" s="11"/>
      <c r="D81" s="11"/>
      <c r="E81">
        <f t="shared" si="2"/>
        <v>0</v>
      </c>
      <c r="H81" s="10"/>
    </row>
    <row r="82" spans="2:8" x14ac:dyDescent="0.25">
      <c r="B82" s="11"/>
      <c r="C82" s="11"/>
      <c r="D82" s="11"/>
      <c r="E82">
        <f t="shared" si="2"/>
        <v>0</v>
      </c>
      <c r="H82" s="10"/>
    </row>
    <row r="83" spans="2:8" x14ac:dyDescent="0.25">
      <c r="B83" s="11"/>
      <c r="C83" s="11"/>
      <c r="D83" s="11"/>
      <c r="E83">
        <f t="shared" si="2"/>
        <v>0</v>
      </c>
      <c r="H83" s="10"/>
    </row>
    <row r="84" spans="2:8" x14ac:dyDescent="0.25">
      <c r="B84" s="11"/>
      <c r="C84" s="11"/>
      <c r="D84" s="11"/>
      <c r="E84">
        <f t="shared" si="2"/>
        <v>0</v>
      </c>
      <c r="H84" s="10"/>
    </row>
    <row r="85" spans="2:8" x14ac:dyDescent="0.25">
      <c r="B85" s="11"/>
      <c r="C85" s="11"/>
      <c r="D85" s="11"/>
      <c r="E85">
        <f t="shared" si="2"/>
        <v>0</v>
      </c>
      <c r="H85" s="10"/>
    </row>
    <row r="86" spans="2:8" x14ac:dyDescent="0.25">
      <c r="B86" s="11"/>
      <c r="C86" s="11"/>
      <c r="D86" s="11"/>
      <c r="E86">
        <f t="shared" si="2"/>
        <v>0</v>
      </c>
      <c r="H86" s="10"/>
    </row>
    <row r="87" spans="2:8" x14ac:dyDescent="0.25">
      <c r="B87" s="11"/>
      <c r="C87" s="11"/>
      <c r="D87" s="11"/>
      <c r="E87">
        <f t="shared" si="2"/>
        <v>0</v>
      </c>
      <c r="H87" s="10"/>
    </row>
    <row r="88" spans="2:8" x14ac:dyDescent="0.25">
      <c r="B88" s="11"/>
      <c r="C88" s="11"/>
      <c r="D88" s="11"/>
      <c r="E88">
        <f t="shared" si="2"/>
        <v>0</v>
      </c>
      <c r="H88" s="10"/>
    </row>
    <row r="89" spans="2:8" x14ac:dyDescent="0.25">
      <c r="B89" s="11"/>
      <c r="C89" s="11"/>
      <c r="D89" s="11"/>
      <c r="E89">
        <f t="shared" si="2"/>
        <v>0</v>
      </c>
      <c r="H89" s="10"/>
    </row>
    <row r="90" spans="2:8" x14ac:dyDescent="0.25">
      <c r="B90" s="11"/>
      <c r="C90" s="11"/>
      <c r="D90" s="11"/>
      <c r="E90">
        <f t="shared" si="2"/>
        <v>0</v>
      </c>
      <c r="H90" s="10"/>
    </row>
    <row r="91" spans="2:8" x14ac:dyDescent="0.25">
      <c r="B91" s="11"/>
      <c r="C91" s="11"/>
      <c r="D91" s="11"/>
      <c r="E91">
        <f t="shared" si="2"/>
        <v>0</v>
      </c>
      <c r="H91" s="10"/>
    </row>
    <row r="92" spans="2:8" x14ac:dyDescent="0.25">
      <c r="B92" s="11"/>
      <c r="C92" s="11"/>
      <c r="D92" s="11"/>
      <c r="E92">
        <f t="shared" si="2"/>
        <v>0</v>
      </c>
      <c r="H92" s="10"/>
    </row>
    <row r="93" spans="2:8" x14ac:dyDescent="0.25">
      <c r="B93" s="11"/>
      <c r="C93" s="11"/>
      <c r="D93" s="11"/>
      <c r="E93">
        <f t="shared" si="2"/>
        <v>0</v>
      </c>
      <c r="H93" s="10"/>
    </row>
    <row r="94" spans="2:8" x14ac:dyDescent="0.25">
      <c r="B94" s="11"/>
      <c r="C94" s="11"/>
      <c r="D94" s="11"/>
      <c r="E94">
        <f t="shared" si="2"/>
        <v>0</v>
      </c>
      <c r="H94" s="10"/>
    </row>
    <row r="95" spans="2:8" x14ac:dyDescent="0.25">
      <c r="B95" s="11"/>
      <c r="C95" s="11"/>
      <c r="D95" s="11"/>
      <c r="E95">
        <f t="shared" si="2"/>
        <v>0</v>
      </c>
      <c r="H95" s="10"/>
    </row>
    <row r="96" spans="2:8" x14ac:dyDescent="0.25">
      <c r="B96" s="11"/>
      <c r="C96" s="11"/>
      <c r="D96" s="11"/>
      <c r="E96">
        <f t="shared" si="2"/>
        <v>0</v>
      </c>
      <c r="H96" s="10"/>
    </row>
    <row r="97" spans="2:8" x14ac:dyDescent="0.25">
      <c r="B97" s="11"/>
      <c r="C97" s="11"/>
      <c r="D97" s="11"/>
      <c r="E97">
        <f t="shared" si="2"/>
        <v>0</v>
      </c>
      <c r="H97" s="10"/>
    </row>
    <row r="98" spans="2:8" x14ac:dyDescent="0.25">
      <c r="B98" s="11"/>
      <c r="C98" s="11"/>
      <c r="D98" s="11"/>
      <c r="E98">
        <f t="shared" ref="E98:E129" si="3">D98-C98</f>
        <v>0</v>
      </c>
      <c r="H98" s="10"/>
    </row>
    <row r="99" spans="2:8" x14ac:dyDescent="0.25">
      <c r="B99" s="11"/>
      <c r="C99" s="11"/>
      <c r="D99" s="11"/>
      <c r="E99">
        <f t="shared" si="3"/>
        <v>0</v>
      </c>
      <c r="H99" s="10"/>
    </row>
    <row r="100" spans="2:8" x14ac:dyDescent="0.25">
      <c r="B100" s="11"/>
      <c r="C100" s="11"/>
      <c r="D100" s="11"/>
      <c r="E100">
        <f t="shared" si="3"/>
        <v>0</v>
      </c>
      <c r="H100" s="10"/>
    </row>
    <row r="101" spans="2:8" x14ac:dyDescent="0.25">
      <c r="B101" s="11"/>
      <c r="C101" s="11"/>
      <c r="D101" s="11"/>
      <c r="E101">
        <f t="shared" si="3"/>
        <v>0</v>
      </c>
      <c r="H101" s="10"/>
    </row>
    <row r="102" spans="2:8" x14ac:dyDescent="0.25">
      <c r="B102" s="11"/>
      <c r="C102" s="11"/>
      <c r="D102" s="11"/>
      <c r="E102">
        <f t="shared" si="3"/>
        <v>0</v>
      </c>
      <c r="H102" s="10"/>
    </row>
    <row r="103" spans="2:8" x14ac:dyDescent="0.25">
      <c r="B103" s="11"/>
      <c r="C103" s="11"/>
      <c r="D103" s="11"/>
      <c r="E103">
        <f t="shared" si="3"/>
        <v>0</v>
      </c>
      <c r="H103" s="10"/>
    </row>
    <row r="104" spans="2:8" x14ac:dyDescent="0.25">
      <c r="B104" s="11"/>
      <c r="C104" s="11"/>
      <c r="D104" s="11"/>
      <c r="E104">
        <f t="shared" si="3"/>
        <v>0</v>
      </c>
      <c r="H104" s="10"/>
    </row>
    <row r="105" spans="2:8" x14ac:dyDescent="0.25">
      <c r="B105" s="11"/>
      <c r="C105" s="11"/>
      <c r="D105" s="11"/>
      <c r="E105">
        <f t="shared" si="3"/>
        <v>0</v>
      </c>
      <c r="H105" s="10"/>
    </row>
    <row r="106" spans="2:8" x14ac:dyDescent="0.25">
      <c r="B106" s="11"/>
      <c r="C106" s="11"/>
      <c r="D106" s="11"/>
      <c r="E106">
        <f t="shared" si="3"/>
        <v>0</v>
      </c>
      <c r="H106" s="10"/>
    </row>
    <row r="107" spans="2:8" x14ac:dyDescent="0.25">
      <c r="B107" s="11"/>
      <c r="C107" s="11"/>
      <c r="D107" s="11"/>
      <c r="E107">
        <f t="shared" si="3"/>
        <v>0</v>
      </c>
      <c r="H107" s="10"/>
    </row>
    <row r="108" spans="2:8" x14ac:dyDescent="0.25">
      <c r="B108" s="11"/>
      <c r="C108" s="11"/>
      <c r="D108" s="11"/>
      <c r="E108">
        <f t="shared" si="3"/>
        <v>0</v>
      </c>
      <c r="H108" s="10"/>
    </row>
    <row r="109" spans="2:8" x14ac:dyDescent="0.25">
      <c r="B109" s="11"/>
      <c r="C109" s="11"/>
      <c r="D109" s="11"/>
      <c r="E109">
        <f t="shared" si="3"/>
        <v>0</v>
      </c>
      <c r="H109" s="10"/>
    </row>
    <row r="110" spans="2:8" x14ac:dyDescent="0.25">
      <c r="B110" s="11"/>
      <c r="C110" s="11"/>
      <c r="D110" s="11"/>
      <c r="E110">
        <f t="shared" si="3"/>
        <v>0</v>
      </c>
      <c r="H110" s="10"/>
    </row>
    <row r="111" spans="2:8" x14ac:dyDescent="0.25">
      <c r="B111" s="11"/>
      <c r="C111" s="11"/>
      <c r="D111" s="11"/>
      <c r="E111">
        <f t="shared" si="3"/>
        <v>0</v>
      </c>
      <c r="H111" s="10"/>
    </row>
    <row r="112" spans="2:8" x14ac:dyDescent="0.25">
      <c r="B112" s="11"/>
      <c r="C112" s="11"/>
      <c r="D112" s="11"/>
      <c r="E112">
        <f t="shared" si="3"/>
        <v>0</v>
      </c>
      <c r="H112" s="10"/>
    </row>
    <row r="113" spans="2:8" x14ac:dyDescent="0.25">
      <c r="B113" s="11"/>
      <c r="C113" s="11"/>
      <c r="D113" s="11"/>
      <c r="E113">
        <f t="shared" si="3"/>
        <v>0</v>
      </c>
      <c r="H113" s="10"/>
    </row>
    <row r="114" spans="2:8" x14ac:dyDescent="0.25">
      <c r="B114" s="11"/>
      <c r="C114" s="11"/>
      <c r="D114" s="11"/>
      <c r="E114">
        <f t="shared" si="3"/>
        <v>0</v>
      </c>
      <c r="H114" s="10"/>
    </row>
    <row r="115" spans="2:8" x14ac:dyDescent="0.25">
      <c r="B115" s="11"/>
      <c r="C115" s="11"/>
      <c r="D115" s="11"/>
      <c r="E115">
        <f t="shared" si="3"/>
        <v>0</v>
      </c>
      <c r="H115" s="10"/>
    </row>
    <row r="116" spans="2:8" x14ac:dyDescent="0.25">
      <c r="B116" s="11"/>
      <c r="C116" s="11"/>
      <c r="D116" s="11"/>
      <c r="E116">
        <f t="shared" si="3"/>
        <v>0</v>
      </c>
      <c r="H116" s="10"/>
    </row>
    <row r="117" spans="2:8" x14ac:dyDescent="0.25">
      <c r="B117" s="11"/>
      <c r="C117" s="11"/>
      <c r="D117" s="11"/>
      <c r="E117">
        <f t="shared" si="3"/>
        <v>0</v>
      </c>
      <c r="H117" s="10"/>
    </row>
    <row r="118" spans="2:8" x14ac:dyDescent="0.25">
      <c r="B118" s="11"/>
      <c r="C118" s="11"/>
      <c r="D118" s="11"/>
      <c r="E118">
        <f t="shared" si="3"/>
        <v>0</v>
      </c>
      <c r="H118" s="10"/>
    </row>
    <row r="119" spans="2:8" x14ac:dyDescent="0.25">
      <c r="B119" s="11"/>
      <c r="C119" s="11"/>
      <c r="D119" s="11"/>
      <c r="E119">
        <f t="shared" si="3"/>
        <v>0</v>
      </c>
      <c r="H119" s="10"/>
    </row>
    <row r="120" spans="2:8" x14ac:dyDescent="0.25">
      <c r="B120" s="11"/>
      <c r="C120" s="11"/>
      <c r="D120" s="11"/>
      <c r="E120">
        <f t="shared" si="3"/>
        <v>0</v>
      </c>
      <c r="H120" s="10"/>
    </row>
    <row r="121" spans="2:8" x14ac:dyDescent="0.25">
      <c r="B121" s="11"/>
      <c r="C121" s="11"/>
      <c r="D121" s="11"/>
      <c r="E121">
        <f t="shared" si="3"/>
        <v>0</v>
      </c>
      <c r="H121" s="10"/>
    </row>
    <row r="122" spans="2:8" x14ac:dyDescent="0.25">
      <c r="B122" s="11"/>
      <c r="C122" s="11"/>
      <c r="D122" s="11"/>
      <c r="E122">
        <f t="shared" si="3"/>
        <v>0</v>
      </c>
      <c r="H122" s="10"/>
    </row>
    <row r="123" spans="2:8" x14ac:dyDescent="0.25">
      <c r="B123" s="11"/>
      <c r="C123" s="11"/>
      <c r="D123" s="11"/>
      <c r="E123">
        <f t="shared" si="3"/>
        <v>0</v>
      </c>
      <c r="H123" s="10"/>
    </row>
    <row r="124" spans="2:8" x14ac:dyDescent="0.25">
      <c r="B124" s="11"/>
      <c r="C124" s="11"/>
      <c r="D124" s="11"/>
      <c r="E124">
        <f t="shared" si="3"/>
        <v>0</v>
      </c>
      <c r="H124" s="10"/>
    </row>
    <row r="125" spans="2:8" x14ac:dyDescent="0.25">
      <c r="B125" s="11"/>
      <c r="C125" s="11"/>
      <c r="D125" s="11"/>
      <c r="E125">
        <f t="shared" si="3"/>
        <v>0</v>
      </c>
      <c r="H125" s="10"/>
    </row>
    <row r="126" spans="2:8" x14ac:dyDescent="0.25">
      <c r="B126" s="11"/>
      <c r="C126" s="11"/>
      <c r="D126" s="11"/>
      <c r="E126">
        <f t="shared" si="3"/>
        <v>0</v>
      </c>
      <c r="H126" s="10"/>
    </row>
    <row r="127" spans="2:8" x14ac:dyDescent="0.25">
      <c r="B127" s="11"/>
      <c r="C127" s="11"/>
      <c r="D127" s="11"/>
      <c r="E127">
        <f t="shared" si="3"/>
        <v>0</v>
      </c>
      <c r="H127" s="10"/>
    </row>
    <row r="128" spans="2:8" x14ac:dyDescent="0.25">
      <c r="B128" s="11"/>
      <c r="C128" s="11"/>
      <c r="D128" s="11"/>
      <c r="E128">
        <f t="shared" si="3"/>
        <v>0</v>
      </c>
      <c r="H128" s="10"/>
    </row>
    <row r="129" spans="2:8" x14ac:dyDescent="0.25">
      <c r="B129" s="11"/>
      <c r="C129" s="11"/>
      <c r="D129" s="11"/>
      <c r="E129">
        <f t="shared" si="3"/>
        <v>0</v>
      </c>
      <c r="H129" s="10"/>
    </row>
    <row r="130" spans="2:8" x14ac:dyDescent="0.25">
      <c r="B130" s="11"/>
      <c r="C130" s="11"/>
      <c r="D130" s="11"/>
      <c r="E130">
        <f t="shared" ref="E130:E161" si="4">D130-C130</f>
        <v>0</v>
      </c>
      <c r="H130" s="10"/>
    </row>
    <row r="131" spans="2:8" x14ac:dyDescent="0.25">
      <c r="B131" s="11"/>
      <c r="C131" s="11"/>
      <c r="D131" s="11"/>
      <c r="E131">
        <f t="shared" si="4"/>
        <v>0</v>
      </c>
      <c r="H131" s="10"/>
    </row>
    <row r="132" spans="2:8" x14ac:dyDescent="0.25">
      <c r="B132" s="11"/>
      <c r="C132" s="11"/>
      <c r="D132" s="11"/>
      <c r="E132">
        <f t="shared" si="4"/>
        <v>0</v>
      </c>
      <c r="H132" s="10"/>
    </row>
    <row r="133" spans="2:8" x14ac:dyDescent="0.25">
      <c r="B133" s="11"/>
      <c r="C133" s="11"/>
      <c r="D133" s="11"/>
      <c r="E133">
        <f t="shared" si="4"/>
        <v>0</v>
      </c>
      <c r="H133" s="10"/>
    </row>
    <row r="134" spans="2:8" x14ac:dyDescent="0.25">
      <c r="B134" s="11"/>
      <c r="C134" s="11"/>
      <c r="D134" s="11"/>
      <c r="E134">
        <f t="shared" si="4"/>
        <v>0</v>
      </c>
      <c r="H134" s="10"/>
    </row>
    <row r="135" spans="2:8" x14ac:dyDescent="0.25">
      <c r="B135" s="11"/>
      <c r="C135" s="11"/>
      <c r="D135" s="11"/>
      <c r="E135">
        <f t="shared" si="4"/>
        <v>0</v>
      </c>
      <c r="H135" s="10"/>
    </row>
    <row r="136" spans="2:8" x14ac:dyDescent="0.25">
      <c r="B136" s="11"/>
      <c r="C136" s="11"/>
      <c r="D136" s="11"/>
      <c r="E136">
        <f t="shared" si="4"/>
        <v>0</v>
      </c>
      <c r="H136" s="10"/>
    </row>
    <row r="137" spans="2:8" x14ac:dyDescent="0.25">
      <c r="B137" s="11"/>
      <c r="C137" s="11"/>
      <c r="D137" s="11"/>
      <c r="E137">
        <f t="shared" si="4"/>
        <v>0</v>
      </c>
      <c r="H137" s="10"/>
    </row>
    <row r="138" spans="2:8" x14ac:dyDescent="0.25">
      <c r="B138" s="11"/>
      <c r="C138" s="11"/>
      <c r="D138" s="11"/>
      <c r="E138">
        <f t="shared" si="4"/>
        <v>0</v>
      </c>
      <c r="H138" s="10"/>
    </row>
    <row r="139" spans="2:8" x14ac:dyDescent="0.25">
      <c r="B139" s="11"/>
      <c r="C139" s="11"/>
      <c r="D139" s="11"/>
      <c r="E139">
        <f t="shared" si="4"/>
        <v>0</v>
      </c>
      <c r="H139" s="10"/>
    </row>
    <row r="140" spans="2:8" x14ac:dyDescent="0.25">
      <c r="B140" s="11"/>
      <c r="C140" s="11"/>
      <c r="D140" s="11"/>
      <c r="E140">
        <f t="shared" si="4"/>
        <v>0</v>
      </c>
      <c r="H140" s="10"/>
    </row>
    <row r="141" spans="2:8" x14ac:dyDescent="0.25">
      <c r="B141" s="11"/>
      <c r="C141" s="11"/>
      <c r="D141" s="11"/>
      <c r="E141">
        <f t="shared" si="4"/>
        <v>0</v>
      </c>
      <c r="H141" s="10"/>
    </row>
    <row r="142" spans="2:8" x14ac:dyDescent="0.25">
      <c r="B142" s="11"/>
      <c r="C142" s="11"/>
      <c r="D142" s="11"/>
      <c r="E142">
        <f t="shared" si="4"/>
        <v>0</v>
      </c>
      <c r="H142" s="10"/>
    </row>
    <row r="143" spans="2:8" x14ac:dyDescent="0.25">
      <c r="B143" s="11"/>
      <c r="C143" s="11"/>
      <c r="D143" s="11"/>
      <c r="E143">
        <f t="shared" si="4"/>
        <v>0</v>
      </c>
      <c r="H143" s="10"/>
    </row>
    <row r="144" spans="2:8" x14ac:dyDescent="0.25">
      <c r="B144" s="11"/>
      <c r="C144" s="11"/>
      <c r="D144" s="11"/>
      <c r="E144">
        <f t="shared" si="4"/>
        <v>0</v>
      </c>
      <c r="H144" s="10"/>
    </row>
    <row r="145" spans="2:8" x14ac:dyDescent="0.25">
      <c r="B145" s="11"/>
      <c r="C145" s="11"/>
      <c r="D145" s="11"/>
      <c r="E145">
        <f t="shared" si="4"/>
        <v>0</v>
      </c>
      <c r="H145" s="10"/>
    </row>
    <row r="146" spans="2:8" x14ac:dyDescent="0.25">
      <c r="B146" s="11"/>
      <c r="C146" s="11"/>
      <c r="D146" s="11"/>
      <c r="E146">
        <f t="shared" si="4"/>
        <v>0</v>
      </c>
      <c r="H146" s="10"/>
    </row>
    <row r="147" spans="2:8" x14ac:dyDescent="0.25">
      <c r="B147" s="11"/>
      <c r="C147" s="11"/>
      <c r="D147" s="11"/>
      <c r="E147">
        <f t="shared" si="4"/>
        <v>0</v>
      </c>
      <c r="H147" s="10"/>
    </row>
    <row r="148" spans="2:8" x14ac:dyDescent="0.25">
      <c r="B148" s="11"/>
      <c r="C148" s="11"/>
      <c r="D148" s="11"/>
      <c r="E148">
        <f t="shared" si="4"/>
        <v>0</v>
      </c>
      <c r="H148" s="10"/>
    </row>
    <row r="149" spans="2:8" x14ac:dyDescent="0.25">
      <c r="B149" s="11"/>
      <c r="C149" s="11"/>
      <c r="D149" s="11"/>
      <c r="E149">
        <f t="shared" si="4"/>
        <v>0</v>
      </c>
      <c r="H149" s="10"/>
    </row>
    <row r="150" spans="2:8" x14ac:dyDescent="0.25">
      <c r="B150" s="11"/>
      <c r="C150" s="11"/>
      <c r="D150" s="11"/>
      <c r="E150">
        <f t="shared" si="4"/>
        <v>0</v>
      </c>
      <c r="H150" s="10"/>
    </row>
    <row r="151" spans="2:8" x14ac:dyDescent="0.25">
      <c r="B151" s="11"/>
      <c r="C151" s="11"/>
      <c r="D151" s="11"/>
      <c r="E151">
        <f t="shared" si="4"/>
        <v>0</v>
      </c>
      <c r="H151" s="10"/>
    </row>
    <row r="152" spans="2:8" x14ac:dyDescent="0.25">
      <c r="B152" s="11"/>
      <c r="C152" s="11"/>
      <c r="D152" s="11"/>
      <c r="E152">
        <f t="shared" si="4"/>
        <v>0</v>
      </c>
      <c r="H152" s="10"/>
    </row>
    <row r="153" spans="2:8" x14ac:dyDescent="0.25">
      <c r="B153" s="11"/>
      <c r="C153" s="11"/>
      <c r="D153" s="11"/>
      <c r="E153">
        <f t="shared" si="4"/>
        <v>0</v>
      </c>
      <c r="H153" s="10"/>
    </row>
    <row r="154" spans="2:8" x14ac:dyDescent="0.25">
      <c r="B154" s="11"/>
      <c r="C154" s="11"/>
      <c r="D154" s="11"/>
      <c r="E154">
        <f t="shared" si="4"/>
        <v>0</v>
      </c>
      <c r="H154" s="10"/>
    </row>
    <row r="155" spans="2:8" x14ac:dyDescent="0.25">
      <c r="B155" s="11"/>
      <c r="C155" s="11"/>
      <c r="D155" s="11"/>
      <c r="E155">
        <f t="shared" si="4"/>
        <v>0</v>
      </c>
      <c r="H155" s="10"/>
    </row>
    <row r="156" spans="2:8" x14ac:dyDescent="0.25">
      <c r="B156" s="11"/>
      <c r="C156" s="11"/>
      <c r="D156" s="11"/>
      <c r="E156">
        <f t="shared" si="4"/>
        <v>0</v>
      </c>
      <c r="H156" s="10"/>
    </row>
    <row r="157" spans="2:8" x14ac:dyDescent="0.25">
      <c r="B157" s="11"/>
      <c r="C157" s="11"/>
      <c r="D157" s="11"/>
      <c r="E157">
        <f t="shared" si="4"/>
        <v>0</v>
      </c>
      <c r="H157" s="10"/>
    </row>
    <row r="158" spans="2:8" x14ac:dyDescent="0.25">
      <c r="B158" s="11"/>
      <c r="C158" s="11"/>
      <c r="D158" s="11"/>
      <c r="E158">
        <f t="shared" si="4"/>
        <v>0</v>
      </c>
      <c r="H158" s="10"/>
    </row>
    <row r="159" spans="2:8" x14ac:dyDescent="0.25">
      <c r="B159" s="11"/>
      <c r="C159" s="11"/>
      <c r="D159" s="11"/>
      <c r="E159">
        <f t="shared" si="4"/>
        <v>0</v>
      </c>
      <c r="H159" s="10"/>
    </row>
    <row r="160" spans="2:8" x14ac:dyDescent="0.25">
      <c r="B160" s="11"/>
      <c r="C160" s="11"/>
      <c r="D160" s="11"/>
      <c r="E160">
        <f t="shared" si="4"/>
        <v>0</v>
      </c>
      <c r="H160" s="10"/>
    </row>
    <row r="161" spans="2:8" x14ac:dyDescent="0.25">
      <c r="B161" s="11"/>
      <c r="C161" s="11"/>
      <c r="D161" s="11"/>
      <c r="E161">
        <f t="shared" si="4"/>
        <v>0</v>
      </c>
      <c r="H161" s="10"/>
    </row>
    <row r="162" spans="2:8" x14ac:dyDescent="0.25">
      <c r="B162" s="11"/>
      <c r="C162" s="11"/>
      <c r="D162" s="11"/>
      <c r="E162">
        <f t="shared" ref="E162:E193" si="5">D162-C162</f>
        <v>0</v>
      </c>
      <c r="H162" s="10"/>
    </row>
    <row r="163" spans="2:8" x14ac:dyDescent="0.25">
      <c r="B163" s="11"/>
      <c r="C163" s="11"/>
      <c r="D163" s="11"/>
      <c r="E163">
        <f t="shared" si="5"/>
        <v>0</v>
      </c>
      <c r="H163" s="10"/>
    </row>
    <row r="164" spans="2:8" x14ac:dyDescent="0.25">
      <c r="B164" s="11"/>
      <c r="C164" s="11"/>
      <c r="D164" s="11"/>
      <c r="E164">
        <f t="shared" si="5"/>
        <v>0</v>
      </c>
      <c r="H164" s="10"/>
    </row>
    <row r="165" spans="2:8" x14ac:dyDescent="0.25">
      <c r="B165" s="11"/>
      <c r="C165" s="11"/>
      <c r="D165" s="11"/>
      <c r="E165">
        <f t="shared" si="5"/>
        <v>0</v>
      </c>
      <c r="H165" s="10"/>
    </row>
    <row r="166" spans="2:8" x14ac:dyDescent="0.25">
      <c r="B166" s="11"/>
      <c r="C166" s="11"/>
      <c r="D166" s="11"/>
      <c r="E166">
        <f t="shared" si="5"/>
        <v>0</v>
      </c>
      <c r="H166" s="10"/>
    </row>
    <row r="167" spans="2:8" x14ac:dyDescent="0.25">
      <c r="B167" s="11"/>
      <c r="C167" s="11"/>
      <c r="D167" s="11"/>
      <c r="E167">
        <f t="shared" si="5"/>
        <v>0</v>
      </c>
      <c r="H167" s="10"/>
    </row>
    <row r="168" spans="2:8" x14ac:dyDescent="0.25">
      <c r="B168" s="11"/>
      <c r="C168" s="11"/>
      <c r="D168" s="11"/>
      <c r="E168">
        <f t="shared" si="5"/>
        <v>0</v>
      </c>
      <c r="H168" s="10"/>
    </row>
    <row r="169" spans="2:8" x14ac:dyDescent="0.25">
      <c r="B169" s="11"/>
      <c r="C169" s="11"/>
      <c r="D169" s="11"/>
      <c r="E169">
        <f t="shared" si="5"/>
        <v>0</v>
      </c>
      <c r="H169" s="10"/>
    </row>
    <row r="170" spans="2:8" x14ac:dyDescent="0.25">
      <c r="B170" s="11"/>
      <c r="C170" s="11"/>
      <c r="D170" s="11"/>
      <c r="E170">
        <f t="shared" si="5"/>
        <v>0</v>
      </c>
      <c r="H170" s="10"/>
    </row>
    <row r="171" spans="2:8" x14ac:dyDescent="0.25">
      <c r="B171" s="11"/>
      <c r="C171" s="11"/>
      <c r="D171" s="11"/>
      <c r="E171">
        <f t="shared" si="5"/>
        <v>0</v>
      </c>
      <c r="H171" s="10"/>
    </row>
    <row r="172" spans="2:8" x14ac:dyDescent="0.25">
      <c r="B172" s="11"/>
      <c r="C172" s="11"/>
      <c r="D172" s="11"/>
      <c r="E172">
        <f t="shared" si="5"/>
        <v>0</v>
      </c>
      <c r="H172" s="10"/>
    </row>
    <row r="173" spans="2:8" x14ac:dyDescent="0.25">
      <c r="B173" s="11"/>
      <c r="C173" s="11"/>
      <c r="D173" s="11"/>
      <c r="E173">
        <f t="shared" si="5"/>
        <v>0</v>
      </c>
      <c r="H173" s="10"/>
    </row>
    <row r="174" spans="2:8" x14ac:dyDescent="0.25">
      <c r="B174" s="11"/>
      <c r="C174" s="11"/>
      <c r="D174" s="11"/>
      <c r="E174">
        <f t="shared" si="5"/>
        <v>0</v>
      </c>
      <c r="H174" s="10"/>
    </row>
    <row r="175" spans="2:8" x14ac:dyDescent="0.25">
      <c r="B175" s="11"/>
      <c r="C175" s="11"/>
      <c r="D175" s="11"/>
      <c r="E175">
        <f t="shared" si="5"/>
        <v>0</v>
      </c>
      <c r="H175" s="10"/>
    </row>
    <row r="176" spans="2:8" x14ac:dyDescent="0.25">
      <c r="B176" s="11"/>
      <c r="C176" s="11"/>
      <c r="D176" s="11"/>
      <c r="E176">
        <f t="shared" si="5"/>
        <v>0</v>
      </c>
      <c r="H176" s="10"/>
    </row>
    <row r="177" spans="2:8" x14ac:dyDescent="0.25">
      <c r="B177" s="11"/>
      <c r="C177" s="11"/>
      <c r="D177" s="11"/>
      <c r="E177">
        <f t="shared" si="5"/>
        <v>0</v>
      </c>
      <c r="H177" s="10"/>
    </row>
    <row r="178" spans="2:8" x14ac:dyDescent="0.25">
      <c r="B178" s="11"/>
      <c r="C178" s="11"/>
      <c r="D178" s="11"/>
      <c r="E178">
        <f t="shared" si="5"/>
        <v>0</v>
      </c>
      <c r="H178" s="10"/>
    </row>
    <row r="179" spans="2:8" x14ac:dyDescent="0.25">
      <c r="B179" s="11"/>
      <c r="C179" s="11"/>
      <c r="D179" s="11"/>
      <c r="E179">
        <f t="shared" si="5"/>
        <v>0</v>
      </c>
      <c r="H179" s="10"/>
    </row>
    <row r="180" spans="2:8" x14ac:dyDescent="0.25">
      <c r="B180" s="11"/>
      <c r="C180" s="11"/>
      <c r="D180" s="11"/>
      <c r="E180">
        <f t="shared" si="5"/>
        <v>0</v>
      </c>
      <c r="H180" s="10"/>
    </row>
    <row r="181" spans="2:8" x14ac:dyDescent="0.25">
      <c r="B181" s="11"/>
      <c r="C181" s="11"/>
      <c r="D181" s="11"/>
      <c r="E181">
        <f t="shared" si="5"/>
        <v>0</v>
      </c>
      <c r="H181" s="10"/>
    </row>
    <row r="182" spans="2:8" x14ac:dyDescent="0.25">
      <c r="B182" s="11"/>
      <c r="C182" s="11"/>
      <c r="D182" s="11"/>
      <c r="E182">
        <f t="shared" si="5"/>
        <v>0</v>
      </c>
      <c r="H182" s="10"/>
    </row>
    <row r="183" spans="2:8" x14ac:dyDescent="0.25">
      <c r="B183" s="11"/>
      <c r="C183" s="11"/>
      <c r="D183" s="11"/>
      <c r="E183">
        <f t="shared" si="5"/>
        <v>0</v>
      </c>
      <c r="H183" s="10"/>
    </row>
    <row r="184" spans="2:8" x14ac:dyDescent="0.25">
      <c r="B184" s="11"/>
      <c r="C184" s="11"/>
      <c r="D184" s="11"/>
      <c r="E184">
        <f t="shared" si="5"/>
        <v>0</v>
      </c>
      <c r="H184" s="10"/>
    </row>
    <row r="185" spans="2:8" x14ac:dyDescent="0.25">
      <c r="B185" s="11"/>
      <c r="C185" s="11"/>
      <c r="D185" s="11"/>
      <c r="E185">
        <f t="shared" si="5"/>
        <v>0</v>
      </c>
      <c r="H185" s="10"/>
    </row>
    <row r="186" spans="2:8" x14ac:dyDescent="0.25">
      <c r="B186" s="11"/>
      <c r="C186" s="11"/>
      <c r="D186" s="11"/>
      <c r="E186">
        <f t="shared" si="5"/>
        <v>0</v>
      </c>
      <c r="H186" s="10"/>
    </row>
    <row r="187" spans="2:8" x14ac:dyDescent="0.25">
      <c r="B187" s="11"/>
      <c r="C187" s="11"/>
      <c r="D187" s="11"/>
      <c r="E187">
        <f t="shared" si="5"/>
        <v>0</v>
      </c>
      <c r="H187" s="10"/>
    </row>
    <row r="188" spans="2:8" x14ac:dyDescent="0.25">
      <c r="B188" s="11"/>
      <c r="C188" s="11"/>
      <c r="D188" s="11"/>
      <c r="E188">
        <f t="shared" si="5"/>
        <v>0</v>
      </c>
      <c r="H188" s="10"/>
    </row>
    <row r="189" spans="2:8" x14ac:dyDescent="0.25">
      <c r="B189" s="11"/>
      <c r="C189" s="11"/>
      <c r="D189" s="11"/>
      <c r="E189">
        <f t="shared" si="5"/>
        <v>0</v>
      </c>
      <c r="H189" s="10"/>
    </row>
    <row r="190" spans="2:8" x14ac:dyDescent="0.25">
      <c r="B190" s="11"/>
      <c r="C190" s="11"/>
      <c r="D190" s="11"/>
      <c r="E190">
        <f t="shared" si="5"/>
        <v>0</v>
      </c>
      <c r="H190" s="10"/>
    </row>
    <row r="191" spans="2:8" x14ac:dyDescent="0.25">
      <c r="B191" s="11"/>
      <c r="C191" s="11"/>
      <c r="D191" s="11"/>
      <c r="E191">
        <f t="shared" si="5"/>
        <v>0</v>
      </c>
      <c r="H191" s="10"/>
    </row>
    <row r="192" spans="2:8" x14ac:dyDescent="0.25">
      <c r="B192" s="11"/>
      <c r="C192" s="11"/>
      <c r="D192" s="11"/>
      <c r="E192">
        <f t="shared" si="5"/>
        <v>0</v>
      </c>
      <c r="H192" s="10"/>
    </row>
    <row r="193" spans="2:8" x14ac:dyDescent="0.25">
      <c r="B193" s="11"/>
      <c r="C193" s="11"/>
      <c r="D193" s="11"/>
      <c r="E193">
        <f t="shared" si="5"/>
        <v>0</v>
      </c>
      <c r="H193" s="10"/>
    </row>
    <row r="194" spans="2:8" x14ac:dyDescent="0.25">
      <c r="B194" s="11"/>
      <c r="C194" s="11"/>
      <c r="D194" s="11"/>
      <c r="E194">
        <f t="shared" ref="E194:E225" si="6">D194-C194</f>
        <v>0</v>
      </c>
      <c r="H194" s="10"/>
    </row>
    <row r="195" spans="2:8" x14ac:dyDescent="0.25">
      <c r="B195" s="11"/>
      <c r="C195" s="11"/>
      <c r="D195" s="11"/>
      <c r="E195">
        <f t="shared" si="6"/>
        <v>0</v>
      </c>
      <c r="H195" s="10"/>
    </row>
    <row r="196" spans="2:8" x14ac:dyDescent="0.25">
      <c r="B196" s="11"/>
      <c r="C196" s="11"/>
      <c r="D196" s="11"/>
      <c r="E196">
        <f t="shared" si="6"/>
        <v>0</v>
      </c>
      <c r="H196" s="10"/>
    </row>
    <row r="197" spans="2:8" x14ac:dyDescent="0.25">
      <c r="B197" s="11"/>
      <c r="C197" s="11"/>
      <c r="D197" s="11"/>
      <c r="E197">
        <f t="shared" si="6"/>
        <v>0</v>
      </c>
      <c r="H197" s="10"/>
    </row>
    <row r="198" spans="2:8" x14ac:dyDescent="0.25">
      <c r="B198" s="11"/>
      <c r="C198" s="11"/>
      <c r="D198" s="11"/>
      <c r="E198">
        <f t="shared" si="6"/>
        <v>0</v>
      </c>
      <c r="H198" s="10"/>
    </row>
    <row r="199" spans="2:8" x14ac:dyDescent="0.25">
      <c r="B199" s="11"/>
      <c r="C199" s="11"/>
      <c r="D199" s="11"/>
      <c r="E199">
        <f t="shared" si="6"/>
        <v>0</v>
      </c>
      <c r="H199" s="10"/>
    </row>
  </sheetData>
  <pageMargins left="0.75" right="0.75" top="1" bottom="1" header="0.5" footer="0.5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OFFSET(Listes!$B$5,0,0,1,COUNTA(Listes!$6:$6))</xm:f>
          </x14:formula1>
          <xm:sqref>G2:G200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"/>
  <sheetViews>
    <sheetView workbookViewId="0"/>
  </sheetViews>
  <sheetFormatPr baseColWidth="10" defaultColWidth="9.140625" defaultRowHeight="15" x14ac:dyDescent="0.25"/>
  <cols>
    <col min="1" max="1" width="38" customWidth="1"/>
    <col min="2" max="6" width="14" customWidth="1"/>
  </cols>
  <sheetData>
    <row r="1" spans="1:6" x14ac:dyDescent="0.25">
      <c r="A1" s="1" t="s">
        <v>151</v>
      </c>
      <c r="B1" s="1" t="s">
        <v>152</v>
      </c>
      <c r="C1" s="1" t="s">
        <v>153</v>
      </c>
      <c r="D1" s="1" t="s">
        <v>154</v>
      </c>
      <c r="E1" s="1" t="s">
        <v>46</v>
      </c>
      <c r="F1" s="1" t="s">
        <v>155</v>
      </c>
    </row>
    <row r="2" spans="1:6" x14ac:dyDescent="0.25">
      <c r="A2" s="2" t="s">
        <v>156</v>
      </c>
      <c r="B2" s="2"/>
      <c r="C2" s="2"/>
      <c r="D2" s="2"/>
      <c r="E2" s="2"/>
      <c r="F2" s="2"/>
    </row>
    <row r="3" spans="1:6" x14ac:dyDescent="0.25">
      <c r="A3" s="2" t="s">
        <v>157</v>
      </c>
      <c r="B3" s="2"/>
      <c r="C3" s="2"/>
      <c r="D3" s="2"/>
      <c r="E3" s="2"/>
      <c r="F3" s="2"/>
    </row>
    <row r="4" spans="1:6" x14ac:dyDescent="0.25">
      <c r="A4" s="2" t="s">
        <v>158</v>
      </c>
      <c r="B4" s="2"/>
      <c r="C4" s="2"/>
      <c r="D4" s="2"/>
      <c r="E4" s="2"/>
      <c r="F4" s="2"/>
    </row>
    <row r="5" spans="1:6" x14ac:dyDescent="0.25">
      <c r="A5" s="2" t="s">
        <v>159</v>
      </c>
      <c r="B5" s="2"/>
      <c r="C5" s="2"/>
      <c r="D5" s="2"/>
      <c r="E5" s="2"/>
      <c r="F5" s="2"/>
    </row>
    <row r="6" spans="1:6" x14ac:dyDescent="0.25">
      <c r="A6" s="2" t="s">
        <v>160</v>
      </c>
      <c r="B6" s="2"/>
      <c r="C6" s="2"/>
      <c r="D6" s="2"/>
      <c r="E6" s="2"/>
      <c r="F6" s="2"/>
    </row>
    <row r="7" spans="1:6" x14ac:dyDescent="0.25">
      <c r="A7" s="2" t="s">
        <v>161</v>
      </c>
      <c r="B7" s="2"/>
      <c r="C7" s="2"/>
      <c r="D7" s="2"/>
      <c r="E7" s="2"/>
      <c r="F7" s="2"/>
    </row>
  </sheetData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400-000000000000}">
          <x14:formula1>
            <xm:f>OFFSET(Listes!$B$4,0,0,1,COUNTA(Listes!$5:$5))</xm:f>
          </x14:formula1>
          <xm:sqref>B2:F7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99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6" customWidth="1"/>
    <col min="2" max="3" width="28" customWidth="1"/>
    <col min="4" max="4" width="14" customWidth="1"/>
    <col min="5" max="5" width="16" customWidth="1"/>
    <col min="6" max="6" width="10" customWidth="1"/>
    <col min="7" max="7" width="26" customWidth="1"/>
    <col min="8" max="8" width="18" customWidth="1"/>
    <col min="9" max="10" width="12" customWidth="1"/>
  </cols>
  <sheetData>
    <row r="1" spans="1:10" x14ac:dyDescent="0.25">
      <c r="A1" s="1" t="s">
        <v>24</v>
      </c>
      <c r="B1" s="1" t="s">
        <v>11</v>
      </c>
      <c r="C1" s="1" t="s">
        <v>162</v>
      </c>
      <c r="D1" s="1" t="s">
        <v>163</v>
      </c>
      <c r="E1" s="1" t="s">
        <v>164</v>
      </c>
      <c r="F1" s="1" t="s">
        <v>165</v>
      </c>
      <c r="G1" s="1" t="s">
        <v>166</v>
      </c>
      <c r="H1" s="1" t="s">
        <v>27</v>
      </c>
      <c r="I1" s="1" t="s">
        <v>167</v>
      </c>
      <c r="J1" s="1" t="s">
        <v>31</v>
      </c>
    </row>
    <row r="2" spans="1:10" x14ac:dyDescent="0.25">
      <c r="F2">
        <f t="shared" ref="F2:F33" si="0">D2*E2</f>
        <v>0</v>
      </c>
      <c r="I2" s="10"/>
    </row>
    <row r="3" spans="1:10" x14ac:dyDescent="0.25">
      <c r="F3">
        <f t="shared" si="0"/>
        <v>0</v>
      </c>
      <c r="I3" s="10"/>
    </row>
    <row r="4" spans="1:10" x14ac:dyDescent="0.25">
      <c r="F4">
        <f t="shared" si="0"/>
        <v>0</v>
      </c>
      <c r="I4" s="10"/>
    </row>
    <row r="5" spans="1:10" x14ac:dyDescent="0.25">
      <c r="F5">
        <f t="shared" si="0"/>
        <v>0</v>
      </c>
      <c r="I5" s="10"/>
    </row>
    <row r="6" spans="1:10" x14ac:dyDescent="0.25">
      <c r="F6">
        <f t="shared" si="0"/>
        <v>0</v>
      </c>
      <c r="I6" s="10"/>
    </row>
    <row r="7" spans="1:10" x14ac:dyDescent="0.25">
      <c r="F7">
        <f t="shared" si="0"/>
        <v>0</v>
      </c>
      <c r="I7" s="10"/>
    </row>
    <row r="8" spans="1:10" x14ac:dyDescent="0.25">
      <c r="F8">
        <f t="shared" si="0"/>
        <v>0</v>
      </c>
      <c r="I8" s="10"/>
    </row>
    <row r="9" spans="1:10" x14ac:dyDescent="0.25">
      <c r="F9">
        <f t="shared" si="0"/>
        <v>0</v>
      </c>
      <c r="I9" s="10"/>
    </row>
    <row r="10" spans="1:10" x14ac:dyDescent="0.25">
      <c r="F10">
        <f t="shared" si="0"/>
        <v>0</v>
      </c>
      <c r="I10" s="10"/>
    </row>
    <row r="11" spans="1:10" x14ac:dyDescent="0.25">
      <c r="F11">
        <f t="shared" si="0"/>
        <v>0</v>
      </c>
      <c r="I11" s="10"/>
    </row>
    <row r="12" spans="1:10" x14ac:dyDescent="0.25">
      <c r="F12">
        <f t="shared" si="0"/>
        <v>0</v>
      </c>
      <c r="I12" s="10"/>
    </row>
    <row r="13" spans="1:10" x14ac:dyDescent="0.25">
      <c r="F13">
        <f t="shared" si="0"/>
        <v>0</v>
      </c>
      <c r="I13" s="10"/>
    </row>
    <row r="14" spans="1:10" x14ac:dyDescent="0.25">
      <c r="F14">
        <f t="shared" si="0"/>
        <v>0</v>
      </c>
      <c r="I14" s="10"/>
    </row>
    <row r="15" spans="1:10" x14ac:dyDescent="0.25">
      <c r="F15">
        <f t="shared" si="0"/>
        <v>0</v>
      </c>
      <c r="I15" s="10"/>
    </row>
    <row r="16" spans="1:10" x14ac:dyDescent="0.25">
      <c r="F16">
        <f t="shared" si="0"/>
        <v>0</v>
      </c>
      <c r="I16" s="10"/>
    </row>
    <row r="17" spans="6:9" x14ac:dyDescent="0.25">
      <c r="F17">
        <f t="shared" si="0"/>
        <v>0</v>
      </c>
      <c r="I17" s="10"/>
    </row>
    <row r="18" spans="6:9" x14ac:dyDescent="0.25">
      <c r="F18">
        <f t="shared" si="0"/>
        <v>0</v>
      </c>
      <c r="I18" s="10"/>
    </row>
    <row r="19" spans="6:9" x14ac:dyDescent="0.25">
      <c r="F19">
        <f t="shared" si="0"/>
        <v>0</v>
      </c>
      <c r="I19" s="10"/>
    </row>
    <row r="20" spans="6:9" x14ac:dyDescent="0.25">
      <c r="F20">
        <f t="shared" si="0"/>
        <v>0</v>
      </c>
      <c r="I20" s="10"/>
    </row>
    <row r="21" spans="6:9" x14ac:dyDescent="0.25">
      <c r="F21">
        <f t="shared" si="0"/>
        <v>0</v>
      </c>
      <c r="I21" s="10"/>
    </row>
    <row r="22" spans="6:9" x14ac:dyDescent="0.25">
      <c r="F22">
        <f t="shared" si="0"/>
        <v>0</v>
      </c>
      <c r="I22" s="10"/>
    </row>
    <row r="23" spans="6:9" x14ac:dyDescent="0.25">
      <c r="F23">
        <f t="shared" si="0"/>
        <v>0</v>
      </c>
      <c r="I23" s="10"/>
    </row>
    <row r="24" spans="6:9" x14ac:dyDescent="0.25">
      <c r="F24">
        <f t="shared" si="0"/>
        <v>0</v>
      </c>
      <c r="I24" s="10"/>
    </row>
    <row r="25" spans="6:9" x14ac:dyDescent="0.25">
      <c r="F25">
        <f t="shared" si="0"/>
        <v>0</v>
      </c>
      <c r="I25" s="10"/>
    </row>
    <row r="26" spans="6:9" x14ac:dyDescent="0.25">
      <c r="F26">
        <f t="shared" si="0"/>
        <v>0</v>
      </c>
      <c r="I26" s="10"/>
    </row>
    <row r="27" spans="6:9" x14ac:dyDescent="0.25">
      <c r="F27">
        <f t="shared" si="0"/>
        <v>0</v>
      </c>
      <c r="I27" s="10"/>
    </row>
    <row r="28" spans="6:9" x14ac:dyDescent="0.25">
      <c r="F28">
        <f t="shared" si="0"/>
        <v>0</v>
      </c>
      <c r="I28" s="10"/>
    </row>
    <row r="29" spans="6:9" x14ac:dyDescent="0.25">
      <c r="F29">
        <f t="shared" si="0"/>
        <v>0</v>
      </c>
      <c r="I29" s="10"/>
    </row>
    <row r="30" spans="6:9" x14ac:dyDescent="0.25">
      <c r="F30">
        <f t="shared" si="0"/>
        <v>0</v>
      </c>
      <c r="I30" s="10"/>
    </row>
    <row r="31" spans="6:9" x14ac:dyDescent="0.25">
      <c r="F31">
        <f t="shared" si="0"/>
        <v>0</v>
      </c>
      <c r="I31" s="10"/>
    </row>
    <row r="32" spans="6:9" x14ac:dyDescent="0.25">
      <c r="F32">
        <f t="shared" si="0"/>
        <v>0</v>
      </c>
      <c r="I32" s="10"/>
    </row>
    <row r="33" spans="6:9" x14ac:dyDescent="0.25">
      <c r="F33">
        <f t="shared" si="0"/>
        <v>0</v>
      </c>
      <c r="I33" s="10"/>
    </row>
    <row r="34" spans="6:9" x14ac:dyDescent="0.25">
      <c r="F34">
        <f t="shared" ref="F34:F65" si="1">D34*E34</f>
        <v>0</v>
      </c>
      <c r="I34" s="10"/>
    </row>
    <row r="35" spans="6:9" x14ac:dyDescent="0.25">
      <c r="F35">
        <f t="shared" si="1"/>
        <v>0</v>
      </c>
      <c r="I35" s="10"/>
    </row>
    <row r="36" spans="6:9" x14ac:dyDescent="0.25">
      <c r="F36">
        <f t="shared" si="1"/>
        <v>0</v>
      </c>
      <c r="I36" s="10"/>
    </row>
    <row r="37" spans="6:9" x14ac:dyDescent="0.25">
      <c r="F37">
        <f t="shared" si="1"/>
        <v>0</v>
      </c>
      <c r="I37" s="10"/>
    </row>
    <row r="38" spans="6:9" x14ac:dyDescent="0.25">
      <c r="F38">
        <f t="shared" si="1"/>
        <v>0</v>
      </c>
      <c r="I38" s="10"/>
    </row>
    <row r="39" spans="6:9" x14ac:dyDescent="0.25">
      <c r="F39">
        <f t="shared" si="1"/>
        <v>0</v>
      </c>
      <c r="I39" s="10"/>
    </row>
    <row r="40" spans="6:9" x14ac:dyDescent="0.25">
      <c r="F40">
        <f t="shared" si="1"/>
        <v>0</v>
      </c>
      <c r="I40" s="10"/>
    </row>
    <row r="41" spans="6:9" x14ac:dyDescent="0.25">
      <c r="F41">
        <f t="shared" si="1"/>
        <v>0</v>
      </c>
      <c r="I41" s="10"/>
    </row>
    <row r="42" spans="6:9" x14ac:dyDescent="0.25">
      <c r="F42">
        <f t="shared" si="1"/>
        <v>0</v>
      </c>
      <c r="I42" s="10"/>
    </row>
    <row r="43" spans="6:9" x14ac:dyDescent="0.25">
      <c r="F43">
        <f t="shared" si="1"/>
        <v>0</v>
      </c>
      <c r="I43" s="10"/>
    </row>
    <row r="44" spans="6:9" x14ac:dyDescent="0.25">
      <c r="F44">
        <f t="shared" si="1"/>
        <v>0</v>
      </c>
      <c r="I44" s="10"/>
    </row>
    <row r="45" spans="6:9" x14ac:dyDescent="0.25">
      <c r="F45">
        <f t="shared" si="1"/>
        <v>0</v>
      </c>
      <c r="I45" s="10"/>
    </row>
    <row r="46" spans="6:9" x14ac:dyDescent="0.25">
      <c r="F46">
        <f t="shared" si="1"/>
        <v>0</v>
      </c>
      <c r="I46" s="10"/>
    </row>
    <row r="47" spans="6:9" x14ac:dyDescent="0.25">
      <c r="F47">
        <f t="shared" si="1"/>
        <v>0</v>
      </c>
      <c r="I47" s="10"/>
    </row>
    <row r="48" spans="6:9" x14ac:dyDescent="0.25">
      <c r="F48">
        <f t="shared" si="1"/>
        <v>0</v>
      </c>
      <c r="I48" s="10"/>
    </row>
    <row r="49" spans="6:9" x14ac:dyDescent="0.25">
      <c r="F49">
        <f t="shared" si="1"/>
        <v>0</v>
      </c>
      <c r="I49" s="10"/>
    </row>
    <row r="50" spans="6:9" x14ac:dyDescent="0.25">
      <c r="F50">
        <f t="shared" si="1"/>
        <v>0</v>
      </c>
      <c r="I50" s="10"/>
    </row>
    <row r="51" spans="6:9" x14ac:dyDescent="0.25">
      <c r="F51">
        <f t="shared" si="1"/>
        <v>0</v>
      </c>
      <c r="I51" s="10"/>
    </row>
    <row r="52" spans="6:9" x14ac:dyDescent="0.25">
      <c r="F52">
        <f t="shared" si="1"/>
        <v>0</v>
      </c>
      <c r="I52" s="10"/>
    </row>
    <row r="53" spans="6:9" x14ac:dyDescent="0.25">
      <c r="F53">
        <f t="shared" si="1"/>
        <v>0</v>
      </c>
      <c r="I53" s="10"/>
    </row>
    <row r="54" spans="6:9" x14ac:dyDescent="0.25">
      <c r="F54">
        <f t="shared" si="1"/>
        <v>0</v>
      </c>
      <c r="I54" s="10"/>
    </row>
    <row r="55" spans="6:9" x14ac:dyDescent="0.25">
      <c r="F55">
        <f t="shared" si="1"/>
        <v>0</v>
      </c>
      <c r="I55" s="10"/>
    </row>
    <row r="56" spans="6:9" x14ac:dyDescent="0.25">
      <c r="F56">
        <f t="shared" si="1"/>
        <v>0</v>
      </c>
      <c r="I56" s="10"/>
    </row>
    <row r="57" spans="6:9" x14ac:dyDescent="0.25">
      <c r="F57">
        <f t="shared" si="1"/>
        <v>0</v>
      </c>
      <c r="I57" s="10"/>
    </row>
    <row r="58" spans="6:9" x14ac:dyDescent="0.25">
      <c r="F58">
        <f t="shared" si="1"/>
        <v>0</v>
      </c>
      <c r="I58" s="10"/>
    </row>
    <row r="59" spans="6:9" x14ac:dyDescent="0.25">
      <c r="F59">
        <f t="shared" si="1"/>
        <v>0</v>
      </c>
      <c r="I59" s="10"/>
    </row>
    <row r="60" spans="6:9" x14ac:dyDescent="0.25">
      <c r="F60">
        <f t="shared" si="1"/>
        <v>0</v>
      </c>
      <c r="I60" s="10"/>
    </row>
    <row r="61" spans="6:9" x14ac:dyDescent="0.25">
      <c r="F61">
        <f t="shared" si="1"/>
        <v>0</v>
      </c>
      <c r="I61" s="10"/>
    </row>
    <row r="62" spans="6:9" x14ac:dyDescent="0.25">
      <c r="F62">
        <f t="shared" si="1"/>
        <v>0</v>
      </c>
      <c r="I62" s="10"/>
    </row>
    <row r="63" spans="6:9" x14ac:dyDescent="0.25">
      <c r="F63">
        <f t="shared" si="1"/>
        <v>0</v>
      </c>
      <c r="I63" s="10"/>
    </row>
    <row r="64" spans="6:9" x14ac:dyDescent="0.25">
      <c r="F64">
        <f t="shared" si="1"/>
        <v>0</v>
      </c>
      <c r="I64" s="10"/>
    </row>
    <row r="65" spans="6:9" x14ac:dyDescent="0.25">
      <c r="F65">
        <f t="shared" si="1"/>
        <v>0</v>
      </c>
      <c r="I65" s="10"/>
    </row>
    <row r="66" spans="6:9" x14ac:dyDescent="0.25">
      <c r="F66">
        <f t="shared" ref="F66:F97" si="2">D66*E66</f>
        <v>0</v>
      </c>
      <c r="I66" s="10"/>
    </row>
    <row r="67" spans="6:9" x14ac:dyDescent="0.25">
      <c r="F67">
        <f t="shared" si="2"/>
        <v>0</v>
      </c>
      <c r="I67" s="10"/>
    </row>
    <row r="68" spans="6:9" x14ac:dyDescent="0.25">
      <c r="F68">
        <f t="shared" si="2"/>
        <v>0</v>
      </c>
      <c r="I68" s="10"/>
    </row>
    <row r="69" spans="6:9" x14ac:dyDescent="0.25">
      <c r="F69">
        <f t="shared" si="2"/>
        <v>0</v>
      </c>
      <c r="I69" s="10"/>
    </row>
    <row r="70" spans="6:9" x14ac:dyDescent="0.25">
      <c r="F70">
        <f t="shared" si="2"/>
        <v>0</v>
      </c>
      <c r="I70" s="10"/>
    </row>
    <row r="71" spans="6:9" x14ac:dyDescent="0.25">
      <c r="F71">
        <f t="shared" si="2"/>
        <v>0</v>
      </c>
      <c r="I71" s="10"/>
    </row>
    <row r="72" spans="6:9" x14ac:dyDescent="0.25">
      <c r="F72">
        <f t="shared" si="2"/>
        <v>0</v>
      </c>
      <c r="I72" s="10"/>
    </row>
    <row r="73" spans="6:9" x14ac:dyDescent="0.25">
      <c r="F73">
        <f t="shared" si="2"/>
        <v>0</v>
      </c>
      <c r="I73" s="10"/>
    </row>
    <row r="74" spans="6:9" x14ac:dyDescent="0.25">
      <c r="F74">
        <f t="shared" si="2"/>
        <v>0</v>
      </c>
      <c r="I74" s="10"/>
    </row>
    <row r="75" spans="6:9" x14ac:dyDescent="0.25">
      <c r="F75">
        <f t="shared" si="2"/>
        <v>0</v>
      </c>
      <c r="I75" s="10"/>
    </row>
    <row r="76" spans="6:9" x14ac:dyDescent="0.25">
      <c r="F76">
        <f t="shared" si="2"/>
        <v>0</v>
      </c>
      <c r="I76" s="10"/>
    </row>
    <row r="77" spans="6:9" x14ac:dyDescent="0.25">
      <c r="F77">
        <f t="shared" si="2"/>
        <v>0</v>
      </c>
      <c r="I77" s="10"/>
    </row>
    <row r="78" spans="6:9" x14ac:dyDescent="0.25">
      <c r="F78">
        <f t="shared" si="2"/>
        <v>0</v>
      </c>
      <c r="I78" s="10"/>
    </row>
    <row r="79" spans="6:9" x14ac:dyDescent="0.25">
      <c r="F79">
        <f t="shared" si="2"/>
        <v>0</v>
      </c>
      <c r="I79" s="10"/>
    </row>
    <row r="80" spans="6:9" x14ac:dyDescent="0.25">
      <c r="F80">
        <f t="shared" si="2"/>
        <v>0</v>
      </c>
      <c r="I80" s="10"/>
    </row>
    <row r="81" spans="6:9" x14ac:dyDescent="0.25">
      <c r="F81">
        <f t="shared" si="2"/>
        <v>0</v>
      </c>
      <c r="I81" s="10"/>
    </row>
    <row r="82" spans="6:9" x14ac:dyDescent="0.25">
      <c r="F82">
        <f t="shared" si="2"/>
        <v>0</v>
      </c>
      <c r="I82" s="10"/>
    </row>
    <row r="83" spans="6:9" x14ac:dyDescent="0.25">
      <c r="F83">
        <f t="shared" si="2"/>
        <v>0</v>
      </c>
      <c r="I83" s="10"/>
    </row>
    <row r="84" spans="6:9" x14ac:dyDescent="0.25">
      <c r="F84">
        <f t="shared" si="2"/>
        <v>0</v>
      </c>
      <c r="I84" s="10"/>
    </row>
    <row r="85" spans="6:9" x14ac:dyDescent="0.25">
      <c r="F85">
        <f t="shared" si="2"/>
        <v>0</v>
      </c>
      <c r="I85" s="10"/>
    </row>
    <row r="86" spans="6:9" x14ac:dyDescent="0.25">
      <c r="F86">
        <f t="shared" si="2"/>
        <v>0</v>
      </c>
      <c r="I86" s="10"/>
    </row>
    <row r="87" spans="6:9" x14ac:dyDescent="0.25">
      <c r="F87">
        <f t="shared" si="2"/>
        <v>0</v>
      </c>
      <c r="I87" s="10"/>
    </row>
    <row r="88" spans="6:9" x14ac:dyDescent="0.25">
      <c r="F88">
        <f t="shared" si="2"/>
        <v>0</v>
      </c>
      <c r="I88" s="10"/>
    </row>
    <row r="89" spans="6:9" x14ac:dyDescent="0.25">
      <c r="F89">
        <f t="shared" si="2"/>
        <v>0</v>
      </c>
      <c r="I89" s="10"/>
    </row>
    <row r="90" spans="6:9" x14ac:dyDescent="0.25">
      <c r="F90">
        <f t="shared" si="2"/>
        <v>0</v>
      </c>
      <c r="I90" s="10"/>
    </row>
    <row r="91" spans="6:9" x14ac:dyDescent="0.25">
      <c r="F91">
        <f t="shared" si="2"/>
        <v>0</v>
      </c>
      <c r="I91" s="10"/>
    </row>
    <row r="92" spans="6:9" x14ac:dyDescent="0.25">
      <c r="F92">
        <f t="shared" si="2"/>
        <v>0</v>
      </c>
      <c r="I92" s="10"/>
    </row>
    <row r="93" spans="6:9" x14ac:dyDescent="0.25">
      <c r="F93">
        <f t="shared" si="2"/>
        <v>0</v>
      </c>
      <c r="I93" s="10"/>
    </row>
    <row r="94" spans="6:9" x14ac:dyDescent="0.25">
      <c r="F94">
        <f t="shared" si="2"/>
        <v>0</v>
      </c>
      <c r="I94" s="10"/>
    </row>
    <row r="95" spans="6:9" x14ac:dyDescent="0.25">
      <c r="F95">
        <f t="shared" si="2"/>
        <v>0</v>
      </c>
      <c r="I95" s="10"/>
    </row>
    <row r="96" spans="6:9" x14ac:dyDescent="0.25">
      <c r="F96">
        <f t="shared" si="2"/>
        <v>0</v>
      </c>
      <c r="I96" s="10"/>
    </row>
    <row r="97" spans="6:9" x14ac:dyDescent="0.25">
      <c r="F97">
        <f t="shared" si="2"/>
        <v>0</v>
      </c>
      <c r="I97" s="10"/>
    </row>
    <row r="98" spans="6:9" x14ac:dyDescent="0.25">
      <c r="F98">
        <f t="shared" ref="F98:F129" si="3">D98*E98</f>
        <v>0</v>
      </c>
      <c r="I98" s="10"/>
    </row>
    <row r="99" spans="6:9" x14ac:dyDescent="0.25">
      <c r="F99">
        <f t="shared" si="3"/>
        <v>0</v>
      </c>
      <c r="I99" s="10"/>
    </row>
  </sheetData>
  <conditionalFormatting sqref="A2:J200">
    <cfRule type="cellIs" dxfId="1" priority="1" operator="greaterThanOrEqual">
      <formula>16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8"/>
  <sheetViews>
    <sheetView workbookViewId="0">
      <selection activeCell="B8" sqref="B8"/>
    </sheetView>
  </sheetViews>
  <sheetFormatPr baseColWidth="10" defaultColWidth="9.140625" defaultRowHeight="15" x14ac:dyDescent="0.25"/>
  <cols>
    <col min="1" max="1" width="32" customWidth="1"/>
    <col min="2" max="2" width="38.7109375" customWidth="1"/>
  </cols>
  <sheetData>
    <row r="1" spans="1:6" x14ac:dyDescent="0.25">
      <c r="A1" s="12" t="s">
        <v>168</v>
      </c>
      <c r="B1" s="13"/>
      <c r="C1" s="13"/>
      <c r="D1" s="13"/>
      <c r="E1" s="13"/>
      <c r="F1" s="14"/>
    </row>
    <row r="2" spans="1:6" x14ac:dyDescent="0.25">
      <c r="A2" s="5" t="s">
        <v>169</v>
      </c>
      <c r="B2" s="5" t="s">
        <v>170</v>
      </c>
      <c r="C2" s="5"/>
      <c r="D2" s="5"/>
      <c r="E2" s="5"/>
      <c r="F2" s="5"/>
    </row>
    <row r="3" spans="1:6" x14ac:dyDescent="0.25">
      <c r="A3" s="2" t="s">
        <v>171</v>
      </c>
      <c r="B3" s="2">
        <f>COUNTA(Feuille_de_route!A2:A200)</f>
        <v>15</v>
      </c>
    </row>
    <row r="4" spans="1:6" x14ac:dyDescent="0.25">
      <c r="A4" s="2" t="s">
        <v>172</v>
      </c>
      <c r="B4" s="7">
        <f>IFERROR(AVERAGE(Feuille_de_route!I2:I200),0)</f>
        <v>0.30666666666666664</v>
      </c>
    </row>
    <row r="5" spans="1:6" x14ac:dyDescent="0.25">
      <c r="A5" s="2" t="s">
        <v>173</v>
      </c>
      <c r="B5" s="2">
        <f>COUNTIF(Feuille_de_route!H2:H200,"En cours")</f>
        <v>8</v>
      </c>
    </row>
    <row r="6" spans="1:6" x14ac:dyDescent="0.25">
      <c r="A6" s="2" t="s">
        <v>174</v>
      </c>
      <c r="B6" s="2">
        <f>COUNTIF(Feuille_de_route!H2:H200,"Bloqué")</f>
        <v>0</v>
      </c>
    </row>
    <row r="7" spans="1:6" x14ac:dyDescent="0.25">
      <c r="A7" s="2" t="s">
        <v>175</v>
      </c>
      <c r="B7" s="2">
        <f>COUNTIF(Feuille_de_route!H2:H200,"Terminé")</f>
        <v>1</v>
      </c>
    </row>
    <row r="8" spans="1:6" x14ac:dyDescent="0.25">
      <c r="A8" s="2" t="s">
        <v>176</v>
      </c>
      <c r="B8" s="2">
        <f>SUM(Feuille_de_route!K2:K200)</f>
        <v>1335</v>
      </c>
    </row>
  </sheetData>
  <mergeCells count="1">
    <mergeCell ref="A1:F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3"/>
  <sheetViews>
    <sheetView tabSelected="1" workbookViewId="0">
      <selection sqref="A1:H1"/>
    </sheetView>
  </sheetViews>
  <sheetFormatPr baseColWidth="10" defaultColWidth="9.140625" defaultRowHeight="15" x14ac:dyDescent="0.25"/>
  <cols>
    <col min="1" max="1" width="34" customWidth="1"/>
    <col min="2" max="2" width="16" customWidth="1"/>
    <col min="3" max="3" width="14" customWidth="1"/>
    <col min="4" max="5" width="16" customWidth="1"/>
    <col min="6" max="6" width="18" customWidth="1"/>
    <col min="7" max="7" width="14" customWidth="1"/>
    <col min="8" max="8" width="38" customWidth="1"/>
  </cols>
  <sheetData>
    <row r="1" spans="1:8" x14ac:dyDescent="0.25">
      <c r="A1" s="15" t="s">
        <v>177</v>
      </c>
      <c r="B1" s="13"/>
      <c r="C1" s="13"/>
      <c r="D1" s="13"/>
      <c r="E1" s="13"/>
      <c r="F1" s="13"/>
      <c r="G1" s="13"/>
      <c r="H1" s="14"/>
    </row>
    <row r="3" spans="1:8" x14ac:dyDescent="0.25">
      <c r="A3" t="s">
        <v>178</v>
      </c>
      <c r="B3" t="s">
        <v>127</v>
      </c>
      <c r="D3" t="s">
        <v>179</v>
      </c>
      <c r="E3" s="10">
        <v>46234</v>
      </c>
    </row>
    <row r="5" spans="1:8" x14ac:dyDescent="0.25">
      <c r="A5" s="5" t="s">
        <v>180</v>
      </c>
      <c r="B5" s="5" t="s">
        <v>181</v>
      </c>
      <c r="C5" s="5" t="s">
        <v>182</v>
      </c>
      <c r="D5" s="5" t="s">
        <v>183</v>
      </c>
      <c r="E5" s="5" t="s">
        <v>184</v>
      </c>
      <c r="F5" s="5" t="s">
        <v>185</v>
      </c>
      <c r="G5" s="5" t="s">
        <v>31</v>
      </c>
      <c r="H5" s="5" t="s">
        <v>37</v>
      </c>
    </row>
    <row r="6" spans="1:8" x14ac:dyDescent="0.25">
      <c r="A6" s="3" t="s">
        <v>186</v>
      </c>
      <c r="B6" s="2">
        <v>20</v>
      </c>
      <c r="C6" s="2"/>
      <c r="D6" s="8">
        <f t="shared" ref="D6:D12" si="0">E7-1</f>
        <v>46103</v>
      </c>
      <c r="E6" s="8">
        <f t="shared" ref="E6:E13" si="1">D6-B6+1</f>
        <v>46084</v>
      </c>
      <c r="F6" s="2" t="s">
        <v>67</v>
      </c>
      <c r="G6" s="2" t="s">
        <v>3</v>
      </c>
      <c r="H6" s="3" t="s">
        <v>187</v>
      </c>
    </row>
    <row r="7" spans="1:8" ht="30" x14ac:dyDescent="0.25">
      <c r="A7" s="3" t="s">
        <v>188</v>
      </c>
      <c r="B7" s="2">
        <v>25</v>
      </c>
      <c r="C7" s="2" t="s">
        <v>186</v>
      </c>
      <c r="D7" s="8">
        <f t="shared" si="0"/>
        <v>46128</v>
      </c>
      <c r="E7" s="8">
        <f t="shared" si="1"/>
        <v>46104</v>
      </c>
      <c r="F7" s="2" t="s">
        <v>81</v>
      </c>
      <c r="G7" s="2" t="s">
        <v>189</v>
      </c>
      <c r="H7" s="3"/>
    </row>
    <row r="8" spans="1:8" ht="30" x14ac:dyDescent="0.25">
      <c r="A8" s="3" t="s">
        <v>190</v>
      </c>
      <c r="B8" s="2">
        <v>20</v>
      </c>
      <c r="C8" s="2" t="s">
        <v>188</v>
      </c>
      <c r="D8" s="8">
        <f t="shared" si="0"/>
        <v>46148</v>
      </c>
      <c r="E8" s="8">
        <f t="shared" si="1"/>
        <v>46129</v>
      </c>
      <c r="F8" s="2" t="s">
        <v>77</v>
      </c>
      <c r="G8" s="2" t="s">
        <v>189</v>
      </c>
      <c r="H8" s="3"/>
    </row>
    <row r="9" spans="1:8" ht="30" x14ac:dyDescent="0.25">
      <c r="A9" s="3" t="s">
        <v>191</v>
      </c>
      <c r="B9" s="2">
        <v>45</v>
      </c>
      <c r="C9" s="2" t="s">
        <v>190</v>
      </c>
      <c r="D9" s="8">
        <f t="shared" si="0"/>
        <v>46193</v>
      </c>
      <c r="E9" s="8">
        <f t="shared" si="1"/>
        <v>46149</v>
      </c>
      <c r="F9" s="2" t="s">
        <v>62</v>
      </c>
      <c r="G9" s="2" t="s">
        <v>189</v>
      </c>
      <c r="H9" s="3"/>
    </row>
    <row r="10" spans="1:8" ht="30" x14ac:dyDescent="0.25">
      <c r="A10" s="3" t="s">
        <v>192</v>
      </c>
      <c r="B10" s="2">
        <v>20</v>
      </c>
      <c r="C10" s="2" t="s">
        <v>191</v>
      </c>
      <c r="D10" s="8">
        <f t="shared" si="0"/>
        <v>46213</v>
      </c>
      <c r="E10" s="8">
        <f t="shared" si="1"/>
        <v>46194</v>
      </c>
      <c r="F10" s="2" t="s">
        <v>72</v>
      </c>
      <c r="G10" s="2" t="s">
        <v>189</v>
      </c>
      <c r="H10" s="3"/>
    </row>
    <row r="11" spans="1:8" x14ac:dyDescent="0.25">
      <c r="A11" s="3" t="s">
        <v>193</v>
      </c>
      <c r="B11" s="2">
        <v>10</v>
      </c>
      <c r="C11" s="2" t="s">
        <v>192</v>
      </c>
      <c r="D11" s="8">
        <f t="shared" si="0"/>
        <v>46223</v>
      </c>
      <c r="E11" s="8">
        <f t="shared" si="1"/>
        <v>46214</v>
      </c>
      <c r="F11" s="2" t="s">
        <v>97</v>
      </c>
      <c r="G11" s="2" t="s">
        <v>189</v>
      </c>
      <c r="H11" s="3"/>
    </row>
    <row r="12" spans="1:8" ht="30" x14ac:dyDescent="0.25">
      <c r="A12" s="3" t="s">
        <v>194</v>
      </c>
      <c r="B12" s="2">
        <v>10</v>
      </c>
      <c r="C12" s="2" t="s">
        <v>193</v>
      </c>
      <c r="D12" s="8">
        <f t="shared" si="0"/>
        <v>46233</v>
      </c>
      <c r="E12" s="8">
        <f t="shared" si="1"/>
        <v>46224</v>
      </c>
      <c r="F12" s="2" t="s">
        <v>101</v>
      </c>
      <c r="G12" s="2" t="s">
        <v>189</v>
      </c>
      <c r="H12" s="3"/>
    </row>
    <row r="13" spans="1:8" ht="30" x14ac:dyDescent="0.25">
      <c r="A13" s="3" t="s">
        <v>195</v>
      </c>
      <c r="B13" s="2">
        <v>1</v>
      </c>
      <c r="C13" s="2" t="s">
        <v>194</v>
      </c>
      <c r="D13" s="8">
        <f>$E$3</f>
        <v>46234</v>
      </c>
      <c r="E13" s="8">
        <f t="shared" si="1"/>
        <v>46234</v>
      </c>
      <c r="F13" s="2" t="s">
        <v>40</v>
      </c>
      <c r="G13" s="2" t="s">
        <v>196</v>
      </c>
      <c r="H13" s="3" t="s">
        <v>197</v>
      </c>
    </row>
  </sheetData>
  <mergeCells count="1">
    <mergeCell ref="A1:H1"/>
  </mergeCells>
  <conditionalFormatting sqref="D6:D13">
    <cfRule type="cellIs" dxfId="0" priority="1" operator="lessThan">
      <formula>TODAY()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Listes</vt:lpstr>
      <vt:lpstr>Feuille_de_route</vt:lpstr>
      <vt:lpstr>Timeline</vt:lpstr>
      <vt:lpstr>KPIs</vt:lpstr>
      <vt:lpstr>RACI</vt:lpstr>
      <vt:lpstr>Risques</vt:lpstr>
      <vt:lpstr>Tableau_de_bord</vt:lpstr>
      <vt:lpstr>Rétroplanning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2025-09-21T03:52:04Z</dcterms:created>
  <dcterms:modified xsi:type="dcterms:W3CDTF">2025-09-21T04:34:44Z</dcterms:modified>
</cp:coreProperties>
</file>