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Scénarios" sheetId="2" r:id="rId2"/>
    <sheet name="Baremes" sheetId="3" r:id="rId3"/>
    <sheet name="Résultats" sheetId="4" r:id="rId4"/>
    <sheet name="Dashboard" sheetId="5" r:id="rId5"/>
    <sheet name="README" sheetId="6" r:id="rId6"/>
  </sheets>
  <definedNames>
    <definedName name="CapPerPerson">'Paramètres'!$B$8</definedName>
    <definedName name="CapPerPersonEff">'Scénarios'!$D$10</definedName>
    <definedName name="HeadcountGrowth">'Paramètres'!$B$6</definedName>
    <definedName name="HeadcountGrowthEff">'Scénarios'!$B$10</definedName>
    <definedName name="ScenarioActif">'Paramètres'!$B$9</definedName>
    <definedName name="Uptake">'Paramètres'!$B$5</definedName>
    <definedName name="UptakeEff">'Scénarios'!$A$10</definedName>
    <definedName name="VolumeMultiplier">'Paramètres'!$B$7</definedName>
    <definedName name="VolumeMultiplierEff">'Scénarios'!$C$10</definedName>
  </definedNames>
  <calcPr calcId="124519" fullCalcOnLoad="1"/>
</workbook>
</file>

<file path=xl/sharedStrings.xml><?xml version="1.0" encoding="utf-8"?>
<sst xmlns="http://schemas.openxmlformats.org/spreadsheetml/2006/main" count="122" uniqueCount="85">
  <si>
    <t>Calibration des barèmes — Paramètres globaux (PRÉREMPLI)</t>
  </si>
  <si>
    <t>Paramètre</t>
  </si>
  <si>
    <t>Valeur</t>
  </si>
  <si>
    <t>Commentaire</t>
  </si>
  <si>
    <t>Devise d’affichage</t>
  </si>
  <si>
    <t>EUR</t>
  </si>
  <si>
    <t>Info visuelle uniquement</t>
  </si>
  <si>
    <t>Taux charges/onc. (%)</t>
  </si>
  <si>
    <t>Pour convertir coûts en charges totales (option)</t>
  </si>
  <si>
    <t>Uptake (%)</t>
  </si>
  <si>
    <t>Part des effectifs passant au nouveau barème (progressif)</t>
  </si>
  <si>
    <t>Croissance effectifs (%)</t>
  </si>
  <si>
    <t>Projection annuelle</t>
  </si>
  <si>
    <t>Multiplicateur volumes (%)</t>
  </si>
  <si>
    <t>Impact attendu sur unités/volumes</t>
  </si>
  <si>
    <t>Cap par personne (€)</t>
  </si>
  <si>
    <t>Plafond coût annuel par personne</t>
  </si>
  <si>
    <t>Scénario actif</t>
  </si>
  <si>
    <t>Central</t>
  </si>
  <si>
    <t>Conservateur / Central / Ambitieux</t>
  </si>
  <si>
    <t>Date du modèle</t>
  </si>
  <si>
    <t>2025-09-18</t>
  </si>
  <si>
    <t>Généré le</t>
  </si>
  <si>
    <t>Scénarios prédéfinis</t>
  </si>
  <si>
    <t>Nom scénario</t>
  </si>
  <si>
    <t>Conservateur</t>
  </si>
  <si>
    <t>Ambitieux</t>
  </si>
  <si>
    <t>Paramètres effectifs (pilotés par le scénario actif)</t>
  </si>
  <si>
    <t>Uptake</t>
  </si>
  <si>
    <t>Croissance effectifs</t>
  </si>
  <si>
    <t>Multiplicateur volumes</t>
  </si>
  <si>
    <t>Cap par personne</t>
  </si>
  <si>
    <t>Valeurs via scénario actif</t>
  </si>
  <si>
    <t>Uptake (effectif)</t>
  </si>
  <si>
    <t>Croissance effectifs (eff.)</t>
  </si>
  <si>
    <t>Multiplicateur volumes (eff.)</t>
  </si>
  <si>
    <t>Cap par personne (eff.)</t>
  </si>
  <si>
    <t>Barèmes à calibrer — Saisies &amp; calculs (PRÉREMPLI)</t>
  </si>
  <si>
    <t>Barème</t>
  </si>
  <si>
    <t>Unité</t>
  </si>
  <si>
    <t>Valeur actuelle €/unité</t>
  </si>
  <si>
    <t>Valeur proposée €/unité</t>
  </si>
  <si>
    <t>Effectifs (N)</t>
  </si>
  <si>
    <t>Unités / personne / an</t>
  </si>
  <si>
    <t>Coût unitaire actuel €</t>
  </si>
  <si>
    <t>Coût unitaire proposé €</t>
  </si>
  <si>
    <t>Cap €/pers (eff.)</t>
  </si>
  <si>
    <t>Effectifs proj.</t>
  </si>
  <si>
    <t>Uptake (eff.)</t>
  </si>
  <si>
    <t>Unités proj./pers.</t>
  </si>
  <si>
    <t>Coût par pers. proposé (cap)</t>
  </si>
  <si>
    <t>Coût actuel total €</t>
  </si>
  <si>
    <t>Coût proposé total €</t>
  </si>
  <si>
    <t>Surcoût total €</t>
  </si>
  <si>
    <t>Écart %</t>
  </si>
  <si>
    <t>Prime qualité</t>
  </si>
  <si>
    <t>€/prime</t>
  </si>
  <si>
    <t>Commission vente</t>
  </si>
  <si>
    <t>€/k€ CA</t>
  </si>
  <si>
    <t>Allocation tech (niveau)</t>
  </si>
  <si>
    <t>€/mois</t>
  </si>
  <si>
    <t>Prime sécurité</t>
  </si>
  <si>
    <t>Bonus excellence</t>
  </si>
  <si>
    <t>Commission support</t>
  </si>
  <si>
    <t>€/k€ marge</t>
  </si>
  <si>
    <t>Synthèse — coûts &amp; écarts (PRÉREMPLI)</t>
  </si>
  <si>
    <t>Indicateur</t>
  </si>
  <si>
    <t>Montant</t>
  </si>
  <si>
    <t>Coût actuel total</t>
  </si>
  <si>
    <t>Coût proposé total</t>
  </si>
  <si>
    <t>Surcoût total</t>
  </si>
  <si>
    <t>Écart % global</t>
  </si>
  <si>
    <t>Détail par barème</t>
  </si>
  <si>
    <t>Actuel €</t>
  </si>
  <si>
    <t>Proposé €</t>
  </si>
  <si>
    <t>Surcoût €</t>
  </si>
  <si>
    <t>Matrice scénarios par barème</t>
  </si>
  <si>
    <t>Actuel</t>
  </si>
  <si>
    <t>Calibration des barèmes — Dashboard (prérempli)</t>
  </si>
  <si>
    <t>Bloc données (pour scatter)</t>
  </si>
  <si>
    <t>Sparkline coûts scénarios (par barème)</t>
  </si>
  <si>
    <t>MODE D’EMPLOI — Version PRÉREMPLIE + graphiques avancés (corrigée)</t>
  </si>
  <si>
    <t>1) Ajustez 'Paramètres' (ou le 'Scénario actif').</t>
  </si>
  <si>
    <t>2) Remplacez les exemples de 'Baremes' par vos données.</t>
  </si>
  <si>
    <t>3) Consultez 'Dashboard' (combo, barres de surcoût, camembert, nuage de points, sparklines).</t>
  </si>
</sst>
</file>

<file path=xl/styles.xml><?xml version="1.0" encoding="utf-8"?>
<styleSheet xmlns="http://schemas.openxmlformats.org/spreadsheetml/2006/main">
  <numFmts count="4">
    <numFmt numFmtId="164" formatCode="0.00%"/>
    <numFmt numFmtId="165" formatCode="#,##0.00_ [$€-x-euro1]"/>
    <numFmt numFmtId="166" formatCode="yyyy-mm-dd"/>
    <numFmt numFmtId="167" formatCode="#,##0.00"/>
  </numFmts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F3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0E9F6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0" xfId="0" applyFont="1" applyFill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0" fontId="3" fillId="4" borderId="1" xfId="0" applyFont="1" applyFill="1" applyBorder="1"/>
    <xf numFmtId="1" fontId="0" fillId="0" borderId="1" xfId="0" applyNumberFormat="1" applyBorder="1"/>
    <xf numFmtId="167" fontId="0" fillId="0" borderId="1" xfId="0" applyNumberForma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Actuel vs Proposé + Écart %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Actuel</c:v>
          </c:tx>
          <c:cat>
            <c:numRef>
              <c:f>'Résultats'!$A$11:$A$40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cat>
          <c:val>
            <c:numRef>
              <c:f>'Résultats'!$B$11:$B$40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ser>
          <c:idx val="1"/>
          <c:order val="1"/>
          <c:tx>
            <c:v>Proposé</c:v>
          </c:tx>
          <c:cat>
            <c:numRef>
              <c:f>'Résultats'!$A$11:$A$40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cat>
          <c:val>
            <c:numRef>
              <c:f>'Résultats'!$C$11:$C$40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axId val="50010001"/>
        <c:axId val="50010002"/>
      </c:barChart>
      <c:barChart>
        <c:barDir val="col"/>
        <c:grouping val="clustered"/>
        <c:ser>
          <c:idx val="2"/>
          <c:order val="2"/>
          <c:tx>
            <c:v>Écart %</c:v>
          </c:tx>
          <c:cat>
            <c:numRef>
              <c:f>'Résultats'!$A$11:$A$40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cat>
          <c:val>
            <c:numRef>
              <c:f>'Résultats'!$E$11:$E$40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axId val="50010003"/>
        <c:axId val="50010004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  <c:valAx>
        <c:axId val="50010004"/>
        <c:scaling>
          <c:orientation val="minMax"/>
        </c:scaling>
        <c:axPos val="r"/>
        <c:numFmt formatCode="General" sourceLinked="1"/>
        <c:tickLblPos val="nextTo"/>
        <c:crossAx val="50010003"/>
        <c:crosses val="max"/>
        <c:crossBetween val="between"/>
      </c:valAx>
      <c:catAx>
        <c:axId val="50010003"/>
        <c:scaling>
          <c:orientation val="minMax"/>
        </c:scaling>
        <c:delete val="1"/>
        <c:axPos val="b"/>
        <c:numFmt formatCode="General" sourceLinked="1"/>
        <c:tickLblPos val="none"/>
        <c:crossAx val="50010004"/>
        <c:crosses val="autoZero"/>
        <c:auto val="1"/>
        <c:lblAlgn val="ctr"/>
        <c:lblOffset val="100"/>
      </c:cat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Surcoût par barème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Surcoût €</c:v>
          </c:tx>
          <c:cat>
            <c:numRef>
              <c:f>'Résultats'!$A$11:$A$40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cat>
          <c:val>
            <c:numRef>
              <c:f>'Résultats'!$D$11:$D$40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l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b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du coût proposé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Part coût proposé</c:v>
          </c:tx>
          <c:cat>
            <c:numRef>
              <c:f>'Résultats'!$A$11:$A$40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cat>
          <c:val>
            <c:numRef>
              <c:f>'Résultats'!$C$11:$C$40</c:f>
              <c:numCache>
                <c:formatCode>General</c:formatCode>
                <c:ptCount val="3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Eff. projetés vs Écart %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Barèmes</c:v>
          </c:tx>
          <c:spPr>
            <a:ln w="28575">
              <a:noFill/>
            </a:ln>
          </c:spPr>
          <c:xVal>
            <c:numRef>
              <c:f>'Dashboard'!$B$32:$B$41</c:f>
              <c:numCache>
                <c:formatCode>General</c:formatCode>
                <c:ptCount val="1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xVal>
          <c:yVal>
            <c:numRef>
              <c:f>'Dashboard'!$C$32:$C$41</c:f>
              <c:numCache>
                <c:formatCode>General</c:formatCode>
                <c:ptCount val="1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</c:ser>
        <c:axId val="50040001"/>
        <c:axId val="50040002"/>
      </c:scatterChart>
      <c:valAx>
        <c:axId val="5004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Effectifs projetés</a:t>
                </a:r>
              </a:p>
            </c:rich>
          </c:tx>
          <c:layout/>
        </c:title>
        <c:numFmt formatCode="General" sourceLinked="1"/>
        <c:tickLblPos val="nextTo"/>
        <c:crossAx val="50040002"/>
        <c:crosses val="autoZero"/>
        <c:crossBetween val="midCat"/>
      </c:valAx>
      <c:valAx>
        <c:axId val="5004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Écart %</a:t>
                </a:r>
              </a:p>
            </c:rich>
          </c:tx>
          <c:layout/>
        </c:title>
        <c:numFmt formatCode="General" sourceLinked="1"/>
        <c:tickLblPos val="nextTo"/>
        <c:crossAx val="50040001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12</xdr:col>
      <xdr:colOff>228600</xdr:colOff>
      <xdr:row>17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21</xdr:row>
      <xdr:rowOff>0</xdr:rowOff>
    </xdr:from>
    <xdr:to>
      <xdr:col>12</xdr:col>
      <xdr:colOff>228600</xdr:colOff>
      <xdr:row>36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7</xdr:col>
      <xdr:colOff>304800</xdr:colOff>
      <xdr:row>22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21</xdr:row>
      <xdr:rowOff>0</xdr:rowOff>
    </xdr:from>
    <xdr:to>
      <xdr:col>7</xdr:col>
      <xdr:colOff>533400</xdr:colOff>
      <xdr:row>35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baremes" displayName="tbl_baremes" ref="A4:Q64" totalsRowShown="0">
  <autoFilter ref="A4:Q64"/>
  <tableColumns count="17">
    <tableColumn id="1" name="Barème"/>
    <tableColumn id="2" name="Unité"/>
    <tableColumn id="3" name="Valeur actuelle €/unité"/>
    <tableColumn id="4" name="Valeur proposée €/unité"/>
    <tableColumn id="5" name="Effectifs (N)"/>
    <tableColumn id="6" name="Unités / personne / an"/>
    <tableColumn id="7" name="Coût unitaire actuel €">
      <calculatedColumnFormula>[[#This Row],[Valeur actuelle €/unité]]</calculatedColumnFormula>
    </tableColumn>
    <tableColumn id="8" name="Coût unitaire proposé €">
      <calculatedColumnFormula>[[#This Row],[Valeur proposée €/unité]]</calculatedColumnFormula>
    </tableColumn>
    <tableColumn id="9" name="Cap €/pers (eff.)">
      <calculatedColumnFormula>CapPerPersonEff</calculatedColumnFormula>
    </tableColumn>
    <tableColumn id="10" name="Effectifs proj.">
      <calculatedColumnFormula>[[#This Row],[Effectifs (N)]]*(1+HeadcountGrowthEff)</calculatedColumnFormula>
    </tableColumn>
    <tableColumn id="11" name="Uptake (eff.)">
      <calculatedColumnFormula>UptakeEff</calculatedColumnFormula>
    </tableColumn>
    <tableColumn id="12" name="Unités proj./pers.">
      <calculatedColumnFormula>[[#This Row],[Unités / personne / an]]*(1+VolumeMultiplierEff)</calculatedColumnFormula>
    </tableColumn>
    <tableColumn id="13" name="Coût par pers. proposé (cap)">
      <calculatedColumnFormula>MIN([[#This Row],[Valeur proposée €/unité]]*[[#This Row],[Unités proj./pers.]], [[#This Row],[Cap €/pers (eff.)]])</calculatedColumnFormula>
    </tableColumn>
    <tableColumn id="14" name="Coût actuel total €">
      <calculatedColumnFormula>[[#This Row],[Effectifs proj.]]*[[#This Row],[Unités proj./pers.]]*[[#This Row],[Valeur actuelle €/unité]]</calculatedColumnFormula>
    </tableColumn>
    <tableColumn id="15" name="Coût proposé total €">
      <calculatedColumnFormula>[[#This Row],[Effectifs proj.]]*[[#This Row],[Uptake (eff.)]]*[[#This Row],[Coût par pers. proposé (cap)]] + [[#This Row],[Effectifs proj.]]*(1-[[#This Row],[Uptake (eff.)]])*[[#This Row],[Unités proj./pers.]]*[[#This Row],[Valeur actuelle €/unité]]</calculatedColumnFormula>
    </tableColumn>
    <tableColumn id="16" name="Surcoût total €">
      <calculatedColumnFormula>[[#This Row],[Coût proposé total €]]-[[#This Row],[Coût actuel total €]]</calculatedColumnFormula>
    </tableColumn>
    <tableColumn id="17" name="Écart %">
      <calculatedColumnFormula>IF([[#This Row],[Coût actuel total €]]&gt;0, [[#This Row],[Surcoût total €]]/[[#This Row],[Coût actuel total €]], 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/>
  </sheetViews>
  <sheetFormatPr defaultRowHeight="15"/>
  <cols>
    <col min="1" max="1" width="28.7109375" customWidth="1"/>
    <col min="2" max="2" width="24.7109375" customWidth="1"/>
    <col min="3" max="3" width="60.7109375" customWidth="1"/>
  </cols>
  <sheetData>
    <row r="1" spans="1:5">
      <c r="A1" s="1" t="s">
        <v>0</v>
      </c>
    </row>
    <row r="3" spans="1:5">
      <c r="A3" s="2" t="s">
        <v>1</v>
      </c>
      <c r="B3" s="2" t="s">
        <v>2</v>
      </c>
      <c r="C3" s="2" t="s">
        <v>3</v>
      </c>
      <c r="D3" s="3" t="s">
        <v>32</v>
      </c>
    </row>
    <row r="4" spans="1:5">
      <c r="A4" s="4" t="s">
        <v>4</v>
      </c>
      <c r="B4" s="4" t="s">
        <v>5</v>
      </c>
      <c r="C4" s="4" t="s">
        <v>6</v>
      </c>
      <c r="D4" t="s">
        <v>33</v>
      </c>
      <c r="E4" s="5">
        <f>'Scénarios'!A10</f>
        <v>0</v>
      </c>
    </row>
    <row r="5" spans="1:5">
      <c r="A5" s="4" t="s">
        <v>7</v>
      </c>
      <c r="B5" s="5">
        <v>0.25</v>
      </c>
      <c r="C5" s="4" t="s">
        <v>8</v>
      </c>
      <c r="D5" t="s">
        <v>34</v>
      </c>
      <c r="E5" s="5">
        <f>'Scénarios'!B10</f>
        <v>0</v>
      </c>
    </row>
    <row r="6" spans="1:5">
      <c r="A6" s="4" t="s">
        <v>9</v>
      </c>
      <c r="B6" s="5">
        <v>0.6</v>
      </c>
      <c r="C6" s="4" t="s">
        <v>10</v>
      </c>
      <c r="D6" t="s">
        <v>35</v>
      </c>
      <c r="E6" s="5">
        <f>'Scénarios'!C10</f>
        <v>0</v>
      </c>
    </row>
    <row r="7" spans="1:5">
      <c r="A7" s="4" t="s">
        <v>11</v>
      </c>
      <c r="B7" s="5">
        <v>0.02</v>
      </c>
      <c r="C7" s="4" t="s">
        <v>12</v>
      </c>
      <c r="D7" t="s">
        <v>36</v>
      </c>
      <c r="E7" s="6">
        <f>'Scénarios'!D10</f>
        <v>0</v>
      </c>
    </row>
    <row r="8" spans="1:5">
      <c r="A8" s="4" t="s">
        <v>13</v>
      </c>
      <c r="B8" s="5">
        <v>0.05</v>
      </c>
      <c r="C8" s="4" t="s">
        <v>14</v>
      </c>
    </row>
    <row r="9" spans="1:5">
      <c r="A9" s="4" t="s">
        <v>15</v>
      </c>
      <c r="B9" s="6">
        <v>2500</v>
      </c>
      <c r="C9" s="4" t="s">
        <v>16</v>
      </c>
    </row>
    <row r="10" spans="1:5">
      <c r="A10" s="4" t="s">
        <v>17</v>
      </c>
      <c r="B10" s="4" t="s">
        <v>18</v>
      </c>
      <c r="C10" s="4" t="s">
        <v>19</v>
      </c>
    </row>
    <row r="11" spans="1:5">
      <c r="A11" s="4" t="s">
        <v>20</v>
      </c>
      <c r="B11" s="7" t="s">
        <v>21</v>
      </c>
      <c r="C11" s="4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"/>
  <sheetData>
    <row r="1" spans="1:5">
      <c r="A1" s="1" t="s">
        <v>23</v>
      </c>
    </row>
    <row r="3" spans="1:5">
      <c r="A3" s="8" t="s">
        <v>24</v>
      </c>
      <c r="B3" s="8" t="s">
        <v>9</v>
      </c>
      <c r="C3" s="8" t="s">
        <v>11</v>
      </c>
      <c r="D3" s="8" t="s">
        <v>13</v>
      </c>
      <c r="E3" s="8" t="s">
        <v>15</v>
      </c>
    </row>
    <row r="4" spans="1:5">
      <c r="A4" s="4" t="s">
        <v>25</v>
      </c>
      <c r="B4" s="5">
        <v>0.4</v>
      </c>
      <c r="C4" s="5">
        <v>0</v>
      </c>
      <c r="D4" s="5">
        <v>-0.05</v>
      </c>
      <c r="E4" s="6">
        <v>2000</v>
      </c>
    </row>
    <row r="5" spans="1:5">
      <c r="A5" s="4" t="s">
        <v>18</v>
      </c>
      <c r="B5" s="5">
        <v>0.6</v>
      </c>
      <c r="C5" s="5">
        <v>0.02</v>
      </c>
      <c r="D5" s="5">
        <v>0.05</v>
      </c>
      <c r="E5" s="6">
        <v>2500</v>
      </c>
    </row>
    <row r="6" spans="1:5">
      <c r="A6" s="4" t="s">
        <v>26</v>
      </c>
      <c r="B6" s="5">
        <v>0.8</v>
      </c>
      <c r="C6" s="5">
        <v>0.05</v>
      </c>
      <c r="D6" s="5">
        <v>0.1</v>
      </c>
      <c r="E6" s="6">
        <v>3000</v>
      </c>
    </row>
    <row r="8" spans="1:5">
      <c r="A8" s="3" t="s">
        <v>27</v>
      </c>
    </row>
    <row r="9" spans="1:5">
      <c r="A9" s="2" t="s">
        <v>28</v>
      </c>
      <c r="B9" s="2" t="s">
        <v>29</v>
      </c>
      <c r="C9" s="2" t="s">
        <v>30</v>
      </c>
      <c r="D9" s="2" t="s">
        <v>31</v>
      </c>
    </row>
    <row r="10" spans="1:5">
      <c r="A10" s="5">
        <f>INDEX(B4:B6, MATCH(ScenarioActif, A4:A6, 0))</f>
        <v>0</v>
      </c>
      <c r="B10" s="5">
        <f>INDEX(C4:C6, MATCH(ScenarioActif, A4:A6, 0))</f>
        <v>0</v>
      </c>
      <c r="C10" s="5">
        <f>INDEX(D4:D6, MATCH(ScenarioActif, A4:A6, 0))</f>
        <v>0</v>
      </c>
      <c r="D10" s="6">
        <f>INDEX(E4:E6, MATCH(ScenarioActif, A4:A6, 0))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64"/>
  <sheetViews>
    <sheetView workbookViewId="0">
      <pane ySplit="4" topLeftCell="A5" activePane="bottomLeft" state="frozen"/>
      <selection pane="bottomLeft"/>
    </sheetView>
  </sheetViews>
  <sheetFormatPr defaultRowHeight="15"/>
  <cols>
    <col min="1" max="2" width="24.7109375" customWidth="1"/>
    <col min="3" max="4" width="18.7109375" style="6" customWidth="1"/>
    <col min="5" max="5" width="14.7109375" style="9" customWidth="1"/>
    <col min="6" max="6" width="18.7109375" style="10" customWidth="1"/>
    <col min="7" max="9" width="18.7109375" style="6" customWidth="1"/>
    <col min="10" max="13" width="18.7109375" style="10" customWidth="1"/>
    <col min="14" max="16" width="18.7109375" style="6" customWidth="1"/>
    <col min="17" max="17" width="12.7109375" customWidth="1"/>
  </cols>
  <sheetData>
    <row r="1" spans="1:17">
      <c r="A1" s="1" t="s">
        <v>37</v>
      </c>
    </row>
    <row r="3" spans="1:17">
      <c r="A3" s="2" t="s">
        <v>38</v>
      </c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</row>
    <row r="4" spans="1:17">
      <c r="A4" t="s">
        <v>38</v>
      </c>
      <c r="B4" t="s">
        <v>39</v>
      </c>
      <c r="C4" s="6" t="s">
        <v>40</v>
      </c>
      <c r="D4" s="6" t="s">
        <v>41</v>
      </c>
      <c r="E4" s="9" t="s">
        <v>42</v>
      </c>
      <c r="F4" s="10" t="s">
        <v>43</v>
      </c>
      <c r="G4" s="6" t="s">
        <v>44</v>
      </c>
      <c r="H4" s="6" t="s">
        <v>45</v>
      </c>
      <c r="I4" s="6" t="s">
        <v>46</v>
      </c>
      <c r="J4" s="10" t="s">
        <v>47</v>
      </c>
      <c r="K4" s="10" t="s">
        <v>48</v>
      </c>
      <c r="L4" s="10" t="s">
        <v>49</v>
      </c>
      <c r="M4" s="10" t="s">
        <v>50</v>
      </c>
      <c r="N4" s="6" t="s">
        <v>51</v>
      </c>
      <c r="O4" s="6" t="s">
        <v>52</v>
      </c>
      <c r="P4" s="6" t="s">
        <v>53</v>
      </c>
      <c r="Q4" t="s">
        <v>54</v>
      </c>
    </row>
    <row r="5" spans="1:17">
      <c r="A5" s="4" t="s">
        <v>55</v>
      </c>
      <c r="B5" s="4" t="s">
        <v>56</v>
      </c>
      <c r="C5" s="6">
        <v>150</v>
      </c>
      <c r="D5" s="6">
        <v>180</v>
      </c>
      <c r="E5" s="9">
        <v>120</v>
      </c>
      <c r="F5" s="10">
        <v>5</v>
      </c>
      <c r="G5" s="6">
        <f>[[#This Row],[Valeur actuelle €/unité]]</f>
        <v>0</v>
      </c>
      <c r="H5" s="6">
        <f>[[#This Row],[Valeur proposée €/unité]]</f>
        <v>0</v>
      </c>
      <c r="I5" s="6">
        <f>CapPerPersonEff</f>
        <v>0</v>
      </c>
      <c r="J5" s="10">
        <f>[[#This Row],[Effectifs (N)]]*(1+HeadcountGrowthEff)</f>
        <v>0</v>
      </c>
      <c r="K5" s="10">
        <f>UptakeEff</f>
        <v>0</v>
      </c>
      <c r="L5" s="10">
        <f>[[#This Row],[Unités / personne / an]]*(1+VolumeMultiplierEff)</f>
        <v>0</v>
      </c>
      <c r="M5" s="10">
        <f>MIN([[#This Row],[Valeur proposée €/unité]]*[[#This Row],[Unités proj./pers.]], [[#This Row],[Cap €/pers (eff.)]])</f>
        <v>0</v>
      </c>
      <c r="N5" s="6">
        <f>[[#This Row],[Effectifs proj.]]*[[#This Row],[Unités proj./pers.]]*[[#This Row],[Valeur actuelle €/unité]]</f>
        <v>0</v>
      </c>
      <c r="O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" s="6">
        <f>[[#This Row],[Coût proposé total €]]-[[#This Row],[Coût actuel total €]]</f>
        <v>0</v>
      </c>
      <c r="Q5">
        <f>IF([[#This Row],[Coût actuel total €]]&gt;0, [[#This Row],[Surcoût total €]]/[[#This Row],[Coût actuel total €]], 0)</f>
        <v>0</v>
      </c>
    </row>
    <row r="6" spans="1:17">
      <c r="A6" s="4" t="s">
        <v>57</v>
      </c>
      <c r="B6" s="4" t="s">
        <v>58</v>
      </c>
      <c r="C6" s="6">
        <v>25</v>
      </c>
      <c r="D6" s="6">
        <v>28</v>
      </c>
      <c r="E6" s="9">
        <v>40</v>
      </c>
      <c r="F6" s="10">
        <v>120</v>
      </c>
      <c r="G6" s="6">
        <f>[[#This Row],[Valeur actuelle €/unité]]</f>
        <v>0</v>
      </c>
      <c r="H6" s="6">
        <f>[[#This Row],[Valeur proposée €/unité]]</f>
        <v>0</v>
      </c>
      <c r="I6" s="6">
        <f>CapPerPersonEff</f>
        <v>0</v>
      </c>
      <c r="J6" s="10">
        <f>[[#This Row],[Effectifs (N)]]*(1+HeadcountGrowthEff)</f>
        <v>0</v>
      </c>
      <c r="K6" s="10">
        <f>UptakeEff</f>
        <v>0</v>
      </c>
      <c r="L6" s="10">
        <f>[[#This Row],[Unités / personne / an]]*(1+VolumeMultiplierEff)</f>
        <v>0</v>
      </c>
      <c r="M6" s="10">
        <f>MIN([[#This Row],[Valeur proposée €/unité]]*[[#This Row],[Unités proj./pers.]], [[#This Row],[Cap €/pers (eff.)]])</f>
        <v>0</v>
      </c>
      <c r="N6" s="6">
        <f>[[#This Row],[Effectifs proj.]]*[[#This Row],[Unités proj./pers.]]*[[#This Row],[Valeur actuelle €/unité]]</f>
        <v>0</v>
      </c>
      <c r="O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" s="6">
        <f>[[#This Row],[Coût proposé total €]]-[[#This Row],[Coût actuel total €]]</f>
        <v>0</v>
      </c>
      <c r="Q6">
        <f>IF([[#This Row],[Coût actuel total €]]&gt;0, [[#This Row],[Surcoût total €]]/[[#This Row],[Coût actuel total €]], 0)</f>
        <v>0</v>
      </c>
    </row>
    <row r="7" spans="1:17">
      <c r="A7" s="4" t="s">
        <v>59</v>
      </c>
      <c r="B7" s="4" t="s">
        <v>60</v>
      </c>
      <c r="C7" s="6">
        <v>200</v>
      </c>
      <c r="D7" s="6">
        <v>240</v>
      </c>
      <c r="E7" s="9">
        <v>30</v>
      </c>
      <c r="F7" s="10">
        <v>12</v>
      </c>
      <c r="G7" s="6">
        <f>[[#This Row],[Valeur actuelle €/unité]]</f>
        <v>0</v>
      </c>
      <c r="H7" s="6">
        <f>[[#This Row],[Valeur proposée €/unité]]</f>
        <v>0</v>
      </c>
      <c r="I7" s="6">
        <f>CapPerPersonEff</f>
        <v>0</v>
      </c>
      <c r="J7" s="10">
        <f>[[#This Row],[Effectifs (N)]]*(1+HeadcountGrowthEff)</f>
        <v>0</v>
      </c>
      <c r="K7" s="10">
        <f>UptakeEff</f>
        <v>0</v>
      </c>
      <c r="L7" s="10">
        <f>[[#This Row],[Unités / personne / an]]*(1+VolumeMultiplierEff)</f>
        <v>0</v>
      </c>
      <c r="M7" s="10">
        <f>MIN([[#This Row],[Valeur proposée €/unité]]*[[#This Row],[Unités proj./pers.]], [[#This Row],[Cap €/pers (eff.)]])</f>
        <v>0</v>
      </c>
      <c r="N7" s="6">
        <f>[[#This Row],[Effectifs proj.]]*[[#This Row],[Unités proj./pers.]]*[[#This Row],[Valeur actuelle €/unité]]</f>
        <v>0</v>
      </c>
      <c r="O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7" s="6">
        <f>[[#This Row],[Coût proposé total €]]-[[#This Row],[Coût actuel total €]]</f>
        <v>0</v>
      </c>
      <c r="Q7">
        <f>IF([[#This Row],[Coût actuel total €]]&gt;0, [[#This Row],[Surcoût total €]]/[[#This Row],[Coût actuel total €]], 0)</f>
        <v>0</v>
      </c>
    </row>
    <row r="8" spans="1:17">
      <c r="A8" s="4" t="s">
        <v>61</v>
      </c>
      <c r="B8" s="4" t="s">
        <v>56</v>
      </c>
      <c r="C8" s="6">
        <v>80</v>
      </c>
      <c r="D8" s="6">
        <v>100</v>
      </c>
      <c r="E8" s="9">
        <v>200</v>
      </c>
      <c r="F8" s="10">
        <v>4</v>
      </c>
      <c r="G8" s="6">
        <f>[[#This Row],[Valeur actuelle €/unité]]</f>
        <v>0</v>
      </c>
      <c r="H8" s="6">
        <f>[[#This Row],[Valeur proposée €/unité]]</f>
        <v>0</v>
      </c>
      <c r="I8" s="6">
        <f>CapPerPersonEff</f>
        <v>0</v>
      </c>
      <c r="J8" s="10">
        <f>[[#This Row],[Effectifs (N)]]*(1+HeadcountGrowthEff)</f>
        <v>0</v>
      </c>
      <c r="K8" s="10">
        <f>UptakeEff</f>
        <v>0</v>
      </c>
      <c r="L8" s="10">
        <f>[[#This Row],[Unités / personne / an]]*(1+VolumeMultiplierEff)</f>
        <v>0</v>
      </c>
      <c r="M8" s="10">
        <f>MIN([[#This Row],[Valeur proposée €/unité]]*[[#This Row],[Unités proj./pers.]], [[#This Row],[Cap €/pers (eff.)]])</f>
        <v>0</v>
      </c>
      <c r="N8" s="6">
        <f>[[#This Row],[Effectifs proj.]]*[[#This Row],[Unités proj./pers.]]*[[#This Row],[Valeur actuelle €/unité]]</f>
        <v>0</v>
      </c>
      <c r="O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8" s="6">
        <f>[[#This Row],[Coût proposé total €]]-[[#This Row],[Coût actuel total €]]</f>
        <v>0</v>
      </c>
      <c r="Q8">
        <f>IF([[#This Row],[Coût actuel total €]]&gt;0, [[#This Row],[Surcoût total €]]/[[#This Row],[Coût actuel total €]], 0)</f>
        <v>0</v>
      </c>
    </row>
    <row r="9" spans="1:17">
      <c r="A9" s="4" t="s">
        <v>62</v>
      </c>
      <c r="B9" s="4" t="s">
        <v>56</v>
      </c>
      <c r="C9" s="6">
        <v>400</v>
      </c>
      <c r="D9" s="6">
        <v>450</v>
      </c>
      <c r="E9" s="9">
        <v>15</v>
      </c>
      <c r="F9" s="10">
        <v>3</v>
      </c>
      <c r="G9" s="6">
        <f>[[#This Row],[Valeur actuelle €/unité]]</f>
        <v>0</v>
      </c>
      <c r="H9" s="6">
        <f>[[#This Row],[Valeur proposée €/unité]]</f>
        <v>0</v>
      </c>
      <c r="I9" s="6">
        <f>CapPerPersonEff</f>
        <v>0</v>
      </c>
      <c r="J9" s="10">
        <f>[[#This Row],[Effectifs (N)]]*(1+HeadcountGrowthEff)</f>
        <v>0</v>
      </c>
      <c r="K9" s="10">
        <f>UptakeEff</f>
        <v>0</v>
      </c>
      <c r="L9" s="10">
        <f>[[#This Row],[Unités / personne / an]]*(1+VolumeMultiplierEff)</f>
        <v>0</v>
      </c>
      <c r="M9" s="10">
        <f>MIN([[#This Row],[Valeur proposée €/unité]]*[[#This Row],[Unités proj./pers.]], [[#This Row],[Cap €/pers (eff.)]])</f>
        <v>0</v>
      </c>
      <c r="N9" s="6">
        <f>[[#This Row],[Effectifs proj.]]*[[#This Row],[Unités proj./pers.]]*[[#This Row],[Valeur actuelle €/unité]]</f>
        <v>0</v>
      </c>
      <c r="O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9" s="6">
        <f>[[#This Row],[Coût proposé total €]]-[[#This Row],[Coût actuel total €]]</f>
        <v>0</v>
      </c>
      <c r="Q9">
        <f>IF([[#This Row],[Coût actuel total €]]&gt;0, [[#This Row],[Surcoût total €]]/[[#This Row],[Coût actuel total €]], 0)</f>
        <v>0</v>
      </c>
    </row>
    <row r="10" spans="1:17">
      <c r="A10" s="4" t="s">
        <v>63</v>
      </c>
      <c r="B10" s="4" t="s">
        <v>64</v>
      </c>
      <c r="C10" s="6">
        <v>18</v>
      </c>
      <c r="D10" s="6">
        <v>22</v>
      </c>
      <c r="E10" s="9">
        <v>25</v>
      </c>
      <c r="F10" s="10">
        <v>90</v>
      </c>
      <c r="G10" s="6">
        <f>[[#This Row],[Valeur actuelle €/unité]]</f>
        <v>0</v>
      </c>
      <c r="H10" s="6">
        <f>[[#This Row],[Valeur proposée €/unité]]</f>
        <v>0</v>
      </c>
      <c r="I10" s="6">
        <f>CapPerPersonEff</f>
        <v>0</v>
      </c>
      <c r="J10" s="10">
        <f>[[#This Row],[Effectifs (N)]]*(1+HeadcountGrowthEff)</f>
        <v>0</v>
      </c>
      <c r="K10" s="10">
        <f>UptakeEff</f>
        <v>0</v>
      </c>
      <c r="L10" s="10">
        <f>[[#This Row],[Unités / personne / an]]*(1+VolumeMultiplierEff)</f>
        <v>0</v>
      </c>
      <c r="M10" s="10">
        <f>MIN([[#This Row],[Valeur proposée €/unité]]*[[#This Row],[Unités proj./pers.]], [[#This Row],[Cap €/pers (eff.)]])</f>
        <v>0</v>
      </c>
      <c r="N10" s="6">
        <f>[[#This Row],[Effectifs proj.]]*[[#This Row],[Unités proj./pers.]]*[[#This Row],[Valeur actuelle €/unité]]</f>
        <v>0</v>
      </c>
      <c r="O1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0" s="6">
        <f>[[#This Row],[Coût proposé total €]]-[[#This Row],[Coût actuel total €]]</f>
        <v>0</v>
      </c>
      <c r="Q10">
        <f>IF([[#This Row],[Coût actuel total €]]&gt;0, [[#This Row],[Surcoût total €]]/[[#This Row],[Coût actuel total €]], 0)</f>
        <v>0</v>
      </c>
    </row>
    <row r="11" spans="1:17">
      <c r="G11" s="6">
        <f>[[#This Row],[Valeur actuelle €/unité]]</f>
        <v>0</v>
      </c>
      <c r="H11" s="6">
        <f>[[#This Row],[Valeur proposée €/unité]]</f>
        <v>0</v>
      </c>
      <c r="I11" s="6">
        <f>CapPerPersonEff</f>
        <v>0</v>
      </c>
      <c r="J11" s="10">
        <f>[[#This Row],[Effectifs (N)]]*(1+HeadcountGrowthEff)</f>
        <v>0</v>
      </c>
      <c r="K11" s="10">
        <f>UptakeEff</f>
        <v>0</v>
      </c>
      <c r="L11" s="10">
        <f>[[#This Row],[Unités / personne / an]]*(1+VolumeMultiplierEff)</f>
        <v>0</v>
      </c>
      <c r="M11" s="10">
        <f>MIN([[#This Row],[Valeur proposée €/unité]]*[[#This Row],[Unités proj./pers.]], [[#This Row],[Cap €/pers (eff.)]])</f>
        <v>0</v>
      </c>
      <c r="N11" s="6">
        <f>[[#This Row],[Effectifs proj.]]*[[#This Row],[Unités proj./pers.]]*[[#This Row],[Valeur actuelle €/unité]]</f>
        <v>0</v>
      </c>
      <c r="O1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1" s="6">
        <f>[[#This Row],[Coût proposé total €]]-[[#This Row],[Coût actuel total €]]</f>
        <v>0</v>
      </c>
      <c r="Q11">
        <f>IF([[#This Row],[Coût actuel total €]]&gt;0, [[#This Row],[Surcoût total €]]/[[#This Row],[Coût actuel total €]], 0)</f>
        <v>0</v>
      </c>
    </row>
    <row r="12" spans="1:17">
      <c r="G12" s="6">
        <f>[[#This Row],[Valeur actuelle €/unité]]</f>
        <v>0</v>
      </c>
      <c r="H12" s="6">
        <f>[[#This Row],[Valeur proposée €/unité]]</f>
        <v>0</v>
      </c>
      <c r="I12" s="6">
        <f>CapPerPersonEff</f>
        <v>0</v>
      </c>
      <c r="J12" s="10">
        <f>[[#This Row],[Effectifs (N)]]*(1+HeadcountGrowthEff)</f>
        <v>0</v>
      </c>
      <c r="K12" s="10">
        <f>UptakeEff</f>
        <v>0</v>
      </c>
      <c r="L12" s="10">
        <f>[[#This Row],[Unités / personne / an]]*(1+VolumeMultiplierEff)</f>
        <v>0</v>
      </c>
      <c r="M12" s="10">
        <f>MIN([[#This Row],[Valeur proposée €/unité]]*[[#This Row],[Unités proj./pers.]], [[#This Row],[Cap €/pers (eff.)]])</f>
        <v>0</v>
      </c>
      <c r="N12" s="6">
        <f>[[#This Row],[Effectifs proj.]]*[[#This Row],[Unités proj./pers.]]*[[#This Row],[Valeur actuelle €/unité]]</f>
        <v>0</v>
      </c>
      <c r="O1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2" s="6">
        <f>[[#This Row],[Coût proposé total €]]-[[#This Row],[Coût actuel total €]]</f>
        <v>0</v>
      </c>
      <c r="Q12">
        <f>IF([[#This Row],[Coût actuel total €]]&gt;0, [[#This Row],[Surcoût total €]]/[[#This Row],[Coût actuel total €]], 0)</f>
        <v>0</v>
      </c>
    </row>
    <row r="13" spans="1:17">
      <c r="G13" s="6">
        <f>[[#This Row],[Valeur actuelle €/unité]]</f>
        <v>0</v>
      </c>
      <c r="H13" s="6">
        <f>[[#This Row],[Valeur proposée €/unité]]</f>
        <v>0</v>
      </c>
      <c r="I13" s="6">
        <f>CapPerPersonEff</f>
        <v>0</v>
      </c>
      <c r="J13" s="10">
        <f>[[#This Row],[Effectifs (N)]]*(1+HeadcountGrowthEff)</f>
        <v>0</v>
      </c>
      <c r="K13" s="10">
        <f>UptakeEff</f>
        <v>0</v>
      </c>
      <c r="L13" s="10">
        <f>[[#This Row],[Unités / personne / an]]*(1+VolumeMultiplierEff)</f>
        <v>0</v>
      </c>
      <c r="M13" s="10">
        <f>MIN([[#This Row],[Valeur proposée €/unité]]*[[#This Row],[Unités proj./pers.]], [[#This Row],[Cap €/pers (eff.)]])</f>
        <v>0</v>
      </c>
      <c r="N13" s="6">
        <f>[[#This Row],[Effectifs proj.]]*[[#This Row],[Unités proj./pers.]]*[[#This Row],[Valeur actuelle €/unité]]</f>
        <v>0</v>
      </c>
      <c r="O1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3" s="6">
        <f>[[#This Row],[Coût proposé total €]]-[[#This Row],[Coût actuel total €]]</f>
        <v>0</v>
      </c>
      <c r="Q13">
        <f>IF([[#This Row],[Coût actuel total €]]&gt;0, [[#This Row],[Surcoût total €]]/[[#This Row],[Coût actuel total €]], 0)</f>
        <v>0</v>
      </c>
    </row>
    <row r="14" spans="1:17">
      <c r="G14" s="6">
        <f>[[#This Row],[Valeur actuelle €/unité]]</f>
        <v>0</v>
      </c>
      <c r="H14" s="6">
        <f>[[#This Row],[Valeur proposée €/unité]]</f>
        <v>0</v>
      </c>
      <c r="I14" s="6">
        <f>CapPerPersonEff</f>
        <v>0</v>
      </c>
      <c r="J14" s="10">
        <f>[[#This Row],[Effectifs (N)]]*(1+HeadcountGrowthEff)</f>
        <v>0</v>
      </c>
      <c r="K14" s="10">
        <f>UptakeEff</f>
        <v>0</v>
      </c>
      <c r="L14" s="10">
        <f>[[#This Row],[Unités / personne / an]]*(1+VolumeMultiplierEff)</f>
        <v>0</v>
      </c>
      <c r="M14" s="10">
        <f>MIN([[#This Row],[Valeur proposée €/unité]]*[[#This Row],[Unités proj./pers.]], [[#This Row],[Cap €/pers (eff.)]])</f>
        <v>0</v>
      </c>
      <c r="N14" s="6">
        <f>[[#This Row],[Effectifs proj.]]*[[#This Row],[Unités proj./pers.]]*[[#This Row],[Valeur actuelle €/unité]]</f>
        <v>0</v>
      </c>
      <c r="O1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4" s="6">
        <f>[[#This Row],[Coût proposé total €]]-[[#This Row],[Coût actuel total €]]</f>
        <v>0</v>
      </c>
      <c r="Q14">
        <f>IF([[#This Row],[Coût actuel total €]]&gt;0, [[#This Row],[Surcoût total €]]/[[#This Row],[Coût actuel total €]], 0)</f>
        <v>0</v>
      </c>
    </row>
    <row r="15" spans="1:17">
      <c r="G15" s="6">
        <f>[[#This Row],[Valeur actuelle €/unité]]</f>
        <v>0</v>
      </c>
      <c r="H15" s="6">
        <f>[[#This Row],[Valeur proposée €/unité]]</f>
        <v>0</v>
      </c>
      <c r="I15" s="6">
        <f>CapPerPersonEff</f>
        <v>0</v>
      </c>
      <c r="J15" s="10">
        <f>[[#This Row],[Effectifs (N)]]*(1+HeadcountGrowthEff)</f>
        <v>0</v>
      </c>
      <c r="K15" s="10">
        <f>UptakeEff</f>
        <v>0</v>
      </c>
      <c r="L15" s="10">
        <f>[[#This Row],[Unités / personne / an]]*(1+VolumeMultiplierEff)</f>
        <v>0</v>
      </c>
      <c r="M15" s="10">
        <f>MIN([[#This Row],[Valeur proposée €/unité]]*[[#This Row],[Unités proj./pers.]], [[#This Row],[Cap €/pers (eff.)]])</f>
        <v>0</v>
      </c>
      <c r="N15" s="6">
        <f>[[#This Row],[Effectifs proj.]]*[[#This Row],[Unités proj./pers.]]*[[#This Row],[Valeur actuelle €/unité]]</f>
        <v>0</v>
      </c>
      <c r="O1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5" s="6">
        <f>[[#This Row],[Coût proposé total €]]-[[#This Row],[Coût actuel total €]]</f>
        <v>0</v>
      </c>
      <c r="Q15">
        <f>IF([[#This Row],[Coût actuel total €]]&gt;0, [[#This Row],[Surcoût total €]]/[[#This Row],[Coût actuel total €]], 0)</f>
        <v>0</v>
      </c>
    </row>
    <row r="16" spans="1:17">
      <c r="G16" s="6">
        <f>[[#This Row],[Valeur actuelle €/unité]]</f>
        <v>0</v>
      </c>
      <c r="H16" s="6">
        <f>[[#This Row],[Valeur proposée €/unité]]</f>
        <v>0</v>
      </c>
      <c r="I16" s="6">
        <f>CapPerPersonEff</f>
        <v>0</v>
      </c>
      <c r="J16" s="10">
        <f>[[#This Row],[Effectifs (N)]]*(1+HeadcountGrowthEff)</f>
        <v>0</v>
      </c>
      <c r="K16" s="10">
        <f>UptakeEff</f>
        <v>0</v>
      </c>
      <c r="L16" s="10">
        <f>[[#This Row],[Unités / personne / an]]*(1+VolumeMultiplierEff)</f>
        <v>0</v>
      </c>
      <c r="M16" s="10">
        <f>MIN([[#This Row],[Valeur proposée €/unité]]*[[#This Row],[Unités proj./pers.]], [[#This Row],[Cap €/pers (eff.)]])</f>
        <v>0</v>
      </c>
      <c r="N16" s="6">
        <f>[[#This Row],[Effectifs proj.]]*[[#This Row],[Unités proj./pers.]]*[[#This Row],[Valeur actuelle €/unité]]</f>
        <v>0</v>
      </c>
      <c r="O1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6" s="6">
        <f>[[#This Row],[Coût proposé total €]]-[[#This Row],[Coût actuel total €]]</f>
        <v>0</v>
      </c>
      <c r="Q16">
        <f>IF([[#This Row],[Coût actuel total €]]&gt;0, [[#This Row],[Surcoût total €]]/[[#This Row],[Coût actuel total €]], 0)</f>
        <v>0</v>
      </c>
    </row>
    <row r="17" spans="7:17">
      <c r="G17" s="6">
        <f>[[#This Row],[Valeur actuelle €/unité]]</f>
        <v>0</v>
      </c>
      <c r="H17" s="6">
        <f>[[#This Row],[Valeur proposée €/unité]]</f>
        <v>0</v>
      </c>
      <c r="I17" s="6">
        <f>CapPerPersonEff</f>
        <v>0</v>
      </c>
      <c r="J17" s="10">
        <f>[[#This Row],[Effectifs (N)]]*(1+HeadcountGrowthEff)</f>
        <v>0</v>
      </c>
      <c r="K17" s="10">
        <f>UptakeEff</f>
        <v>0</v>
      </c>
      <c r="L17" s="10">
        <f>[[#This Row],[Unités / personne / an]]*(1+VolumeMultiplierEff)</f>
        <v>0</v>
      </c>
      <c r="M17" s="10">
        <f>MIN([[#This Row],[Valeur proposée €/unité]]*[[#This Row],[Unités proj./pers.]], [[#This Row],[Cap €/pers (eff.)]])</f>
        <v>0</v>
      </c>
      <c r="N17" s="6">
        <f>[[#This Row],[Effectifs proj.]]*[[#This Row],[Unités proj./pers.]]*[[#This Row],[Valeur actuelle €/unité]]</f>
        <v>0</v>
      </c>
      <c r="O1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7" s="6">
        <f>[[#This Row],[Coût proposé total €]]-[[#This Row],[Coût actuel total €]]</f>
        <v>0</v>
      </c>
      <c r="Q17">
        <f>IF([[#This Row],[Coût actuel total €]]&gt;0, [[#This Row],[Surcoût total €]]/[[#This Row],[Coût actuel total €]], 0)</f>
        <v>0</v>
      </c>
    </row>
    <row r="18" spans="7:17">
      <c r="G18" s="6">
        <f>[[#This Row],[Valeur actuelle €/unité]]</f>
        <v>0</v>
      </c>
      <c r="H18" s="6">
        <f>[[#This Row],[Valeur proposée €/unité]]</f>
        <v>0</v>
      </c>
      <c r="I18" s="6">
        <f>CapPerPersonEff</f>
        <v>0</v>
      </c>
      <c r="J18" s="10">
        <f>[[#This Row],[Effectifs (N)]]*(1+HeadcountGrowthEff)</f>
        <v>0</v>
      </c>
      <c r="K18" s="10">
        <f>UptakeEff</f>
        <v>0</v>
      </c>
      <c r="L18" s="10">
        <f>[[#This Row],[Unités / personne / an]]*(1+VolumeMultiplierEff)</f>
        <v>0</v>
      </c>
      <c r="M18" s="10">
        <f>MIN([[#This Row],[Valeur proposée €/unité]]*[[#This Row],[Unités proj./pers.]], [[#This Row],[Cap €/pers (eff.)]])</f>
        <v>0</v>
      </c>
      <c r="N18" s="6">
        <f>[[#This Row],[Effectifs proj.]]*[[#This Row],[Unités proj./pers.]]*[[#This Row],[Valeur actuelle €/unité]]</f>
        <v>0</v>
      </c>
      <c r="O1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8" s="6">
        <f>[[#This Row],[Coût proposé total €]]-[[#This Row],[Coût actuel total €]]</f>
        <v>0</v>
      </c>
      <c r="Q18">
        <f>IF([[#This Row],[Coût actuel total €]]&gt;0, [[#This Row],[Surcoût total €]]/[[#This Row],[Coût actuel total €]], 0)</f>
        <v>0</v>
      </c>
    </row>
    <row r="19" spans="7:17">
      <c r="G19" s="6">
        <f>[[#This Row],[Valeur actuelle €/unité]]</f>
        <v>0</v>
      </c>
      <c r="H19" s="6">
        <f>[[#This Row],[Valeur proposée €/unité]]</f>
        <v>0</v>
      </c>
      <c r="I19" s="6">
        <f>CapPerPersonEff</f>
        <v>0</v>
      </c>
      <c r="J19" s="10">
        <f>[[#This Row],[Effectifs (N)]]*(1+HeadcountGrowthEff)</f>
        <v>0</v>
      </c>
      <c r="K19" s="10">
        <f>UptakeEff</f>
        <v>0</v>
      </c>
      <c r="L19" s="10">
        <f>[[#This Row],[Unités / personne / an]]*(1+VolumeMultiplierEff)</f>
        <v>0</v>
      </c>
      <c r="M19" s="10">
        <f>MIN([[#This Row],[Valeur proposée €/unité]]*[[#This Row],[Unités proj./pers.]], [[#This Row],[Cap €/pers (eff.)]])</f>
        <v>0</v>
      </c>
      <c r="N19" s="6">
        <f>[[#This Row],[Effectifs proj.]]*[[#This Row],[Unités proj./pers.]]*[[#This Row],[Valeur actuelle €/unité]]</f>
        <v>0</v>
      </c>
      <c r="O1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19" s="6">
        <f>[[#This Row],[Coût proposé total €]]-[[#This Row],[Coût actuel total €]]</f>
        <v>0</v>
      </c>
      <c r="Q19">
        <f>IF([[#This Row],[Coût actuel total €]]&gt;0, [[#This Row],[Surcoût total €]]/[[#This Row],[Coût actuel total €]], 0)</f>
        <v>0</v>
      </c>
    </row>
    <row r="20" spans="7:17">
      <c r="G20" s="6">
        <f>[[#This Row],[Valeur actuelle €/unité]]</f>
        <v>0</v>
      </c>
      <c r="H20" s="6">
        <f>[[#This Row],[Valeur proposée €/unité]]</f>
        <v>0</v>
      </c>
      <c r="I20" s="6">
        <f>CapPerPersonEff</f>
        <v>0</v>
      </c>
      <c r="J20" s="10">
        <f>[[#This Row],[Effectifs (N)]]*(1+HeadcountGrowthEff)</f>
        <v>0</v>
      </c>
      <c r="K20" s="10">
        <f>UptakeEff</f>
        <v>0</v>
      </c>
      <c r="L20" s="10">
        <f>[[#This Row],[Unités / personne / an]]*(1+VolumeMultiplierEff)</f>
        <v>0</v>
      </c>
      <c r="M20" s="10">
        <f>MIN([[#This Row],[Valeur proposée €/unité]]*[[#This Row],[Unités proj./pers.]], [[#This Row],[Cap €/pers (eff.)]])</f>
        <v>0</v>
      </c>
      <c r="N20" s="6">
        <f>[[#This Row],[Effectifs proj.]]*[[#This Row],[Unités proj./pers.]]*[[#This Row],[Valeur actuelle €/unité]]</f>
        <v>0</v>
      </c>
      <c r="O2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0" s="6">
        <f>[[#This Row],[Coût proposé total €]]-[[#This Row],[Coût actuel total €]]</f>
        <v>0</v>
      </c>
      <c r="Q20">
        <f>IF([[#This Row],[Coût actuel total €]]&gt;0, [[#This Row],[Surcoût total €]]/[[#This Row],[Coût actuel total €]], 0)</f>
        <v>0</v>
      </c>
    </row>
    <row r="21" spans="7:17">
      <c r="G21" s="6">
        <f>[[#This Row],[Valeur actuelle €/unité]]</f>
        <v>0</v>
      </c>
      <c r="H21" s="6">
        <f>[[#This Row],[Valeur proposée €/unité]]</f>
        <v>0</v>
      </c>
      <c r="I21" s="6">
        <f>CapPerPersonEff</f>
        <v>0</v>
      </c>
      <c r="J21" s="10">
        <f>[[#This Row],[Effectifs (N)]]*(1+HeadcountGrowthEff)</f>
        <v>0</v>
      </c>
      <c r="K21" s="10">
        <f>UptakeEff</f>
        <v>0</v>
      </c>
      <c r="L21" s="10">
        <f>[[#This Row],[Unités / personne / an]]*(1+VolumeMultiplierEff)</f>
        <v>0</v>
      </c>
      <c r="M21" s="10">
        <f>MIN([[#This Row],[Valeur proposée €/unité]]*[[#This Row],[Unités proj./pers.]], [[#This Row],[Cap €/pers (eff.)]])</f>
        <v>0</v>
      </c>
      <c r="N21" s="6">
        <f>[[#This Row],[Effectifs proj.]]*[[#This Row],[Unités proj./pers.]]*[[#This Row],[Valeur actuelle €/unité]]</f>
        <v>0</v>
      </c>
      <c r="O2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1" s="6">
        <f>[[#This Row],[Coût proposé total €]]-[[#This Row],[Coût actuel total €]]</f>
        <v>0</v>
      </c>
      <c r="Q21">
        <f>IF([[#This Row],[Coût actuel total €]]&gt;0, [[#This Row],[Surcoût total €]]/[[#This Row],[Coût actuel total €]], 0)</f>
        <v>0</v>
      </c>
    </row>
    <row r="22" spans="7:17">
      <c r="G22" s="6">
        <f>[[#This Row],[Valeur actuelle €/unité]]</f>
        <v>0</v>
      </c>
      <c r="H22" s="6">
        <f>[[#This Row],[Valeur proposée €/unité]]</f>
        <v>0</v>
      </c>
      <c r="I22" s="6">
        <f>CapPerPersonEff</f>
        <v>0</v>
      </c>
      <c r="J22" s="10">
        <f>[[#This Row],[Effectifs (N)]]*(1+HeadcountGrowthEff)</f>
        <v>0</v>
      </c>
      <c r="K22" s="10">
        <f>UptakeEff</f>
        <v>0</v>
      </c>
      <c r="L22" s="10">
        <f>[[#This Row],[Unités / personne / an]]*(1+VolumeMultiplierEff)</f>
        <v>0</v>
      </c>
      <c r="M22" s="10">
        <f>MIN([[#This Row],[Valeur proposée €/unité]]*[[#This Row],[Unités proj./pers.]], [[#This Row],[Cap €/pers (eff.)]])</f>
        <v>0</v>
      </c>
      <c r="N22" s="6">
        <f>[[#This Row],[Effectifs proj.]]*[[#This Row],[Unités proj./pers.]]*[[#This Row],[Valeur actuelle €/unité]]</f>
        <v>0</v>
      </c>
      <c r="O2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2" s="6">
        <f>[[#This Row],[Coût proposé total €]]-[[#This Row],[Coût actuel total €]]</f>
        <v>0</v>
      </c>
      <c r="Q22">
        <f>IF([[#This Row],[Coût actuel total €]]&gt;0, [[#This Row],[Surcoût total €]]/[[#This Row],[Coût actuel total €]], 0)</f>
        <v>0</v>
      </c>
    </row>
    <row r="23" spans="7:17">
      <c r="G23" s="6">
        <f>[[#This Row],[Valeur actuelle €/unité]]</f>
        <v>0</v>
      </c>
      <c r="H23" s="6">
        <f>[[#This Row],[Valeur proposée €/unité]]</f>
        <v>0</v>
      </c>
      <c r="I23" s="6">
        <f>CapPerPersonEff</f>
        <v>0</v>
      </c>
      <c r="J23" s="10">
        <f>[[#This Row],[Effectifs (N)]]*(1+HeadcountGrowthEff)</f>
        <v>0</v>
      </c>
      <c r="K23" s="10">
        <f>UptakeEff</f>
        <v>0</v>
      </c>
      <c r="L23" s="10">
        <f>[[#This Row],[Unités / personne / an]]*(1+VolumeMultiplierEff)</f>
        <v>0</v>
      </c>
      <c r="M23" s="10">
        <f>MIN([[#This Row],[Valeur proposée €/unité]]*[[#This Row],[Unités proj./pers.]], [[#This Row],[Cap €/pers (eff.)]])</f>
        <v>0</v>
      </c>
      <c r="N23" s="6">
        <f>[[#This Row],[Effectifs proj.]]*[[#This Row],[Unités proj./pers.]]*[[#This Row],[Valeur actuelle €/unité]]</f>
        <v>0</v>
      </c>
      <c r="O2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3" s="6">
        <f>[[#This Row],[Coût proposé total €]]-[[#This Row],[Coût actuel total €]]</f>
        <v>0</v>
      </c>
      <c r="Q23">
        <f>IF([[#This Row],[Coût actuel total €]]&gt;0, [[#This Row],[Surcoût total €]]/[[#This Row],[Coût actuel total €]], 0)</f>
        <v>0</v>
      </c>
    </row>
    <row r="24" spans="7:17">
      <c r="G24" s="6">
        <f>[[#This Row],[Valeur actuelle €/unité]]</f>
        <v>0</v>
      </c>
      <c r="H24" s="6">
        <f>[[#This Row],[Valeur proposée €/unité]]</f>
        <v>0</v>
      </c>
      <c r="I24" s="6">
        <f>CapPerPersonEff</f>
        <v>0</v>
      </c>
      <c r="J24" s="10">
        <f>[[#This Row],[Effectifs (N)]]*(1+HeadcountGrowthEff)</f>
        <v>0</v>
      </c>
      <c r="K24" s="10">
        <f>UptakeEff</f>
        <v>0</v>
      </c>
      <c r="L24" s="10">
        <f>[[#This Row],[Unités / personne / an]]*(1+VolumeMultiplierEff)</f>
        <v>0</v>
      </c>
      <c r="M24" s="10">
        <f>MIN([[#This Row],[Valeur proposée €/unité]]*[[#This Row],[Unités proj./pers.]], [[#This Row],[Cap €/pers (eff.)]])</f>
        <v>0</v>
      </c>
      <c r="N24" s="6">
        <f>[[#This Row],[Effectifs proj.]]*[[#This Row],[Unités proj./pers.]]*[[#This Row],[Valeur actuelle €/unité]]</f>
        <v>0</v>
      </c>
      <c r="O2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4" s="6">
        <f>[[#This Row],[Coût proposé total €]]-[[#This Row],[Coût actuel total €]]</f>
        <v>0</v>
      </c>
      <c r="Q24">
        <f>IF([[#This Row],[Coût actuel total €]]&gt;0, [[#This Row],[Surcoût total €]]/[[#This Row],[Coût actuel total €]], 0)</f>
        <v>0</v>
      </c>
    </row>
    <row r="25" spans="7:17">
      <c r="G25" s="6">
        <f>[[#This Row],[Valeur actuelle €/unité]]</f>
        <v>0</v>
      </c>
      <c r="H25" s="6">
        <f>[[#This Row],[Valeur proposée €/unité]]</f>
        <v>0</v>
      </c>
      <c r="I25" s="6">
        <f>CapPerPersonEff</f>
        <v>0</v>
      </c>
      <c r="J25" s="10">
        <f>[[#This Row],[Effectifs (N)]]*(1+HeadcountGrowthEff)</f>
        <v>0</v>
      </c>
      <c r="K25" s="10">
        <f>UptakeEff</f>
        <v>0</v>
      </c>
      <c r="L25" s="10">
        <f>[[#This Row],[Unités / personne / an]]*(1+VolumeMultiplierEff)</f>
        <v>0</v>
      </c>
      <c r="M25" s="10">
        <f>MIN([[#This Row],[Valeur proposée €/unité]]*[[#This Row],[Unités proj./pers.]], [[#This Row],[Cap €/pers (eff.)]])</f>
        <v>0</v>
      </c>
      <c r="N25" s="6">
        <f>[[#This Row],[Effectifs proj.]]*[[#This Row],[Unités proj./pers.]]*[[#This Row],[Valeur actuelle €/unité]]</f>
        <v>0</v>
      </c>
      <c r="O2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5" s="6">
        <f>[[#This Row],[Coût proposé total €]]-[[#This Row],[Coût actuel total €]]</f>
        <v>0</v>
      </c>
      <c r="Q25">
        <f>IF([[#This Row],[Coût actuel total €]]&gt;0, [[#This Row],[Surcoût total €]]/[[#This Row],[Coût actuel total €]], 0)</f>
        <v>0</v>
      </c>
    </row>
    <row r="26" spans="7:17">
      <c r="G26" s="6">
        <f>[[#This Row],[Valeur actuelle €/unité]]</f>
        <v>0</v>
      </c>
      <c r="H26" s="6">
        <f>[[#This Row],[Valeur proposée €/unité]]</f>
        <v>0</v>
      </c>
      <c r="I26" s="6">
        <f>CapPerPersonEff</f>
        <v>0</v>
      </c>
      <c r="J26" s="10">
        <f>[[#This Row],[Effectifs (N)]]*(1+HeadcountGrowthEff)</f>
        <v>0</v>
      </c>
      <c r="K26" s="10">
        <f>UptakeEff</f>
        <v>0</v>
      </c>
      <c r="L26" s="10">
        <f>[[#This Row],[Unités / personne / an]]*(1+VolumeMultiplierEff)</f>
        <v>0</v>
      </c>
      <c r="M26" s="10">
        <f>MIN([[#This Row],[Valeur proposée €/unité]]*[[#This Row],[Unités proj./pers.]], [[#This Row],[Cap €/pers (eff.)]])</f>
        <v>0</v>
      </c>
      <c r="N26" s="6">
        <f>[[#This Row],[Effectifs proj.]]*[[#This Row],[Unités proj./pers.]]*[[#This Row],[Valeur actuelle €/unité]]</f>
        <v>0</v>
      </c>
      <c r="O2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6" s="6">
        <f>[[#This Row],[Coût proposé total €]]-[[#This Row],[Coût actuel total €]]</f>
        <v>0</v>
      </c>
      <c r="Q26">
        <f>IF([[#This Row],[Coût actuel total €]]&gt;0, [[#This Row],[Surcoût total €]]/[[#This Row],[Coût actuel total €]], 0)</f>
        <v>0</v>
      </c>
    </row>
    <row r="27" spans="7:17">
      <c r="G27" s="6">
        <f>[[#This Row],[Valeur actuelle €/unité]]</f>
        <v>0</v>
      </c>
      <c r="H27" s="6">
        <f>[[#This Row],[Valeur proposée €/unité]]</f>
        <v>0</v>
      </c>
      <c r="I27" s="6">
        <f>CapPerPersonEff</f>
        <v>0</v>
      </c>
      <c r="J27" s="10">
        <f>[[#This Row],[Effectifs (N)]]*(1+HeadcountGrowthEff)</f>
        <v>0</v>
      </c>
      <c r="K27" s="10">
        <f>UptakeEff</f>
        <v>0</v>
      </c>
      <c r="L27" s="10">
        <f>[[#This Row],[Unités / personne / an]]*(1+VolumeMultiplierEff)</f>
        <v>0</v>
      </c>
      <c r="M27" s="10">
        <f>MIN([[#This Row],[Valeur proposée €/unité]]*[[#This Row],[Unités proj./pers.]], [[#This Row],[Cap €/pers (eff.)]])</f>
        <v>0</v>
      </c>
      <c r="N27" s="6">
        <f>[[#This Row],[Effectifs proj.]]*[[#This Row],[Unités proj./pers.]]*[[#This Row],[Valeur actuelle €/unité]]</f>
        <v>0</v>
      </c>
      <c r="O2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7" s="6">
        <f>[[#This Row],[Coût proposé total €]]-[[#This Row],[Coût actuel total €]]</f>
        <v>0</v>
      </c>
      <c r="Q27">
        <f>IF([[#This Row],[Coût actuel total €]]&gt;0, [[#This Row],[Surcoût total €]]/[[#This Row],[Coût actuel total €]], 0)</f>
        <v>0</v>
      </c>
    </row>
    <row r="28" spans="7:17">
      <c r="G28" s="6">
        <f>[[#This Row],[Valeur actuelle €/unité]]</f>
        <v>0</v>
      </c>
      <c r="H28" s="6">
        <f>[[#This Row],[Valeur proposée €/unité]]</f>
        <v>0</v>
      </c>
      <c r="I28" s="6">
        <f>CapPerPersonEff</f>
        <v>0</v>
      </c>
      <c r="J28" s="10">
        <f>[[#This Row],[Effectifs (N)]]*(1+HeadcountGrowthEff)</f>
        <v>0</v>
      </c>
      <c r="K28" s="10">
        <f>UptakeEff</f>
        <v>0</v>
      </c>
      <c r="L28" s="10">
        <f>[[#This Row],[Unités / personne / an]]*(1+VolumeMultiplierEff)</f>
        <v>0</v>
      </c>
      <c r="M28" s="10">
        <f>MIN([[#This Row],[Valeur proposée €/unité]]*[[#This Row],[Unités proj./pers.]], [[#This Row],[Cap €/pers (eff.)]])</f>
        <v>0</v>
      </c>
      <c r="N28" s="6">
        <f>[[#This Row],[Effectifs proj.]]*[[#This Row],[Unités proj./pers.]]*[[#This Row],[Valeur actuelle €/unité]]</f>
        <v>0</v>
      </c>
      <c r="O2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8" s="6">
        <f>[[#This Row],[Coût proposé total €]]-[[#This Row],[Coût actuel total €]]</f>
        <v>0</v>
      </c>
      <c r="Q28">
        <f>IF([[#This Row],[Coût actuel total €]]&gt;0, [[#This Row],[Surcoût total €]]/[[#This Row],[Coût actuel total €]], 0)</f>
        <v>0</v>
      </c>
    </row>
    <row r="29" spans="7:17">
      <c r="G29" s="6">
        <f>[[#This Row],[Valeur actuelle €/unité]]</f>
        <v>0</v>
      </c>
      <c r="H29" s="6">
        <f>[[#This Row],[Valeur proposée €/unité]]</f>
        <v>0</v>
      </c>
      <c r="I29" s="6">
        <f>CapPerPersonEff</f>
        <v>0</v>
      </c>
      <c r="J29" s="10">
        <f>[[#This Row],[Effectifs (N)]]*(1+HeadcountGrowthEff)</f>
        <v>0</v>
      </c>
      <c r="K29" s="10">
        <f>UptakeEff</f>
        <v>0</v>
      </c>
      <c r="L29" s="10">
        <f>[[#This Row],[Unités / personne / an]]*(1+VolumeMultiplierEff)</f>
        <v>0</v>
      </c>
      <c r="M29" s="10">
        <f>MIN([[#This Row],[Valeur proposée €/unité]]*[[#This Row],[Unités proj./pers.]], [[#This Row],[Cap €/pers (eff.)]])</f>
        <v>0</v>
      </c>
      <c r="N29" s="6">
        <f>[[#This Row],[Effectifs proj.]]*[[#This Row],[Unités proj./pers.]]*[[#This Row],[Valeur actuelle €/unité]]</f>
        <v>0</v>
      </c>
      <c r="O2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29" s="6">
        <f>[[#This Row],[Coût proposé total €]]-[[#This Row],[Coût actuel total €]]</f>
        <v>0</v>
      </c>
      <c r="Q29">
        <f>IF([[#This Row],[Coût actuel total €]]&gt;0, [[#This Row],[Surcoût total €]]/[[#This Row],[Coût actuel total €]], 0)</f>
        <v>0</v>
      </c>
    </row>
    <row r="30" spans="7:17">
      <c r="G30" s="6">
        <f>[[#This Row],[Valeur actuelle €/unité]]</f>
        <v>0</v>
      </c>
      <c r="H30" s="6">
        <f>[[#This Row],[Valeur proposée €/unité]]</f>
        <v>0</v>
      </c>
      <c r="I30" s="6">
        <f>CapPerPersonEff</f>
        <v>0</v>
      </c>
      <c r="J30" s="10">
        <f>[[#This Row],[Effectifs (N)]]*(1+HeadcountGrowthEff)</f>
        <v>0</v>
      </c>
      <c r="K30" s="10">
        <f>UptakeEff</f>
        <v>0</v>
      </c>
      <c r="L30" s="10">
        <f>[[#This Row],[Unités / personne / an]]*(1+VolumeMultiplierEff)</f>
        <v>0</v>
      </c>
      <c r="M30" s="10">
        <f>MIN([[#This Row],[Valeur proposée €/unité]]*[[#This Row],[Unités proj./pers.]], [[#This Row],[Cap €/pers (eff.)]])</f>
        <v>0</v>
      </c>
      <c r="N30" s="6">
        <f>[[#This Row],[Effectifs proj.]]*[[#This Row],[Unités proj./pers.]]*[[#This Row],[Valeur actuelle €/unité]]</f>
        <v>0</v>
      </c>
      <c r="O3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0" s="6">
        <f>[[#This Row],[Coût proposé total €]]-[[#This Row],[Coût actuel total €]]</f>
        <v>0</v>
      </c>
      <c r="Q30">
        <f>IF([[#This Row],[Coût actuel total €]]&gt;0, [[#This Row],[Surcoût total €]]/[[#This Row],[Coût actuel total €]], 0)</f>
        <v>0</v>
      </c>
    </row>
    <row r="31" spans="7:17">
      <c r="G31" s="6">
        <f>[[#This Row],[Valeur actuelle €/unité]]</f>
        <v>0</v>
      </c>
      <c r="H31" s="6">
        <f>[[#This Row],[Valeur proposée €/unité]]</f>
        <v>0</v>
      </c>
      <c r="I31" s="6">
        <f>CapPerPersonEff</f>
        <v>0</v>
      </c>
      <c r="J31" s="10">
        <f>[[#This Row],[Effectifs (N)]]*(1+HeadcountGrowthEff)</f>
        <v>0</v>
      </c>
      <c r="K31" s="10">
        <f>UptakeEff</f>
        <v>0</v>
      </c>
      <c r="L31" s="10">
        <f>[[#This Row],[Unités / personne / an]]*(1+VolumeMultiplierEff)</f>
        <v>0</v>
      </c>
      <c r="M31" s="10">
        <f>MIN([[#This Row],[Valeur proposée €/unité]]*[[#This Row],[Unités proj./pers.]], [[#This Row],[Cap €/pers (eff.)]])</f>
        <v>0</v>
      </c>
      <c r="N31" s="6">
        <f>[[#This Row],[Effectifs proj.]]*[[#This Row],[Unités proj./pers.]]*[[#This Row],[Valeur actuelle €/unité]]</f>
        <v>0</v>
      </c>
      <c r="O3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1" s="6">
        <f>[[#This Row],[Coût proposé total €]]-[[#This Row],[Coût actuel total €]]</f>
        <v>0</v>
      </c>
      <c r="Q31">
        <f>IF([[#This Row],[Coût actuel total €]]&gt;0, [[#This Row],[Surcoût total €]]/[[#This Row],[Coût actuel total €]], 0)</f>
        <v>0</v>
      </c>
    </row>
    <row r="32" spans="7:17">
      <c r="G32" s="6">
        <f>[[#This Row],[Valeur actuelle €/unité]]</f>
        <v>0</v>
      </c>
      <c r="H32" s="6">
        <f>[[#This Row],[Valeur proposée €/unité]]</f>
        <v>0</v>
      </c>
      <c r="I32" s="6">
        <f>CapPerPersonEff</f>
        <v>0</v>
      </c>
      <c r="J32" s="10">
        <f>[[#This Row],[Effectifs (N)]]*(1+HeadcountGrowthEff)</f>
        <v>0</v>
      </c>
      <c r="K32" s="10">
        <f>UptakeEff</f>
        <v>0</v>
      </c>
      <c r="L32" s="10">
        <f>[[#This Row],[Unités / personne / an]]*(1+VolumeMultiplierEff)</f>
        <v>0</v>
      </c>
      <c r="M32" s="10">
        <f>MIN([[#This Row],[Valeur proposée €/unité]]*[[#This Row],[Unités proj./pers.]], [[#This Row],[Cap €/pers (eff.)]])</f>
        <v>0</v>
      </c>
      <c r="N32" s="6">
        <f>[[#This Row],[Effectifs proj.]]*[[#This Row],[Unités proj./pers.]]*[[#This Row],[Valeur actuelle €/unité]]</f>
        <v>0</v>
      </c>
      <c r="O3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2" s="6">
        <f>[[#This Row],[Coût proposé total €]]-[[#This Row],[Coût actuel total €]]</f>
        <v>0</v>
      </c>
      <c r="Q32">
        <f>IF([[#This Row],[Coût actuel total €]]&gt;0, [[#This Row],[Surcoût total €]]/[[#This Row],[Coût actuel total €]], 0)</f>
        <v>0</v>
      </c>
    </row>
    <row r="33" spans="7:17">
      <c r="G33" s="6">
        <f>[[#This Row],[Valeur actuelle €/unité]]</f>
        <v>0</v>
      </c>
      <c r="H33" s="6">
        <f>[[#This Row],[Valeur proposée €/unité]]</f>
        <v>0</v>
      </c>
      <c r="I33" s="6">
        <f>CapPerPersonEff</f>
        <v>0</v>
      </c>
      <c r="J33" s="10">
        <f>[[#This Row],[Effectifs (N)]]*(1+HeadcountGrowthEff)</f>
        <v>0</v>
      </c>
      <c r="K33" s="10">
        <f>UptakeEff</f>
        <v>0</v>
      </c>
      <c r="L33" s="10">
        <f>[[#This Row],[Unités / personne / an]]*(1+VolumeMultiplierEff)</f>
        <v>0</v>
      </c>
      <c r="M33" s="10">
        <f>MIN([[#This Row],[Valeur proposée €/unité]]*[[#This Row],[Unités proj./pers.]], [[#This Row],[Cap €/pers (eff.)]])</f>
        <v>0</v>
      </c>
      <c r="N33" s="6">
        <f>[[#This Row],[Effectifs proj.]]*[[#This Row],[Unités proj./pers.]]*[[#This Row],[Valeur actuelle €/unité]]</f>
        <v>0</v>
      </c>
      <c r="O3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3" s="6">
        <f>[[#This Row],[Coût proposé total €]]-[[#This Row],[Coût actuel total €]]</f>
        <v>0</v>
      </c>
      <c r="Q33">
        <f>IF([[#This Row],[Coût actuel total €]]&gt;0, [[#This Row],[Surcoût total €]]/[[#This Row],[Coût actuel total €]], 0)</f>
        <v>0</v>
      </c>
    </row>
    <row r="34" spans="7:17">
      <c r="G34" s="6">
        <f>[[#This Row],[Valeur actuelle €/unité]]</f>
        <v>0</v>
      </c>
      <c r="H34" s="6">
        <f>[[#This Row],[Valeur proposée €/unité]]</f>
        <v>0</v>
      </c>
      <c r="I34" s="6">
        <f>CapPerPersonEff</f>
        <v>0</v>
      </c>
      <c r="J34" s="10">
        <f>[[#This Row],[Effectifs (N)]]*(1+HeadcountGrowthEff)</f>
        <v>0</v>
      </c>
      <c r="K34" s="10">
        <f>UptakeEff</f>
        <v>0</v>
      </c>
      <c r="L34" s="10">
        <f>[[#This Row],[Unités / personne / an]]*(1+VolumeMultiplierEff)</f>
        <v>0</v>
      </c>
      <c r="M34" s="10">
        <f>MIN([[#This Row],[Valeur proposée €/unité]]*[[#This Row],[Unités proj./pers.]], [[#This Row],[Cap €/pers (eff.)]])</f>
        <v>0</v>
      </c>
      <c r="N34" s="6">
        <f>[[#This Row],[Effectifs proj.]]*[[#This Row],[Unités proj./pers.]]*[[#This Row],[Valeur actuelle €/unité]]</f>
        <v>0</v>
      </c>
      <c r="O3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4" s="6">
        <f>[[#This Row],[Coût proposé total €]]-[[#This Row],[Coût actuel total €]]</f>
        <v>0</v>
      </c>
      <c r="Q34">
        <f>IF([[#This Row],[Coût actuel total €]]&gt;0, [[#This Row],[Surcoût total €]]/[[#This Row],[Coût actuel total €]], 0)</f>
        <v>0</v>
      </c>
    </row>
    <row r="35" spans="7:17">
      <c r="G35" s="6">
        <f>[[#This Row],[Valeur actuelle €/unité]]</f>
        <v>0</v>
      </c>
      <c r="H35" s="6">
        <f>[[#This Row],[Valeur proposée €/unité]]</f>
        <v>0</v>
      </c>
      <c r="I35" s="6">
        <f>CapPerPersonEff</f>
        <v>0</v>
      </c>
      <c r="J35" s="10">
        <f>[[#This Row],[Effectifs (N)]]*(1+HeadcountGrowthEff)</f>
        <v>0</v>
      </c>
      <c r="K35" s="10">
        <f>UptakeEff</f>
        <v>0</v>
      </c>
      <c r="L35" s="10">
        <f>[[#This Row],[Unités / personne / an]]*(1+VolumeMultiplierEff)</f>
        <v>0</v>
      </c>
      <c r="M35" s="10">
        <f>MIN([[#This Row],[Valeur proposée €/unité]]*[[#This Row],[Unités proj./pers.]], [[#This Row],[Cap €/pers (eff.)]])</f>
        <v>0</v>
      </c>
      <c r="N35" s="6">
        <f>[[#This Row],[Effectifs proj.]]*[[#This Row],[Unités proj./pers.]]*[[#This Row],[Valeur actuelle €/unité]]</f>
        <v>0</v>
      </c>
      <c r="O3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5" s="6">
        <f>[[#This Row],[Coût proposé total €]]-[[#This Row],[Coût actuel total €]]</f>
        <v>0</v>
      </c>
      <c r="Q35">
        <f>IF([[#This Row],[Coût actuel total €]]&gt;0, [[#This Row],[Surcoût total €]]/[[#This Row],[Coût actuel total €]], 0)</f>
        <v>0</v>
      </c>
    </row>
    <row r="36" spans="7:17">
      <c r="G36" s="6">
        <f>[[#This Row],[Valeur actuelle €/unité]]</f>
        <v>0</v>
      </c>
      <c r="H36" s="6">
        <f>[[#This Row],[Valeur proposée €/unité]]</f>
        <v>0</v>
      </c>
      <c r="I36" s="6">
        <f>CapPerPersonEff</f>
        <v>0</v>
      </c>
      <c r="J36" s="10">
        <f>[[#This Row],[Effectifs (N)]]*(1+HeadcountGrowthEff)</f>
        <v>0</v>
      </c>
      <c r="K36" s="10">
        <f>UptakeEff</f>
        <v>0</v>
      </c>
      <c r="L36" s="10">
        <f>[[#This Row],[Unités / personne / an]]*(1+VolumeMultiplierEff)</f>
        <v>0</v>
      </c>
      <c r="M36" s="10">
        <f>MIN([[#This Row],[Valeur proposée €/unité]]*[[#This Row],[Unités proj./pers.]], [[#This Row],[Cap €/pers (eff.)]])</f>
        <v>0</v>
      </c>
      <c r="N36" s="6">
        <f>[[#This Row],[Effectifs proj.]]*[[#This Row],[Unités proj./pers.]]*[[#This Row],[Valeur actuelle €/unité]]</f>
        <v>0</v>
      </c>
      <c r="O3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6" s="6">
        <f>[[#This Row],[Coût proposé total €]]-[[#This Row],[Coût actuel total €]]</f>
        <v>0</v>
      </c>
      <c r="Q36">
        <f>IF([[#This Row],[Coût actuel total €]]&gt;0, [[#This Row],[Surcoût total €]]/[[#This Row],[Coût actuel total €]], 0)</f>
        <v>0</v>
      </c>
    </row>
    <row r="37" spans="7:17">
      <c r="G37" s="6">
        <f>[[#This Row],[Valeur actuelle €/unité]]</f>
        <v>0</v>
      </c>
      <c r="H37" s="6">
        <f>[[#This Row],[Valeur proposée €/unité]]</f>
        <v>0</v>
      </c>
      <c r="I37" s="6">
        <f>CapPerPersonEff</f>
        <v>0</v>
      </c>
      <c r="J37" s="10">
        <f>[[#This Row],[Effectifs (N)]]*(1+HeadcountGrowthEff)</f>
        <v>0</v>
      </c>
      <c r="K37" s="10">
        <f>UptakeEff</f>
        <v>0</v>
      </c>
      <c r="L37" s="10">
        <f>[[#This Row],[Unités / personne / an]]*(1+VolumeMultiplierEff)</f>
        <v>0</v>
      </c>
      <c r="M37" s="10">
        <f>MIN([[#This Row],[Valeur proposée €/unité]]*[[#This Row],[Unités proj./pers.]], [[#This Row],[Cap €/pers (eff.)]])</f>
        <v>0</v>
      </c>
      <c r="N37" s="6">
        <f>[[#This Row],[Effectifs proj.]]*[[#This Row],[Unités proj./pers.]]*[[#This Row],[Valeur actuelle €/unité]]</f>
        <v>0</v>
      </c>
      <c r="O3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7" s="6">
        <f>[[#This Row],[Coût proposé total €]]-[[#This Row],[Coût actuel total €]]</f>
        <v>0</v>
      </c>
      <c r="Q37">
        <f>IF([[#This Row],[Coût actuel total €]]&gt;0, [[#This Row],[Surcoût total €]]/[[#This Row],[Coût actuel total €]], 0)</f>
        <v>0</v>
      </c>
    </row>
    <row r="38" spans="7:17">
      <c r="G38" s="6">
        <f>[[#This Row],[Valeur actuelle €/unité]]</f>
        <v>0</v>
      </c>
      <c r="H38" s="6">
        <f>[[#This Row],[Valeur proposée €/unité]]</f>
        <v>0</v>
      </c>
      <c r="I38" s="6">
        <f>CapPerPersonEff</f>
        <v>0</v>
      </c>
      <c r="J38" s="10">
        <f>[[#This Row],[Effectifs (N)]]*(1+HeadcountGrowthEff)</f>
        <v>0</v>
      </c>
      <c r="K38" s="10">
        <f>UptakeEff</f>
        <v>0</v>
      </c>
      <c r="L38" s="10">
        <f>[[#This Row],[Unités / personne / an]]*(1+VolumeMultiplierEff)</f>
        <v>0</v>
      </c>
      <c r="M38" s="10">
        <f>MIN([[#This Row],[Valeur proposée €/unité]]*[[#This Row],[Unités proj./pers.]], [[#This Row],[Cap €/pers (eff.)]])</f>
        <v>0</v>
      </c>
      <c r="N38" s="6">
        <f>[[#This Row],[Effectifs proj.]]*[[#This Row],[Unités proj./pers.]]*[[#This Row],[Valeur actuelle €/unité]]</f>
        <v>0</v>
      </c>
      <c r="O3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8" s="6">
        <f>[[#This Row],[Coût proposé total €]]-[[#This Row],[Coût actuel total €]]</f>
        <v>0</v>
      </c>
      <c r="Q38">
        <f>IF([[#This Row],[Coût actuel total €]]&gt;0, [[#This Row],[Surcoût total €]]/[[#This Row],[Coût actuel total €]], 0)</f>
        <v>0</v>
      </c>
    </row>
    <row r="39" spans="7:17">
      <c r="G39" s="6">
        <f>[[#This Row],[Valeur actuelle €/unité]]</f>
        <v>0</v>
      </c>
      <c r="H39" s="6">
        <f>[[#This Row],[Valeur proposée €/unité]]</f>
        <v>0</v>
      </c>
      <c r="I39" s="6">
        <f>CapPerPersonEff</f>
        <v>0</v>
      </c>
      <c r="J39" s="10">
        <f>[[#This Row],[Effectifs (N)]]*(1+HeadcountGrowthEff)</f>
        <v>0</v>
      </c>
      <c r="K39" s="10">
        <f>UptakeEff</f>
        <v>0</v>
      </c>
      <c r="L39" s="10">
        <f>[[#This Row],[Unités / personne / an]]*(1+VolumeMultiplierEff)</f>
        <v>0</v>
      </c>
      <c r="M39" s="10">
        <f>MIN([[#This Row],[Valeur proposée €/unité]]*[[#This Row],[Unités proj./pers.]], [[#This Row],[Cap €/pers (eff.)]])</f>
        <v>0</v>
      </c>
      <c r="N39" s="6">
        <f>[[#This Row],[Effectifs proj.]]*[[#This Row],[Unités proj./pers.]]*[[#This Row],[Valeur actuelle €/unité]]</f>
        <v>0</v>
      </c>
      <c r="O3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39" s="6">
        <f>[[#This Row],[Coût proposé total €]]-[[#This Row],[Coût actuel total €]]</f>
        <v>0</v>
      </c>
      <c r="Q39">
        <f>IF([[#This Row],[Coût actuel total €]]&gt;0, [[#This Row],[Surcoût total €]]/[[#This Row],[Coût actuel total €]], 0)</f>
        <v>0</v>
      </c>
    </row>
    <row r="40" spans="7:17">
      <c r="G40" s="6">
        <f>[[#This Row],[Valeur actuelle €/unité]]</f>
        <v>0</v>
      </c>
      <c r="H40" s="6">
        <f>[[#This Row],[Valeur proposée €/unité]]</f>
        <v>0</v>
      </c>
      <c r="I40" s="6">
        <f>CapPerPersonEff</f>
        <v>0</v>
      </c>
      <c r="J40" s="10">
        <f>[[#This Row],[Effectifs (N)]]*(1+HeadcountGrowthEff)</f>
        <v>0</v>
      </c>
      <c r="K40" s="10">
        <f>UptakeEff</f>
        <v>0</v>
      </c>
      <c r="L40" s="10">
        <f>[[#This Row],[Unités / personne / an]]*(1+VolumeMultiplierEff)</f>
        <v>0</v>
      </c>
      <c r="M40" s="10">
        <f>MIN([[#This Row],[Valeur proposée €/unité]]*[[#This Row],[Unités proj./pers.]], [[#This Row],[Cap €/pers (eff.)]])</f>
        <v>0</v>
      </c>
      <c r="N40" s="6">
        <f>[[#This Row],[Effectifs proj.]]*[[#This Row],[Unités proj./pers.]]*[[#This Row],[Valeur actuelle €/unité]]</f>
        <v>0</v>
      </c>
      <c r="O4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0" s="6">
        <f>[[#This Row],[Coût proposé total €]]-[[#This Row],[Coût actuel total €]]</f>
        <v>0</v>
      </c>
      <c r="Q40">
        <f>IF([[#This Row],[Coût actuel total €]]&gt;0, [[#This Row],[Surcoût total €]]/[[#This Row],[Coût actuel total €]], 0)</f>
        <v>0</v>
      </c>
    </row>
    <row r="41" spans="7:17">
      <c r="G41" s="6">
        <f>[[#This Row],[Valeur actuelle €/unité]]</f>
        <v>0</v>
      </c>
      <c r="H41" s="6">
        <f>[[#This Row],[Valeur proposée €/unité]]</f>
        <v>0</v>
      </c>
      <c r="I41" s="6">
        <f>CapPerPersonEff</f>
        <v>0</v>
      </c>
      <c r="J41" s="10">
        <f>[[#This Row],[Effectifs (N)]]*(1+HeadcountGrowthEff)</f>
        <v>0</v>
      </c>
      <c r="K41" s="10">
        <f>UptakeEff</f>
        <v>0</v>
      </c>
      <c r="L41" s="10">
        <f>[[#This Row],[Unités / personne / an]]*(1+VolumeMultiplierEff)</f>
        <v>0</v>
      </c>
      <c r="M41" s="10">
        <f>MIN([[#This Row],[Valeur proposée €/unité]]*[[#This Row],[Unités proj./pers.]], [[#This Row],[Cap €/pers (eff.)]])</f>
        <v>0</v>
      </c>
      <c r="N41" s="6">
        <f>[[#This Row],[Effectifs proj.]]*[[#This Row],[Unités proj./pers.]]*[[#This Row],[Valeur actuelle €/unité]]</f>
        <v>0</v>
      </c>
      <c r="O4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1" s="6">
        <f>[[#This Row],[Coût proposé total €]]-[[#This Row],[Coût actuel total €]]</f>
        <v>0</v>
      </c>
      <c r="Q41">
        <f>IF([[#This Row],[Coût actuel total €]]&gt;0, [[#This Row],[Surcoût total €]]/[[#This Row],[Coût actuel total €]], 0)</f>
        <v>0</v>
      </c>
    </row>
    <row r="42" spans="7:17">
      <c r="G42" s="6">
        <f>[[#This Row],[Valeur actuelle €/unité]]</f>
        <v>0</v>
      </c>
      <c r="H42" s="6">
        <f>[[#This Row],[Valeur proposée €/unité]]</f>
        <v>0</v>
      </c>
      <c r="I42" s="6">
        <f>CapPerPersonEff</f>
        <v>0</v>
      </c>
      <c r="J42" s="10">
        <f>[[#This Row],[Effectifs (N)]]*(1+HeadcountGrowthEff)</f>
        <v>0</v>
      </c>
      <c r="K42" s="10">
        <f>UptakeEff</f>
        <v>0</v>
      </c>
      <c r="L42" s="10">
        <f>[[#This Row],[Unités / personne / an]]*(1+VolumeMultiplierEff)</f>
        <v>0</v>
      </c>
      <c r="M42" s="10">
        <f>MIN([[#This Row],[Valeur proposée €/unité]]*[[#This Row],[Unités proj./pers.]], [[#This Row],[Cap €/pers (eff.)]])</f>
        <v>0</v>
      </c>
      <c r="N42" s="6">
        <f>[[#This Row],[Effectifs proj.]]*[[#This Row],[Unités proj./pers.]]*[[#This Row],[Valeur actuelle €/unité]]</f>
        <v>0</v>
      </c>
      <c r="O4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2" s="6">
        <f>[[#This Row],[Coût proposé total €]]-[[#This Row],[Coût actuel total €]]</f>
        <v>0</v>
      </c>
      <c r="Q42">
        <f>IF([[#This Row],[Coût actuel total €]]&gt;0, [[#This Row],[Surcoût total €]]/[[#This Row],[Coût actuel total €]], 0)</f>
        <v>0</v>
      </c>
    </row>
    <row r="43" spans="7:17">
      <c r="G43" s="6">
        <f>[[#This Row],[Valeur actuelle €/unité]]</f>
        <v>0</v>
      </c>
      <c r="H43" s="6">
        <f>[[#This Row],[Valeur proposée €/unité]]</f>
        <v>0</v>
      </c>
      <c r="I43" s="6">
        <f>CapPerPersonEff</f>
        <v>0</v>
      </c>
      <c r="J43" s="10">
        <f>[[#This Row],[Effectifs (N)]]*(1+HeadcountGrowthEff)</f>
        <v>0</v>
      </c>
      <c r="K43" s="10">
        <f>UptakeEff</f>
        <v>0</v>
      </c>
      <c r="L43" s="10">
        <f>[[#This Row],[Unités / personne / an]]*(1+VolumeMultiplierEff)</f>
        <v>0</v>
      </c>
      <c r="M43" s="10">
        <f>MIN([[#This Row],[Valeur proposée €/unité]]*[[#This Row],[Unités proj./pers.]], [[#This Row],[Cap €/pers (eff.)]])</f>
        <v>0</v>
      </c>
      <c r="N43" s="6">
        <f>[[#This Row],[Effectifs proj.]]*[[#This Row],[Unités proj./pers.]]*[[#This Row],[Valeur actuelle €/unité]]</f>
        <v>0</v>
      </c>
      <c r="O4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3" s="6">
        <f>[[#This Row],[Coût proposé total €]]-[[#This Row],[Coût actuel total €]]</f>
        <v>0</v>
      </c>
      <c r="Q43">
        <f>IF([[#This Row],[Coût actuel total €]]&gt;0, [[#This Row],[Surcoût total €]]/[[#This Row],[Coût actuel total €]], 0)</f>
        <v>0</v>
      </c>
    </row>
    <row r="44" spans="7:17">
      <c r="G44" s="6">
        <f>[[#This Row],[Valeur actuelle €/unité]]</f>
        <v>0</v>
      </c>
      <c r="H44" s="6">
        <f>[[#This Row],[Valeur proposée €/unité]]</f>
        <v>0</v>
      </c>
      <c r="I44" s="6">
        <f>CapPerPersonEff</f>
        <v>0</v>
      </c>
      <c r="J44" s="10">
        <f>[[#This Row],[Effectifs (N)]]*(1+HeadcountGrowthEff)</f>
        <v>0</v>
      </c>
      <c r="K44" s="10">
        <f>UptakeEff</f>
        <v>0</v>
      </c>
      <c r="L44" s="10">
        <f>[[#This Row],[Unités / personne / an]]*(1+VolumeMultiplierEff)</f>
        <v>0</v>
      </c>
      <c r="M44" s="10">
        <f>MIN([[#This Row],[Valeur proposée €/unité]]*[[#This Row],[Unités proj./pers.]], [[#This Row],[Cap €/pers (eff.)]])</f>
        <v>0</v>
      </c>
      <c r="N44" s="6">
        <f>[[#This Row],[Effectifs proj.]]*[[#This Row],[Unités proj./pers.]]*[[#This Row],[Valeur actuelle €/unité]]</f>
        <v>0</v>
      </c>
      <c r="O4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4" s="6">
        <f>[[#This Row],[Coût proposé total €]]-[[#This Row],[Coût actuel total €]]</f>
        <v>0</v>
      </c>
      <c r="Q44">
        <f>IF([[#This Row],[Coût actuel total €]]&gt;0, [[#This Row],[Surcoût total €]]/[[#This Row],[Coût actuel total €]], 0)</f>
        <v>0</v>
      </c>
    </row>
    <row r="45" spans="7:17">
      <c r="G45" s="6">
        <f>[[#This Row],[Valeur actuelle €/unité]]</f>
        <v>0</v>
      </c>
      <c r="H45" s="6">
        <f>[[#This Row],[Valeur proposée €/unité]]</f>
        <v>0</v>
      </c>
      <c r="I45" s="6">
        <f>CapPerPersonEff</f>
        <v>0</v>
      </c>
      <c r="J45" s="10">
        <f>[[#This Row],[Effectifs (N)]]*(1+HeadcountGrowthEff)</f>
        <v>0</v>
      </c>
      <c r="K45" s="10">
        <f>UptakeEff</f>
        <v>0</v>
      </c>
      <c r="L45" s="10">
        <f>[[#This Row],[Unités / personne / an]]*(1+VolumeMultiplierEff)</f>
        <v>0</v>
      </c>
      <c r="M45" s="10">
        <f>MIN([[#This Row],[Valeur proposée €/unité]]*[[#This Row],[Unités proj./pers.]], [[#This Row],[Cap €/pers (eff.)]])</f>
        <v>0</v>
      </c>
      <c r="N45" s="6">
        <f>[[#This Row],[Effectifs proj.]]*[[#This Row],[Unités proj./pers.]]*[[#This Row],[Valeur actuelle €/unité]]</f>
        <v>0</v>
      </c>
      <c r="O4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5" s="6">
        <f>[[#This Row],[Coût proposé total €]]-[[#This Row],[Coût actuel total €]]</f>
        <v>0</v>
      </c>
      <c r="Q45">
        <f>IF([[#This Row],[Coût actuel total €]]&gt;0, [[#This Row],[Surcoût total €]]/[[#This Row],[Coût actuel total €]], 0)</f>
        <v>0</v>
      </c>
    </row>
    <row r="46" spans="7:17">
      <c r="G46" s="6">
        <f>[[#This Row],[Valeur actuelle €/unité]]</f>
        <v>0</v>
      </c>
      <c r="H46" s="6">
        <f>[[#This Row],[Valeur proposée €/unité]]</f>
        <v>0</v>
      </c>
      <c r="I46" s="6">
        <f>CapPerPersonEff</f>
        <v>0</v>
      </c>
      <c r="J46" s="10">
        <f>[[#This Row],[Effectifs (N)]]*(1+HeadcountGrowthEff)</f>
        <v>0</v>
      </c>
      <c r="K46" s="10">
        <f>UptakeEff</f>
        <v>0</v>
      </c>
      <c r="L46" s="10">
        <f>[[#This Row],[Unités / personne / an]]*(1+VolumeMultiplierEff)</f>
        <v>0</v>
      </c>
      <c r="M46" s="10">
        <f>MIN([[#This Row],[Valeur proposée €/unité]]*[[#This Row],[Unités proj./pers.]], [[#This Row],[Cap €/pers (eff.)]])</f>
        <v>0</v>
      </c>
      <c r="N46" s="6">
        <f>[[#This Row],[Effectifs proj.]]*[[#This Row],[Unités proj./pers.]]*[[#This Row],[Valeur actuelle €/unité]]</f>
        <v>0</v>
      </c>
      <c r="O4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6" s="6">
        <f>[[#This Row],[Coût proposé total €]]-[[#This Row],[Coût actuel total €]]</f>
        <v>0</v>
      </c>
      <c r="Q46">
        <f>IF([[#This Row],[Coût actuel total €]]&gt;0, [[#This Row],[Surcoût total €]]/[[#This Row],[Coût actuel total €]], 0)</f>
        <v>0</v>
      </c>
    </row>
    <row r="47" spans="7:17">
      <c r="G47" s="6">
        <f>[[#This Row],[Valeur actuelle €/unité]]</f>
        <v>0</v>
      </c>
      <c r="H47" s="6">
        <f>[[#This Row],[Valeur proposée €/unité]]</f>
        <v>0</v>
      </c>
      <c r="I47" s="6">
        <f>CapPerPersonEff</f>
        <v>0</v>
      </c>
      <c r="J47" s="10">
        <f>[[#This Row],[Effectifs (N)]]*(1+HeadcountGrowthEff)</f>
        <v>0</v>
      </c>
      <c r="K47" s="10">
        <f>UptakeEff</f>
        <v>0</v>
      </c>
      <c r="L47" s="10">
        <f>[[#This Row],[Unités / personne / an]]*(1+VolumeMultiplierEff)</f>
        <v>0</v>
      </c>
      <c r="M47" s="10">
        <f>MIN([[#This Row],[Valeur proposée €/unité]]*[[#This Row],[Unités proj./pers.]], [[#This Row],[Cap €/pers (eff.)]])</f>
        <v>0</v>
      </c>
      <c r="N47" s="6">
        <f>[[#This Row],[Effectifs proj.]]*[[#This Row],[Unités proj./pers.]]*[[#This Row],[Valeur actuelle €/unité]]</f>
        <v>0</v>
      </c>
      <c r="O4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7" s="6">
        <f>[[#This Row],[Coût proposé total €]]-[[#This Row],[Coût actuel total €]]</f>
        <v>0</v>
      </c>
      <c r="Q47">
        <f>IF([[#This Row],[Coût actuel total €]]&gt;0, [[#This Row],[Surcoût total €]]/[[#This Row],[Coût actuel total €]], 0)</f>
        <v>0</v>
      </c>
    </row>
    <row r="48" spans="7:17">
      <c r="G48" s="6">
        <f>[[#This Row],[Valeur actuelle €/unité]]</f>
        <v>0</v>
      </c>
      <c r="H48" s="6">
        <f>[[#This Row],[Valeur proposée €/unité]]</f>
        <v>0</v>
      </c>
      <c r="I48" s="6">
        <f>CapPerPersonEff</f>
        <v>0</v>
      </c>
      <c r="J48" s="10">
        <f>[[#This Row],[Effectifs (N)]]*(1+HeadcountGrowthEff)</f>
        <v>0</v>
      </c>
      <c r="K48" s="10">
        <f>UptakeEff</f>
        <v>0</v>
      </c>
      <c r="L48" s="10">
        <f>[[#This Row],[Unités / personne / an]]*(1+VolumeMultiplierEff)</f>
        <v>0</v>
      </c>
      <c r="M48" s="10">
        <f>MIN([[#This Row],[Valeur proposée €/unité]]*[[#This Row],[Unités proj./pers.]], [[#This Row],[Cap €/pers (eff.)]])</f>
        <v>0</v>
      </c>
      <c r="N48" s="6">
        <f>[[#This Row],[Effectifs proj.]]*[[#This Row],[Unités proj./pers.]]*[[#This Row],[Valeur actuelle €/unité]]</f>
        <v>0</v>
      </c>
      <c r="O4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8" s="6">
        <f>[[#This Row],[Coût proposé total €]]-[[#This Row],[Coût actuel total €]]</f>
        <v>0</v>
      </c>
      <c r="Q48">
        <f>IF([[#This Row],[Coût actuel total €]]&gt;0, [[#This Row],[Surcoût total €]]/[[#This Row],[Coût actuel total €]], 0)</f>
        <v>0</v>
      </c>
    </row>
    <row r="49" spans="7:17">
      <c r="G49" s="6">
        <f>[[#This Row],[Valeur actuelle €/unité]]</f>
        <v>0</v>
      </c>
      <c r="H49" s="6">
        <f>[[#This Row],[Valeur proposée €/unité]]</f>
        <v>0</v>
      </c>
      <c r="I49" s="6">
        <f>CapPerPersonEff</f>
        <v>0</v>
      </c>
      <c r="J49" s="10">
        <f>[[#This Row],[Effectifs (N)]]*(1+HeadcountGrowthEff)</f>
        <v>0</v>
      </c>
      <c r="K49" s="10">
        <f>UptakeEff</f>
        <v>0</v>
      </c>
      <c r="L49" s="10">
        <f>[[#This Row],[Unités / personne / an]]*(1+VolumeMultiplierEff)</f>
        <v>0</v>
      </c>
      <c r="M49" s="10">
        <f>MIN([[#This Row],[Valeur proposée €/unité]]*[[#This Row],[Unités proj./pers.]], [[#This Row],[Cap €/pers (eff.)]])</f>
        <v>0</v>
      </c>
      <c r="N49" s="6">
        <f>[[#This Row],[Effectifs proj.]]*[[#This Row],[Unités proj./pers.]]*[[#This Row],[Valeur actuelle €/unité]]</f>
        <v>0</v>
      </c>
      <c r="O4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49" s="6">
        <f>[[#This Row],[Coût proposé total €]]-[[#This Row],[Coût actuel total €]]</f>
        <v>0</v>
      </c>
      <c r="Q49">
        <f>IF([[#This Row],[Coût actuel total €]]&gt;0, [[#This Row],[Surcoût total €]]/[[#This Row],[Coût actuel total €]], 0)</f>
        <v>0</v>
      </c>
    </row>
    <row r="50" spans="7:17">
      <c r="G50" s="6">
        <f>[[#This Row],[Valeur actuelle €/unité]]</f>
        <v>0</v>
      </c>
      <c r="H50" s="6">
        <f>[[#This Row],[Valeur proposée €/unité]]</f>
        <v>0</v>
      </c>
      <c r="I50" s="6">
        <f>CapPerPersonEff</f>
        <v>0</v>
      </c>
      <c r="J50" s="10">
        <f>[[#This Row],[Effectifs (N)]]*(1+HeadcountGrowthEff)</f>
        <v>0</v>
      </c>
      <c r="K50" s="10">
        <f>UptakeEff</f>
        <v>0</v>
      </c>
      <c r="L50" s="10">
        <f>[[#This Row],[Unités / personne / an]]*(1+VolumeMultiplierEff)</f>
        <v>0</v>
      </c>
      <c r="M50" s="10">
        <f>MIN([[#This Row],[Valeur proposée €/unité]]*[[#This Row],[Unités proj./pers.]], [[#This Row],[Cap €/pers (eff.)]])</f>
        <v>0</v>
      </c>
      <c r="N50" s="6">
        <f>[[#This Row],[Effectifs proj.]]*[[#This Row],[Unités proj./pers.]]*[[#This Row],[Valeur actuelle €/unité]]</f>
        <v>0</v>
      </c>
      <c r="O5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0" s="6">
        <f>[[#This Row],[Coût proposé total €]]-[[#This Row],[Coût actuel total €]]</f>
        <v>0</v>
      </c>
      <c r="Q50">
        <f>IF([[#This Row],[Coût actuel total €]]&gt;0, [[#This Row],[Surcoût total €]]/[[#This Row],[Coût actuel total €]], 0)</f>
        <v>0</v>
      </c>
    </row>
    <row r="51" spans="7:17">
      <c r="G51" s="6">
        <f>[[#This Row],[Valeur actuelle €/unité]]</f>
        <v>0</v>
      </c>
      <c r="H51" s="6">
        <f>[[#This Row],[Valeur proposée €/unité]]</f>
        <v>0</v>
      </c>
      <c r="I51" s="6">
        <f>CapPerPersonEff</f>
        <v>0</v>
      </c>
      <c r="J51" s="10">
        <f>[[#This Row],[Effectifs (N)]]*(1+HeadcountGrowthEff)</f>
        <v>0</v>
      </c>
      <c r="K51" s="10">
        <f>UptakeEff</f>
        <v>0</v>
      </c>
      <c r="L51" s="10">
        <f>[[#This Row],[Unités / personne / an]]*(1+VolumeMultiplierEff)</f>
        <v>0</v>
      </c>
      <c r="M51" s="10">
        <f>MIN([[#This Row],[Valeur proposée €/unité]]*[[#This Row],[Unités proj./pers.]], [[#This Row],[Cap €/pers (eff.)]])</f>
        <v>0</v>
      </c>
      <c r="N51" s="6">
        <f>[[#This Row],[Effectifs proj.]]*[[#This Row],[Unités proj./pers.]]*[[#This Row],[Valeur actuelle €/unité]]</f>
        <v>0</v>
      </c>
      <c r="O5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1" s="6">
        <f>[[#This Row],[Coût proposé total €]]-[[#This Row],[Coût actuel total €]]</f>
        <v>0</v>
      </c>
      <c r="Q51">
        <f>IF([[#This Row],[Coût actuel total €]]&gt;0, [[#This Row],[Surcoût total €]]/[[#This Row],[Coût actuel total €]], 0)</f>
        <v>0</v>
      </c>
    </row>
    <row r="52" spans="7:17">
      <c r="G52" s="6">
        <f>[[#This Row],[Valeur actuelle €/unité]]</f>
        <v>0</v>
      </c>
      <c r="H52" s="6">
        <f>[[#This Row],[Valeur proposée €/unité]]</f>
        <v>0</v>
      </c>
      <c r="I52" s="6">
        <f>CapPerPersonEff</f>
        <v>0</v>
      </c>
      <c r="J52" s="10">
        <f>[[#This Row],[Effectifs (N)]]*(1+HeadcountGrowthEff)</f>
        <v>0</v>
      </c>
      <c r="K52" s="10">
        <f>UptakeEff</f>
        <v>0</v>
      </c>
      <c r="L52" s="10">
        <f>[[#This Row],[Unités / personne / an]]*(1+VolumeMultiplierEff)</f>
        <v>0</v>
      </c>
      <c r="M52" s="10">
        <f>MIN([[#This Row],[Valeur proposée €/unité]]*[[#This Row],[Unités proj./pers.]], [[#This Row],[Cap €/pers (eff.)]])</f>
        <v>0</v>
      </c>
      <c r="N52" s="6">
        <f>[[#This Row],[Effectifs proj.]]*[[#This Row],[Unités proj./pers.]]*[[#This Row],[Valeur actuelle €/unité]]</f>
        <v>0</v>
      </c>
      <c r="O5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2" s="6">
        <f>[[#This Row],[Coût proposé total €]]-[[#This Row],[Coût actuel total €]]</f>
        <v>0</v>
      </c>
      <c r="Q52">
        <f>IF([[#This Row],[Coût actuel total €]]&gt;0, [[#This Row],[Surcoût total €]]/[[#This Row],[Coût actuel total €]], 0)</f>
        <v>0</v>
      </c>
    </row>
    <row r="53" spans="7:17">
      <c r="G53" s="6">
        <f>[[#This Row],[Valeur actuelle €/unité]]</f>
        <v>0</v>
      </c>
      <c r="H53" s="6">
        <f>[[#This Row],[Valeur proposée €/unité]]</f>
        <v>0</v>
      </c>
      <c r="I53" s="6">
        <f>CapPerPersonEff</f>
        <v>0</v>
      </c>
      <c r="J53" s="10">
        <f>[[#This Row],[Effectifs (N)]]*(1+HeadcountGrowthEff)</f>
        <v>0</v>
      </c>
      <c r="K53" s="10">
        <f>UptakeEff</f>
        <v>0</v>
      </c>
      <c r="L53" s="10">
        <f>[[#This Row],[Unités / personne / an]]*(1+VolumeMultiplierEff)</f>
        <v>0</v>
      </c>
      <c r="M53" s="10">
        <f>MIN([[#This Row],[Valeur proposée €/unité]]*[[#This Row],[Unités proj./pers.]], [[#This Row],[Cap €/pers (eff.)]])</f>
        <v>0</v>
      </c>
      <c r="N53" s="6">
        <f>[[#This Row],[Effectifs proj.]]*[[#This Row],[Unités proj./pers.]]*[[#This Row],[Valeur actuelle €/unité]]</f>
        <v>0</v>
      </c>
      <c r="O5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3" s="6">
        <f>[[#This Row],[Coût proposé total €]]-[[#This Row],[Coût actuel total €]]</f>
        <v>0</v>
      </c>
      <c r="Q53">
        <f>IF([[#This Row],[Coût actuel total €]]&gt;0, [[#This Row],[Surcoût total €]]/[[#This Row],[Coût actuel total €]], 0)</f>
        <v>0</v>
      </c>
    </row>
    <row r="54" spans="7:17">
      <c r="G54" s="6">
        <f>[[#This Row],[Valeur actuelle €/unité]]</f>
        <v>0</v>
      </c>
      <c r="H54" s="6">
        <f>[[#This Row],[Valeur proposée €/unité]]</f>
        <v>0</v>
      </c>
      <c r="I54" s="6">
        <f>CapPerPersonEff</f>
        <v>0</v>
      </c>
      <c r="J54" s="10">
        <f>[[#This Row],[Effectifs (N)]]*(1+HeadcountGrowthEff)</f>
        <v>0</v>
      </c>
      <c r="K54" s="10">
        <f>UptakeEff</f>
        <v>0</v>
      </c>
      <c r="L54" s="10">
        <f>[[#This Row],[Unités / personne / an]]*(1+VolumeMultiplierEff)</f>
        <v>0</v>
      </c>
      <c r="M54" s="10">
        <f>MIN([[#This Row],[Valeur proposée €/unité]]*[[#This Row],[Unités proj./pers.]], [[#This Row],[Cap €/pers (eff.)]])</f>
        <v>0</v>
      </c>
      <c r="N54" s="6">
        <f>[[#This Row],[Effectifs proj.]]*[[#This Row],[Unités proj./pers.]]*[[#This Row],[Valeur actuelle €/unité]]</f>
        <v>0</v>
      </c>
      <c r="O5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4" s="6">
        <f>[[#This Row],[Coût proposé total €]]-[[#This Row],[Coût actuel total €]]</f>
        <v>0</v>
      </c>
      <c r="Q54">
        <f>IF([[#This Row],[Coût actuel total €]]&gt;0, [[#This Row],[Surcoût total €]]/[[#This Row],[Coût actuel total €]], 0)</f>
        <v>0</v>
      </c>
    </row>
    <row r="55" spans="7:17">
      <c r="G55" s="6">
        <f>[[#This Row],[Valeur actuelle €/unité]]</f>
        <v>0</v>
      </c>
      <c r="H55" s="6">
        <f>[[#This Row],[Valeur proposée €/unité]]</f>
        <v>0</v>
      </c>
      <c r="I55" s="6">
        <f>CapPerPersonEff</f>
        <v>0</v>
      </c>
      <c r="J55" s="10">
        <f>[[#This Row],[Effectifs (N)]]*(1+HeadcountGrowthEff)</f>
        <v>0</v>
      </c>
      <c r="K55" s="10">
        <f>UptakeEff</f>
        <v>0</v>
      </c>
      <c r="L55" s="10">
        <f>[[#This Row],[Unités / personne / an]]*(1+VolumeMultiplierEff)</f>
        <v>0</v>
      </c>
      <c r="M55" s="10">
        <f>MIN([[#This Row],[Valeur proposée €/unité]]*[[#This Row],[Unités proj./pers.]], [[#This Row],[Cap €/pers (eff.)]])</f>
        <v>0</v>
      </c>
      <c r="N55" s="6">
        <f>[[#This Row],[Effectifs proj.]]*[[#This Row],[Unités proj./pers.]]*[[#This Row],[Valeur actuelle €/unité]]</f>
        <v>0</v>
      </c>
      <c r="O55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5" s="6">
        <f>[[#This Row],[Coût proposé total €]]-[[#This Row],[Coût actuel total €]]</f>
        <v>0</v>
      </c>
      <c r="Q55">
        <f>IF([[#This Row],[Coût actuel total €]]&gt;0, [[#This Row],[Surcoût total €]]/[[#This Row],[Coût actuel total €]], 0)</f>
        <v>0</v>
      </c>
    </row>
    <row r="56" spans="7:17">
      <c r="G56" s="6">
        <f>[[#This Row],[Valeur actuelle €/unité]]</f>
        <v>0</v>
      </c>
      <c r="H56" s="6">
        <f>[[#This Row],[Valeur proposée €/unité]]</f>
        <v>0</v>
      </c>
      <c r="I56" s="6">
        <f>CapPerPersonEff</f>
        <v>0</v>
      </c>
      <c r="J56" s="10">
        <f>[[#This Row],[Effectifs (N)]]*(1+HeadcountGrowthEff)</f>
        <v>0</v>
      </c>
      <c r="K56" s="10">
        <f>UptakeEff</f>
        <v>0</v>
      </c>
      <c r="L56" s="10">
        <f>[[#This Row],[Unités / personne / an]]*(1+VolumeMultiplierEff)</f>
        <v>0</v>
      </c>
      <c r="M56" s="10">
        <f>MIN([[#This Row],[Valeur proposée €/unité]]*[[#This Row],[Unités proj./pers.]], [[#This Row],[Cap €/pers (eff.)]])</f>
        <v>0</v>
      </c>
      <c r="N56" s="6">
        <f>[[#This Row],[Effectifs proj.]]*[[#This Row],[Unités proj./pers.]]*[[#This Row],[Valeur actuelle €/unité]]</f>
        <v>0</v>
      </c>
      <c r="O56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6" s="6">
        <f>[[#This Row],[Coût proposé total €]]-[[#This Row],[Coût actuel total €]]</f>
        <v>0</v>
      </c>
      <c r="Q56">
        <f>IF([[#This Row],[Coût actuel total €]]&gt;0, [[#This Row],[Surcoût total €]]/[[#This Row],[Coût actuel total €]], 0)</f>
        <v>0</v>
      </c>
    </row>
    <row r="57" spans="7:17">
      <c r="G57" s="6">
        <f>[[#This Row],[Valeur actuelle €/unité]]</f>
        <v>0</v>
      </c>
      <c r="H57" s="6">
        <f>[[#This Row],[Valeur proposée €/unité]]</f>
        <v>0</v>
      </c>
      <c r="I57" s="6">
        <f>CapPerPersonEff</f>
        <v>0</v>
      </c>
      <c r="J57" s="10">
        <f>[[#This Row],[Effectifs (N)]]*(1+HeadcountGrowthEff)</f>
        <v>0</v>
      </c>
      <c r="K57" s="10">
        <f>UptakeEff</f>
        <v>0</v>
      </c>
      <c r="L57" s="10">
        <f>[[#This Row],[Unités / personne / an]]*(1+VolumeMultiplierEff)</f>
        <v>0</v>
      </c>
      <c r="M57" s="10">
        <f>MIN([[#This Row],[Valeur proposée €/unité]]*[[#This Row],[Unités proj./pers.]], [[#This Row],[Cap €/pers (eff.)]])</f>
        <v>0</v>
      </c>
      <c r="N57" s="6">
        <f>[[#This Row],[Effectifs proj.]]*[[#This Row],[Unités proj./pers.]]*[[#This Row],[Valeur actuelle €/unité]]</f>
        <v>0</v>
      </c>
      <c r="O57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7" s="6">
        <f>[[#This Row],[Coût proposé total €]]-[[#This Row],[Coût actuel total €]]</f>
        <v>0</v>
      </c>
      <c r="Q57">
        <f>IF([[#This Row],[Coût actuel total €]]&gt;0, [[#This Row],[Surcoût total €]]/[[#This Row],[Coût actuel total €]], 0)</f>
        <v>0</v>
      </c>
    </row>
    <row r="58" spans="7:17">
      <c r="G58" s="6">
        <f>[[#This Row],[Valeur actuelle €/unité]]</f>
        <v>0</v>
      </c>
      <c r="H58" s="6">
        <f>[[#This Row],[Valeur proposée €/unité]]</f>
        <v>0</v>
      </c>
      <c r="I58" s="6">
        <f>CapPerPersonEff</f>
        <v>0</v>
      </c>
      <c r="J58" s="10">
        <f>[[#This Row],[Effectifs (N)]]*(1+HeadcountGrowthEff)</f>
        <v>0</v>
      </c>
      <c r="K58" s="10">
        <f>UptakeEff</f>
        <v>0</v>
      </c>
      <c r="L58" s="10">
        <f>[[#This Row],[Unités / personne / an]]*(1+VolumeMultiplierEff)</f>
        <v>0</v>
      </c>
      <c r="M58" s="10">
        <f>MIN([[#This Row],[Valeur proposée €/unité]]*[[#This Row],[Unités proj./pers.]], [[#This Row],[Cap €/pers (eff.)]])</f>
        <v>0</v>
      </c>
      <c r="N58" s="6">
        <f>[[#This Row],[Effectifs proj.]]*[[#This Row],[Unités proj./pers.]]*[[#This Row],[Valeur actuelle €/unité]]</f>
        <v>0</v>
      </c>
      <c r="O58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8" s="6">
        <f>[[#This Row],[Coût proposé total €]]-[[#This Row],[Coût actuel total €]]</f>
        <v>0</v>
      </c>
      <c r="Q58">
        <f>IF([[#This Row],[Coût actuel total €]]&gt;0, [[#This Row],[Surcoût total €]]/[[#This Row],[Coût actuel total €]], 0)</f>
        <v>0</v>
      </c>
    </row>
    <row r="59" spans="7:17">
      <c r="G59" s="6">
        <f>[[#This Row],[Valeur actuelle €/unité]]</f>
        <v>0</v>
      </c>
      <c r="H59" s="6">
        <f>[[#This Row],[Valeur proposée €/unité]]</f>
        <v>0</v>
      </c>
      <c r="I59" s="6">
        <f>CapPerPersonEff</f>
        <v>0</v>
      </c>
      <c r="J59" s="10">
        <f>[[#This Row],[Effectifs (N)]]*(1+HeadcountGrowthEff)</f>
        <v>0</v>
      </c>
      <c r="K59" s="10">
        <f>UptakeEff</f>
        <v>0</v>
      </c>
      <c r="L59" s="10">
        <f>[[#This Row],[Unités / personne / an]]*(1+VolumeMultiplierEff)</f>
        <v>0</v>
      </c>
      <c r="M59" s="10">
        <f>MIN([[#This Row],[Valeur proposée €/unité]]*[[#This Row],[Unités proj./pers.]], [[#This Row],[Cap €/pers (eff.)]])</f>
        <v>0</v>
      </c>
      <c r="N59" s="6">
        <f>[[#This Row],[Effectifs proj.]]*[[#This Row],[Unités proj./pers.]]*[[#This Row],[Valeur actuelle €/unité]]</f>
        <v>0</v>
      </c>
      <c r="O59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59" s="6">
        <f>[[#This Row],[Coût proposé total €]]-[[#This Row],[Coût actuel total €]]</f>
        <v>0</v>
      </c>
      <c r="Q59">
        <f>IF([[#This Row],[Coût actuel total €]]&gt;0, [[#This Row],[Surcoût total €]]/[[#This Row],[Coût actuel total €]], 0)</f>
        <v>0</v>
      </c>
    </row>
    <row r="60" spans="7:17">
      <c r="G60" s="6">
        <f>[[#This Row],[Valeur actuelle €/unité]]</f>
        <v>0</v>
      </c>
      <c r="H60" s="6">
        <f>[[#This Row],[Valeur proposée €/unité]]</f>
        <v>0</v>
      </c>
      <c r="I60" s="6">
        <f>CapPerPersonEff</f>
        <v>0</v>
      </c>
      <c r="J60" s="10">
        <f>[[#This Row],[Effectifs (N)]]*(1+HeadcountGrowthEff)</f>
        <v>0</v>
      </c>
      <c r="K60" s="10">
        <f>UptakeEff</f>
        <v>0</v>
      </c>
      <c r="L60" s="10">
        <f>[[#This Row],[Unités / personne / an]]*(1+VolumeMultiplierEff)</f>
        <v>0</v>
      </c>
      <c r="M60" s="10">
        <f>MIN([[#This Row],[Valeur proposée €/unité]]*[[#This Row],[Unités proj./pers.]], [[#This Row],[Cap €/pers (eff.)]])</f>
        <v>0</v>
      </c>
      <c r="N60" s="6">
        <f>[[#This Row],[Effectifs proj.]]*[[#This Row],[Unités proj./pers.]]*[[#This Row],[Valeur actuelle €/unité]]</f>
        <v>0</v>
      </c>
      <c r="O60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0" s="6">
        <f>[[#This Row],[Coût proposé total €]]-[[#This Row],[Coût actuel total €]]</f>
        <v>0</v>
      </c>
      <c r="Q60">
        <f>IF([[#This Row],[Coût actuel total €]]&gt;0, [[#This Row],[Surcoût total €]]/[[#This Row],[Coût actuel total €]], 0)</f>
        <v>0</v>
      </c>
    </row>
    <row r="61" spans="7:17">
      <c r="G61" s="6">
        <f>[[#This Row],[Valeur actuelle €/unité]]</f>
        <v>0</v>
      </c>
      <c r="H61" s="6">
        <f>[[#This Row],[Valeur proposée €/unité]]</f>
        <v>0</v>
      </c>
      <c r="I61" s="6">
        <f>CapPerPersonEff</f>
        <v>0</v>
      </c>
      <c r="J61" s="10">
        <f>[[#This Row],[Effectifs (N)]]*(1+HeadcountGrowthEff)</f>
        <v>0</v>
      </c>
      <c r="K61" s="10">
        <f>UptakeEff</f>
        <v>0</v>
      </c>
      <c r="L61" s="10">
        <f>[[#This Row],[Unités / personne / an]]*(1+VolumeMultiplierEff)</f>
        <v>0</v>
      </c>
      <c r="M61" s="10">
        <f>MIN([[#This Row],[Valeur proposée €/unité]]*[[#This Row],[Unités proj./pers.]], [[#This Row],[Cap €/pers (eff.)]])</f>
        <v>0</v>
      </c>
      <c r="N61" s="6">
        <f>[[#This Row],[Effectifs proj.]]*[[#This Row],[Unités proj./pers.]]*[[#This Row],[Valeur actuelle €/unité]]</f>
        <v>0</v>
      </c>
      <c r="O61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1" s="6">
        <f>[[#This Row],[Coût proposé total €]]-[[#This Row],[Coût actuel total €]]</f>
        <v>0</v>
      </c>
      <c r="Q61">
        <f>IF([[#This Row],[Coût actuel total €]]&gt;0, [[#This Row],[Surcoût total €]]/[[#This Row],[Coût actuel total €]], 0)</f>
        <v>0</v>
      </c>
    </row>
    <row r="62" spans="7:17">
      <c r="G62" s="6">
        <f>[[#This Row],[Valeur actuelle €/unité]]</f>
        <v>0</v>
      </c>
      <c r="H62" s="6">
        <f>[[#This Row],[Valeur proposée €/unité]]</f>
        <v>0</v>
      </c>
      <c r="I62" s="6">
        <f>CapPerPersonEff</f>
        <v>0</v>
      </c>
      <c r="J62" s="10">
        <f>[[#This Row],[Effectifs (N)]]*(1+HeadcountGrowthEff)</f>
        <v>0</v>
      </c>
      <c r="K62" s="10">
        <f>UptakeEff</f>
        <v>0</v>
      </c>
      <c r="L62" s="10">
        <f>[[#This Row],[Unités / personne / an]]*(1+VolumeMultiplierEff)</f>
        <v>0</v>
      </c>
      <c r="M62" s="10">
        <f>MIN([[#This Row],[Valeur proposée €/unité]]*[[#This Row],[Unités proj./pers.]], [[#This Row],[Cap €/pers (eff.)]])</f>
        <v>0</v>
      </c>
      <c r="N62" s="6">
        <f>[[#This Row],[Effectifs proj.]]*[[#This Row],[Unités proj./pers.]]*[[#This Row],[Valeur actuelle €/unité]]</f>
        <v>0</v>
      </c>
      <c r="O62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2" s="6">
        <f>[[#This Row],[Coût proposé total €]]-[[#This Row],[Coût actuel total €]]</f>
        <v>0</v>
      </c>
      <c r="Q62">
        <f>IF([[#This Row],[Coût actuel total €]]&gt;0, [[#This Row],[Surcoût total €]]/[[#This Row],[Coût actuel total €]], 0)</f>
        <v>0</v>
      </c>
    </row>
    <row r="63" spans="7:17">
      <c r="G63" s="6">
        <f>[[#This Row],[Valeur actuelle €/unité]]</f>
        <v>0</v>
      </c>
      <c r="H63" s="6">
        <f>[[#This Row],[Valeur proposée €/unité]]</f>
        <v>0</v>
      </c>
      <c r="I63" s="6">
        <f>CapPerPersonEff</f>
        <v>0</v>
      </c>
      <c r="J63" s="10">
        <f>[[#This Row],[Effectifs (N)]]*(1+HeadcountGrowthEff)</f>
        <v>0</v>
      </c>
      <c r="K63" s="10">
        <f>UptakeEff</f>
        <v>0</v>
      </c>
      <c r="L63" s="10">
        <f>[[#This Row],[Unités / personne / an]]*(1+VolumeMultiplierEff)</f>
        <v>0</v>
      </c>
      <c r="M63" s="10">
        <f>MIN([[#This Row],[Valeur proposée €/unité]]*[[#This Row],[Unités proj./pers.]], [[#This Row],[Cap €/pers (eff.)]])</f>
        <v>0</v>
      </c>
      <c r="N63" s="6">
        <f>[[#This Row],[Effectifs proj.]]*[[#This Row],[Unités proj./pers.]]*[[#This Row],[Valeur actuelle €/unité]]</f>
        <v>0</v>
      </c>
      <c r="O63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3" s="6">
        <f>[[#This Row],[Coût proposé total €]]-[[#This Row],[Coût actuel total €]]</f>
        <v>0</v>
      </c>
      <c r="Q63">
        <f>IF([[#This Row],[Coût actuel total €]]&gt;0, [[#This Row],[Surcoût total €]]/[[#This Row],[Coût actuel total €]], 0)</f>
        <v>0</v>
      </c>
    </row>
    <row r="64" spans="7:17">
      <c r="G64" s="6">
        <f>[[#This Row],[Valeur actuelle €/unité]]</f>
        <v>0</v>
      </c>
      <c r="H64" s="6">
        <f>[[#This Row],[Valeur proposée €/unité]]</f>
        <v>0</v>
      </c>
      <c r="I64" s="6">
        <f>CapPerPersonEff</f>
        <v>0</v>
      </c>
      <c r="J64" s="10">
        <f>[[#This Row],[Effectifs (N)]]*(1+HeadcountGrowthEff)</f>
        <v>0</v>
      </c>
      <c r="K64" s="10">
        <f>UptakeEff</f>
        <v>0</v>
      </c>
      <c r="L64" s="10">
        <f>[[#This Row],[Unités / personne / an]]*(1+VolumeMultiplierEff)</f>
        <v>0</v>
      </c>
      <c r="M64" s="10">
        <f>MIN([[#This Row],[Valeur proposée €/unité]]*[[#This Row],[Unités proj./pers.]], [[#This Row],[Cap €/pers (eff.)]])</f>
        <v>0</v>
      </c>
      <c r="N64" s="6">
        <f>[[#This Row],[Effectifs proj.]]*[[#This Row],[Unités proj./pers.]]*[[#This Row],[Valeur actuelle €/unité]]</f>
        <v>0</v>
      </c>
      <c r="O64" s="6">
        <f>[[#This Row],[Effectifs proj.]]*[[#This Row],[Uptake (eff.)]]*[[#This Row],[Coût par pers. proposé (cap)]] + [[#This Row],[Effectifs proj.]]*(1-[[#This Row],[Uptake (eff.)]])*[[#This Row],[Unités proj./pers.]]*[[#This Row],[Valeur actuelle €/unité]]</f>
        <v>0</v>
      </c>
      <c r="P64" s="6">
        <f>[[#This Row],[Coût proposé total €]]-[[#This Row],[Coût actuel total €]]</f>
        <v>0</v>
      </c>
      <c r="Q64">
        <f>IF([[#This Row],[Coût actuel total €]]&gt;0, [[#This Row],[Surcoût total €]]/[[#This Row],[Coût actuel total €]], 0)</f>
        <v>0</v>
      </c>
    </row>
  </sheetData>
  <conditionalFormatting sqref="P5:P64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Q5:Q64">
    <cfRule type="dataBar" priority="2">
      <dataBar>
        <cfvo type="min" val="0"/>
        <cfvo type="max" val="0"/>
        <color rgb="FF638EC6"/>
      </dataBar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K41"/>
  <sheetViews>
    <sheetView workbookViewId="0"/>
  </sheetViews>
  <sheetFormatPr defaultRowHeight="15"/>
  <cols>
    <col min="1" max="1" width="28.7109375" customWidth="1"/>
    <col min="2" max="4" width="20.7109375" style="6" customWidth="1"/>
    <col min="5" max="5" width="12.7109375" style="5" customWidth="1"/>
  </cols>
  <sheetData>
    <row r="1" spans="1:11">
      <c r="A1" s="1" t="s">
        <v>65</v>
      </c>
    </row>
    <row r="3" spans="1:11">
      <c r="A3" s="2" t="s">
        <v>66</v>
      </c>
      <c r="B3" s="2" t="s">
        <v>67</v>
      </c>
      <c r="G3" s="3" t="s">
        <v>76</v>
      </c>
    </row>
    <row r="4" spans="1:11">
      <c r="A4" t="s">
        <v>68</v>
      </c>
      <c r="B4" s="6">
        <f>SUM(tbl_baremes[[Coût actuel total €]])</f>
        <v>0</v>
      </c>
      <c r="G4" s="2" t="s">
        <v>38</v>
      </c>
      <c r="H4" s="2" t="s">
        <v>77</v>
      </c>
      <c r="I4" s="2" t="s">
        <v>25</v>
      </c>
      <c r="J4" s="2" t="s">
        <v>18</v>
      </c>
      <c r="K4" s="2" t="s">
        <v>26</v>
      </c>
    </row>
    <row r="5" spans="1:11">
      <c r="A5" t="s">
        <v>69</v>
      </c>
      <c r="B5" s="6">
        <f>SUM(tbl_baremes[[Coût proposé total €]])</f>
        <v>0</v>
      </c>
    </row>
    <row r="6" spans="1:11">
      <c r="A6" t="s">
        <v>70</v>
      </c>
      <c r="B6" s="6">
        <f>B5-B4</f>
        <v>0</v>
      </c>
      <c r="G6">
        <f>INDEX(tbl_baremes[Barème], 1)</f>
        <v>0</v>
      </c>
      <c r="H6" s="6">
        <f>INDEX(tbl_baremes[Coût actuel total €], 1)</f>
        <v>0</v>
      </c>
      <c r="I6" s="6">
        <f>INDEX(tbl_baremes[Effectifs (N)], 1)*(1+INDEX('Scénarios'!C4:C6,1))*INDEX(tbl_baremes[Unités / personne / an], 1)*(1+INDEX('Scénarios'!D4:D6,1))*MIN(INDEX(tbl_baremes[Valeur proposée €/unité], 1)*INDEX(tbl_baremes[Unités / personne / an], 1)*(1+INDEX('Scénarios'!D4:D6,1)), INDEX('Scénarios'!E4:E6,1))*INDEX('Scénarios'!B4:B6,1) + INDEX(tbl_baremes[Effectifs (N)], 1)*(1+INDEX('Scénarios'!C4:C6,1))*(1-INDEX('Scénarios'!B4:B6,1))*INDEX(tbl_baremes[Unités / personne / an], 1)*(1+INDEX('Scénarios'!D4:D6,1))*INDEX(tbl_baremes[Valeur actuelle €/unité], 1)</f>
        <v>0</v>
      </c>
      <c r="J6" s="6">
        <f>INDEX(tbl_baremes[Effectifs (N)], 1)*(1+INDEX('Scénarios'!C4:C6,2))*INDEX(tbl_baremes[Unités / personne / an], 1)*(1+INDEX('Scénarios'!D4:D6,2))*MIN(INDEX(tbl_baremes[Valeur proposée €/unité], 1)*INDEX(tbl_baremes[Unités / personne / an], 1)*(1+INDEX('Scénarios'!D4:D6,2)), INDEX('Scénarios'!E4:E6,2))*INDEX('Scénarios'!B4:B6,2) + INDEX(tbl_baremes[Effectifs (N)], 1)*(1+INDEX('Scénarios'!C4:C6,2))*(1-INDEX('Scénarios'!B4:B6,2))*INDEX(tbl_baremes[Unités / personne / an], 1)*(1+INDEX('Scénarios'!D4:D6,2))*INDEX(tbl_baremes[Valeur actuelle €/unité], 1)</f>
        <v>0</v>
      </c>
      <c r="K6" s="6">
        <f>INDEX(tbl_baremes[Effectifs (N)], 1)*(1+INDEX('Scénarios'!C4:C6,3))*INDEX(tbl_baremes[Unités / personne / an], 1)*(1+INDEX('Scénarios'!D4:D6,3))*MIN(INDEX(tbl_baremes[Valeur proposée €/unité], 1)*INDEX(tbl_baremes[Unités / personne / an], 1)*(1+INDEX('Scénarios'!D4:D6,3)), INDEX('Scénarios'!E4:E6,3))*INDEX('Scénarios'!B4:B6,3) + INDEX(tbl_baremes[Effectifs (N)], 1)*(1+INDEX('Scénarios'!C4:C6,3))*(1-INDEX('Scénarios'!B4:B6,3))*INDEX(tbl_baremes[Unités / personne / an], 1)*(1+INDEX('Scénarios'!D4:D6,3))*INDEX(tbl_baremes[Valeur actuelle €/unité], 1)</f>
        <v>0</v>
      </c>
    </row>
    <row r="7" spans="1:11">
      <c r="A7" t="s">
        <v>71</v>
      </c>
      <c r="B7" s="5">
        <f>IF(B4&gt;0, B6/B4, 0)</f>
        <v>0</v>
      </c>
      <c r="G7">
        <f>INDEX(tbl_baremes[Barème], 2)</f>
        <v>0</v>
      </c>
      <c r="H7" s="6">
        <f>INDEX(tbl_baremes[Coût actuel total €], 2)</f>
        <v>0</v>
      </c>
      <c r="I7" s="6">
        <f>INDEX(tbl_baremes[Effectifs (N)], 2)*(1+INDEX('Scénarios'!C4:C6,1))*INDEX(tbl_baremes[Unités / personne / an], 2)*(1+INDEX('Scénarios'!D4:D6,1))*MIN(INDEX(tbl_baremes[Valeur proposée €/unité], 2)*INDEX(tbl_baremes[Unités / personne / an], 2)*(1+INDEX('Scénarios'!D4:D6,1)), INDEX('Scénarios'!E4:E6,1))*INDEX('Scénarios'!B4:B6,1) + INDEX(tbl_baremes[Effectifs (N)], 2)*(1+INDEX('Scénarios'!C4:C6,1))*(1-INDEX('Scénarios'!B4:B6,1))*INDEX(tbl_baremes[Unités / personne / an], 2)*(1+INDEX('Scénarios'!D4:D6,1))*INDEX(tbl_baremes[Valeur actuelle €/unité], 2)</f>
        <v>0</v>
      </c>
      <c r="J7" s="6">
        <f>INDEX(tbl_baremes[Effectifs (N)], 2)*(1+INDEX('Scénarios'!C4:C6,2))*INDEX(tbl_baremes[Unités / personne / an], 2)*(1+INDEX('Scénarios'!D4:D6,2))*MIN(INDEX(tbl_baremes[Valeur proposée €/unité], 2)*INDEX(tbl_baremes[Unités / personne / an], 2)*(1+INDEX('Scénarios'!D4:D6,2)), INDEX('Scénarios'!E4:E6,2))*INDEX('Scénarios'!B4:B6,2) + INDEX(tbl_baremes[Effectifs (N)], 2)*(1+INDEX('Scénarios'!C4:C6,2))*(1-INDEX('Scénarios'!B4:B6,2))*INDEX(tbl_baremes[Unités / personne / an], 2)*(1+INDEX('Scénarios'!D4:D6,2))*INDEX(tbl_baremes[Valeur actuelle €/unité], 2)</f>
        <v>0</v>
      </c>
      <c r="K7" s="6">
        <f>INDEX(tbl_baremes[Effectifs (N)], 2)*(1+INDEX('Scénarios'!C4:C6,3))*INDEX(tbl_baremes[Unités / personne / an], 2)*(1+INDEX('Scénarios'!D4:D6,3))*MIN(INDEX(tbl_baremes[Valeur proposée €/unité], 2)*INDEX(tbl_baremes[Unités / personne / an], 2)*(1+INDEX('Scénarios'!D4:D6,3)), INDEX('Scénarios'!E4:E6,3))*INDEX('Scénarios'!B4:B6,3) + INDEX(tbl_baremes[Effectifs (N)], 2)*(1+INDEX('Scénarios'!C4:C6,3))*(1-INDEX('Scénarios'!B4:B6,3))*INDEX(tbl_baremes[Unités / personne / an], 2)*(1+INDEX('Scénarios'!D4:D6,3))*INDEX(tbl_baremes[Valeur actuelle €/unité], 2)</f>
        <v>0</v>
      </c>
    </row>
    <row r="8" spans="1:11">
      <c r="G8">
        <f>INDEX(tbl_baremes[Barème], 3)</f>
        <v>0</v>
      </c>
      <c r="H8" s="6">
        <f>INDEX(tbl_baremes[Coût actuel total €], 3)</f>
        <v>0</v>
      </c>
      <c r="I8" s="6">
        <f>INDEX(tbl_baremes[Effectifs (N)], 3)*(1+INDEX('Scénarios'!C4:C6,1))*INDEX(tbl_baremes[Unités / personne / an], 3)*(1+INDEX('Scénarios'!D4:D6,1))*MIN(INDEX(tbl_baremes[Valeur proposée €/unité], 3)*INDEX(tbl_baremes[Unités / personne / an], 3)*(1+INDEX('Scénarios'!D4:D6,1)), INDEX('Scénarios'!E4:E6,1))*INDEX('Scénarios'!B4:B6,1) + INDEX(tbl_baremes[Effectifs (N)], 3)*(1+INDEX('Scénarios'!C4:C6,1))*(1-INDEX('Scénarios'!B4:B6,1))*INDEX(tbl_baremes[Unités / personne / an], 3)*(1+INDEX('Scénarios'!D4:D6,1))*INDEX(tbl_baremes[Valeur actuelle €/unité], 3)</f>
        <v>0</v>
      </c>
      <c r="J8" s="6">
        <f>INDEX(tbl_baremes[Effectifs (N)], 3)*(1+INDEX('Scénarios'!C4:C6,2))*INDEX(tbl_baremes[Unités / personne / an], 3)*(1+INDEX('Scénarios'!D4:D6,2))*MIN(INDEX(tbl_baremes[Valeur proposée €/unité], 3)*INDEX(tbl_baremes[Unités / personne / an], 3)*(1+INDEX('Scénarios'!D4:D6,2)), INDEX('Scénarios'!E4:E6,2))*INDEX('Scénarios'!B4:B6,2) + INDEX(tbl_baremes[Effectifs (N)], 3)*(1+INDEX('Scénarios'!C4:C6,2))*(1-INDEX('Scénarios'!B4:B6,2))*INDEX(tbl_baremes[Unités / personne / an], 3)*(1+INDEX('Scénarios'!D4:D6,2))*INDEX(tbl_baremes[Valeur actuelle €/unité], 3)</f>
        <v>0</v>
      </c>
      <c r="K8" s="6">
        <f>INDEX(tbl_baremes[Effectifs (N)], 3)*(1+INDEX('Scénarios'!C4:C6,3))*INDEX(tbl_baremes[Unités / personne / an], 3)*(1+INDEX('Scénarios'!D4:D6,3))*MIN(INDEX(tbl_baremes[Valeur proposée €/unité], 3)*INDEX(tbl_baremes[Unités / personne / an], 3)*(1+INDEX('Scénarios'!D4:D6,3)), INDEX('Scénarios'!E4:E6,3))*INDEX('Scénarios'!B4:B6,3) + INDEX(tbl_baremes[Effectifs (N)], 3)*(1+INDEX('Scénarios'!C4:C6,3))*(1-INDEX('Scénarios'!B4:B6,3))*INDEX(tbl_baremes[Unités / personne / an], 3)*(1+INDEX('Scénarios'!D4:D6,3))*INDEX(tbl_baremes[Valeur actuelle €/unité], 3)</f>
        <v>0</v>
      </c>
    </row>
    <row r="9" spans="1:11">
      <c r="A9" s="3" t="s">
        <v>72</v>
      </c>
      <c r="G9">
        <f>INDEX(tbl_baremes[Barème], 4)</f>
        <v>0</v>
      </c>
      <c r="H9" s="6">
        <f>INDEX(tbl_baremes[Coût actuel total €], 4)</f>
        <v>0</v>
      </c>
      <c r="I9" s="6">
        <f>INDEX(tbl_baremes[Effectifs (N)], 4)*(1+INDEX('Scénarios'!C4:C6,1))*INDEX(tbl_baremes[Unités / personne / an], 4)*(1+INDEX('Scénarios'!D4:D6,1))*MIN(INDEX(tbl_baremes[Valeur proposée €/unité], 4)*INDEX(tbl_baremes[Unités / personne / an], 4)*(1+INDEX('Scénarios'!D4:D6,1)), INDEX('Scénarios'!E4:E6,1))*INDEX('Scénarios'!B4:B6,1) + INDEX(tbl_baremes[Effectifs (N)], 4)*(1+INDEX('Scénarios'!C4:C6,1))*(1-INDEX('Scénarios'!B4:B6,1))*INDEX(tbl_baremes[Unités / personne / an], 4)*(1+INDEX('Scénarios'!D4:D6,1))*INDEX(tbl_baremes[Valeur actuelle €/unité], 4)</f>
        <v>0</v>
      </c>
      <c r="J9" s="6">
        <f>INDEX(tbl_baremes[Effectifs (N)], 4)*(1+INDEX('Scénarios'!C4:C6,2))*INDEX(tbl_baremes[Unités / personne / an], 4)*(1+INDEX('Scénarios'!D4:D6,2))*MIN(INDEX(tbl_baremes[Valeur proposée €/unité], 4)*INDEX(tbl_baremes[Unités / personne / an], 4)*(1+INDEX('Scénarios'!D4:D6,2)), INDEX('Scénarios'!E4:E6,2))*INDEX('Scénarios'!B4:B6,2) + INDEX(tbl_baremes[Effectifs (N)], 4)*(1+INDEX('Scénarios'!C4:C6,2))*(1-INDEX('Scénarios'!B4:B6,2))*INDEX(tbl_baremes[Unités / personne / an], 4)*(1+INDEX('Scénarios'!D4:D6,2))*INDEX(tbl_baremes[Valeur actuelle €/unité], 4)</f>
        <v>0</v>
      </c>
      <c r="K9" s="6">
        <f>INDEX(tbl_baremes[Effectifs (N)], 4)*(1+INDEX('Scénarios'!C4:C6,3))*INDEX(tbl_baremes[Unités / personne / an], 4)*(1+INDEX('Scénarios'!D4:D6,3))*MIN(INDEX(tbl_baremes[Valeur proposée €/unité], 4)*INDEX(tbl_baremes[Unités / personne / an], 4)*(1+INDEX('Scénarios'!D4:D6,3)), INDEX('Scénarios'!E4:E6,3))*INDEX('Scénarios'!B4:B6,3) + INDEX(tbl_baremes[Effectifs (N)], 4)*(1+INDEX('Scénarios'!C4:C6,3))*(1-INDEX('Scénarios'!B4:B6,3))*INDEX(tbl_baremes[Unités / personne / an], 4)*(1+INDEX('Scénarios'!D4:D6,3))*INDEX(tbl_baremes[Valeur actuelle €/unité], 4)</f>
        <v>0</v>
      </c>
    </row>
    <row r="10" spans="1:11">
      <c r="A10" s="2" t="s">
        <v>38</v>
      </c>
      <c r="B10" s="2" t="s">
        <v>73</v>
      </c>
      <c r="C10" s="2" t="s">
        <v>74</v>
      </c>
      <c r="D10" s="2" t="s">
        <v>75</v>
      </c>
      <c r="E10" s="2" t="s">
        <v>54</v>
      </c>
      <c r="G10">
        <f>INDEX(tbl_baremes[Barème], 5)</f>
        <v>0</v>
      </c>
      <c r="H10" s="6">
        <f>INDEX(tbl_baremes[Coût actuel total €], 5)</f>
        <v>0</v>
      </c>
      <c r="I10" s="6">
        <f>INDEX(tbl_baremes[Effectifs (N)], 5)*(1+INDEX('Scénarios'!C4:C6,1))*INDEX(tbl_baremes[Unités / personne / an], 5)*(1+INDEX('Scénarios'!D4:D6,1))*MIN(INDEX(tbl_baremes[Valeur proposée €/unité], 5)*INDEX(tbl_baremes[Unités / personne / an], 5)*(1+INDEX('Scénarios'!D4:D6,1)), INDEX('Scénarios'!E4:E6,1))*INDEX('Scénarios'!B4:B6,1) + INDEX(tbl_baremes[Effectifs (N)], 5)*(1+INDEX('Scénarios'!C4:C6,1))*(1-INDEX('Scénarios'!B4:B6,1))*INDEX(tbl_baremes[Unités / personne / an], 5)*(1+INDEX('Scénarios'!D4:D6,1))*INDEX(tbl_baremes[Valeur actuelle €/unité], 5)</f>
        <v>0</v>
      </c>
      <c r="J10" s="6">
        <f>INDEX(tbl_baremes[Effectifs (N)], 5)*(1+INDEX('Scénarios'!C4:C6,2))*INDEX(tbl_baremes[Unités / personne / an], 5)*(1+INDEX('Scénarios'!D4:D6,2))*MIN(INDEX(tbl_baremes[Valeur proposée €/unité], 5)*INDEX(tbl_baremes[Unités / personne / an], 5)*(1+INDEX('Scénarios'!D4:D6,2)), INDEX('Scénarios'!E4:E6,2))*INDEX('Scénarios'!B4:B6,2) + INDEX(tbl_baremes[Effectifs (N)], 5)*(1+INDEX('Scénarios'!C4:C6,2))*(1-INDEX('Scénarios'!B4:B6,2))*INDEX(tbl_baremes[Unités / personne / an], 5)*(1+INDEX('Scénarios'!D4:D6,2))*INDEX(tbl_baremes[Valeur actuelle €/unité], 5)</f>
        <v>0</v>
      </c>
      <c r="K10" s="6">
        <f>INDEX(tbl_baremes[Effectifs (N)], 5)*(1+INDEX('Scénarios'!C4:C6,3))*INDEX(tbl_baremes[Unités / personne / an], 5)*(1+INDEX('Scénarios'!D4:D6,3))*MIN(INDEX(tbl_baremes[Valeur proposée €/unité], 5)*INDEX(tbl_baremes[Unités / personne / an], 5)*(1+INDEX('Scénarios'!D4:D6,3)), INDEX('Scénarios'!E4:E6,3))*INDEX('Scénarios'!B4:B6,3) + INDEX(tbl_baremes[Effectifs (N)], 5)*(1+INDEX('Scénarios'!C4:C6,3))*(1-INDEX('Scénarios'!B4:B6,3))*INDEX(tbl_baremes[Unités / personne / an], 5)*(1+INDEX('Scénarios'!D4:D6,3))*INDEX(tbl_baremes[Valeur actuelle €/unité], 5)</f>
        <v>0</v>
      </c>
    </row>
    <row r="11" spans="1:11">
      <c r="G11">
        <f>INDEX(tbl_baremes[Barème], 6)</f>
        <v>0</v>
      </c>
      <c r="H11" s="6">
        <f>INDEX(tbl_baremes[Coût actuel total €], 6)</f>
        <v>0</v>
      </c>
      <c r="I11" s="6">
        <f>INDEX(tbl_baremes[Effectifs (N)], 6)*(1+INDEX('Scénarios'!C4:C6,1))*INDEX(tbl_baremes[Unités / personne / an], 6)*(1+INDEX('Scénarios'!D4:D6,1))*MIN(INDEX(tbl_baremes[Valeur proposée €/unité], 6)*INDEX(tbl_baremes[Unités / personne / an], 6)*(1+INDEX('Scénarios'!D4:D6,1)), INDEX('Scénarios'!E4:E6,1))*INDEX('Scénarios'!B4:B6,1) + INDEX(tbl_baremes[Effectifs (N)], 6)*(1+INDEX('Scénarios'!C4:C6,1))*(1-INDEX('Scénarios'!B4:B6,1))*INDEX(tbl_baremes[Unités / personne / an], 6)*(1+INDEX('Scénarios'!D4:D6,1))*INDEX(tbl_baremes[Valeur actuelle €/unité], 6)</f>
        <v>0</v>
      </c>
      <c r="J11" s="6">
        <f>INDEX(tbl_baremes[Effectifs (N)], 6)*(1+INDEX('Scénarios'!C4:C6,2))*INDEX(tbl_baremes[Unités / personne / an], 6)*(1+INDEX('Scénarios'!D4:D6,2))*MIN(INDEX(tbl_baremes[Valeur proposée €/unité], 6)*INDEX(tbl_baremes[Unités / personne / an], 6)*(1+INDEX('Scénarios'!D4:D6,2)), INDEX('Scénarios'!E4:E6,2))*INDEX('Scénarios'!B4:B6,2) + INDEX(tbl_baremes[Effectifs (N)], 6)*(1+INDEX('Scénarios'!C4:C6,2))*(1-INDEX('Scénarios'!B4:B6,2))*INDEX(tbl_baremes[Unités / personne / an], 6)*(1+INDEX('Scénarios'!D4:D6,2))*INDEX(tbl_baremes[Valeur actuelle €/unité], 6)</f>
        <v>0</v>
      </c>
      <c r="K11" s="6">
        <f>INDEX(tbl_baremes[Effectifs (N)], 6)*(1+INDEX('Scénarios'!C4:C6,3))*INDEX(tbl_baremes[Unités / personne / an], 6)*(1+INDEX('Scénarios'!D4:D6,3))*MIN(INDEX(tbl_baremes[Valeur proposée €/unité], 6)*INDEX(tbl_baremes[Unités / personne / an], 6)*(1+INDEX('Scénarios'!D4:D6,3)), INDEX('Scénarios'!E4:E6,3))*INDEX('Scénarios'!B4:B6,3) + INDEX(tbl_baremes[Effectifs (N)], 6)*(1+INDEX('Scénarios'!C4:C6,3))*(1-INDEX('Scénarios'!B4:B6,3))*INDEX(tbl_baremes[Unités / personne / an], 6)*(1+INDEX('Scénarios'!D4:D6,3))*INDEX(tbl_baremes[Valeur actuelle €/unité], 6)</f>
        <v>0</v>
      </c>
    </row>
    <row r="12" spans="1:11">
      <c r="A12">
        <f>INDEX(tbl_baremes[Barème], 1)</f>
        <v>0</v>
      </c>
      <c r="B12" s="6">
        <f>INDEX(tbl_baremes[Coût actuel total €], 1)</f>
        <v>0</v>
      </c>
      <c r="C12" s="6">
        <f>INDEX(tbl_baremes[Coût proposé total €], 1)</f>
        <v>0</v>
      </c>
      <c r="D12" s="6">
        <f>INDEX(tbl_baremes[Surcoût total €], 1)</f>
        <v>0</v>
      </c>
      <c r="E12" s="5">
        <f>INDEX(tbl_baremes[[#All],[Écart %]], 1)</f>
        <v>0</v>
      </c>
      <c r="G12">
        <f>INDEX(tbl_baremes[Barème], 7)</f>
        <v>0</v>
      </c>
      <c r="H12" s="6">
        <f>INDEX(tbl_baremes[Coût actuel total €], 7)</f>
        <v>0</v>
      </c>
      <c r="I12" s="6">
        <f>INDEX(tbl_baremes[Effectifs (N)], 7)*(1+INDEX('Scénarios'!C4:C6,1))*INDEX(tbl_baremes[Unités / personne / an], 7)*(1+INDEX('Scénarios'!D4:D6,1))*MIN(INDEX(tbl_baremes[Valeur proposée €/unité], 7)*INDEX(tbl_baremes[Unités / personne / an], 7)*(1+INDEX('Scénarios'!D4:D6,1)), INDEX('Scénarios'!E4:E6,1))*INDEX('Scénarios'!B4:B6,1) + INDEX(tbl_baremes[Effectifs (N)], 7)*(1+INDEX('Scénarios'!C4:C6,1))*(1-INDEX('Scénarios'!B4:B6,1))*INDEX(tbl_baremes[Unités / personne / an], 7)*(1+INDEX('Scénarios'!D4:D6,1))*INDEX(tbl_baremes[Valeur actuelle €/unité], 7)</f>
        <v>0</v>
      </c>
      <c r="J12" s="6">
        <f>INDEX(tbl_baremes[Effectifs (N)], 7)*(1+INDEX('Scénarios'!C4:C6,2))*INDEX(tbl_baremes[Unités / personne / an], 7)*(1+INDEX('Scénarios'!D4:D6,2))*MIN(INDEX(tbl_baremes[Valeur proposée €/unité], 7)*INDEX(tbl_baremes[Unités / personne / an], 7)*(1+INDEX('Scénarios'!D4:D6,2)), INDEX('Scénarios'!E4:E6,2))*INDEX('Scénarios'!B4:B6,2) + INDEX(tbl_baremes[Effectifs (N)], 7)*(1+INDEX('Scénarios'!C4:C6,2))*(1-INDEX('Scénarios'!B4:B6,2))*INDEX(tbl_baremes[Unités / personne / an], 7)*(1+INDEX('Scénarios'!D4:D6,2))*INDEX(tbl_baremes[Valeur actuelle €/unité], 7)</f>
        <v>0</v>
      </c>
      <c r="K12" s="6">
        <f>INDEX(tbl_baremes[Effectifs (N)], 7)*(1+INDEX('Scénarios'!C4:C6,3))*INDEX(tbl_baremes[Unités / personne / an], 7)*(1+INDEX('Scénarios'!D4:D6,3))*MIN(INDEX(tbl_baremes[Valeur proposée €/unité], 7)*INDEX(tbl_baremes[Unités / personne / an], 7)*(1+INDEX('Scénarios'!D4:D6,3)), INDEX('Scénarios'!E4:E6,3))*INDEX('Scénarios'!B4:B6,3) + INDEX(tbl_baremes[Effectifs (N)], 7)*(1+INDEX('Scénarios'!C4:C6,3))*(1-INDEX('Scénarios'!B4:B6,3))*INDEX(tbl_baremes[Unités / personne / an], 7)*(1+INDEX('Scénarios'!D4:D6,3))*INDEX(tbl_baremes[Valeur actuelle €/unité], 7)</f>
        <v>0</v>
      </c>
    </row>
    <row r="13" spans="1:11">
      <c r="A13">
        <f>INDEX(tbl_baremes[Barème], 2)</f>
        <v>0</v>
      </c>
      <c r="B13" s="6">
        <f>INDEX(tbl_baremes[Coût actuel total €], 2)</f>
        <v>0</v>
      </c>
      <c r="C13" s="6">
        <f>INDEX(tbl_baremes[Coût proposé total €], 2)</f>
        <v>0</v>
      </c>
      <c r="D13" s="6">
        <f>INDEX(tbl_baremes[Surcoût total €], 2)</f>
        <v>0</v>
      </c>
      <c r="E13" s="5">
        <f>INDEX(tbl_baremes[[#All],[Écart %]], 2)</f>
        <v>0</v>
      </c>
      <c r="G13">
        <f>INDEX(tbl_baremes[Barème], 8)</f>
        <v>0</v>
      </c>
      <c r="H13" s="6">
        <f>INDEX(tbl_baremes[Coût actuel total €], 8)</f>
        <v>0</v>
      </c>
      <c r="I13" s="6">
        <f>INDEX(tbl_baremes[Effectifs (N)], 8)*(1+INDEX('Scénarios'!C4:C6,1))*INDEX(tbl_baremes[Unités / personne / an], 8)*(1+INDEX('Scénarios'!D4:D6,1))*MIN(INDEX(tbl_baremes[Valeur proposée €/unité], 8)*INDEX(tbl_baremes[Unités / personne / an], 8)*(1+INDEX('Scénarios'!D4:D6,1)), INDEX('Scénarios'!E4:E6,1))*INDEX('Scénarios'!B4:B6,1) + INDEX(tbl_baremes[Effectifs (N)], 8)*(1+INDEX('Scénarios'!C4:C6,1))*(1-INDEX('Scénarios'!B4:B6,1))*INDEX(tbl_baremes[Unités / personne / an], 8)*(1+INDEX('Scénarios'!D4:D6,1))*INDEX(tbl_baremes[Valeur actuelle €/unité], 8)</f>
        <v>0</v>
      </c>
      <c r="J13" s="6">
        <f>INDEX(tbl_baremes[Effectifs (N)], 8)*(1+INDEX('Scénarios'!C4:C6,2))*INDEX(tbl_baremes[Unités / personne / an], 8)*(1+INDEX('Scénarios'!D4:D6,2))*MIN(INDEX(tbl_baremes[Valeur proposée €/unité], 8)*INDEX(tbl_baremes[Unités / personne / an], 8)*(1+INDEX('Scénarios'!D4:D6,2)), INDEX('Scénarios'!E4:E6,2))*INDEX('Scénarios'!B4:B6,2) + INDEX(tbl_baremes[Effectifs (N)], 8)*(1+INDEX('Scénarios'!C4:C6,2))*(1-INDEX('Scénarios'!B4:B6,2))*INDEX(tbl_baremes[Unités / personne / an], 8)*(1+INDEX('Scénarios'!D4:D6,2))*INDEX(tbl_baremes[Valeur actuelle €/unité], 8)</f>
        <v>0</v>
      </c>
      <c r="K13" s="6">
        <f>INDEX(tbl_baremes[Effectifs (N)], 8)*(1+INDEX('Scénarios'!C4:C6,3))*INDEX(tbl_baremes[Unités / personne / an], 8)*(1+INDEX('Scénarios'!D4:D6,3))*MIN(INDEX(tbl_baremes[Valeur proposée €/unité], 8)*INDEX(tbl_baremes[Unités / personne / an], 8)*(1+INDEX('Scénarios'!D4:D6,3)), INDEX('Scénarios'!E4:E6,3))*INDEX('Scénarios'!B4:B6,3) + INDEX(tbl_baremes[Effectifs (N)], 8)*(1+INDEX('Scénarios'!C4:C6,3))*(1-INDEX('Scénarios'!B4:B6,3))*INDEX(tbl_baremes[Unités / personne / an], 8)*(1+INDEX('Scénarios'!D4:D6,3))*INDEX(tbl_baremes[Valeur actuelle €/unité], 8)</f>
        <v>0</v>
      </c>
    </row>
    <row r="14" spans="1:11">
      <c r="A14">
        <f>INDEX(tbl_baremes[Barème], 3)</f>
        <v>0</v>
      </c>
      <c r="B14" s="6">
        <f>INDEX(tbl_baremes[Coût actuel total €], 3)</f>
        <v>0</v>
      </c>
      <c r="C14" s="6">
        <f>INDEX(tbl_baremes[Coût proposé total €], 3)</f>
        <v>0</v>
      </c>
      <c r="D14" s="6">
        <f>INDEX(tbl_baremes[Surcoût total €], 3)</f>
        <v>0</v>
      </c>
      <c r="E14" s="5">
        <f>INDEX(tbl_baremes[[#All],[Écart %]], 3)</f>
        <v>0</v>
      </c>
      <c r="G14">
        <f>INDEX(tbl_baremes[Barème], 9)</f>
        <v>0</v>
      </c>
      <c r="H14" s="6">
        <f>INDEX(tbl_baremes[Coût actuel total €], 9)</f>
        <v>0</v>
      </c>
      <c r="I14" s="6">
        <f>INDEX(tbl_baremes[Effectifs (N)], 9)*(1+INDEX('Scénarios'!C4:C6,1))*INDEX(tbl_baremes[Unités / personne / an], 9)*(1+INDEX('Scénarios'!D4:D6,1))*MIN(INDEX(tbl_baremes[Valeur proposée €/unité], 9)*INDEX(tbl_baremes[Unités / personne / an], 9)*(1+INDEX('Scénarios'!D4:D6,1)), INDEX('Scénarios'!E4:E6,1))*INDEX('Scénarios'!B4:B6,1) + INDEX(tbl_baremes[Effectifs (N)], 9)*(1+INDEX('Scénarios'!C4:C6,1))*(1-INDEX('Scénarios'!B4:B6,1))*INDEX(tbl_baremes[Unités / personne / an], 9)*(1+INDEX('Scénarios'!D4:D6,1))*INDEX(tbl_baremes[Valeur actuelle €/unité], 9)</f>
        <v>0</v>
      </c>
      <c r="J14" s="6">
        <f>INDEX(tbl_baremes[Effectifs (N)], 9)*(1+INDEX('Scénarios'!C4:C6,2))*INDEX(tbl_baremes[Unités / personne / an], 9)*(1+INDEX('Scénarios'!D4:D6,2))*MIN(INDEX(tbl_baremes[Valeur proposée €/unité], 9)*INDEX(tbl_baremes[Unités / personne / an], 9)*(1+INDEX('Scénarios'!D4:D6,2)), INDEX('Scénarios'!E4:E6,2))*INDEX('Scénarios'!B4:B6,2) + INDEX(tbl_baremes[Effectifs (N)], 9)*(1+INDEX('Scénarios'!C4:C6,2))*(1-INDEX('Scénarios'!B4:B6,2))*INDEX(tbl_baremes[Unités / personne / an], 9)*(1+INDEX('Scénarios'!D4:D6,2))*INDEX(tbl_baremes[Valeur actuelle €/unité], 9)</f>
        <v>0</v>
      </c>
      <c r="K14" s="6">
        <f>INDEX(tbl_baremes[Effectifs (N)], 9)*(1+INDEX('Scénarios'!C4:C6,3))*INDEX(tbl_baremes[Unités / personne / an], 9)*(1+INDEX('Scénarios'!D4:D6,3))*MIN(INDEX(tbl_baremes[Valeur proposée €/unité], 9)*INDEX(tbl_baremes[Unités / personne / an], 9)*(1+INDEX('Scénarios'!D4:D6,3)), INDEX('Scénarios'!E4:E6,3))*INDEX('Scénarios'!B4:B6,3) + INDEX(tbl_baremes[Effectifs (N)], 9)*(1+INDEX('Scénarios'!C4:C6,3))*(1-INDEX('Scénarios'!B4:B6,3))*INDEX(tbl_baremes[Unités / personne / an], 9)*(1+INDEX('Scénarios'!D4:D6,3))*INDEX(tbl_baremes[Valeur actuelle €/unité], 9)</f>
        <v>0</v>
      </c>
    </row>
    <row r="15" spans="1:11">
      <c r="A15">
        <f>INDEX(tbl_baremes[Barème], 4)</f>
        <v>0</v>
      </c>
      <c r="B15" s="6">
        <f>INDEX(tbl_baremes[Coût actuel total €], 4)</f>
        <v>0</v>
      </c>
      <c r="C15" s="6">
        <f>INDEX(tbl_baremes[Coût proposé total €], 4)</f>
        <v>0</v>
      </c>
      <c r="D15" s="6">
        <f>INDEX(tbl_baremes[Surcoût total €], 4)</f>
        <v>0</v>
      </c>
      <c r="E15" s="5">
        <f>INDEX(tbl_baremes[[#All],[Écart %]], 4)</f>
        <v>0</v>
      </c>
      <c r="G15">
        <f>INDEX(tbl_baremes[Barème], 10)</f>
        <v>0</v>
      </c>
      <c r="H15" s="6">
        <f>INDEX(tbl_baremes[Coût actuel total €], 10)</f>
        <v>0</v>
      </c>
      <c r="I15" s="6">
        <f>INDEX(tbl_baremes[Effectifs (N)], 10)*(1+INDEX('Scénarios'!C4:C6,1))*INDEX(tbl_baremes[Unités / personne / an], 10)*(1+INDEX('Scénarios'!D4:D6,1))*MIN(INDEX(tbl_baremes[Valeur proposée €/unité], 10)*INDEX(tbl_baremes[Unités / personne / an], 10)*(1+INDEX('Scénarios'!D4:D6,1)), INDEX('Scénarios'!E4:E6,1))*INDEX('Scénarios'!B4:B6,1) + INDEX(tbl_baremes[Effectifs (N)], 10)*(1+INDEX('Scénarios'!C4:C6,1))*(1-INDEX('Scénarios'!B4:B6,1))*INDEX(tbl_baremes[Unités / personne / an], 10)*(1+INDEX('Scénarios'!D4:D6,1))*INDEX(tbl_baremes[Valeur actuelle €/unité], 10)</f>
        <v>0</v>
      </c>
      <c r="J15" s="6">
        <f>INDEX(tbl_baremes[Effectifs (N)], 10)*(1+INDEX('Scénarios'!C4:C6,2))*INDEX(tbl_baremes[Unités / personne / an], 10)*(1+INDEX('Scénarios'!D4:D6,2))*MIN(INDEX(tbl_baremes[Valeur proposée €/unité], 10)*INDEX(tbl_baremes[Unités / personne / an], 10)*(1+INDEX('Scénarios'!D4:D6,2)), INDEX('Scénarios'!E4:E6,2))*INDEX('Scénarios'!B4:B6,2) + INDEX(tbl_baremes[Effectifs (N)], 10)*(1+INDEX('Scénarios'!C4:C6,2))*(1-INDEX('Scénarios'!B4:B6,2))*INDEX(tbl_baremes[Unités / personne / an], 10)*(1+INDEX('Scénarios'!D4:D6,2))*INDEX(tbl_baremes[Valeur actuelle €/unité], 10)</f>
        <v>0</v>
      </c>
      <c r="K15" s="6">
        <f>INDEX(tbl_baremes[Effectifs (N)], 10)*(1+INDEX('Scénarios'!C4:C6,3))*INDEX(tbl_baremes[Unités / personne / an], 10)*(1+INDEX('Scénarios'!D4:D6,3))*MIN(INDEX(tbl_baremes[Valeur proposée €/unité], 10)*INDEX(tbl_baremes[Unités / personne / an], 10)*(1+INDEX('Scénarios'!D4:D6,3)), INDEX('Scénarios'!E4:E6,3))*INDEX('Scénarios'!B4:B6,3) + INDEX(tbl_baremes[Effectifs (N)], 10)*(1+INDEX('Scénarios'!C4:C6,3))*(1-INDEX('Scénarios'!B4:B6,3))*INDEX(tbl_baremes[Unités / personne / an], 10)*(1+INDEX('Scénarios'!D4:D6,3))*INDEX(tbl_baremes[Valeur actuelle €/unité], 10)</f>
        <v>0</v>
      </c>
    </row>
    <row r="16" spans="1:11">
      <c r="A16">
        <f>INDEX(tbl_baremes[Barème], 5)</f>
        <v>0</v>
      </c>
      <c r="B16" s="6">
        <f>INDEX(tbl_baremes[Coût actuel total €], 5)</f>
        <v>0</v>
      </c>
      <c r="C16" s="6">
        <f>INDEX(tbl_baremes[Coût proposé total €], 5)</f>
        <v>0</v>
      </c>
      <c r="D16" s="6">
        <f>INDEX(tbl_baremes[Surcoût total €], 5)</f>
        <v>0</v>
      </c>
      <c r="E16" s="5">
        <f>INDEX(tbl_baremes[[#All],[Écart %]], 5)</f>
        <v>0</v>
      </c>
      <c r="G16">
        <f>INDEX(tbl_baremes[Barème], 11)</f>
        <v>0</v>
      </c>
      <c r="H16" s="6">
        <f>INDEX(tbl_baremes[Coût actuel total €], 11)</f>
        <v>0</v>
      </c>
      <c r="I16" s="6">
        <f>INDEX(tbl_baremes[Effectifs (N)], 11)*(1+INDEX('Scénarios'!C4:C6,1))*INDEX(tbl_baremes[Unités / personne / an], 11)*(1+INDEX('Scénarios'!D4:D6,1))*MIN(INDEX(tbl_baremes[Valeur proposée €/unité], 11)*INDEX(tbl_baremes[Unités / personne / an], 11)*(1+INDEX('Scénarios'!D4:D6,1)), INDEX('Scénarios'!E4:E6,1))*INDEX('Scénarios'!B4:B6,1) + INDEX(tbl_baremes[Effectifs (N)], 11)*(1+INDEX('Scénarios'!C4:C6,1))*(1-INDEX('Scénarios'!B4:B6,1))*INDEX(tbl_baremes[Unités / personne / an], 11)*(1+INDEX('Scénarios'!D4:D6,1))*INDEX(tbl_baremes[Valeur actuelle €/unité], 11)</f>
        <v>0</v>
      </c>
      <c r="J16" s="6">
        <f>INDEX(tbl_baremes[Effectifs (N)], 11)*(1+INDEX('Scénarios'!C4:C6,2))*INDEX(tbl_baremes[Unités / personne / an], 11)*(1+INDEX('Scénarios'!D4:D6,2))*MIN(INDEX(tbl_baremes[Valeur proposée €/unité], 11)*INDEX(tbl_baremes[Unités / personne / an], 11)*(1+INDEX('Scénarios'!D4:D6,2)), INDEX('Scénarios'!E4:E6,2))*INDEX('Scénarios'!B4:B6,2) + INDEX(tbl_baremes[Effectifs (N)], 11)*(1+INDEX('Scénarios'!C4:C6,2))*(1-INDEX('Scénarios'!B4:B6,2))*INDEX(tbl_baremes[Unités / personne / an], 11)*(1+INDEX('Scénarios'!D4:D6,2))*INDEX(tbl_baremes[Valeur actuelle €/unité], 11)</f>
        <v>0</v>
      </c>
      <c r="K16" s="6">
        <f>INDEX(tbl_baremes[Effectifs (N)], 11)*(1+INDEX('Scénarios'!C4:C6,3))*INDEX(tbl_baremes[Unités / personne / an], 11)*(1+INDEX('Scénarios'!D4:D6,3))*MIN(INDEX(tbl_baremes[Valeur proposée €/unité], 11)*INDEX(tbl_baremes[Unités / personne / an], 11)*(1+INDEX('Scénarios'!D4:D6,3)), INDEX('Scénarios'!E4:E6,3))*INDEX('Scénarios'!B4:B6,3) + INDEX(tbl_baremes[Effectifs (N)], 11)*(1+INDEX('Scénarios'!C4:C6,3))*(1-INDEX('Scénarios'!B4:B6,3))*INDEX(tbl_baremes[Unités / personne / an], 11)*(1+INDEX('Scénarios'!D4:D6,3))*INDEX(tbl_baremes[Valeur actuelle €/unité], 11)</f>
        <v>0</v>
      </c>
    </row>
    <row r="17" spans="1:11">
      <c r="A17">
        <f>INDEX(tbl_baremes[Barème], 6)</f>
        <v>0</v>
      </c>
      <c r="B17" s="6">
        <f>INDEX(tbl_baremes[Coût actuel total €], 6)</f>
        <v>0</v>
      </c>
      <c r="C17" s="6">
        <f>INDEX(tbl_baremes[Coût proposé total €], 6)</f>
        <v>0</v>
      </c>
      <c r="D17" s="6">
        <f>INDEX(tbl_baremes[Surcoût total €], 6)</f>
        <v>0</v>
      </c>
      <c r="E17" s="5">
        <f>INDEX(tbl_baremes[[#All],[Écart %]], 6)</f>
        <v>0</v>
      </c>
      <c r="G17">
        <f>INDEX(tbl_baremes[Barème], 12)</f>
        <v>0</v>
      </c>
      <c r="H17" s="6">
        <f>INDEX(tbl_baremes[Coût actuel total €], 12)</f>
        <v>0</v>
      </c>
      <c r="I17" s="6">
        <f>INDEX(tbl_baremes[Effectifs (N)], 12)*(1+INDEX('Scénarios'!C4:C6,1))*INDEX(tbl_baremes[Unités / personne / an], 12)*(1+INDEX('Scénarios'!D4:D6,1))*MIN(INDEX(tbl_baremes[Valeur proposée €/unité], 12)*INDEX(tbl_baremes[Unités / personne / an], 12)*(1+INDEX('Scénarios'!D4:D6,1)), INDEX('Scénarios'!E4:E6,1))*INDEX('Scénarios'!B4:B6,1) + INDEX(tbl_baremes[Effectifs (N)], 12)*(1+INDEX('Scénarios'!C4:C6,1))*(1-INDEX('Scénarios'!B4:B6,1))*INDEX(tbl_baremes[Unités / personne / an], 12)*(1+INDEX('Scénarios'!D4:D6,1))*INDEX(tbl_baremes[Valeur actuelle €/unité], 12)</f>
        <v>0</v>
      </c>
      <c r="J17" s="6">
        <f>INDEX(tbl_baremes[Effectifs (N)], 12)*(1+INDEX('Scénarios'!C4:C6,2))*INDEX(tbl_baremes[Unités / personne / an], 12)*(1+INDEX('Scénarios'!D4:D6,2))*MIN(INDEX(tbl_baremes[Valeur proposée €/unité], 12)*INDEX(tbl_baremes[Unités / personne / an], 12)*(1+INDEX('Scénarios'!D4:D6,2)), INDEX('Scénarios'!E4:E6,2))*INDEX('Scénarios'!B4:B6,2) + INDEX(tbl_baremes[Effectifs (N)], 12)*(1+INDEX('Scénarios'!C4:C6,2))*(1-INDEX('Scénarios'!B4:B6,2))*INDEX(tbl_baremes[Unités / personne / an], 12)*(1+INDEX('Scénarios'!D4:D6,2))*INDEX(tbl_baremes[Valeur actuelle €/unité], 12)</f>
        <v>0</v>
      </c>
      <c r="K17" s="6">
        <f>INDEX(tbl_baremes[Effectifs (N)], 12)*(1+INDEX('Scénarios'!C4:C6,3))*INDEX(tbl_baremes[Unités / personne / an], 12)*(1+INDEX('Scénarios'!D4:D6,3))*MIN(INDEX(tbl_baremes[Valeur proposée €/unité], 12)*INDEX(tbl_baremes[Unités / personne / an], 12)*(1+INDEX('Scénarios'!D4:D6,3)), INDEX('Scénarios'!E4:E6,3))*INDEX('Scénarios'!B4:B6,3) + INDEX(tbl_baremes[Effectifs (N)], 12)*(1+INDEX('Scénarios'!C4:C6,3))*(1-INDEX('Scénarios'!B4:B6,3))*INDEX(tbl_baremes[Unités / personne / an], 12)*(1+INDEX('Scénarios'!D4:D6,3))*INDEX(tbl_baremes[Valeur actuelle €/unité], 12)</f>
        <v>0</v>
      </c>
    </row>
    <row r="18" spans="1:11">
      <c r="A18">
        <f>INDEX(tbl_baremes[Barème], 7)</f>
        <v>0</v>
      </c>
      <c r="B18" s="6">
        <f>INDEX(tbl_baremes[Coût actuel total €], 7)</f>
        <v>0</v>
      </c>
      <c r="C18" s="6">
        <f>INDEX(tbl_baremes[Coût proposé total €], 7)</f>
        <v>0</v>
      </c>
      <c r="D18" s="6">
        <f>INDEX(tbl_baremes[Surcoût total €], 7)</f>
        <v>0</v>
      </c>
      <c r="E18" s="5">
        <f>INDEX(tbl_baremes[[#All],[Écart %]], 7)</f>
        <v>0</v>
      </c>
      <c r="G18">
        <f>INDEX(tbl_baremes[Barème], 13)</f>
        <v>0</v>
      </c>
      <c r="H18" s="6">
        <f>INDEX(tbl_baremes[Coût actuel total €], 13)</f>
        <v>0</v>
      </c>
      <c r="I18" s="6">
        <f>INDEX(tbl_baremes[Effectifs (N)], 13)*(1+INDEX('Scénarios'!C4:C6,1))*INDEX(tbl_baremes[Unités / personne / an], 13)*(1+INDEX('Scénarios'!D4:D6,1))*MIN(INDEX(tbl_baremes[Valeur proposée €/unité], 13)*INDEX(tbl_baremes[Unités / personne / an], 13)*(1+INDEX('Scénarios'!D4:D6,1)), INDEX('Scénarios'!E4:E6,1))*INDEX('Scénarios'!B4:B6,1) + INDEX(tbl_baremes[Effectifs (N)], 13)*(1+INDEX('Scénarios'!C4:C6,1))*(1-INDEX('Scénarios'!B4:B6,1))*INDEX(tbl_baremes[Unités / personne / an], 13)*(1+INDEX('Scénarios'!D4:D6,1))*INDEX(tbl_baremes[Valeur actuelle €/unité], 13)</f>
        <v>0</v>
      </c>
      <c r="J18" s="6">
        <f>INDEX(tbl_baremes[Effectifs (N)], 13)*(1+INDEX('Scénarios'!C4:C6,2))*INDEX(tbl_baremes[Unités / personne / an], 13)*(1+INDEX('Scénarios'!D4:D6,2))*MIN(INDEX(tbl_baremes[Valeur proposée €/unité], 13)*INDEX(tbl_baremes[Unités / personne / an], 13)*(1+INDEX('Scénarios'!D4:D6,2)), INDEX('Scénarios'!E4:E6,2))*INDEX('Scénarios'!B4:B6,2) + INDEX(tbl_baremes[Effectifs (N)], 13)*(1+INDEX('Scénarios'!C4:C6,2))*(1-INDEX('Scénarios'!B4:B6,2))*INDEX(tbl_baremes[Unités / personne / an], 13)*(1+INDEX('Scénarios'!D4:D6,2))*INDEX(tbl_baremes[Valeur actuelle €/unité], 13)</f>
        <v>0</v>
      </c>
      <c r="K18" s="6">
        <f>INDEX(tbl_baremes[Effectifs (N)], 13)*(1+INDEX('Scénarios'!C4:C6,3))*INDEX(tbl_baremes[Unités / personne / an], 13)*(1+INDEX('Scénarios'!D4:D6,3))*MIN(INDEX(tbl_baremes[Valeur proposée €/unité], 13)*INDEX(tbl_baremes[Unités / personne / an], 13)*(1+INDEX('Scénarios'!D4:D6,3)), INDEX('Scénarios'!E4:E6,3))*INDEX('Scénarios'!B4:B6,3) + INDEX(tbl_baremes[Effectifs (N)], 13)*(1+INDEX('Scénarios'!C4:C6,3))*(1-INDEX('Scénarios'!B4:B6,3))*INDEX(tbl_baremes[Unités / personne / an], 13)*(1+INDEX('Scénarios'!D4:D6,3))*INDEX(tbl_baremes[Valeur actuelle €/unité], 13)</f>
        <v>0</v>
      </c>
    </row>
    <row r="19" spans="1:11">
      <c r="A19">
        <f>INDEX(tbl_baremes[Barème], 8)</f>
        <v>0</v>
      </c>
      <c r="B19" s="6">
        <f>INDEX(tbl_baremes[Coût actuel total €], 8)</f>
        <v>0</v>
      </c>
      <c r="C19" s="6">
        <f>INDEX(tbl_baremes[Coût proposé total €], 8)</f>
        <v>0</v>
      </c>
      <c r="D19" s="6">
        <f>INDEX(tbl_baremes[Surcoût total €], 8)</f>
        <v>0</v>
      </c>
      <c r="E19" s="5">
        <f>INDEX(tbl_baremes[[#All],[Écart %]], 8)</f>
        <v>0</v>
      </c>
      <c r="G19">
        <f>INDEX(tbl_baremes[Barème], 14)</f>
        <v>0</v>
      </c>
      <c r="H19" s="6">
        <f>INDEX(tbl_baremes[Coût actuel total €], 14)</f>
        <v>0</v>
      </c>
      <c r="I19" s="6">
        <f>INDEX(tbl_baremes[Effectifs (N)], 14)*(1+INDEX('Scénarios'!C4:C6,1))*INDEX(tbl_baremes[Unités / personne / an], 14)*(1+INDEX('Scénarios'!D4:D6,1))*MIN(INDEX(tbl_baremes[Valeur proposée €/unité], 14)*INDEX(tbl_baremes[Unités / personne / an], 14)*(1+INDEX('Scénarios'!D4:D6,1)), INDEX('Scénarios'!E4:E6,1))*INDEX('Scénarios'!B4:B6,1) + INDEX(tbl_baremes[Effectifs (N)], 14)*(1+INDEX('Scénarios'!C4:C6,1))*(1-INDEX('Scénarios'!B4:B6,1))*INDEX(tbl_baremes[Unités / personne / an], 14)*(1+INDEX('Scénarios'!D4:D6,1))*INDEX(tbl_baremes[Valeur actuelle €/unité], 14)</f>
        <v>0</v>
      </c>
      <c r="J19" s="6">
        <f>INDEX(tbl_baremes[Effectifs (N)], 14)*(1+INDEX('Scénarios'!C4:C6,2))*INDEX(tbl_baremes[Unités / personne / an], 14)*(1+INDEX('Scénarios'!D4:D6,2))*MIN(INDEX(tbl_baremes[Valeur proposée €/unité], 14)*INDEX(tbl_baremes[Unités / personne / an], 14)*(1+INDEX('Scénarios'!D4:D6,2)), INDEX('Scénarios'!E4:E6,2))*INDEX('Scénarios'!B4:B6,2) + INDEX(tbl_baremes[Effectifs (N)], 14)*(1+INDEX('Scénarios'!C4:C6,2))*(1-INDEX('Scénarios'!B4:B6,2))*INDEX(tbl_baremes[Unités / personne / an], 14)*(1+INDEX('Scénarios'!D4:D6,2))*INDEX(tbl_baremes[Valeur actuelle €/unité], 14)</f>
        <v>0</v>
      </c>
      <c r="K19" s="6">
        <f>INDEX(tbl_baremes[Effectifs (N)], 14)*(1+INDEX('Scénarios'!C4:C6,3))*INDEX(tbl_baremes[Unités / personne / an], 14)*(1+INDEX('Scénarios'!D4:D6,3))*MIN(INDEX(tbl_baremes[Valeur proposée €/unité], 14)*INDEX(tbl_baremes[Unités / personne / an], 14)*(1+INDEX('Scénarios'!D4:D6,3)), INDEX('Scénarios'!E4:E6,3))*INDEX('Scénarios'!B4:B6,3) + INDEX(tbl_baremes[Effectifs (N)], 14)*(1+INDEX('Scénarios'!C4:C6,3))*(1-INDEX('Scénarios'!B4:B6,3))*INDEX(tbl_baremes[Unités / personne / an], 14)*(1+INDEX('Scénarios'!D4:D6,3))*INDEX(tbl_baremes[Valeur actuelle €/unité], 14)</f>
        <v>0</v>
      </c>
    </row>
    <row r="20" spans="1:11">
      <c r="A20">
        <f>INDEX(tbl_baremes[Barème], 9)</f>
        <v>0</v>
      </c>
      <c r="B20" s="6">
        <f>INDEX(tbl_baremes[Coût actuel total €], 9)</f>
        <v>0</v>
      </c>
      <c r="C20" s="6">
        <f>INDEX(tbl_baremes[Coût proposé total €], 9)</f>
        <v>0</v>
      </c>
      <c r="D20" s="6">
        <f>INDEX(tbl_baremes[Surcoût total €], 9)</f>
        <v>0</v>
      </c>
      <c r="E20" s="5">
        <f>INDEX(tbl_baremes[[#All],[Écart %]], 9)</f>
        <v>0</v>
      </c>
      <c r="G20">
        <f>INDEX(tbl_baremes[Barème], 15)</f>
        <v>0</v>
      </c>
      <c r="H20" s="6">
        <f>INDEX(tbl_baremes[Coût actuel total €], 15)</f>
        <v>0</v>
      </c>
      <c r="I20" s="6">
        <f>INDEX(tbl_baremes[Effectifs (N)], 15)*(1+INDEX('Scénarios'!C4:C6,1))*INDEX(tbl_baremes[Unités / personne / an], 15)*(1+INDEX('Scénarios'!D4:D6,1))*MIN(INDEX(tbl_baremes[Valeur proposée €/unité], 15)*INDEX(tbl_baremes[Unités / personne / an], 15)*(1+INDEX('Scénarios'!D4:D6,1)), INDEX('Scénarios'!E4:E6,1))*INDEX('Scénarios'!B4:B6,1) + INDEX(tbl_baremes[Effectifs (N)], 15)*(1+INDEX('Scénarios'!C4:C6,1))*(1-INDEX('Scénarios'!B4:B6,1))*INDEX(tbl_baremes[Unités / personne / an], 15)*(1+INDEX('Scénarios'!D4:D6,1))*INDEX(tbl_baremes[Valeur actuelle €/unité], 15)</f>
        <v>0</v>
      </c>
      <c r="J20" s="6">
        <f>INDEX(tbl_baremes[Effectifs (N)], 15)*(1+INDEX('Scénarios'!C4:C6,2))*INDEX(tbl_baremes[Unités / personne / an], 15)*(1+INDEX('Scénarios'!D4:D6,2))*MIN(INDEX(tbl_baremes[Valeur proposée €/unité], 15)*INDEX(tbl_baremes[Unités / personne / an], 15)*(1+INDEX('Scénarios'!D4:D6,2)), INDEX('Scénarios'!E4:E6,2))*INDEX('Scénarios'!B4:B6,2) + INDEX(tbl_baremes[Effectifs (N)], 15)*(1+INDEX('Scénarios'!C4:C6,2))*(1-INDEX('Scénarios'!B4:B6,2))*INDEX(tbl_baremes[Unités / personne / an], 15)*(1+INDEX('Scénarios'!D4:D6,2))*INDEX(tbl_baremes[Valeur actuelle €/unité], 15)</f>
        <v>0</v>
      </c>
      <c r="K20" s="6">
        <f>INDEX(tbl_baremes[Effectifs (N)], 15)*(1+INDEX('Scénarios'!C4:C6,3))*INDEX(tbl_baremes[Unités / personne / an], 15)*(1+INDEX('Scénarios'!D4:D6,3))*MIN(INDEX(tbl_baremes[Valeur proposée €/unité], 15)*INDEX(tbl_baremes[Unités / personne / an], 15)*(1+INDEX('Scénarios'!D4:D6,3)), INDEX('Scénarios'!E4:E6,3))*INDEX('Scénarios'!B4:B6,3) + INDEX(tbl_baremes[Effectifs (N)], 15)*(1+INDEX('Scénarios'!C4:C6,3))*(1-INDEX('Scénarios'!B4:B6,3))*INDEX(tbl_baremes[Unités / personne / an], 15)*(1+INDEX('Scénarios'!D4:D6,3))*INDEX(tbl_baremes[Valeur actuelle €/unité], 15)</f>
        <v>0</v>
      </c>
    </row>
    <row r="21" spans="1:11">
      <c r="A21">
        <f>INDEX(tbl_baremes[Barème], 10)</f>
        <v>0</v>
      </c>
      <c r="B21" s="6">
        <f>INDEX(tbl_baremes[Coût actuel total €], 10)</f>
        <v>0</v>
      </c>
      <c r="C21" s="6">
        <f>INDEX(tbl_baremes[Coût proposé total €], 10)</f>
        <v>0</v>
      </c>
      <c r="D21" s="6">
        <f>INDEX(tbl_baremes[Surcoût total €], 10)</f>
        <v>0</v>
      </c>
      <c r="E21" s="5">
        <f>INDEX(tbl_baremes[[#All],[Écart %]], 10)</f>
        <v>0</v>
      </c>
      <c r="G21">
        <f>INDEX(tbl_baremes[Barème], 16)</f>
        <v>0</v>
      </c>
      <c r="H21" s="6">
        <f>INDEX(tbl_baremes[Coût actuel total €], 16)</f>
        <v>0</v>
      </c>
      <c r="I21" s="6">
        <f>INDEX(tbl_baremes[Effectifs (N)], 16)*(1+INDEX('Scénarios'!C4:C6,1))*INDEX(tbl_baremes[Unités / personne / an], 16)*(1+INDEX('Scénarios'!D4:D6,1))*MIN(INDEX(tbl_baremes[Valeur proposée €/unité], 16)*INDEX(tbl_baremes[Unités / personne / an], 16)*(1+INDEX('Scénarios'!D4:D6,1)), INDEX('Scénarios'!E4:E6,1))*INDEX('Scénarios'!B4:B6,1) + INDEX(tbl_baremes[Effectifs (N)], 16)*(1+INDEX('Scénarios'!C4:C6,1))*(1-INDEX('Scénarios'!B4:B6,1))*INDEX(tbl_baremes[Unités / personne / an], 16)*(1+INDEX('Scénarios'!D4:D6,1))*INDEX(tbl_baremes[Valeur actuelle €/unité], 16)</f>
        <v>0</v>
      </c>
      <c r="J21" s="6">
        <f>INDEX(tbl_baremes[Effectifs (N)], 16)*(1+INDEX('Scénarios'!C4:C6,2))*INDEX(tbl_baremes[Unités / personne / an], 16)*(1+INDEX('Scénarios'!D4:D6,2))*MIN(INDEX(tbl_baremes[Valeur proposée €/unité], 16)*INDEX(tbl_baremes[Unités / personne / an], 16)*(1+INDEX('Scénarios'!D4:D6,2)), INDEX('Scénarios'!E4:E6,2))*INDEX('Scénarios'!B4:B6,2) + INDEX(tbl_baremes[Effectifs (N)], 16)*(1+INDEX('Scénarios'!C4:C6,2))*(1-INDEX('Scénarios'!B4:B6,2))*INDEX(tbl_baremes[Unités / personne / an], 16)*(1+INDEX('Scénarios'!D4:D6,2))*INDEX(tbl_baremes[Valeur actuelle €/unité], 16)</f>
        <v>0</v>
      </c>
      <c r="K21" s="6">
        <f>INDEX(tbl_baremes[Effectifs (N)], 16)*(1+INDEX('Scénarios'!C4:C6,3))*INDEX(tbl_baremes[Unités / personne / an], 16)*(1+INDEX('Scénarios'!D4:D6,3))*MIN(INDEX(tbl_baremes[Valeur proposée €/unité], 16)*INDEX(tbl_baremes[Unités / personne / an], 16)*(1+INDEX('Scénarios'!D4:D6,3)), INDEX('Scénarios'!E4:E6,3))*INDEX('Scénarios'!B4:B6,3) + INDEX(tbl_baremes[Effectifs (N)], 16)*(1+INDEX('Scénarios'!C4:C6,3))*(1-INDEX('Scénarios'!B4:B6,3))*INDEX(tbl_baremes[Unités / personne / an], 16)*(1+INDEX('Scénarios'!D4:D6,3))*INDEX(tbl_baremes[Valeur actuelle €/unité], 16)</f>
        <v>0</v>
      </c>
    </row>
    <row r="22" spans="1:11">
      <c r="A22">
        <f>INDEX(tbl_baremes[Barème], 11)</f>
        <v>0</v>
      </c>
      <c r="B22" s="6">
        <f>INDEX(tbl_baremes[Coût actuel total €], 11)</f>
        <v>0</v>
      </c>
      <c r="C22" s="6">
        <f>INDEX(tbl_baremes[Coût proposé total €], 11)</f>
        <v>0</v>
      </c>
      <c r="D22" s="6">
        <f>INDEX(tbl_baremes[Surcoût total €], 11)</f>
        <v>0</v>
      </c>
      <c r="E22" s="5">
        <f>INDEX(tbl_baremes[[#All],[Écart %]], 11)</f>
        <v>0</v>
      </c>
      <c r="G22">
        <f>INDEX(tbl_baremes[Barème], 17)</f>
        <v>0</v>
      </c>
      <c r="H22" s="6">
        <f>INDEX(tbl_baremes[Coût actuel total €], 17)</f>
        <v>0</v>
      </c>
      <c r="I22" s="6">
        <f>INDEX(tbl_baremes[Effectifs (N)], 17)*(1+INDEX('Scénarios'!C4:C6,1))*INDEX(tbl_baremes[Unités / personne / an], 17)*(1+INDEX('Scénarios'!D4:D6,1))*MIN(INDEX(tbl_baremes[Valeur proposée €/unité], 17)*INDEX(tbl_baremes[Unités / personne / an], 17)*(1+INDEX('Scénarios'!D4:D6,1)), INDEX('Scénarios'!E4:E6,1))*INDEX('Scénarios'!B4:B6,1) + INDEX(tbl_baremes[Effectifs (N)], 17)*(1+INDEX('Scénarios'!C4:C6,1))*(1-INDEX('Scénarios'!B4:B6,1))*INDEX(tbl_baremes[Unités / personne / an], 17)*(1+INDEX('Scénarios'!D4:D6,1))*INDEX(tbl_baremes[Valeur actuelle €/unité], 17)</f>
        <v>0</v>
      </c>
      <c r="J22" s="6">
        <f>INDEX(tbl_baremes[Effectifs (N)], 17)*(1+INDEX('Scénarios'!C4:C6,2))*INDEX(tbl_baremes[Unités / personne / an], 17)*(1+INDEX('Scénarios'!D4:D6,2))*MIN(INDEX(tbl_baremes[Valeur proposée €/unité], 17)*INDEX(tbl_baremes[Unités / personne / an], 17)*(1+INDEX('Scénarios'!D4:D6,2)), INDEX('Scénarios'!E4:E6,2))*INDEX('Scénarios'!B4:B6,2) + INDEX(tbl_baremes[Effectifs (N)], 17)*(1+INDEX('Scénarios'!C4:C6,2))*(1-INDEX('Scénarios'!B4:B6,2))*INDEX(tbl_baremes[Unités / personne / an], 17)*(1+INDEX('Scénarios'!D4:D6,2))*INDEX(tbl_baremes[Valeur actuelle €/unité], 17)</f>
        <v>0</v>
      </c>
      <c r="K22" s="6">
        <f>INDEX(tbl_baremes[Effectifs (N)], 17)*(1+INDEX('Scénarios'!C4:C6,3))*INDEX(tbl_baremes[Unités / personne / an], 17)*(1+INDEX('Scénarios'!D4:D6,3))*MIN(INDEX(tbl_baremes[Valeur proposée €/unité], 17)*INDEX(tbl_baremes[Unités / personne / an], 17)*(1+INDEX('Scénarios'!D4:D6,3)), INDEX('Scénarios'!E4:E6,3))*INDEX('Scénarios'!B4:B6,3) + INDEX(tbl_baremes[Effectifs (N)], 17)*(1+INDEX('Scénarios'!C4:C6,3))*(1-INDEX('Scénarios'!B4:B6,3))*INDEX(tbl_baremes[Unités / personne / an], 17)*(1+INDEX('Scénarios'!D4:D6,3))*INDEX(tbl_baremes[Valeur actuelle €/unité], 17)</f>
        <v>0</v>
      </c>
    </row>
    <row r="23" spans="1:11">
      <c r="A23">
        <f>INDEX(tbl_baremes[Barème], 12)</f>
        <v>0</v>
      </c>
      <c r="B23" s="6">
        <f>INDEX(tbl_baremes[Coût actuel total €], 12)</f>
        <v>0</v>
      </c>
      <c r="C23" s="6">
        <f>INDEX(tbl_baremes[Coût proposé total €], 12)</f>
        <v>0</v>
      </c>
      <c r="D23" s="6">
        <f>INDEX(tbl_baremes[Surcoût total €], 12)</f>
        <v>0</v>
      </c>
      <c r="E23" s="5">
        <f>INDEX(tbl_baremes[[#All],[Écart %]], 12)</f>
        <v>0</v>
      </c>
      <c r="G23">
        <f>INDEX(tbl_baremes[Barème], 18)</f>
        <v>0</v>
      </c>
      <c r="H23" s="6">
        <f>INDEX(tbl_baremes[Coût actuel total €], 18)</f>
        <v>0</v>
      </c>
      <c r="I23" s="6">
        <f>INDEX(tbl_baremes[Effectifs (N)], 18)*(1+INDEX('Scénarios'!C4:C6,1))*INDEX(tbl_baremes[Unités / personne / an], 18)*(1+INDEX('Scénarios'!D4:D6,1))*MIN(INDEX(tbl_baremes[Valeur proposée €/unité], 18)*INDEX(tbl_baremes[Unités / personne / an], 18)*(1+INDEX('Scénarios'!D4:D6,1)), INDEX('Scénarios'!E4:E6,1))*INDEX('Scénarios'!B4:B6,1) + INDEX(tbl_baremes[Effectifs (N)], 18)*(1+INDEX('Scénarios'!C4:C6,1))*(1-INDEX('Scénarios'!B4:B6,1))*INDEX(tbl_baremes[Unités / personne / an], 18)*(1+INDEX('Scénarios'!D4:D6,1))*INDEX(tbl_baremes[Valeur actuelle €/unité], 18)</f>
        <v>0</v>
      </c>
      <c r="J23" s="6">
        <f>INDEX(tbl_baremes[Effectifs (N)], 18)*(1+INDEX('Scénarios'!C4:C6,2))*INDEX(tbl_baremes[Unités / personne / an], 18)*(1+INDEX('Scénarios'!D4:D6,2))*MIN(INDEX(tbl_baremes[Valeur proposée €/unité], 18)*INDEX(tbl_baremes[Unités / personne / an], 18)*(1+INDEX('Scénarios'!D4:D6,2)), INDEX('Scénarios'!E4:E6,2))*INDEX('Scénarios'!B4:B6,2) + INDEX(tbl_baremes[Effectifs (N)], 18)*(1+INDEX('Scénarios'!C4:C6,2))*(1-INDEX('Scénarios'!B4:B6,2))*INDEX(tbl_baremes[Unités / personne / an], 18)*(1+INDEX('Scénarios'!D4:D6,2))*INDEX(tbl_baremes[Valeur actuelle €/unité], 18)</f>
        <v>0</v>
      </c>
      <c r="K23" s="6">
        <f>INDEX(tbl_baremes[Effectifs (N)], 18)*(1+INDEX('Scénarios'!C4:C6,3))*INDEX(tbl_baremes[Unités / personne / an], 18)*(1+INDEX('Scénarios'!D4:D6,3))*MIN(INDEX(tbl_baremes[Valeur proposée €/unité], 18)*INDEX(tbl_baremes[Unités / personne / an], 18)*(1+INDEX('Scénarios'!D4:D6,3)), INDEX('Scénarios'!E4:E6,3))*INDEX('Scénarios'!B4:B6,3) + INDEX(tbl_baremes[Effectifs (N)], 18)*(1+INDEX('Scénarios'!C4:C6,3))*(1-INDEX('Scénarios'!B4:B6,3))*INDEX(tbl_baremes[Unités / personne / an], 18)*(1+INDEX('Scénarios'!D4:D6,3))*INDEX(tbl_baremes[Valeur actuelle €/unité], 18)</f>
        <v>0</v>
      </c>
    </row>
    <row r="24" spans="1:11">
      <c r="A24">
        <f>INDEX(tbl_baremes[Barème], 13)</f>
        <v>0</v>
      </c>
      <c r="B24" s="6">
        <f>INDEX(tbl_baremes[Coût actuel total €], 13)</f>
        <v>0</v>
      </c>
      <c r="C24" s="6">
        <f>INDEX(tbl_baremes[Coût proposé total €], 13)</f>
        <v>0</v>
      </c>
      <c r="D24" s="6">
        <f>INDEX(tbl_baremes[Surcoût total €], 13)</f>
        <v>0</v>
      </c>
      <c r="E24" s="5">
        <f>INDEX(tbl_baremes[[#All],[Écart %]], 13)</f>
        <v>0</v>
      </c>
      <c r="G24">
        <f>INDEX(tbl_baremes[Barème], 19)</f>
        <v>0</v>
      </c>
      <c r="H24" s="6">
        <f>INDEX(tbl_baremes[Coût actuel total €], 19)</f>
        <v>0</v>
      </c>
      <c r="I24" s="6">
        <f>INDEX(tbl_baremes[Effectifs (N)], 19)*(1+INDEX('Scénarios'!C4:C6,1))*INDEX(tbl_baremes[Unités / personne / an], 19)*(1+INDEX('Scénarios'!D4:D6,1))*MIN(INDEX(tbl_baremes[Valeur proposée €/unité], 19)*INDEX(tbl_baremes[Unités / personne / an], 19)*(1+INDEX('Scénarios'!D4:D6,1)), INDEX('Scénarios'!E4:E6,1))*INDEX('Scénarios'!B4:B6,1) + INDEX(tbl_baremes[Effectifs (N)], 19)*(1+INDEX('Scénarios'!C4:C6,1))*(1-INDEX('Scénarios'!B4:B6,1))*INDEX(tbl_baremes[Unités / personne / an], 19)*(1+INDEX('Scénarios'!D4:D6,1))*INDEX(tbl_baremes[Valeur actuelle €/unité], 19)</f>
        <v>0</v>
      </c>
      <c r="J24" s="6">
        <f>INDEX(tbl_baremes[Effectifs (N)], 19)*(1+INDEX('Scénarios'!C4:C6,2))*INDEX(tbl_baremes[Unités / personne / an], 19)*(1+INDEX('Scénarios'!D4:D6,2))*MIN(INDEX(tbl_baremes[Valeur proposée €/unité], 19)*INDEX(tbl_baremes[Unités / personne / an], 19)*(1+INDEX('Scénarios'!D4:D6,2)), INDEX('Scénarios'!E4:E6,2))*INDEX('Scénarios'!B4:B6,2) + INDEX(tbl_baremes[Effectifs (N)], 19)*(1+INDEX('Scénarios'!C4:C6,2))*(1-INDEX('Scénarios'!B4:B6,2))*INDEX(tbl_baremes[Unités / personne / an], 19)*(1+INDEX('Scénarios'!D4:D6,2))*INDEX(tbl_baremes[Valeur actuelle €/unité], 19)</f>
        <v>0</v>
      </c>
      <c r="K24" s="6">
        <f>INDEX(tbl_baremes[Effectifs (N)], 19)*(1+INDEX('Scénarios'!C4:C6,3))*INDEX(tbl_baremes[Unités / personne / an], 19)*(1+INDEX('Scénarios'!D4:D6,3))*MIN(INDEX(tbl_baremes[Valeur proposée €/unité], 19)*INDEX(tbl_baremes[Unités / personne / an], 19)*(1+INDEX('Scénarios'!D4:D6,3)), INDEX('Scénarios'!E4:E6,3))*INDEX('Scénarios'!B4:B6,3) + INDEX(tbl_baremes[Effectifs (N)], 19)*(1+INDEX('Scénarios'!C4:C6,3))*(1-INDEX('Scénarios'!B4:B6,3))*INDEX(tbl_baremes[Unités / personne / an], 19)*(1+INDEX('Scénarios'!D4:D6,3))*INDEX(tbl_baremes[Valeur actuelle €/unité], 19)</f>
        <v>0</v>
      </c>
    </row>
    <row r="25" spans="1:11">
      <c r="A25">
        <f>INDEX(tbl_baremes[Barème], 14)</f>
        <v>0</v>
      </c>
      <c r="B25" s="6">
        <f>INDEX(tbl_baremes[Coût actuel total €], 14)</f>
        <v>0</v>
      </c>
      <c r="C25" s="6">
        <f>INDEX(tbl_baremes[Coût proposé total €], 14)</f>
        <v>0</v>
      </c>
      <c r="D25" s="6">
        <f>INDEX(tbl_baremes[Surcoût total €], 14)</f>
        <v>0</v>
      </c>
      <c r="E25" s="5">
        <f>INDEX(tbl_baremes[[#All],[Écart %]], 14)</f>
        <v>0</v>
      </c>
      <c r="G25">
        <f>INDEX(tbl_baremes[Barème], 20)</f>
        <v>0</v>
      </c>
      <c r="H25" s="6">
        <f>INDEX(tbl_baremes[Coût actuel total €], 20)</f>
        <v>0</v>
      </c>
      <c r="I25" s="6">
        <f>INDEX(tbl_baremes[Effectifs (N)], 20)*(1+INDEX('Scénarios'!C4:C6,1))*INDEX(tbl_baremes[Unités / personne / an], 20)*(1+INDEX('Scénarios'!D4:D6,1))*MIN(INDEX(tbl_baremes[Valeur proposée €/unité], 20)*INDEX(tbl_baremes[Unités / personne / an], 20)*(1+INDEX('Scénarios'!D4:D6,1)), INDEX('Scénarios'!E4:E6,1))*INDEX('Scénarios'!B4:B6,1) + INDEX(tbl_baremes[Effectifs (N)], 20)*(1+INDEX('Scénarios'!C4:C6,1))*(1-INDEX('Scénarios'!B4:B6,1))*INDEX(tbl_baremes[Unités / personne / an], 20)*(1+INDEX('Scénarios'!D4:D6,1))*INDEX(tbl_baremes[Valeur actuelle €/unité], 20)</f>
        <v>0</v>
      </c>
      <c r="J25" s="6">
        <f>INDEX(tbl_baremes[Effectifs (N)], 20)*(1+INDEX('Scénarios'!C4:C6,2))*INDEX(tbl_baremes[Unités / personne / an], 20)*(1+INDEX('Scénarios'!D4:D6,2))*MIN(INDEX(tbl_baremes[Valeur proposée €/unité], 20)*INDEX(tbl_baremes[Unités / personne / an], 20)*(1+INDEX('Scénarios'!D4:D6,2)), INDEX('Scénarios'!E4:E6,2))*INDEX('Scénarios'!B4:B6,2) + INDEX(tbl_baremes[Effectifs (N)], 20)*(1+INDEX('Scénarios'!C4:C6,2))*(1-INDEX('Scénarios'!B4:B6,2))*INDEX(tbl_baremes[Unités / personne / an], 20)*(1+INDEX('Scénarios'!D4:D6,2))*INDEX(tbl_baremes[Valeur actuelle €/unité], 20)</f>
        <v>0</v>
      </c>
      <c r="K25" s="6">
        <f>INDEX(tbl_baremes[Effectifs (N)], 20)*(1+INDEX('Scénarios'!C4:C6,3))*INDEX(tbl_baremes[Unités / personne / an], 20)*(1+INDEX('Scénarios'!D4:D6,3))*MIN(INDEX(tbl_baremes[Valeur proposée €/unité], 20)*INDEX(tbl_baremes[Unités / personne / an], 20)*(1+INDEX('Scénarios'!D4:D6,3)), INDEX('Scénarios'!E4:E6,3))*INDEX('Scénarios'!B4:B6,3) + INDEX(tbl_baremes[Effectifs (N)], 20)*(1+INDEX('Scénarios'!C4:C6,3))*(1-INDEX('Scénarios'!B4:B6,3))*INDEX(tbl_baremes[Unités / personne / an], 20)*(1+INDEX('Scénarios'!D4:D6,3))*INDEX(tbl_baremes[Valeur actuelle €/unité], 20)</f>
        <v>0</v>
      </c>
    </row>
    <row r="26" spans="1:11">
      <c r="A26">
        <f>INDEX(tbl_baremes[Barème], 15)</f>
        <v>0</v>
      </c>
      <c r="B26" s="6">
        <f>INDEX(tbl_baremes[Coût actuel total €], 15)</f>
        <v>0</v>
      </c>
      <c r="C26" s="6">
        <f>INDEX(tbl_baremes[Coût proposé total €], 15)</f>
        <v>0</v>
      </c>
      <c r="D26" s="6">
        <f>INDEX(tbl_baremes[Surcoût total €], 15)</f>
        <v>0</v>
      </c>
      <c r="E26" s="5">
        <f>INDEX(tbl_baremes[[#All],[Écart %]], 15)</f>
        <v>0</v>
      </c>
      <c r="G26">
        <f>INDEX(tbl_baremes[Barème], 21)</f>
        <v>0</v>
      </c>
      <c r="H26" s="6">
        <f>INDEX(tbl_baremes[Coût actuel total €], 21)</f>
        <v>0</v>
      </c>
      <c r="I26" s="6">
        <f>INDEX(tbl_baremes[Effectifs (N)], 21)*(1+INDEX('Scénarios'!C4:C6,1))*INDEX(tbl_baremes[Unités / personne / an], 21)*(1+INDEX('Scénarios'!D4:D6,1))*MIN(INDEX(tbl_baremes[Valeur proposée €/unité], 21)*INDEX(tbl_baremes[Unités / personne / an], 21)*(1+INDEX('Scénarios'!D4:D6,1)), INDEX('Scénarios'!E4:E6,1))*INDEX('Scénarios'!B4:B6,1) + INDEX(tbl_baremes[Effectifs (N)], 21)*(1+INDEX('Scénarios'!C4:C6,1))*(1-INDEX('Scénarios'!B4:B6,1))*INDEX(tbl_baremes[Unités / personne / an], 21)*(1+INDEX('Scénarios'!D4:D6,1))*INDEX(tbl_baremes[Valeur actuelle €/unité], 21)</f>
        <v>0</v>
      </c>
      <c r="J26" s="6">
        <f>INDEX(tbl_baremes[Effectifs (N)], 21)*(1+INDEX('Scénarios'!C4:C6,2))*INDEX(tbl_baremes[Unités / personne / an], 21)*(1+INDEX('Scénarios'!D4:D6,2))*MIN(INDEX(tbl_baremes[Valeur proposée €/unité], 21)*INDEX(tbl_baremes[Unités / personne / an], 21)*(1+INDEX('Scénarios'!D4:D6,2)), INDEX('Scénarios'!E4:E6,2))*INDEX('Scénarios'!B4:B6,2) + INDEX(tbl_baremes[Effectifs (N)], 21)*(1+INDEX('Scénarios'!C4:C6,2))*(1-INDEX('Scénarios'!B4:B6,2))*INDEX(tbl_baremes[Unités / personne / an], 21)*(1+INDEX('Scénarios'!D4:D6,2))*INDEX(tbl_baremes[Valeur actuelle €/unité], 21)</f>
        <v>0</v>
      </c>
      <c r="K26" s="6">
        <f>INDEX(tbl_baremes[Effectifs (N)], 21)*(1+INDEX('Scénarios'!C4:C6,3))*INDEX(tbl_baremes[Unités / personne / an], 21)*(1+INDEX('Scénarios'!D4:D6,3))*MIN(INDEX(tbl_baremes[Valeur proposée €/unité], 21)*INDEX(tbl_baremes[Unités / personne / an], 21)*(1+INDEX('Scénarios'!D4:D6,3)), INDEX('Scénarios'!E4:E6,3))*INDEX('Scénarios'!B4:B6,3) + INDEX(tbl_baremes[Effectifs (N)], 21)*(1+INDEX('Scénarios'!C4:C6,3))*(1-INDEX('Scénarios'!B4:B6,3))*INDEX(tbl_baremes[Unités / personne / an], 21)*(1+INDEX('Scénarios'!D4:D6,3))*INDEX(tbl_baremes[Valeur actuelle €/unité], 21)</f>
        <v>0</v>
      </c>
    </row>
    <row r="27" spans="1:11">
      <c r="A27">
        <f>INDEX(tbl_baremes[Barème], 16)</f>
        <v>0</v>
      </c>
      <c r="B27" s="6">
        <f>INDEX(tbl_baremes[Coût actuel total €], 16)</f>
        <v>0</v>
      </c>
      <c r="C27" s="6">
        <f>INDEX(tbl_baremes[Coût proposé total €], 16)</f>
        <v>0</v>
      </c>
      <c r="D27" s="6">
        <f>INDEX(tbl_baremes[Surcoût total €], 16)</f>
        <v>0</v>
      </c>
      <c r="E27" s="5">
        <f>INDEX(tbl_baremes[[#All],[Écart %]], 16)</f>
        <v>0</v>
      </c>
      <c r="G27">
        <f>INDEX(tbl_baremes[Barème], 22)</f>
        <v>0</v>
      </c>
      <c r="H27" s="6">
        <f>INDEX(tbl_baremes[Coût actuel total €], 22)</f>
        <v>0</v>
      </c>
      <c r="I27" s="6">
        <f>INDEX(tbl_baremes[Effectifs (N)], 22)*(1+INDEX('Scénarios'!C4:C6,1))*INDEX(tbl_baremes[Unités / personne / an], 22)*(1+INDEX('Scénarios'!D4:D6,1))*MIN(INDEX(tbl_baremes[Valeur proposée €/unité], 22)*INDEX(tbl_baremes[Unités / personne / an], 22)*(1+INDEX('Scénarios'!D4:D6,1)), INDEX('Scénarios'!E4:E6,1))*INDEX('Scénarios'!B4:B6,1) + INDEX(tbl_baremes[Effectifs (N)], 22)*(1+INDEX('Scénarios'!C4:C6,1))*(1-INDEX('Scénarios'!B4:B6,1))*INDEX(tbl_baremes[Unités / personne / an], 22)*(1+INDEX('Scénarios'!D4:D6,1))*INDEX(tbl_baremes[Valeur actuelle €/unité], 22)</f>
        <v>0</v>
      </c>
      <c r="J27" s="6">
        <f>INDEX(tbl_baremes[Effectifs (N)], 22)*(1+INDEX('Scénarios'!C4:C6,2))*INDEX(tbl_baremes[Unités / personne / an], 22)*(1+INDEX('Scénarios'!D4:D6,2))*MIN(INDEX(tbl_baremes[Valeur proposée €/unité], 22)*INDEX(tbl_baremes[Unités / personne / an], 22)*(1+INDEX('Scénarios'!D4:D6,2)), INDEX('Scénarios'!E4:E6,2))*INDEX('Scénarios'!B4:B6,2) + INDEX(tbl_baremes[Effectifs (N)], 22)*(1+INDEX('Scénarios'!C4:C6,2))*(1-INDEX('Scénarios'!B4:B6,2))*INDEX(tbl_baremes[Unités / personne / an], 22)*(1+INDEX('Scénarios'!D4:D6,2))*INDEX(tbl_baremes[Valeur actuelle €/unité], 22)</f>
        <v>0</v>
      </c>
      <c r="K27" s="6">
        <f>INDEX(tbl_baremes[Effectifs (N)], 22)*(1+INDEX('Scénarios'!C4:C6,3))*INDEX(tbl_baremes[Unités / personne / an], 22)*(1+INDEX('Scénarios'!D4:D6,3))*MIN(INDEX(tbl_baremes[Valeur proposée €/unité], 22)*INDEX(tbl_baremes[Unités / personne / an], 22)*(1+INDEX('Scénarios'!D4:D6,3)), INDEX('Scénarios'!E4:E6,3))*INDEX('Scénarios'!B4:B6,3) + INDEX(tbl_baremes[Effectifs (N)], 22)*(1+INDEX('Scénarios'!C4:C6,3))*(1-INDEX('Scénarios'!B4:B6,3))*INDEX(tbl_baremes[Unités / personne / an], 22)*(1+INDEX('Scénarios'!D4:D6,3))*INDEX(tbl_baremes[Valeur actuelle €/unité], 22)</f>
        <v>0</v>
      </c>
    </row>
    <row r="28" spans="1:11">
      <c r="A28">
        <f>INDEX(tbl_baremes[Barème], 17)</f>
        <v>0</v>
      </c>
      <c r="B28" s="6">
        <f>INDEX(tbl_baremes[Coût actuel total €], 17)</f>
        <v>0</v>
      </c>
      <c r="C28" s="6">
        <f>INDEX(tbl_baremes[Coût proposé total €], 17)</f>
        <v>0</v>
      </c>
      <c r="D28" s="6">
        <f>INDEX(tbl_baremes[Surcoût total €], 17)</f>
        <v>0</v>
      </c>
      <c r="E28" s="5">
        <f>INDEX(tbl_baremes[[#All],[Écart %]], 17)</f>
        <v>0</v>
      </c>
      <c r="G28">
        <f>INDEX(tbl_baremes[Barème], 23)</f>
        <v>0</v>
      </c>
      <c r="H28" s="6">
        <f>INDEX(tbl_baremes[Coût actuel total €], 23)</f>
        <v>0</v>
      </c>
      <c r="I28" s="6">
        <f>INDEX(tbl_baremes[Effectifs (N)], 23)*(1+INDEX('Scénarios'!C4:C6,1))*INDEX(tbl_baremes[Unités / personne / an], 23)*(1+INDEX('Scénarios'!D4:D6,1))*MIN(INDEX(tbl_baremes[Valeur proposée €/unité], 23)*INDEX(tbl_baremes[Unités / personne / an], 23)*(1+INDEX('Scénarios'!D4:D6,1)), INDEX('Scénarios'!E4:E6,1))*INDEX('Scénarios'!B4:B6,1) + INDEX(tbl_baremes[Effectifs (N)], 23)*(1+INDEX('Scénarios'!C4:C6,1))*(1-INDEX('Scénarios'!B4:B6,1))*INDEX(tbl_baremes[Unités / personne / an], 23)*(1+INDEX('Scénarios'!D4:D6,1))*INDEX(tbl_baremes[Valeur actuelle €/unité], 23)</f>
        <v>0</v>
      </c>
      <c r="J28" s="6">
        <f>INDEX(tbl_baremes[Effectifs (N)], 23)*(1+INDEX('Scénarios'!C4:C6,2))*INDEX(tbl_baremes[Unités / personne / an], 23)*(1+INDEX('Scénarios'!D4:D6,2))*MIN(INDEX(tbl_baremes[Valeur proposée €/unité], 23)*INDEX(tbl_baremes[Unités / personne / an], 23)*(1+INDEX('Scénarios'!D4:D6,2)), INDEX('Scénarios'!E4:E6,2))*INDEX('Scénarios'!B4:B6,2) + INDEX(tbl_baremes[Effectifs (N)], 23)*(1+INDEX('Scénarios'!C4:C6,2))*(1-INDEX('Scénarios'!B4:B6,2))*INDEX(tbl_baremes[Unités / personne / an], 23)*(1+INDEX('Scénarios'!D4:D6,2))*INDEX(tbl_baremes[Valeur actuelle €/unité], 23)</f>
        <v>0</v>
      </c>
      <c r="K28" s="6">
        <f>INDEX(tbl_baremes[Effectifs (N)], 23)*(1+INDEX('Scénarios'!C4:C6,3))*INDEX(tbl_baremes[Unités / personne / an], 23)*(1+INDEX('Scénarios'!D4:D6,3))*MIN(INDEX(tbl_baremes[Valeur proposée €/unité], 23)*INDEX(tbl_baremes[Unités / personne / an], 23)*(1+INDEX('Scénarios'!D4:D6,3)), INDEX('Scénarios'!E4:E6,3))*INDEX('Scénarios'!B4:B6,3) + INDEX(tbl_baremes[Effectifs (N)], 23)*(1+INDEX('Scénarios'!C4:C6,3))*(1-INDEX('Scénarios'!B4:B6,3))*INDEX(tbl_baremes[Unités / personne / an], 23)*(1+INDEX('Scénarios'!D4:D6,3))*INDEX(tbl_baremes[Valeur actuelle €/unité], 23)</f>
        <v>0</v>
      </c>
    </row>
    <row r="29" spans="1:11">
      <c r="A29">
        <f>INDEX(tbl_baremes[Barème], 18)</f>
        <v>0</v>
      </c>
      <c r="B29" s="6">
        <f>INDEX(tbl_baremes[Coût actuel total €], 18)</f>
        <v>0</v>
      </c>
      <c r="C29" s="6">
        <f>INDEX(tbl_baremes[Coût proposé total €], 18)</f>
        <v>0</v>
      </c>
      <c r="D29" s="6">
        <f>INDEX(tbl_baremes[Surcoût total €], 18)</f>
        <v>0</v>
      </c>
      <c r="E29" s="5">
        <f>INDEX(tbl_baremes[[#All],[Écart %]], 18)</f>
        <v>0</v>
      </c>
      <c r="G29">
        <f>INDEX(tbl_baremes[Barème], 24)</f>
        <v>0</v>
      </c>
      <c r="H29" s="6">
        <f>INDEX(tbl_baremes[Coût actuel total €], 24)</f>
        <v>0</v>
      </c>
      <c r="I29" s="6">
        <f>INDEX(tbl_baremes[Effectifs (N)], 24)*(1+INDEX('Scénarios'!C4:C6,1))*INDEX(tbl_baremes[Unités / personne / an], 24)*(1+INDEX('Scénarios'!D4:D6,1))*MIN(INDEX(tbl_baremes[Valeur proposée €/unité], 24)*INDEX(tbl_baremes[Unités / personne / an], 24)*(1+INDEX('Scénarios'!D4:D6,1)), INDEX('Scénarios'!E4:E6,1))*INDEX('Scénarios'!B4:B6,1) + INDEX(tbl_baremes[Effectifs (N)], 24)*(1+INDEX('Scénarios'!C4:C6,1))*(1-INDEX('Scénarios'!B4:B6,1))*INDEX(tbl_baremes[Unités / personne / an], 24)*(1+INDEX('Scénarios'!D4:D6,1))*INDEX(tbl_baremes[Valeur actuelle €/unité], 24)</f>
        <v>0</v>
      </c>
      <c r="J29" s="6">
        <f>INDEX(tbl_baremes[Effectifs (N)], 24)*(1+INDEX('Scénarios'!C4:C6,2))*INDEX(tbl_baremes[Unités / personne / an], 24)*(1+INDEX('Scénarios'!D4:D6,2))*MIN(INDEX(tbl_baremes[Valeur proposée €/unité], 24)*INDEX(tbl_baremes[Unités / personne / an], 24)*(1+INDEX('Scénarios'!D4:D6,2)), INDEX('Scénarios'!E4:E6,2))*INDEX('Scénarios'!B4:B6,2) + INDEX(tbl_baremes[Effectifs (N)], 24)*(1+INDEX('Scénarios'!C4:C6,2))*(1-INDEX('Scénarios'!B4:B6,2))*INDEX(tbl_baremes[Unités / personne / an], 24)*(1+INDEX('Scénarios'!D4:D6,2))*INDEX(tbl_baremes[Valeur actuelle €/unité], 24)</f>
        <v>0</v>
      </c>
      <c r="K29" s="6">
        <f>INDEX(tbl_baremes[Effectifs (N)], 24)*(1+INDEX('Scénarios'!C4:C6,3))*INDEX(tbl_baremes[Unités / personne / an], 24)*(1+INDEX('Scénarios'!D4:D6,3))*MIN(INDEX(tbl_baremes[Valeur proposée €/unité], 24)*INDEX(tbl_baremes[Unités / personne / an], 24)*(1+INDEX('Scénarios'!D4:D6,3)), INDEX('Scénarios'!E4:E6,3))*INDEX('Scénarios'!B4:B6,3) + INDEX(tbl_baremes[Effectifs (N)], 24)*(1+INDEX('Scénarios'!C4:C6,3))*(1-INDEX('Scénarios'!B4:B6,3))*INDEX(tbl_baremes[Unités / personne / an], 24)*(1+INDEX('Scénarios'!D4:D6,3))*INDEX(tbl_baremes[Valeur actuelle €/unité], 24)</f>
        <v>0</v>
      </c>
    </row>
    <row r="30" spans="1:11">
      <c r="A30">
        <f>INDEX(tbl_baremes[Barème], 19)</f>
        <v>0</v>
      </c>
      <c r="B30" s="6">
        <f>INDEX(tbl_baremes[Coût actuel total €], 19)</f>
        <v>0</v>
      </c>
      <c r="C30" s="6">
        <f>INDEX(tbl_baremes[Coût proposé total €], 19)</f>
        <v>0</v>
      </c>
      <c r="D30" s="6">
        <f>INDEX(tbl_baremes[Surcoût total €], 19)</f>
        <v>0</v>
      </c>
      <c r="E30" s="5">
        <f>INDEX(tbl_baremes[[#All],[Écart %]], 19)</f>
        <v>0</v>
      </c>
      <c r="G30">
        <f>INDEX(tbl_baremes[Barème], 25)</f>
        <v>0</v>
      </c>
      <c r="H30" s="6">
        <f>INDEX(tbl_baremes[Coût actuel total €], 25)</f>
        <v>0</v>
      </c>
      <c r="I30" s="6">
        <f>INDEX(tbl_baremes[Effectifs (N)], 25)*(1+INDEX('Scénarios'!C4:C6,1))*INDEX(tbl_baremes[Unités / personne / an], 25)*(1+INDEX('Scénarios'!D4:D6,1))*MIN(INDEX(tbl_baremes[Valeur proposée €/unité], 25)*INDEX(tbl_baremes[Unités / personne / an], 25)*(1+INDEX('Scénarios'!D4:D6,1)), INDEX('Scénarios'!E4:E6,1))*INDEX('Scénarios'!B4:B6,1) + INDEX(tbl_baremes[Effectifs (N)], 25)*(1+INDEX('Scénarios'!C4:C6,1))*(1-INDEX('Scénarios'!B4:B6,1))*INDEX(tbl_baremes[Unités / personne / an], 25)*(1+INDEX('Scénarios'!D4:D6,1))*INDEX(tbl_baremes[Valeur actuelle €/unité], 25)</f>
        <v>0</v>
      </c>
      <c r="J30" s="6">
        <f>INDEX(tbl_baremes[Effectifs (N)], 25)*(1+INDEX('Scénarios'!C4:C6,2))*INDEX(tbl_baremes[Unités / personne / an], 25)*(1+INDEX('Scénarios'!D4:D6,2))*MIN(INDEX(tbl_baremes[Valeur proposée €/unité], 25)*INDEX(tbl_baremes[Unités / personne / an], 25)*(1+INDEX('Scénarios'!D4:D6,2)), INDEX('Scénarios'!E4:E6,2))*INDEX('Scénarios'!B4:B6,2) + INDEX(tbl_baremes[Effectifs (N)], 25)*(1+INDEX('Scénarios'!C4:C6,2))*(1-INDEX('Scénarios'!B4:B6,2))*INDEX(tbl_baremes[Unités / personne / an], 25)*(1+INDEX('Scénarios'!D4:D6,2))*INDEX(tbl_baremes[Valeur actuelle €/unité], 25)</f>
        <v>0</v>
      </c>
      <c r="K30" s="6">
        <f>INDEX(tbl_baremes[Effectifs (N)], 25)*(1+INDEX('Scénarios'!C4:C6,3))*INDEX(tbl_baremes[Unités / personne / an], 25)*(1+INDEX('Scénarios'!D4:D6,3))*MIN(INDEX(tbl_baremes[Valeur proposée €/unité], 25)*INDEX(tbl_baremes[Unités / personne / an], 25)*(1+INDEX('Scénarios'!D4:D6,3)), INDEX('Scénarios'!E4:E6,3))*INDEX('Scénarios'!B4:B6,3) + INDEX(tbl_baremes[Effectifs (N)], 25)*(1+INDEX('Scénarios'!C4:C6,3))*(1-INDEX('Scénarios'!B4:B6,3))*INDEX(tbl_baremes[Unités / personne / an], 25)*(1+INDEX('Scénarios'!D4:D6,3))*INDEX(tbl_baremes[Valeur actuelle €/unité], 25)</f>
        <v>0</v>
      </c>
    </row>
    <row r="31" spans="1:11">
      <c r="A31">
        <f>INDEX(tbl_baremes[Barème], 20)</f>
        <v>0</v>
      </c>
      <c r="B31" s="6">
        <f>INDEX(tbl_baremes[Coût actuel total €], 20)</f>
        <v>0</v>
      </c>
      <c r="C31" s="6">
        <f>INDEX(tbl_baremes[Coût proposé total €], 20)</f>
        <v>0</v>
      </c>
      <c r="D31" s="6">
        <f>INDEX(tbl_baremes[Surcoût total €], 20)</f>
        <v>0</v>
      </c>
      <c r="E31" s="5">
        <f>INDEX(tbl_baremes[[#All],[Écart %]], 20)</f>
        <v>0</v>
      </c>
      <c r="G31">
        <f>INDEX(tbl_baremes[Barème], 26)</f>
        <v>0</v>
      </c>
      <c r="H31" s="6">
        <f>INDEX(tbl_baremes[Coût actuel total €], 26)</f>
        <v>0</v>
      </c>
      <c r="I31" s="6">
        <f>INDEX(tbl_baremes[Effectifs (N)], 26)*(1+INDEX('Scénarios'!C4:C6,1))*INDEX(tbl_baremes[Unités / personne / an], 26)*(1+INDEX('Scénarios'!D4:D6,1))*MIN(INDEX(tbl_baremes[Valeur proposée €/unité], 26)*INDEX(tbl_baremes[Unités / personne / an], 26)*(1+INDEX('Scénarios'!D4:D6,1)), INDEX('Scénarios'!E4:E6,1))*INDEX('Scénarios'!B4:B6,1) + INDEX(tbl_baremes[Effectifs (N)], 26)*(1+INDEX('Scénarios'!C4:C6,1))*(1-INDEX('Scénarios'!B4:B6,1))*INDEX(tbl_baremes[Unités / personne / an], 26)*(1+INDEX('Scénarios'!D4:D6,1))*INDEX(tbl_baremes[Valeur actuelle €/unité], 26)</f>
        <v>0</v>
      </c>
      <c r="J31" s="6">
        <f>INDEX(tbl_baremes[Effectifs (N)], 26)*(1+INDEX('Scénarios'!C4:C6,2))*INDEX(tbl_baremes[Unités / personne / an], 26)*(1+INDEX('Scénarios'!D4:D6,2))*MIN(INDEX(tbl_baremes[Valeur proposée €/unité], 26)*INDEX(tbl_baremes[Unités / personne / an], 26)*(1+INDEX('Scénarios'!D4:D6,2)), INDEX('Scénarios'!E4:E6,2))*INDEX('Scénarios'!B4:B6,2) + INDEX(tbl_baremes[Effectifs (N)], 26)*(1+INDEX('Scénarios'!C4:C6,2))*(1-INDEX('Scénarios'!B4:B6,2))*INDEX(tbl_baremes[Unités / personne / an], 26)*(1+INDEX('Scénarios'!D4:D6,2))*INDEX(tbl_baremes[Valeur actuelle €/unité], 26)</f>
        <v>0</v>
      </c>
      <c r="K31" s="6">
        <f>INDEX(tbl_baremes[Effectifs (N)], 26)*(1+INDEX('Scénarios'!C4:C6,3))*INDEX(tbl_baremes[Unités / personne / an], 26)*(1+INDEX('Scénarios'!D4:D6,3))*MIN(INDEX(tbl_baremes[Valeur proposée €/unité], 26)*INDEX(tbl_baremes[Unités / personne / an], 26)*(1+INDEX('Scénarios'!D4:D6,3)), INDEX('Scénarios'!E4:E6,3))*INDEX('Scénarios'!B4:B6,3) + INDEX(tbl_baremes[Effectifs (N)], 26)*(1+INDEX('Scénarios'!C4:C6,3))*(1-INDEX('Scénarios'!B4:B6,3))*INDEX(tbl_baremes[Unités / personne / an], 26)*(1+INDEX('Scénarios'!D4:D6,3))*INDEX(tbl_baremes[Valeur actuelle €/unité], 26)</f>
        <v>0</v>
      </c>
    </row>
    <row r="32" spans="1:11">
      <c r="A32">
        <f>INDEX(tbl_baremes[Barème], 21)</f>
        <v>0</v>
      </c>
      <c r="B32" s="6">
        <f>INDEX(tbl_baremes[Coût actuel total €], 21)</f>
        <v>0</v>
      </c>
      <c r="C32" s="6">
        <f>INDEX(tbl_baremes[Coût proposé total €], 21)</f>
        <v>0</v>
      </c>
      <c r="D32" s="6">
        <f>INDEX(tbl_baremes[Surcoût total €], 21)</f>
        <v>0</v>
      </c>
      <c r="E32" s="5">
        <f>INDEX(tbl_baremes[[#All],[Écart %]], 21)</f>
        <v>0</v>
      </c>
      <c r="G32">
        <f>INDEX(tbl_baremes[Barème], 27)</f>
        <v>0</v>
      </c>
      <c r="H32" s="6">
        <f>INDEX(tbl_baremes[Coût actuel total €], 27)</f>
        <v>0</v>
      </c>
      <c r="I32" s="6">
        <f>INDEX(tbl_baremes[Effectifs (N)], 27)*(1+INDEX('Scénarios'!C4:C6,1))*INDEX(tbl_baremes[Unités / personne / an], 27)*(1+INDEX('Scénarios'!D4:D6,1))*MIN(INDEX(tbl_baremes[Valeur proposée €/unité], 27)*INDEX(tbl_baremes[Unités / personne / an], 27)*(1+INDEX('Scénarios'!D4:D6,1)), INDEX('Scénarios'!E4:E6,1))*INDEX('Scénarios'!B4:B6,1) + INDEX(tbl_baremes[Effectifs (N)], 27)*(1+INDEX('Scénarios'!C4:C6,1))*(1-INDEX('Scénarios'!B4:B6,1))*INDEX(tbl_baremes[Unités / personne / an], 27)*(1+INDEX('Scénarios'!D4:D6,1))*INDEX(tbl_baremes[Valeur actuelle €/unité], 27)</f>
        <v>0</v>
      </c>
      <c r="J32" s="6">
        <f>INDEX(tbl_baremes[Effectifs (N)], 27)*(1+INDEX('Scénarios'!C4:C6,2))*INDEX(tbl_baremes[Unités / personne / an], 27)*(1+INDEX('Scénarios'!D4:D6,2))*MIN(INDEX(tbl_baremes[Valeur proposée €/unité], 27)*INDEX(tbl_baremes[Unités / personne / an], 27)*(1+INDEX('Scénarios'!D4:D6,2)), INDEX('Scénarios'!E4:E6,2))*INDEX('Scénarios'!B4:B6,2) + INDEX(tbl_baremes[Effectifs (N)], 27)*(1+INDEX('Scénarios'!C4:C6,2))*(1-INDEX('Scénarios'!B4:B6,2))*INDEX(tbl_baremes[Unités / personne / an], 27)*(1+INDEX('Scénarios'!D4:D6,2))*INDEX(tbl_baremes[Valeur actuelle €/unité], 27)</f>
        <v>0</v>
      </c>
      <c r="K32" s="6">
        <f>INDEX(tbl_baremes[Effectifs (N)], 27)*(1+INDEX('Scénarios'!C4:C6,3))*INDEX(tbl_baremes[Unités / personne / an], 27)*(1+INDEX('Scénarios'!D4:D6,3))*MIN(INDEX(tbl_baremes[Valeur proposée €/unité], 27)*INDEX(tbl_baremes[Unités / personne / an], 27)*(1+INDEX('Scénarios'!D4:D6,3)), INDEX('Scénarios'!E4:E6,3))*INDEX('Scénarios'!B4:B6,3) + INDEX(tbl_baremes[Effectifs (N)], 27)*(1+INDEX('Scénarios'!C4:C6,3))*(1-INDEX('Scénarios'!B4:B6,3))*INDEX(tbl_baremes[Unités / personne / an], 27)*(1+INDEX('Scénarios'!D4:D6,3))*INDEX(tbl_baremes[Valeur actuelle €/unité], 27)</f>
        <v>0</v>
      </c>
    </row>
    <row r="33" spans="1:11">
      <c r="A33">
        <f>INDEX(tbl_baremes[Barème], 22)</f>
        <v>0</v>
      </c>
      <c r="B33" s="6">
        <f>INDEX(tbl_baremes[Coût actuel total €], 22)</f>
        <v>0</v>
      </c>
      <c r="C33" s="6">
        <f>INDEX(tbl_baremes[Coût proposé total €], 22)</f>
        <v>0</v>
      </c>
      <c r="D33" s="6">
        <f>INDEX(tbl_baremes[Surcoût total €], 22)</f>
        <v>0</v>
      </c>
      <c r="E33" s="5">
        <f>INDEX(tbl_baremes[[#All],[Écart %]], 22)</f>
        <v>0</v>
      </c>
      <c r="G33">
        <f>INDEX(tbl_baremes[Barème], 28)</f>
        <v>0</v>
      </c>
      <c r="H33" s="6">
        <f>INDEX(tbl_baremes[Coût actuel total €], 28)</f>
        <v>0</v>
      </c>
      <c r="I33" s="6">
        <f>INDEX(tbl_baremes[Effectifs (N)], 28)*(1+INDEX('Scénarios'!C4:C6,1))*INDEX(tbl_baremes[Unités / personne / an], 28)*(1+INDEX('Scénarios'!D4:D6,1))*MIN(INDEX(tbl_baremes[Valeur proposée €/unité], 28)*INDEX(tbl_baremes[Unités / personne / an], 28)*(1+INDEX('Scénarios'!D4:D6,1)), INDEX('Scénarios'!E4:E6,1))*INDEX('Scénarios'!B4:B6,1) + INDEX(tbl_baremes[Effectifs (N)], 28)*(1+INDEX('Scénarios'!C4:C6,1))*(1-INDEX('Scénarios'!B4:B6,1))*INDEX(tbl_baremes[Unités / personne / an], 28)*(1+INDEX('Scénarios'!D4:D6,1))*INDEX(tbl_baremes[Valeur actuelle €/unité], 28)</f>
        <v>0</v>
      </c>
      <c r="J33" s="6">
        <f>INDEX(tbl_baremes[Effectifs (N)], 28)*(1+INDEX('Scénarios'!C4:C6,2))*INDEX(tbl_baremes[Unités / personne / an], 28)*(1+INDEX('Scénarios'!D4:D6,2))*MIN(INDEX(tbl_baremes[Valeur proposée €/unité], 28)*INDEX(tbl_baremes[Unités / personne / an], 28)*(1+INDEX('Scénarios'!D4:D6,2)), INDEX('Scénarios'!E4:E6,2))*INDEX('Scénarios'!B4:B6,2) + INDEX(tbl_baremes[Effectifs (N)], 28)*(1+INDEX('Scénarios'!C4:C6,2))*(1-INDEX('Scénarios'!B4:B6,2))*INDEX(tbl_baremes[Unités / personne / an], 28)*(1+INDEX('Scénarios'!D4:D6,2))*INDEX(tbl_baremes[Valeur actuelle €/unité], 28)</f>
        <v>0</v>
      </c>
      <c r="K33" s="6">
        <f>INDEX(tbl_baremes[Effectifs (N)], 28)*(1+INDEX('Scénarios'!C4:C6,3))*INDEX(tbl_baremes[Unités / personne / an], 28)*(1+INDEX('Scénarios'!D4:D6,3))*MIN(INDEX(tbl_baremes[Valeur proposée €/unité], 28)*INDEX(tbl_baremes[Unités / personne / an], 28)*(1+INDEX('Scénarios'!D4:D6,3)), INDEX('Scénarios'!E4:E6,3))*INDEX('Scénarios'!B4:B6,3) + INDEX(tbl_baremes[Effectifs (N)], 28)*(1+INDEX('Scénarios'!C4:C6,3))*(1-INDEX('Scénarios'!B4:B6,3))*INDEX(tbl_baremes[Unités / personne / an], 28)*(1+INDEX('Scénarios'!D4:D6,3))*INDEX(tbl_baremes[Valeur actuelle €/unité], 28)</f>
        <v>0</v>
      </c>
    </row>
    <row r="34" spans="1:11">
      <c r="A34">
        <f>INDEX(tbl_baremes[Barème], 23)</f>
        <v>0</v>
      </c>
      <c r="B34" s="6">
        <f>INDEX(tbl_baremes[Coût actuel total €], 23)</f>
        <v>0</v>
      </c>
      <c r="C34" s="6">
        <f>INDEX(tbl_baremes[Coût proposé total €], 23)</f>
        <v>0</v>
      </c>
      <c r="D34" s="6">
        <f>INDEX(tbl_baremes[Surcoût total €], 23)</f>
        <v>0</v>
      </c>
      <c r="E34" s="5">
        <f>INDEX(tbl_baremes[[#All],[Écart %]], 23)</f>
        <v>0</v>
      </c>
      <c r="G34">
        <f>INDEX(tbl_baremes[Barème], 29)</f>
        <v>0</v>
      </c>
      <c r="H34" s="6">
        <f>INDEX(tbl_baremes[Coût actuel total €], 29)</f>
        <v>0</v>
      </c>
      <c r="I34" s="6">
        <f>INDEX(tbl_baremes[Effectifs (N)], 29)*(1+INDEX('Scénarios'!C4:C6,1))*INDEX(tbl_baremes[Unités / personne / an], 29)*(1+INDEX('Scénarios'!D4:D6,1))*MIN(INDEX(tbl_baremes[Valeur proposée €/unité], 29)*INDEX(tbl_baremes[Unités / personne / an], 29)*(1+INDEX('Scénarios'!D4:D6,1)), INDEX('Scénarios'!E4:E6,1))*INDEX('Scénarios'!B4:B6,1) + INDEX(tbl_baremes[Effectifs (N)], 29)*(1+INDEX('Scénarios'!C4:C6,1))*(1-INDEX('Scénarios'!B4:B6,1))*INDEX(tbl_baremes[Unités / personne / an], 29)*(1+INDEX('Scénarios'!D4:D6,1))*INDEX(tbl_baremes[Valeur actuelle €/unité], 29)</f>
        <v>0</v>
      </c>
      <c r="J34" s="6">
        <f>INDEX(tbl_baremes[Effectifs (N)], 29)*(1+INDEX('Scénarios'!C4:C6,2))*INDEX(tbl_baremes[Unités / personne / an], 29)*(1+INDEX('Scénarios'!D4:D6,2))*MIN(INDEX(tbl_baremes[Valeur proposée €/unité], 29)*INDEX(tbl_baremes[Unités / personne / an], 29)*(1+INDEX('Scénarios'!D4:D6,2)), INDEX('Scénarios'!E4:E6,2))*INDEX('Scénarios'!B4:B6,2) + INDEX(tbl_baremes[Effectifs (N)], 29)*(1+INDEX('Scénarios'!C4:C6,2))*(1-INDEX('Scénarios'!B4:B6,2))*INDEX(tbl_baremes[Unités / personne / an], 29)*(1+INDEX('Scénarios'!D4:D6,2))*INDEX(tbl_baremes[Valeur actuelle €/unité], 29)</f>
        <v>0</v>
      </c>
      <c r="K34" s="6">
        <f>INDEX(tbl_baremes[Effectifs (N)], 29)*(1+INDEX('Scénarios'!C4:C6,3))*INDEX(tbl_baremes[Unités / personne / an], 29)*(1+INDEX('Scénarios'!D4:D6,3))*MIN(INDEX(tbl_baremes[Valeur proposée €/unité], 29)*INDEX(tbl_baremes[Unités / personne / an], 29)*(1+INDEX('Scénarios'!D4:D6,3)), INDEX('Scénarios'!E4:E6,3))*INDEX('Scénarios'!B4:B6,3) + INDEX(tbl_baremes[Effectifs (N)], 29)*(1+INDEX('Scénarios'!C4:C6,3))*(1-INDEX('Scénarios'!B4:B6,3))*INDEX(tbl_baremes[Unités / personne / an], 29)*(1+INDEX('Scénarios'!D4:D6,3))*INDEX(tbl_baremes[Valeur actuelle €/unité], 29)</f>
        <v>0</v>
      </c>
    </row>
    <row r="35" spans="1:11">
      <c r="A35">
        <f>INDEX(tbl_baremes[Barème], 24)</f>
        <v>0</v>
      </c>
      <c r="B35" s="6">
        <f>INDEX(tbl_baremes[Coût actuel total €], 24)</f>
        <v>0</v>
      </c>
      <c r="C35" s="6">
        <f>INDEX(tbl_baremes[Coût proposé total €], 24)</f>
        <v>0</v>
      </c>
      <c r="D35" s="6">
        <f>INDEX(tbl_baremes[Surcoût total €], 24)</f>
        <v>0</v>
      </c>
      <c r="E35" s="5">
        <f>INDEX(tbl_baremes[[#All],[Écart %]], 24)</f>
        <v>0</v>
      </c>
      <c r="G35">
        <f>INDEX(tbl_baremes[Barème], 30)</f>
        <v>0</v>
      </c>
      <c r="H35" s="6">
        <f>INDEX(tbl_baremes[Coût actuel total €], 30)</f>
        <v>0</v>
      </c>
      <c r="I35" s="6">
        <f>INDEX(tbl_baremes[Effectifs (N)], 30)*(1+INDEX('Scénarios'!C4:C6,1))*INDEX(tbl_baremes[Unités / personne / an], 30)*(1+INDEX('Scénarios'!D4:D6,1))*MIN(INDEX(tbl_baremes[Valeur proposée €/unité], 30)*INDEX(tbl_baremes[Unités / personne / an], 30)*(1+INDEX('Scénarios'!D4:D6,1)), INDEX('Scénarios'!E4:E6,1))*INDEX('Scénarios'!B4:B6,1) + INDEX(tbl_baremes[Effectifs (N)], 30)*(1+INDEX('Scénarios'!C4:C6,1))*(1-INDEX('Scénarios'!B4:B6,1))*INDEX(tbl_baremes[Unités / personne / an], 30)*(1+INDEX('Scénarios'!D4:D6,1))*INDEX(tbl_baremes[Valeur actuelle €/unité], 30)</f>
        <v>0</v>
      </c>
      <c r="J35" s="6">
        <f>INDEX(tbl_baremes[Effectifs (N)], 30)*(1+INDEX('Scénarios'!C4:C6,2))*INDEX(tbl_baremes[Unités / personne / an], 30)*(1+INDEX('Scénarios'!D4:D6,2))*MIN(INDEX(tbl_baremes[Valeur proposée €/unité], 30)*INDEX(tbl_baremes[Unités / personne / an], 30)*(1+INDEX('Scénarios'!D4:D6,2)), INDEX('Scénarios'!E4:E6,2))*INDEX('Scénarios'!B4:B6,2) + INDEX(tbl_baremes[Effectifs (N)], 30)*(1+INDEX('Scénarios'!C4:C6,2))*(1-INDEX('Scénarios'!B4:B6,2))*INDEX(tbl_baremes[Unités / personne / an], 30)*(1+INDEX('Scénarios'!D4:D6,2))*INDEX(tbl_baremes[Valeur actuelle €/unité], 30)</f>
        <v>0</v>
      </c>
      <c r="K35" s="6">
        <f>INDEX(tbl_baremes[Effectifs (N)], 30)*(1+INDEX('Scénarios'!C4:C6,3))*INDEX(tbl_baremes[Unités / personne / an], 30)*(1+INDEX('Scénarios'!D4:D6,3))*MIN(INDEX(tbl_baremes[Valeur proposée €/unité], 30)*INDEX(tbl_baremes[Unités / personne / an], 30)*(1+INDEX('Scénarios'!D4:D6,3)), INDEX('Scénarios'!E4:E6,3))*INDEX('Scénarios'!B4:B6,3) + INDEX(tbl_baremes[Effectifs (N)], 30)*(1+INDEX('Scénarios'!C4:C6,3))*(1-INDEX('Scénarios'!B4:B6,3))*INDEX(tbl_baremes[Unités / personne / an], 30)*(1+INDEX('Scénarios'!D4:D6,3))*INDEX(tbl_baremes[Valeur actuelle €/unité], 30)</f>
        <v>0</v>
      </c>
    </row>
    <row r="36" spans="1:11">
      <c r="A36">
        <f>INDEX(tbl_baremes[Barème], 25)</f>
        <v>0</v>
      </c>
      <c r="B36" s="6">
        <f>INDEX(tbl_baremes[Coût actuel total €], 25)</f>
        <v>0</v>
      </c>
      <c r="C36" s="6">
        <f>INDEX(tbl_baremes[Coût proposé total €], 25)</f>
        <v>0</v>
      </c>
      <c r="D36" s="6">
        <f>INDEX(tbl_baremes[Surcoût total €], 25)</f>
        <v>0</v>
      </c>
      <c r="E36" s="5">
        <f>INDEX(tbl_baremes[[#All],[Écart %]], 25)</f>
        <v>0</v>
      </c>
    </row>
    <row r="37" spans="1:11">
      <c r="A37">
        <f>INDEX(tbl_baremes[Barème], 26)</f>
        <v>0</v>
      </c>
      <c r="B37" s="6">
        <f>INDEX(tbl_baremes[Coût actuel total €], 26)</f>
        <v>0</v>
      </c>
      <c r="C37" s="6">
        <f>INDEX(tbl_baremes[Coût proposé total €], 26)</f>
        <v>0</v>
      </c>
      <c r="D37" s="6">
        <f>INDEX(tbl_baremes[Surcoût total €], 26)</f>
        <v>0</v>
      </c>
      <c r="E37" s="5">
        <f>INDEX(tbl_baremes[[#All],[Écart %]], 26)</f>
        <v>0</v>
      </c>
    </row>
    <row r="38" spans="1:11">
      <c r="A38">
        <f>INDEX(tbl_baremes[Barème], 27)</f>
        <v>0</v>
      </c>
      <c r="B38" s="6">
        <f>INDEX(tbl_baremes[Coût actuel total €], 27)</f>
        <v>0</v>
      </c>
      <c r="C38" s="6">
        <f>INDEX(tbl_baremes[Coût proposé total €], 27)</f>
        <v>0</v>
      </c>
      <c r="D38" s="6">
        <f>INDEX(tbl_baremes[Surcoût total €], 27)</f>
        <v>0</v>
      </c>
      <c r="E38" s="5">
        <f>INDEX(tbl_baremes[[#All],[Écart %]], 27)</f>
        <v>0</v>
      </c>
    </row>
    <row r="39" spans="1:11">
      <c r="A39">
        <f>INDEX(tbl_baremes[Barème], 28)</f>
        <v>0</v>
      </c>
      <c r="B39" s="6">
        <f>INDEX(tbl_baremes[Coût actuel total €], 28)</f>
        <v>0</v>
      </c>
      <c r="C39" s="6">
        <f>INDEX(tbl_baremes[Coût proposé total €], 28)</f>
        <v>0</v>
      </c>
      <c r="D39" s="6">
        <f>INDEX(tbl_baremes[Surcoût total €], 28)</f>
        <v>0</v>
      </c>
      <c r="E39" s="5">
        <f>INDEX(tbl_baremes[[#All],[Écart %]], 28)</f>
        <v>0</v>
      </c>
    </row>
    <row r="40" spans="1:11">
      <c r="A40">
        <f>INDEX(tbl_baremes[Barème], 29)</f>
        <v>0</v>
      </c>
      <c r="B40" s="6">
        <f>INDEX(tbl_baremes[Coût actuel total €], 29)</f>
        <v>0</v>
      </c>
      <c r="C40" s="6">
        <f>INDEX(tbl_baremes[Coût proposé total €], 29)</f>
        <v>0</v>
      </c>
      <c r="D40" s="6">
        <f>INDEX(tbl_baremes[Surcoût total €], 29)</f>
        <v>0</v>
      </c>
      <c r="E40" s="5">
        <f>INDEX(tbl_baremes[[#All],[Écart %]], 29)</f>
        <v>0</v>
      </c>
    </row>
    <row r="41" spans="1:11">
      <c r="A41">
        <f>INDEX(tbl_baremes[Barème], 30)</f>
        <v>0</v>
      </c>
      <c r="B41" s="6">
        <f>INDEX(tbl_baremes[Coût actuel total €], 30)</f>
        <v>0</v>
      </c>
      <c r="C41" s="6">
        <f>INDEX(tbl_baremes[Coût proposé total €], 30)</f>
        <v>0</v>
      </c>
      <c r="D41" s="6">
        <f>INDEX(tbl_baremes[Surcoût total €], 30)</f>
        <v>0</v>
      </c>
      <c r="E41" s="5">
        <f>INDEX(tbl_baremes[[#All],[Écart %]], 30)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42"/>
  <sheetViews>
    <sheetView workbookViewId="0"/>
  </sheetViews>
  <sheetFormatPr defaultRowHeight="15"/>
  <sheetData>
    <row r="1" spans="1:2">
      <c r="A1" s="1" t="s">
        <v>78</v>
      </c>
    </row>
    <row r="3" spans="1:2">
      <c r="A3" s="11" t="s">
        <v>68</v>
      </c>
      <c r="B3" s="6">
        <f>'Résultats'!B4</f>
        <v>0</v>
      </c>
    </row>
    <row r="4" spans="1:2">
      <c r="A4" s="11" t="s">
        <v>69</v>
      </c>
      <c r="B4" s="6">
        <f>'Résultats'!B5</f>
        <v>0</v>
      </c>
    </row>
    <row r="5" spans="1:2">
      <c r="A5" s="11" t="s">
        <v>70</v>
      </c>
      <c r="B5" s="6">
        <f>'Résultats'!B6</f>
        <v>0</v>
      </c>
    </row>
    <row r="6" spans="1:2">
      <c r="A6" s="11" t="s">
        <v>71</v>
      </c>
      <c r="B6" s="5">
        <f>'Résultats'!B7</f>
        <v>0</v>
      </c>
    </row>
    <row r="22" spans="1:13">
      <c r="G22" s="3" t="s">
        <v>80</v>
      </c>
    </row>
    <row r="24" spans="1:13">
      <c r="M24" s="4">
        <f>Résultats!G4</f>
        <v>0</v>
      </c>
    </row>
    <row r="25" spans="1:13">
      <c r="M25" s="4">
        <f>Résultats!G5</f>
        <v>0</v>
      </c>
    </row>
    <row r="26" spans="1:13">
      <c r="M26" s="4">
        <f>Résultats!G6</f>
        <v>0</v>
      </c>
    </row>
    <row r="27" spans="1:13">
      <c r="M27" s="4">
        <f>Résultats!G7</f>
        <v>0</v>
      </c>
    </row>
    <row r="28" spans="1:13">
      <c r="M28" s="4">
        <f>Résultats!G8</f>
        <v>0</v>
      </c>
    </row>
    <row r="29" spans="1:13">
      <c r="M29" s="4">
        <f>Résultats!G9</f>
        <v>0</v>
      </c>
    </row>
    <row r="30" spans="1:13">
      <c r="A30" s="3" t="s">
        <v>79</v>
      </c>
      <c r="M30" s="4">
        <f>Résultats!G10</f>
        <v>0</v>
      </c>
    </row>
    <row r="31" spans="1:13">
      <c r="A31" s="2" t="s">
        <v>38</v>
      </c>
      <c r="B31" s="2" t="s">
        <v>47</v>
      </c>
      <c r="C31" s="2" t="s">
        <v>54</v>
      </c>
      <c r="M31" s="4">
        <f>Résultats!G11</f>
        <v>0</v>
      </c>
    </row>
    <row r="32" spans="1:13">
      <c r="M32" s="4">
        <f>Résultats!G12</f>
        <v>0</v>
      </c>
    </row>
    <row r="33" spans="1:13">
      <c r="A33">
        <f>INDEX(tbl_baremes[Barème], 1)</f>
        <v>0</v>
      </c>
      <c r="B33" s="10">
        <f>INDEX(tbl_baremes[Effectifs proj.], 1)</f>
        <v>0</v>
      </c>
      <c r="C33" s="5">
        <f>INDEX(tbl_baremes[[#All],[Écart %]], 1)</f>
        <v>0</v>
      </c>
      <c r="M33" s="4">
        <f>Résultats!G13</f>
        <v>0</v>
      </c>
    </row>
    <row r="34" spans="1:13">
      <c r="A34">
        <f>INDEX(tbl_baremes[Barème], 2)</f>
        <v>0</v>
      </c>
      <c r="B34" s="10">
        <f>INDEX(tbl_baremes[Effectifs proj.], 2)</f>
        <v>0</v>
      </c>
      <c r="C34" s="5">
        <f>INDEX(tbl_baremes[[#All],[Écart %]], 2)</f>
        <v>0</v>
      </c>
    </row>
    <row r="35" spans="1:13">
      <c r="A35">
        <f>INDEX(tbl_baremes[Barème], 3)</f>
        <v>0</v>
      </c>
      <c r="B35" s="10">
        <f>INDEX(tbl_baremes[Effectifs proj.], 3)</f>
        <v>0</v>
      </c>
      <c r="C35" s="5">
        <f>INDEX(tbl_baremes[[#All],[Écart %]], 3)</f>
        <v>0</v>
      </c>
    </row>
    <row r="36" spans="1:13">
      <c r="A36">
        <f>INDEX(tbl_baremes[Barème], 4)</f>
        <v>0</v>
      </c>
      <c r="B36" s="10">
        <f>INDEX(tbl_baremes[Effectifs proj.], 4)</f>
        <v>0</v>
      </c>
      <c r="C36" s="5">
        <f>INDEX(tbl_baremes[[#All],[Écart %]], 4)</f>
        <v>0</v>
      </c>
    </row>
    <row r="37" spans="1:13">
      <c r="A37">
        <f>INDEX(tbl_baremes[Barème], 5)</f>
        <v>0</v>
      </c>
      <c r="B37" s="10">
        <f>INDEX(tbl_baremes[Effectifs proj.], 5)</f>
        <v>0</v>
      </c>
      <c r="C37" s="5">
        <f>INDEX(tbl_baremes[[#All],[Écart %]], 5)</f>
        <v>0</v>
      </c>
    </row>
    <row r="38" spans="1:13">
      <c r="A38">
        <f>INDEX(tbl_baremes[Barème], 6)</f>
        <v>0</v>
      </c>
      <c r="B38" s="10">
        <f>INDEX(tbl_baremes[Effectifs proj.], 6)</f>
        <v>0</v>
      </c>
      <c r="C38" s="5">
        <f>INDEX(tbl_baremes[[#All],[Écart %]], 6)</f>
        <v>0</v>
      </c>
    </row>
    <row r="39" spans="1:13">
      <c r="A39">
        <f>INDEX(tbl_baremes[Barème], 7)</f>
        <v>0</v>
      </c>
      <c r="B39" s="10">
        <f>INDEX(tbl_baremes[Effectifs proj.], 7)</f>
        <v>0</v>
      </c>
      <c r="C39" s="5">
        <f>INDEX(tbl_baremes[[#All],[Écart %]], 7)</f>
        <v>0</v>
      </c>
    </row>
    <row r="40" spans="1:13">
      <c r="A40">
        <f>INDEX(tbl_baremes[Barème], 8)</f>
        <v>0</v>
      </c>
      <c r="B40" s="10">
        <f>INDEX(tbl_baremes[Effectifs proj.], 8)</f>
        <v>0</v>
      </c>
      <c r="C40" s="5">
        <f>INDEX(tbl_baremes[[#All],[Écart %]], 8)</f>
        <v>0</v>
      </c>
    </row>
    <row r="41" spans="1:13">
      <c r="A41">
        <f>INDEX(tbl_baremes[Barème], 9)</f>
        <v>0</v>
      </c>
      <c r="B41" s="10">
        <f>INDEX(tbl_baremes[Effectifs proj.], 9)</f>
        <v>0</v>
      </c>
      <c r="C41" s="5">
        <f>INDEX(tbl_baremes[[#All],[Écart %]], 9)</f>
        <v>0</v>
      </c>
    </row>
    <row r="42" spans="1:13">
      <c r="A42">
        <f>INDEX(tbl_baremes[Barème], 10)</f>
        <v>0</v>
      </c>
      <c r="B42" s="10">
        <f>INDEX(tbl_baremes[Effectifs proj.], 10)</f>
        <v>0</v>
      </c>
      <c r="C42" s="5">
        <f>INDEX(tbl_baremes[[#All],[Écart %]], 10)</f>
        <v>0</v>
      </c>
    </row>
  </sheetData>
  <pageMargins left="0.7" right="0.7" top="0.75" bottom="0.75" header="0.3" footer="0.3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Résultats!I13:K13</xm:f>
              <xm:sqref>N33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Résultats!I12:K12</xm:f>
              <xm:sqref>N32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Résultats!I11:K11</xm:f>
              <xm:sqref>N31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Résultats!I10:K10</xm:f>
              <xm:sqref>N30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Résultats!I9:K9</xm:f>
              <xm:sqref>N29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Résultats!I8:K8</xm:f>
              <xm:sqref>N28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Résultats!I7:K7</xm:f>
              <xm:sqref>N27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Résultats!I6:K6</xm:f>
              <xm:sqref>N26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Résultats!I5:K5</xm:f>
              <xm:sqref>N25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Résultats!I4:K4</xm:f>
              <xm:sqref>N24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120.7109375" customWidth="1"/>
  </cols>
  <sheetData>
    <row r="1" spans="1:1">
      <c r="A1" s="1" t="s">
        <v>81</v>
      </c>
    </row>
    <row r="3" spans="1:1">
      <c r="A3" s="4" t="s">
        <v>82</v>
      </c>
    </row>
    <row r="4" spans="1:1">
      <c r="A4" s="4" t="s">
        <v>83</v>
      </c>
    </row>
    <row r="5" spans="1:1">
      <c r="A5" s="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9</vt:i4>
      </vt:variant>
    </vt:vector>
  </HeadingPairs>
  <TitlesOfParts>
    <vt:vector size="15" baseType="lpstr">
      <vt:lpstr>Paramètres</vt:lpstr>
      <vt:lpstr>Scénarios</vt:lpstr>
      <vt:lpstr>Baremes</vt:lpstr>
      <vt:lpstr>Résultats</vt:lpstr>
      <vt:lpstr>Dashboard</vt:lpstr>
      <vt:lpstr>README</vt:lpstr>
      <vt:lpstr>CapPerPerson</vt:lpstr>
      <vt:lpstr>CapPerPersonEff</vt:lpstr>
      <vt:lpstr>HeadcountGrowth</vt:lpstr>
      <vt:lpstr>HeadcountGrowthEff</vt:lpstr>
      <vt:lpstr>ScenarioActif</vt:lpstr>
      <vt:lpstr>Uptake</vt:lpstr>
      <vt:lpstr>UptakeEff</vt:lpstr>
      <vt:lpstr>VolumeMultiplier</vt:lpstr>
      <vt:lpstr>VolumeMultiplierEff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2025-09-18T00:41:32Z</dcterms:created>
  <dcterms:modified xsi:type="dcterms:W3CDTF">2025-09-18T00:41:32Z</dcterms:modified>
</cp:coreProperties>
</file>