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'emploi" sheetId="1" r:id="rId1"/>
    <sheet name="Paramètres" sheetId="2" r:id="rId2"/>
    <sheet name="Projet_Portefeuille" sheetId="3" r:id="rId3"/>
    <sheet name="WBS_Projet" sheetId="4" r:id="rId4"/>
    <sheet name="Risques" sheetId="5" r:id="rId5"/>
    <sheet name="Synthèse" sheetId="6" r:id="rId6"/>
    <sheet name="Cashflow" sheetId="7" r:id="rId7"/>
    <sheet name="Financier" sheetId="8" r:id="rId8"/>
    <sheet name="Dashboard" sheetId="9" r:id="rId9"/>
    <sheet name="EVM" sheetId="10" r:id="rId10"/>
  </sheets>
  <definedNames>
    <definedName name="LISTE_SECTEURS">'Paramètres'!$D$5:$D$11</definedName>
    <definedName name="MOIS_COURANT">'EVM'!$I$2</definedName>
    <definedName name="PP_DUREE">'Projet_Portefeuille'!$F$2:$F$200</definedName>
    <definedName name="PP_ID">'Projet_Portefeuille'!$A$2:$A$200</definedName>
    <definedName name="PP_SCENARIO">'Projet_Portefeuille'!$D$2:$D$200</definedName>
    <definedName name="PP_SECTEUR">'Projet_Portefeuille'!$C$2:$C$200</definedName>
    <definedName name="RESERVE_MGMT">'Paramètres'!$B$6</definedName>
    <definedName name="TABLE_OVERHEAD">'Paramètres'!$D$5:$E$11</definedName>
    <definedName name="TABLE_SCENARIOS">'Paramètres'!$A$9:$B$11</definedName>
    <definedName name="TAUX_ACTU">'Paramètres'!$B$5</definedName>
    <definedName name="TVA">'Paramètres'!$B$4</definedName>
  </definedNames>
  <calcPr calcId="124519" fullCalcOnLoad="1"/>
</workbook>
</file>

<file path=xl/sharedStrings.xml><?xml version="1.0" encoding="utf-8"?>
<sst xmlns="http://schemas.openxmlformats.org/spreadsheetml/2006/main" count="204" uniqueCount="136">
  <si>
    <t>Calculateur de coûts de projet — Multi-secteurs &amp; multi-projets (v2, avec EVM)</t>
  </si>
  <si>
    <t>Structure : Paramètres, Projet_Portefeuille, WBS_Projet, Risques, Synthèse, Cashflow, Financier, Dashboard, **EVM**.
EVM fournit CPI/SPI/EAC avec jauges (icônes &amp; barres) et calcule AC à date depuis Cashflow.
Mode d’emploi rapide :
1) Paramétrez TVA, taux, overhead, réserve, scénarios.
2) Créez vos projets ; chiffrez la WBS ; saisissez les risques.
3) Ajustez la répartition Cashflow.
4) Dans **EVM**, fixez le **Mois courant** et, si besoin, **% avancement**. Les KPI se calculent automatiquement.</t>
  </si>
  <si>
    <t>Astuce : % planifié est calculé automatiquement = Mois courant / Durée (capé à 100 %).</t>
  </si>
  <si>
    <t>Paramètres généraux</t>
  </si>
  <si>
    <t>Devise (affichage)</t>
  </si>
  <si>
    <t>EUR</t>
  </si>
  <si>
    <t>TVA (taux)</t>
  </si>
  <si>
    <t>Taux d’actualisation (NPV)</t>
  </si>
  <si>
    <t>Réserve de management (%)</t>
  </si>
  <si>
    <t>Scénarios</t>
  </si>
  <si>
    <t>Nom</t>
  </si>
  <si>
    <t>Multiplicateur</t>
  </si>
  <si>
    <t>Optimiste</t>
  </si>
  <si>
    <t>Base</t>
  </si>
  <si>
    <t>Pessimiste</t>
  </si>
  <si>
    <t>Secteurs</t>
  </si>
  <si>
    <t>Secteur</t>
  </si>
  <si>
    <t>Overhead (%)</t>
  </si>
  <si>
    <t>Construction</t>
  </si>
  <si>
    <t>IT</t>
  </si>
  <si>
    <t>Industrie</t>
  </si>
  <si>
    <t>Services</t>
  </si>
  <si>
    <t>Événementiel</t>
  </si>
  <si>
    <t>R&amp;D</t>
  </si>
  <si>
    <t>Logistique</t>
  </si>
  <si>
    <t>Projet ID</t>
  </si>
  <si>
    <t>Nom du projet</t>
  </si>
  <si>
    <t>Scénario</t>
  </si>
  <si>
    <t>Date début (AAAA-MM-JJ)</t>
  </si>
  <si>
    <t>Durée (mois)</t>
  </si>
  <si>
    <t>PRJ-001</t>
  </si>
  <si>
    <t>Rénovation site A</t>
  </si>
  <si>
    <t>2025-10-01</t>
  </si>
  <si>
    <t>PRJ-002</t>
  </si>
  <si>
    <t>ERP déploiement</t>
  </si>
  <si>
    <t>2025-11-01</t>
  </si>
  <si>
    <t>PRJ-003</t>
  </si>
  <si>
    <t>Nouvelle ligne d’assemblage</t>
  </si>
  <si>
    <t>2025-12-01</t>
  </si>
  <si>
    <t>WBS</t>
  </si>
  <si>
    <t>Tâche</t>
  </si>
  <si>
    <t>Phase</t>
  </si>
  <si>
    <t>Catégorie (Capex/Opex)</t>
  </si>
  <si>
    <t>Type coût</t>
  </si>
  <si>
    <t>Unité</t>
  </si>
  <si>
    <t>Qté</t>
  </si>
  <si>
    <t>PU HT</t>
  </si>
  <si>
    <t>% Remise</t>
  </si>
  <si>
    <t>Sous-total HT</t>
  </si>
  <si>
    <t>TVA</t>
  </si>
  <si>
    <t>Total TTC</t>
  </si>
  <si>
    <t>Facteur scénario</t>
  </si>
  <si>
    <t>Ajusté HT</t>
  </si>
  <si>
    <t>Fixe/Variable</t>
  </si>
  <si>
    <t>1.1</t>
  </si>
  <si>
    <t>Études &amp; plans</t>
  </si>
  <si>
    <t>Conception</t>
  </si>
  <si>
    <t>Opex</t>
  </si>
  <si>
    <t>Ressource</t>
  </si>
  <si>
    <t>h</t>
  </si>
  <si>
    <t>1.2</t>
  </si>
  <si>
    <t>Matériaux structure</t>
  </si>
  <si>
    <t>Réalisation</t>
  </si>
  <si>
    <t>Capex</t>
  </si>
  <si>
    <t>Achat</t>
  </si>
  <si>
    <t>u</t>
  </si>
  <si>
    <t>1.3</t>
  </si>
  <si>
    <t>Entreprise sous-traitante</t>
  </si>
  <si>
    <t>Sous-traitance</t>
  </si>
  <si>
    <t>lot</t>
  </si>
  <si>
    <t>2.1</t>
  </si>
  <si>
    <t>Chef de projet</t>
  </si>
  <si>
    <t>Pilotage</t>
  </si>
  <si>
    <t>jour</t>
  </si>
  <si>
    <t>2.2</t>
  </si>
  <si>
    <t>Licences ERP</t>
  </si>
  <si>
    <t>2.3</t>
  </si>
  <si>
    <t>Intégrateur (forfait)</t>
  </si>
  <si>
    <t>TOTAL Sous-total HT</t>
  </si>
  <si>
    <t>TOTAL Ajusté HT</t>
  </si>
  <si>
    <t>Risque</t>
  </si>
  <si>
    <t>Probabilité</t>
  </si>
  <si>
    <t>Impact HT</t>
  </si>
  <si>
    <t>EMV (prob×impact)</t>
  </si>
  <si>
    <t>Catégorie</t>
  </si>
  <si>
    <t>Retard d’approvisionnement</t>
  </si>
  <si>
    <t>Planning</t>
  </si>
  <si>
    <t>Changement de périmètre</t>
  </si>
  <si>
    <t>Scope</t>
  </si>
  <si>
    <t>Synthèse par projet</t>
  </si>
  <si>
    <t>Total WBS ajusté (HT)</t>
  </si>
  <si>
    <t>Overhead % (secteur)</t>
  </si>
  <si>
    <t>Overhead €</t>
  </si>
  <si>
    <t>EMV (risques)</t>
  </si>
  <si>
    <t>Réserve mgmt</t>
  </si>
  <si>
    <t>COÛT TOTAL HT</t>
  </si>
  <si>
    <t>COÛT TOTAL TTC</t>
  </si>
  <si>
    <t>Coût moyen / mois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</si>
  <si>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</si>
  <si>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</si>
  <si>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</si>
  <si>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</si>
  <si>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</si>
  <si>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</si>
  <si>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</si>
  <si>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</si>
  <si>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</si>
  <si>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</si>
  <si>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</si>
  <si>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</si>
  <si>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Total (vérif.)</t>
  </si>
  <si>
    <t>Note :</t>
  </si>
  <si>
    <t>Par défaut, répartition uniforme. Ajustez M1..M12 selon vos jalons.</t>
  </si>
  <si>
    <t>Indicateurs financiers</t>
  </si>
  <si>
    <t>NPV (€)</t>
  </si>
  <si>
    <t>IRR</t>
  </si>
  <si>
    <t>Somme flux (contrôle)</t>
  </si>
  <si>
    <t>Remarque</t>
  </si>
  <si>
    <t>Flux négatifs = décaissements (coûts)</t>
  </si>
  <si>
    <t>Dashboard — Coûts totaux par projet (HT)</t>
  </si>
  <si>
    <t>Projet</t>
  </si>
  <si>
    <t>Coût total HT</t>
  </si>
  <si>
    <t>Earned Value Management (CPI/SPI/EAC + jauges)</t>
  </si>
  <si>
    <t>Paramètres EVM</t>
  </si>
  <si>
    <t>Mois courant (1-12)</t>
  </si>
  <si>
    <t>BAC (HT)</t>
  </si>
  <si>
    <t>% planifié</t>
  </si>
  <si>
    <t>% avancement</t>
  </si>
  <si>
    <t>PV</t>
  </si>
  <si>
    <t>EV</t>
  </si>
  <si>
    <t>AC à date</t>
  </si>
  <si>
    <t>CPI</t>
  </si>
  <si>
    <t>SPI</t>
  </si>
  <si>
    <t>EAC</t>
  </si>
  <si>
    <t>ETC</t>
  </si>
  <si>
    <t>VAC</t>
  </si>
</sst>
</file>

<file path=xl/styles.xml><?xml version="1.0" encoding="utf-8"?>
<styleSheet xmlns="http://schemas.openxmlformats.org/spreadsheetml/2006/main">
  <numFmts count="3">
    <numFmt numFmtId="164" formatCode="0.00%"/>
    <numFmt numFmtId="165" formatCode="#,##0.00"/>
    <numFmt numFmtId="166" formatCode="€ #,##0.00"/>
  </numFmts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rgb="FF47556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C3AED"/>
        <bgColor indexed="64"/>
      </patternFill>
    </fill>
    <fill>
      <patternFill patternType="solid">
        <fgColor rgb="FF14B8A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Alignment="1">
      <alignment vertical="top"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0" fillId="0" borderId="0" xfId="0" applyNumberFormat="1"/>
    <xf numFmtId="0" fontId="5" fillId="2" borderId="1" xfId="0" applyFont="1" applyFill="1" applyBorder="1" applyAlignment="1">
      <alignment horizontal="center" vertical="center"/>
    </xf>
    <xf numFmtId="165" fontId="0" fillId="0" borderId="0" xfId="0" applyNumberFormat="1"/>
    <xf numFmtId="0" fontId="5" fillId="3" borderId="1" xfId="0" applyFont="1" applyFill="1" applyBorder="1" applyAlignment="1">
      <alignment horizontal="center" vertical="center"/>
    </xf>
    <xf numFmtId="166" fontId="0" fillId="0" borderId="0" xfId="0" applyNumberFormat="1"/>
    <xf numFmtId="0" fontId="3" fillId="0" borderId="2" xfId="0" applyFont="1" applyBorder="1"/>
    <xf numFmtId="166" fontId="3" fillId="0" borderId="2" xfId="0" applyNumberFormat="1" applyFont="1" applyBorder="1"/>
    <xf numFmtId="1" fontId="0" fillId="0" borderId="0" xfId="0" applyNumberFormat="1"/>
  </cellXfs>
  <cellStyles count="1">
    <cellStyle name="Normal" xfId="0" builtinId="0"/>
  </cellStyles>
  <dxfs count="3">
    <dxf>
      <fill>
        <patternFill>
          <bgColor rgb="FFDCFCE7"/>
        </patternFill>
      </fill>
    </dxf>
    <dxf>
      <fill>
        <patternFill>
          <bgColor rgb="FFFEF3C7"/>
        </patternFill>
      </fill>
    </dxf>
    <dxf>
      <fill>
        <patternFill>
          <bgColor rgb="FFFEE2E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Total HT par projet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Coût total HT</c:v>
          </c:tx>
          <c:dLbls>
            <c:showVal val="1"/>
          </c:dLbls>
          <c:cat>
            <c:numRef>
              <c:f>Dashboard!$A$4:$A$18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cat>
          <c:val>
            <c:numRef>
              <c:f>Dashboard!$B$4:$B$18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Montant (€)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CPI par projet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CPI</c:v>
          </c:tx>
          <c:dLbls>
            <c:showVal val="1"/>
          </c:dLbls>
          <c:cat>
            <c:numRef>
              <c:f>EVM!$B$5:$B$24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EVM!$I$5:$I$24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CPI (≥1.00 idéal)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SPI par projet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SPI</c:v>
          </c:tx>
          <c:dLbls>
            <c:showVal val="1"/>
          </c:dLbls>
          <c:cat>
            <c:numRef>
              <c:f>EVM!$B$5:$B$24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EVM!$J$5:$J$24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axId val="50030001"/>
        <c:axId val="50030002"/>
      </c:barChart>
      <c:catAx>
        <c:axId val="50030001"/>
        <c:scaling>
          <c:orientation val="minMax"/>
        </c:scaling>
        <c:axPos val="b"/>
        <c:numFmt formatCode="General" sourceLinked="1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SPI (≥1.00 idéal)</a:t>
                </a:r>
              </a:p>
            </c:rich>
          </c:tx>
          <c:layout/>
        </c:title>
        <c:numFmt formatCode="General" sourceLinked="1"/>
        <c:tickLblPos val="nextTo"/>
        <c:crossAx val="5003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BAC vs EAC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BAC (HT)</c:v>
          </c:tx>
          <c:cat>
            <c:numRef>
              <c:f>EVM!$B$5:$B$24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EVM!$C$5:$C$24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v>EAC</c:v>
          </c:tx>
          <c:cat>
            <c:numRef>
              <c:f>EVM!$B$5:$B$24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EVM!$K$5:$K$24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axId val="50040001"/>
        <c:axId val="50040002"/>
      </c:barChart>
      <c:catAx>
        <c:axId val="50040001"/>
        <c:scaling>
          <c:orientation val="minMax"/>
        </c:scaling>
        <c:axPos val="b"/>
        <c:numFmt formatCode="General" sourceLinked="1"/>
        <c:tickLblPos val="nextTo"/>
        <c:crossAx val="50040002"/>
        <c:crosses val="autoZero"/>
        <c:auto val="1"/>
        <c:lblAlgn val="ctr"/>
        <c:lblOffset val="100"/>
      </c:catAx>
      <c:valAx>
        <c:axId val="5004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Montant (€)</a:t>
                </a:r>
              </a:p>
            </c:rich>
          </c:tx>
          <c:layout/>
        </c:title>
        <c:numFmt formatCode="General" sourceLinked="1"/>
        <c:tickLblPos val="nextTo"/>
        <c:crossAx val="5004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<Relationship Id="rId3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12</xdr:col>
      <xdr:colOff>0</xdr:colOff>
      <xdr:row>19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0</xdr:rowOff>
    </xdr:from>
    <xdr:to>
      <xdr:col>22</xdr:col>
      <xdr:colOff>381000</xdr:colOff>
      <xdr:row>17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0</xdr:colOff>
      <xdr:row>19</xdr:row>
      <xdr:rowOff>0</xdr:rowOff>
    </xdr:from>
    <xdr:to>
      <xdr:col>22</xdr:col>
      <xdr:colOff>381000</xdr:colOff>
      <xdr:row>33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35</xdr:row>
      <xdr:rowOff>0</xdr:rowOff>
    </xdr:from>
    <xdr:to>
      <xdr:col>22</xdr:col>
      <xdr:colOff>381000</xdr:colOff>
      <xdr:row>49</xdr:row>
      <xdr:rowOff>76200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2"/>
  <sheetViews>
    <sheetView tabSelected="1" workbookViewId="0">
      <pane ySplit="11" topLeftCell="A12" activePane="bottomLeft" state="frozen"/>
      <selection pane="bottomLeft"/>
    </sheetView>
  </sheetViews>
  <sheetFormatPr defaultRowHeight="15"/>
  <cols>
    <col min="1" max="1" width="110.7109375" customWidth="1"/>
  </cols>
  <sheetData>
    <row r="1" spans="1:1">
      <c r="A1" s="1" t="s">
        <v>0</v>
      </c>
    </row>
    <row r="3" spans="1:1">
      <c r="A3" s="2" t="s">
        <v>1</v>
      </c>
    </row>
    <row r="12" spans="1:1">
      <c r="A12" s="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2"/>
  <sheetViews>
    <sheetView workbookViewId="0"/>
  </sheetViews>
  <sheetFormatPr defaultRowHeight="15"/>
  <cols>
    <col min="1" max="1" width="35.7109375" customWidth="1"/>
    <col min="2" max="2" width="26.7109375" customWidth="1"/>
    <col min="4" max="6" width="26.7109375" customWidth="1"/>
    <col min="8" max="9" width="20.7109375" customWidth="1"/>
  </cols>
  <sheetData>
    <row r="1" spans="1:5">
      <c r="A1" s="1" t="s">
        <v>3</v>
      </c>
    </row>
    <row r="3" spans="1:5">
      <c r="A3" s="4" t="s">
        <v>4</v>
      </c>
      <c r="B3" t="s">
        <v>5</v>
      </c>
      <c r="D3" s="5" t="s">
        <v>15</v>
      </c>
    </row>
    <row r="4" spans="1:5">
      <c r="A4" s="4" t="s">
        <v>6</v>
      </c>
      <c r="B4" s="6">
        <v>0.2</v>
      </c>
      <c r="D4" s="7" t="s">
        <v>16</v>
      </c>
      <c r="E4" s="7" t="s">
        <v>17</v>
      </c>
    </row>
    <row r="5" spans="1:5">
      <c r="A5" s="4" t="s">
        <v>7</v>
      </c>
      <c r="B5" s="6">
        <v>0.1</v>
      </c>
      <c r="D5" t="s">
        <v>18</v>
      </c>
      <c r="E5" s="6">
        <v>0.12</v>
      </c>
    </row>
    <row r="6" spans="1:5">
      <c r="A6" s="4" t="s">
        <v>8</v>
      </c>
      <c r="B6" s="6">
        <v>0.05</v>
      </c>
      <c r="D6" t="s">
        <v>19</v>
      </c>
      <c r="E6" s="6">
        <v>0.1</v>
      </c>
    </row>
    <row r="7" spans="1:5">
      <c r="D7" t="s">
        <v>20</v>
      </c>
      <c r="E7" s="6">
        <v>0.15</v>
      </c>
    </row>
    <row r="8" spans="1:5">
      <c r="A8" s="5" t="s">
        <v>9</v>
      </c>
      <c r="D8" t="s">
        <v>21</v>
      </c>
      <c r="E8" s="6">
        <v>0.08</v>
      </c>
    </row>
    <row r="9" spans="1:5">
      <c r="A9" s="7" t="s">
        <v>10</v>
      </c>
      <c r="B9" s="7" t="s">
        <v>11</v>
      </c>
      <c r="D9" t="s">
        <v>22</v>
      </c>
      <c r="E9" s="6">
        <v>0.1</v>
      </c>
    </row>
    <row r="10" spans="1:5">
      <c r="A10" t="s">
        <v>12</v>
      </c>
      <c r="B10" s="8">
        <v>0.95</v>
      </c>
      <c r="D10" t="s">
        <v>23</v>
      </c>
      <c r="E10" s="6">
        <v>0.2</v>
      </c>
    </row>
    <row r="11" spans="1:5">
      <c r="A11" t="s">
        <v>13</v>
      </c>
      <c r="B11" s="8">
        <v>1</v>
      </c>
      <c r="D11" t="s">
        <v>24</v>
      </c>
      <c r="E11" s="6">
        <v>0.09</v>
      </c>
    </row>
    <row r="12" spans="1:5">
      <c r="A12" t="s">
        <v>14</v>
      </c>
      <c r="B12" s="8">
        <v>1.15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28.7109375" customWidth="1"/>
    <col min="3" max="3" width="20.7109375" customWidth="1"/>
    <col min="4" max="4" width="16.7109375" customWidth="1"/>
    <col min="5" max="5" width="22.7109375" customWidth="1"/>
    <col min="6" max="6" width="14.7109375" customWidth="1"/>
  </cols>
  <sheetData>
    <row r="1" spans="1:6">
      <c r="A1" s="7" t="s">
        <v>25</v>
      </c>
      <c r="B1" s="7" t="s">
        <v>26</v>
      </c>
      <c r="C1" s="7" t="s">
        <v>16</v>
      </c>
      <c r="D1" s="7" t="s">
        <v>27</v>
      </c>
      <c r="E1" s="7" t="s">
        <v>28</v>
      </c>
      <c r="F1" s="7" t="s">
        <v>29</v>
      </c>
    </row>
    <row r="2" spans="1:6">
      <c r="A2" t="s">
        <v>30</v>
      </c>
      <c r="B2" t="s">
        <v>31</v>
      </c>
      <c r="C2" t="s">
        <v>18</v>
      </c>
      <c r="D2" t="s">
        <v>13</v>
      </c>
      <c r="E2" t="s">
        <v>32</v>
      </c>
      <c r="F2">
        <v>8</v>
      </c>
    </row>
    <row r="3" spans="1:6">
      <c r="A3" t="s">
        <v>33</v>
      </c>
      <c r="B3" t="s">
        <v>34</v>
      </c>
      <c r="C3" t="s">
        <v>19</v>
      </c>
      <c r="D3" t="s">
        <v>14</v>
      </c>
      <c r="E3" t="s">
        <v>35</v>
      </c>
      <c r="F3">
        <v>12</v>
      </c>
    </row>
    <row r="4" spans="1:6">
      <c r="A4" t="s">
        <v>36</v>
      </c>
      <c r="B4" t="s">
        <v>37</v>
      </c>
      <c r="C4" t="s">
        <v>20</v>
      </c>
      <c r="D4" t="s">
        <v>12</v>
      </c>
      <c r="E4" t="s">
        <v>38</v>
      </c>
      <c r="F4">
        <v>10</v>
      </c>
    </row>
  </sheetData>
  <dataValidations count="60">
    <dataValidation type="list" allowBlank="1" showInputMessage="1" showErrorMessage="1" sqref="C2">
      <formula1>LISTE_SECTEURS</formula1>
    </dataValidation>
    <dataValidation type="list" allowBlank="1" showInputMessage="1" showErrorMessage="1" sqref="D2">
      <formula1>INDEX(TABLE_SCENARIOS,0,1)</formula1>
    </dataValidation>
    <dataValidation type="list" allowBlank="1" showInputMessage="1" showErrorMessage="1" sqref="C3">
      <formula1>LISTE_SECTEURS</formula1>
    </dataValidation>
    <dataValidation type="list" allowBlank="1" showInputMessage="1" showErrorMessage="1" sqref="D3">
      <formula1>INDEX(TABLE_SCENARIOS,0,1)</formula1>
    </dataValidation>
    <dataValidation type="list" allowBlank="1" showInputMessage="1" showErrorMessage="1" sqref="C4">
      <formula1>LISTE_SECTEURS</formula1>
    </dataValidation>
    <dataValidation type="list" allowBlank="1" showInputMessage="1" showErrorMessage="1" sqref="D4">
      <formula1>INDEX(TABLE_SCENARIOS,0,1)</formula1>
    </dataValidation>
    <dataValidation type="list" allowBlank="1" showInputMessage="1" showErrorMessage="1" sqref="C5">
      <formula1>LISTE_SECTEURS</formula1>
    </dataValidation>
    <dataValidation type="list" allowBlank="1" showInputMessage="1" showErrorMessage="1" sqref="D5">
      <formula1>INDEX(TABLE_SCENARIOS,0,1)</formula1>
    </dataValidation>
    <dataValidation type="list" allowBlank="1" showInputMessage="1" showErrorMessage="1" sqref="C6">
      <formula1>LISTE_SECTEURS</formula1>
    </dataValidation>
    <dataValidation type="list" allowBlank="1" showInputMessage="1" showErrorMessage="1" sqref="D6">
      <formula1>INDEX(TABLE_SCENARIOS,0,1)</formula1>
    </dataValidation>
    <dataValidation type="list" allowBlank="1" showInputMessage="1" showErrorMessage="1" sqref="C7">
      <formula1>LISTE_SECTEURS</formula1>
    </dataValidation>
    <dataValidation type="list" allowBlank="1" showInputMessage="1" showErrorMessage="1" sqref="D7">
      <formula1>INDEX(TABLE_SCENARIOS,0,1)</formula1>
    </dataValidation>
    <dataValidation type="list" allowBlank="1" showInputMessage="1" showErrorMessage="1" sqref="C8">
      <formula1>LISTE_SECTEURS</formula1>
    </dataValidation>
    <dataValidation type="list" allowBlank="1" showInputMessage="1" showErrorMessage="1" sqref="D8">
      <formula1>INDEX(TABLE_SCENARIOS,0,1)</formula1>
    </dataValidation>
    <dataValidation type="list" allowBlank="1" showInputMessage="1" showErrorMessage="1" sqref="C9">
      <formula1>LISTE_SECTEURS</formula1>
    </dataValidation>
    <dataValidation type="list" allowBlank="1" showInputMessage="1" showErrorMessage="1" sqref="D9">
      <formula1>INDEX(TABLE_SCENARIOS,0,1)</formula1>
    </dataValidation>
    <dataValidation type="list" allowBlank="1" showInputMessage="1" showErrorMessage="1" sqref="C10">
      <formula1>LISTE_SECTEURS</formula1>
    </dataValidation>
    <dataValidation type="list" allowBlank="1" showInputMessage="1" showErrorMessage="1" sqref="D10">
      <formula1>INDEX(TABLE_SCENARIOS,0,1)</formula1>
    </dataValidation>
    <dataValidation type="list" allowBlank="1" showInputMessage="1" showErrorMessage="1" sqref="C11">
      <formula1>LISTE_SECTEURS</formula1>
    </dataValidation>
    <dataValidation type="list" allowBlank="1" showInputMessage="1" showErrorMessage="1" sqref="D11">
      <formula1>INDEX(TABLE_SCENARIOS,0,1)</formula1>
    </dataValidation>
    <dataValidation type="list" allowBlank="1" showInputMessage="1" showErrorMessage="1" sqref="C12">
      <formula1>LISTE_SECTEURS</formula1>
    </dataValidation>
    <dataValidation type="list" allowBlank="1" showInputMessage="1" showErrorMessage="1" sqref="D12">
      <formula1>INDEX(TABLE_SCENARIOS,0,1)</formula1>
    </dataValidation>
    <dataValidation type="list" allowBlank="1" showInputMessage="1" showErrorMessage="1" sqref="C13">
      <formula1>LISTE_SECTEURS</formula1>
    </dataValidation>
    <dataValidation type="list" allowBlank="1" showInputMessage="1" showErrorMessage="1" sqref="D13">
      <formula1>INDEX(TABLE_SCENARIOS,0,1)</formula1>
    </dataValidation>
    <dataValidation type="list" allowBlank="1" showInputMessage="1" showErrorMessage="1" sqref="C14">
      <formula1>LISTE_SECTEURS</formula1>
    </dataValidation>
    <dataValidation type="list" allowBlank="1" showInputMessage="1" showErrorMessage="1" sqref="D14">
      <formula1>INDEX(TABLE_SCENARIOS,0,1)</formula1>
    </dataValidation>
    <dataValidation type="list" allowBlank="1" showInputMessage="1" showErrorMessage="1" sqref="C15">
      <formula1>LISTE_SECTEURS</formula1>
    </dataValidation>
    <dataValidation type="list" allowBlank="1" showInputMessage="1" showErrorMessage="1" sqref="D15">
      <formula1>INDEX(TABLE_SCENARIOS,0,1)</formula1>
    </dataValidation>
    <dataValidation type="list" allowBlank="1" showInputMessage="1" showErrorMessage="1" sqref="C16">
      <formula1>LISTE_SECTEURS</formula1>
    </dataValidation>
    <dataValidation type="list" allowBlank="1" showInputMessage="1" showErrorMessage="1" sqref="D16">
      <formula1>INDEX(TABLE_SCENARIOS,0,1)</formula1>
    </dataValidation>
    <dataValidation type="list" allowBlank="1" showInputMessage="1" showErrorMessage="1" sqref="C17">
      <formula1>LISTE_SECTEURS</formula1>
    </dataValidation>
    <dataValidation type="list" allowBlank="1" showInputMessage="1" showErrorMessage="1" sqref="D17">
      <formula1>INDEX(TABLE_SCENARIOS,0,1)</formula1>
    </dataValidation>
    <dataValidation type="list" allowBlank="1" showInputMessage="1" showErrorMessage="1" sqref="C18">
      <formula1>LISTE_SECTEURS</formula1>
    </dataValidation>
    <dataValidation type="list" allowBlank="1" showInputMessage="1" showErrorMessage="1" sqref="D18">
      <formula1>INDEX(TABLE_SCENARIOS,0,1)</formula1>
    </dataValidation>
    <dataValidation type="list" allowBlank="1" showInputMessage="1" showErrorMessage="1" sqref="C19">
      <formula1>LISTE_SECTEURS</formula1>
    </dataValidation>
    <dataValidation type="list" allowBlank="1" showInputMessage="1" showErrorMessage="1" sqref="D19">
      <formula1>INDEX(TABLE_SCENARIOS,0,1)</formula1>
    </dataValidation>
    <dataValidation type="list" allowBlank="1" showInputMessage="1" showErrorMessage="1" sqref="C20">
      <formula1>LISTE_SECTEURS</formula1>
    </dataValidation>
    <dataValidation type="list" allowBlank="1" showInputMessage="1" showErrorMessage="1" sqref="D20">
      <formula1>INDEX(TABLE_SCENARIOS,0,1)</formula1>
    </dataValidation>
    <dataValidation type="list" allowBlank="1" showInputMessage="1" showErrorMessage="1" sqref="C21">
      <formula1>LISTE_SECTEURS</formula1>
    </dataValidation>
    <dataValidation type="list" allowBlank="1" showInputMessage="1" showErrorMessage="1" sqref="D21">
      <formula1>INDEX(TABLE_SCENARIOS,0,1)</formula1>
    </dataValidation>
    <dataValidation type="list" allowBlank="1" showInputMessage="1" showErrorMessage="1" sqref="C22">
      <formula1>LISTE_SECTEURS</formula1>
    </dataValidation>
    <dataValidation type="list" allowBlank="1" showInputMessage="1" showErrorMessage="1" sqref="D22">
      <formula1>INDEX(TABLE_SCENARIOS,0,1)</formula1>
    </dataValidation>
    <dataValidation type="list" allowBlank="1" showInputMessage="1" showErrorMessage="1" sqref="C23">
      <formula1>LISTE_SECTEURS</formula1>
    </dataValidation>
    <dataValidation type="list" allowBlank="1" showInputMessage="1" showErrorMessage="1" sqref="D23">
      <formula1>INDEX(TABLE_SCENARIOS,0,1)</formula1>
    </dataValidation>
    <dataValidation type="list" allowBlank="1" showInputMessage="1" showErrorMessage="1" sqref="C24">
      <formula1>LISTE_SECTEURS</formula1>
    </dataValidation>
    <dataValidation type="list" allowBlank="1" showInputMessage="1" showErrorMessage="1" sqref="D24">
      <formula1>INDEX(TABLE_SCENARIOS,0,1)</formula1>
    </dataValidation>
    <dataValidation type="list" allowBlank="1" showInputMessage="1" showErrorMessage="1" sqref="C25">
      <formula1>LISTE_SECTEURS</formula1>
    </dataValidation>
    <dataValidation type="list" allowBlank="1" showInputMessage="1" showErrorMessage="1" sqref="D25">
      <formula1>INDEX(TABLE_SCENARIOS,0,1)</formula1>
    </dataValidation>
    <dataValidation type="list" allowBlank="1" showInputMessage="1" showErrorMessage="1" sqref="C26">
      <formula1>LISTE_SECTEURS</formula1>
    </dataValidation>
    <dataValidation type="list" allowBlank="1" showInputMessage="1" showErrorMessage="1" sqref="D26">
      <formula1>INDEX(TABLE_SCENARIOS,0,1)</formula1>
    </dataValidation>
    <dataValidation type="list" allowBlank="1" showInputMessage="1" showErrorMessage="1" sqref="C27">
      <formula1>LISTE_SECTEURS</formula1>
    </dataValidation>
    <dataValidation type="list" allowBlank="1" showInputMessage="1" showErrorMessage="1" sqref="D27">
      <formula1>INDEX(TABLE_SCENARIOS,0,1)</formula1>
    </dataValidation>
    <dataValidation type="list" allowBlank="1" showInputMessage="1" showErrorMessage="1" sqref="C28">
      <formula1>LISTE_SECTEURS</formula1>
    </dataValidation>
    <dataValidation type="list" allowBlank="1" showInputMessage="1" showErrorMessage="1" sqref="D28">
      <formula1>INDEX(TABLE_SCENARIOS,0,1)</formula1>
    </dataValidation>
    <dataValidation type="list" allowBlank="1" showInputMessage="1" showErrorMessage="1" sqref="C29">
      <formula1>LISTE_SECTEURS</formula1>
    </dataValidation>
    <dataValidation type="list" allowBlank="1" showInputMessage="1" showErrorMessage="1" sqref="D29">
      <formula1>INDEX(TABLE_SCENARIOS,0,1)</formula1>
    </dataValidation>
    <dataValidation type="list" allowBlank="1" showInputMessage="1" showErrorMessage="1" sqref="C30">
      <formula1>LISTE_SECTEURS</formula1>
    </dataValidation>
    <dataValidation type="list" allowBlank="1" showInputMessage="1" showErrorMessage="1" sqref="D30">
      <formula1>INDEX(TABLE_SCENARIOS,0,1)</formula1>
    </dataValidation>
    <dataValidation type="list" allowBlank="1" showInputMessage="1" showErrorMessage="1" sqref="C31">
      <formula1>LISTE_SECTEURS</formula1>
    </dataValidation>
    <dataValidation type="list" allowBlank="1" showInputMessage="1" showErrorMessage="1" sqref="D31">
      <formula1>INDEX(TABLE_SCENARIOS,0,1)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305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10.7109375" customWidth="1"/>
    <col min="3" max="3" width="32.7109375" customWidth="1"/>
    <col min="4" max="4" width="16.7109375" customWidth="1"/>
    <col min="5" max="5" width="18.7109375" customWidth="1"/>
    <col min="6" max="6" width="20.7109375" customWidth="1"/>
    <col min="7" max="7" width="10.7109375" customWidth="1"/>
    <col min="8" max="8" width="8.7109375" customWidth="1"/>
    <col min="9" max="9" width="14.7109375" customWidth="1"/>
    <col min="10" max="10" width="12.7109375" customWidth="1"/>
    <col min="11" max="11" width="16.7109375" customWidth="1"/>
    <col min="12" max="12" width="12.7109375" customWidth="1"/>
    <col min="13" max="14" width="14.7109375" customWidth="1"/>
    <col min="15" max="15" width="16.7109375" customWidth="1"/>
    <col min="16" max="16" width="14.7109375" customWidth="1"/>
  </cols>
  <sheetData>
    <row r="1" spans="1:16">
      <c r="A1" s="7" t="s">
        <v>25</v>
      </c>
      <c r="B1" s="7" t="s">
        <v>39</v>
      </c>
      <c r="C1" s="7" t="s">
        <v>40</v>
      </c>
      <c r="D1" s="7" t="s">
        <v>41</v>
      </c>
      <c r="E1" s="7" t="s">
        <v>42</v>
      </c>
      <c r="F1" s="7" t="s">
        <v>43</v>
      </c>
      <c r="G1" s="7" t="s">
        <v>44</v>
      </c>
      <c r="H1" s="7" t="s">
        <v>45</v>
      </c>
      <c r="I1" s="7" t="s">
        <v>46</v>
      </c>
      <c r="J1" s="7" t="s">
        <v>47</v>
      </c>
      <c r="K1" s="7" t="s">
        <v>48</v>
      </c>
      <c r="L1" s="9" t="s">
        <v>49</v>
      </c>
      <c r="M1" s="9" t="s">
        <v>50</v>
      </c>
      <c r="N1" s="9" t="s">
        <v>51</v>
      </c>
      <c r="O1" s="9" t="s">
        <v>52</v>
      </c>
      <c r="P1" s="9" t="s">
        <v>53</v>
      </c>
    </row>
    <row r="2" spans="1:16">
      <c r="A2" t="s">
        <v>30</v>
      </c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s="8">
        <v>120</v>
      </c>
      <c r="I2" s="10">
        <v>70</v>
      </c>
      <c r="J2" s="6">
        <v>0</v>
      </c>
      <c r="K2" s="10">
        <f>IFERROR(H2*I2*(1-IF(J2="",0,J2)),0)</f>
        <v>0</v>
      </c>
      <c r="L2" s="10">
        <f>K2*TVA</f>
        <v>0</v>
      </c>
      <c r="M2" s="10">
        <f>K2+L2</f>
        <v>0</v>
      </c>
      <c r="N2" s="8">
        <f>IFERROR(INDEX(Paramètres!$B$10:$B$12, MATCH(INDEX(Projet_Portefeuille!$D$2:$D$200, MATCH(A2,Projet_Portefeuille!$A$2:$A$200,0)), Paramètres!$A$10:$A$12, 0)), 1)</f>
        <v>0</v>
      </c>
      <c r="O2" s="10">
        <f>K2*N2</f>
        <v>0</v>
      </c>
    </row>
    <row r="3" spans="1:16">
      <c r="A3" t="s">
        <v>30</v>
      </c>
      <c r="B3" t="s">
        <v>60</v>
      </c>
      <c r="C3" t="s">
        <v>61</v>
      </c>
      <c r="D3" t="s">
        <v>62</v>
      </c>
      <c r="E3" t="s">
        <v>63</v>
      </c>
      <c r="F3" t="s">
        <v>64</v>
      </c>
      <c r="G3" t="s">
        <v>65</v>
      </c>
      <c r="H3" s="8">
        <v>500</v>
      </c>
      <c r="I3" s="10">
        <v>18.5</v>
      </c>
      <c r="J3" s="6">
        <v>0.02</v>
      </c>
      <c r="K3" s="10">
        <f>IFERROR(H3*I3*(1-IF(J3="",0,J3)),0)</f>
        <v>0</v>
      </c>
      <c r="L3" s="10">
        <f>K3*TVA</f>
        <v>0</v>
      </c>
      <c r="M3" s="10">
        <f>K3+L3</f>
        <v>0</v>
      </c>
      <c r="N3" s="8">
        <f>IFERROR(INDEX(Paramètres!$B$10:$B$12, MATCH(INDEX(Projet_Portefeuille!$D$2:$D$200, MATCH(A3,Projet_Portefeuille!$A$2:$A$200,0)), Paramètres!$A$10:$A$12, 0)), 1)</f>
        <v>0</v>
      </c>
      <c r="O3" s="10">
        <f>K3*N3</f>
        <v>0</v>
      </c>
    </row>
    <row r="4" spans="1:16">
      <c r="A4" t="s">
        <v>30</v>
      </c>
      <c r="B4" t="s">
        <v>66</v>
      </c>
      <c r="C4" t="s">
        <v>67</v>
      </c>
      <c r="D4" t="s">
        <v>62</v>
      </c>
      <c r="E4" t="s">
        <v>57</v>
      </c>
      <c r="F4" t="s">
        <v>68</v>
      </c>
      <c r="G4" t="s">
        <v>69</v>
      </c>
      <c r="H4" s="8">
        <v>1</v>
      </c>
      <c r="I4" s="10">
        <v>24000</v>
      </c>
      <c r="J4" s="6">
        <v>0</v>
      </c>
      <c r="K4" s="10">
        <f>IFERROR(H4*I4*(1-IF(J4="",0,J4)),0)</f>
        <v>0</v>
      </c>
      <c r="L4" s="10">
        <f>K4*TVA</f>
        <v>0</v>
      </c>
      <c r="M4" s="10">
        <f>K4+L4</f>
        <v>0</v>
      </c>
      <c r="N4" s="8">
        <f>IFERROR(INDEX(Paramètres!$B$10:$B$12, MATCH(INDEX(Projet_Portefeuille!$D$2:$D$200, MATCH(A4,Projet_Portefeuille!$A$2:$A$200,0)), Paramètres!$A$10:$A$12, 0)), 1)</f>
        <v>0</v>
      </c>
      <c r="O4" s="10">
        <f>K4*N4</f>
        <v>0</v>
      </c>
    </row>
    <row r="5" spans="1:16">
      <c r="A5" t="s">
        <v>33</v>
      </c>
      <c r="B5" t="s">
        <v>70</v>
      </c>
      <c r="C5" t="s">
        <v>71</v>
      </c>
      <c r="D5" t="s">
        <v>72</v>
      </c>
      <c r="E5" t="s">
        <v>57</v>
      </c>
      <c r="F5" t="s">
        <v>58</v>
      </c>
      <c r="G5" t="s">
        <v>73</v>
      </c>
      <c r="H5" s="8">
        <v>60</v>
      </c>
      <c r="I5" s="10">
        <v>550</v>
      </c>
      <c r="J5" s="6">
        <v>0</v>
      </c>
      <c r="K5" s="10">
        <f>IFERROR(H5*I5*(1-IF(J5="",0,J5)),0)</f>
        <v>0</v>
      </c>
      <c r="L5" s="10">
        <f>K5*TVA</f>
        <v>0</v>
      </c>
      <c r="M5" s="10">
        <f>K5+L5</f>
        <v>0</v>
      </c>
      <c r="N5" s="8">
        <f>IFERROR(INDEX(Paramètres!$B$10:$B$12, MATCH(INDEX(Projet_Portefeuille!$D$2:$D$200, MATCH(A5,Projet_Portefeuille!$A$2:$A$200,0)), Paramètres!$A$10:$A$12, 0)), 1)</f>
        <v>0</v>
      </c>
      <c r="O5" s="10">
        <f>K5*N5</f>
        <v>0</v>
      </c>
    </row>
    <row r="6" spans="1:16">
      <c r="A6" t="s">
        <v>33</v>
      </c>
      <c r="B6" t="s">
        <v>74</v>
      </c>
      <c r="C6" t="s">
        <v>75</v>
      </c>
      <c r="D6" t="s">
        <v>62</v>
      </c>
      <c r="E6" t="s">
        <v>57</v>
      </c>
      <c r="F6" t="s">
        <v>64</v>
      </c>
      <c r="G6" t="s">
        <v>65</v>
      </c>
      <c r="H6" s="8">
        <v>200</v>
      </c>
      <c r="I6" s="10">
        <v>320</v>
      </c>
      <c r="J6" s="6">
        <v>0</v>
      </c>
      <c r="K6" s="10">
        <f>IFERROR(H6*I6*(1-IF(J6="",0,J6)),0)</f>
        <v>0</v>
      </c>
      <c r="L6" s="10">
        <f>K6*TVA</f>
        <v>0</v>
      </c>
      <c r="M6" s="10">
        <f>K6+L6</f>
        <v>0</v>
      </c>
      <c r="N6" s="8">
        <f>IFERROR(INDEX(Paramètres!$B$10:$B$12, MATCH(INDEX(Projet_Portefeuille!$D$2:$D$200, MATCH(A6,Projet_Portefeuille!$A$2:$A$200,0)), Paramètres!$A$10:$A$12, 0)), 1)</f>
        <v>0</v>
      </c>
      <c r="O6" s="10">
        <f>K6*N6</f>
        <v>0</v>
      </c>
    </row>
    <row r="7" spans="1:16">
      <c r="A7" t="s">
        <v>33</v>
      </c>
      <c r="B7" t="s">
        <v>76</v>
      </c>
      <c r="C7" t="s">
        <v>77</v>
      </c>
      <c r="D7" t="s">
        <v>62</v>
      </c>
      <c r="E7" t="s">
        <v>57</v>
      </c>
      <c r="F7" t="s">
        <v>68</v>
      </c>
      <c r="G7" t="s">
        <v>69</v>
      </c>
      <c r="H7" s="8">
        <v>1</v>
      </c>
      <c r="I7" s="10">
        <v>45000</v>
      </c>
      <c r="J7" s="6">
        <v>0</v>
      </c>
      <c r="K7" s="10">
        <f>IFERROR(H7*I7*(1-IF(J7="",0,J7)),0)</f>
        <v>0</v>
      </c>
      <c r="L7" s="10">
        <f>K7*TVA</f>
        <v>0</v>
      </c>
      <c r="M7" s="10">
        <f>K7+L7</f>
        <v>0</v>
      </c>
      <c r="N7" s="8">
        <f>IFERROR(INDEX(Paramètres!$B$10:$B$12, MATCH(INDEX(Projet_Portefeuille!$D$2:$D$200, MATCH(A7,Projet_Portefeuille!$A$2:$A$200,0)), Paramètres!$A$10:$A$12, 0)), 1)</f>
        <v>0</v>
      </c>
      <c r="O7" s="10">
        <f>K7*N7</f>
        <v>0</v>
      </c>
    </row>
    <row r="8" spans="1:16">
      <c r="K8" s="10">
        <f>IFERROR(H8*I8*(1-IF(J8="",0,J8)),0)</f>
        <v>0</v>
      </c>
      <c r="L8" s="10">
        <f>K8*TVA</f>
        <v>0</v>
      </c>
      <c r="M8" s="10">
        <f>K8+L8</f>
        <v>0</v>
      </c>
      <c r="N8" s="8">
        <f>IFERROR(INDEX(Paramètres!$B$10:$B$12, MATCH(INDEX(Projet_Portefeuille!$D$2:$D$200, MATCH(A8,Projet_Portefeuille!$A$2:$A$200,0)), Paramètres!$A$10:$A$12, 0)), 1)</f>
        <v>0</v>
      </c>
      <c r="O8" s="10">
        <f>K8*N8</f>
        <v>0</v>
      </c>
    </row>
    <row r="9" spans="1:16">
      <c r="K9" s="10">
        <f>IFERROR(H9*I9*(1-IF(J9="",0,J9)),0)</f>
        <v>0</v>
      </c>
      <c r="L9" s="10">
        <f>K9*TVA</f>
        <v>0</v>
      </c>
      <c r="M9" s="10">
        <f>K9+L9</f>
        <v>0</v>
      </c>
      <c r="N9" s="8">
        <f>IFERROR(INDEX(Paramètres!$B$10:$B$12, MATCH(INDEX(Projet_Portefeuille!$D$2:$D$200, MATCH(A9,Projet_Portefeuille!$A$2:$A$200,0)), Paramètres!$A$10:$A$12, 0)), 1)</f>
        <v>0</v>
      </c>
      <c r="O9" s="10">
        <f>K9*N9</f>
        <v>0</v>
      </c>
    </row>
    <row r="10" spans="1:16">
      <c r="K10" s="10">
        <f>IFERROR(H10*I10*(1-IF(J10="",0,J10)),0)</f>
        <v>0</v>
      </c>
      <c r="L10" s="10">
        <f>K10*TVA</f>
        <v>0</v>
      </c>
      <c r="M10" s="10">
        <f>K10+L10</f>
        <v>0</v>
      </c>
      <c r="N10" s="8">
        <f>IFERROR(INDEX(Paramètres!$B$10:$B$12, MATCH(INDEX(Projet_Portefeuille!$D$2:$D$200, MATCH(A10,Projet_Portefeuille!$A$2:$A$200,0)), Paramètres!$A$10:$A$12, 0)), 1)</f>
        <v>0</v>
      </c>
      <c r="O10" s="10">
        <f>K10*N10</f>
        <v>0</v>
      </c>
    </row>
    <row r="11" spans="1:16">
      <c r="K11" s="10">
        <f>IFERROR(H11*I11*(1-IF(J11="",0,J11)),0)</f>
        <v>0</v>
      </c>
      <c r="L11" s="10">
        <f>K11*TVA</f>
        <v>0</v>
      </c>
      <c r="M11" s="10">
        <f>K11+L11</f>
        <v>0</v>
      </c>
      <c r="N11" s="8">
        <f>IFERROR(INDEX(Paramètres!$B$10:$B$12, MATCH(INDEX(Projet_Portefeuille!$D$2:$D$200, MATCH(A11,Projet_Portefeuille!$A$2:$A$200,0)), Paramètres!$A$10:$A$12, 0)), 1)</f>
        <v>0</v>
      </c>
      <c r="O11" s="10">
        <f>K11*N11</f>
        <v>0</v>
      </c>
    </row>
    <row r="12" spans="1:16">
      <c r="K12" s="10">
        <f>IFERROR(H12*I12*(1-IF(J12="",0,J12)),0)</f>
        <v>0</v>
      </c>
      <c r="L12" s="10">
        <f>K12*TVA</f>
        <v>0</v>
      </c>
      <c r="M12" s="10">
        <f>K12+L12</f>
        <v>0</v>
      </c>
      <c r="N12" s="8">
        <f>IFERROR(INDEX(Paramètres!$B$10:$B$12, MATCH(INDEX(Projet_Portefeuille!$D$2:$D$200, MATCH(A12,Projet_Portefeuille!$A$2:$A$200,0)), Paramètres!$A$10:$A$12, 0)), 1)</f>
        <v>0</v>
      </c>
      <c r="O12" s="10">
        <f>K12*N12</f>
        <v>0</v>
      </c>
    </row>
    <row r="13" spans="1:16">
      <c r="K13" s="10">
        <f>IFERROR(H13*I13*(1-IF(J13="",0,J13)),0)</f>
        <v>0</v>
      </c>
      <c r="L13" s="10">
        <f>K13*TVA</f>
        <v>0</v>
      </c>
      <c r="M13" s="10">
        <f>K13+L13</f>
        <v>0</v>
      </c>
      <c r="N13" s="8">
        <f>IFERROR(INDEX(Paramètres!$B$10:$B$12, MATCH(INDEX(Projet_Portefeuille!$D$2:$D$200, MATCH(A13,Projet_Portefeuille!$A$2:$A$200,0)), Paramètres!$A$10:$A$12, 0)), 1)</f>
        <v>0</v>
      </c>
      <c r="O13" s="10">
        <f>K13*N13</f>
        <v>0</v>
      </c>
    </row>
    <row r="14" spans="1:16">
      <c r="K14" s="10">
        <f>IFERROR(H14*I14*(1-IF(J14="",0,J14)),0)</f>
        <v>0</v>
      </c>
      <c r="L14" s="10">
        <f>K14*TVA</f>
        <v>0</v>
      </c>
      <c r="M14" s="10">
        <f>K14+L14</f>
        <v>0</v>
      </c>
      <c r="N14" s="8">
        <f>IFERROR(INDEX(Paramètres!$B$10:$B$12, MATCH(INDEX(Projet_Portefeuille!$D$2:$D$200, MATCH(A14,Projet_Portefeuille!$A$2:$A$200,0)), Paramètres!$A$10:$A$12, 0)), 1)</f>
        <v>0</v>
      </c>
      <c r="O14" s="10">
        <f>K14*N14</f>
        <v>0</v>
      </c>
    </row>
    <row r="15" spans="1:16">
      <c r="K15" s="10">
        <f>IFERROR(H15*I15*(1-IF(J15="",0,J15)),0)</f>
        <v>0</v>
      </c>
      <c r="L15" s="10">
        <f>K15*TVA</f>
        <v>0</v>
      </c>
      <c r="M15" s="10">
        <f>K15+L15</f>
        <v>0</v>
      </c>
      <c r="N15" s="8">
        <f>IFERROR(INDEX(Paramètres!$B$10:$B$12, MATCH(INDEX(Projet_Portefeuille!$D$2:$D$200, MATCH(A15,Projet_Portefeuille!$A$2:$A$200,0)), Paramètres!$A$10:$A$12, 0)), 1)</f>
        <v>0</v>
      </c>
      <c r="O15" s="10">
        <f>K15*N15</f>
        <v>0</v>
      </c>
    </row>
    <row r="16" spans="1:16">
      <c r="K16" s="10">
        <f>IFERROR(H16*I16*(1-IF(J16="",0,J16)),0)</f>
        <v>0</v>
      </c>
      <c r="L16" s="10">
        <f>K16*TVA</f>
        <v>0</v>
      </c>
      <c r="M16" s="10">
        <f>K16+L16</f>
        <v>0</v>
      </c>
      <c r="N16" s="8">
        <f>IFERROR(INDEX(Paramètres!$B$10:$B$12, MATCH(INDEX(Projet_Portefeuille!$D$2:$D$200, MATCH(A16,Projet_Portefeuille!$A$2:$A$200,0)), Paramètres!$A$10:$A$12, 0)), 1)</f>
        <v>0</v>
      </c>
      <c r="O16" s="10">
        <f>K16*N16</f>
        <v>0</v>
      </c>
    </row>
    <row r="17" spans="11:15">
      <c r="K17" s="10">
        <f>IFERROR(H17*I17*(1-IF(J17="",0,J17)),0)</f>
        <v>0</v>
      </c>
      <c r="L17" s="10">
        <f>K17*TVA</f>
        <v>0</v>
      </c>
      <c r="M17" s="10">
        <f>K17+L17</f>
        <v>0</v>
      </c>
      <c r="N17" s="8">
        <f>IFERROR(INDEX(Paramètres!$B$10:$B$12, MATCH(INDEX(Projet_Portefeuille!$D$2:$D$200, MATCH(A17,Projet_Portefeuille!$A$2:$A$200,0)), Paramètres!$A$10:$A$12, 0)), 1)</f>
        <v>0</v>
      </c>
      <c r="O17" s="10">
        <f>K17*N17</f>
        <v>0</v>
      </c>
    </row>
    <row r="18" spans="11:15">
      <c r="K18" s="10">
        <f>IFERROR(H18*I18*(1-IF(J18="",0,J18)),0)</f>
        <v>0</v>
      </c>
      <c r="L18" s="10">
        <f>K18*TVA</f>
        <v>0</v>
      </c>
      <c r="M18" s="10">
        <f>K18+L18</f>
        <v>0</v>
      </c>
      <c r="N18" s="8">
        <f>IFERROR(INDEX(Paramètres!$B$10:$B$12, MATCH(INDEX(Projet_Portefeuille!$D$2:$D$200, MATCH(A18,Projet_Portefeuille!$A$2:$A$200,0)), Paramètres!$A$10:$A$12, 0)), 1)</f>
        <v>0</v>
      </c>
      <c r="O18" s="10">
        <f>K18*N18</f>
        <v>0</v>
      </c>
    </row>
    <row r="19" spans="11:15">
      <c r="K19" s="10">
        <f>IFERROR(H19*I19*(1-IF(J19="",0,J19)),0)</f>
        <v>0</v>
      </c>
      <c r="L19" s="10">
        <f>K19*TVA</f>
        <v>0</v>
      </c>
      <c r="M19" s="10">
        <f>K19+L19</f>
        <v>0</v>
      </c>
      <c r="N19" s="8">
        <f>IFERROR(INDEX(Paramètres!$B$10:$B$12, MATCH(INDEX(Projet_Portefeuille!$D$2:$D$200, MATCH(A19,Projet_Portefeuille!$A$2:$A$200,0)), Paramètres!$A$10:$A$12, 0)), 1)</f>
        <v>0</v>
      </c>
      <c r="O19" s="10">
        <f>K19*N19</f>
        <v>0</v>
      </c>
    </row>
    <row r="20" spans="11:15">
      <c r="K20" s="10">
        <f>IFERROR(H20*I20*(1-IF(J20="",0,J20)),0)</f>
        <v>0</v>
      </c>
      <c r="L20" s="10">
        <f>K20*TVA</f>
        <v>0</v>
      </c>
      <c r="M20" s="10">
        <f>K20+L20</f>
        <v>0</v>
      </c>
      <c r="N20" s="8">
        <f>IFERROR(INDEX(Paramètres!$B$10:$B$12, MATCH(INDEX(Projet_Portefeuille!$D$2:$D$200, MATCH(A20,Projet_Portefeuille!$A$2:$A$200,0)), Paramètres!$A$10:$A$12, 0)), 1)</f>
        <v>0</v>
      </c>
      <c r="O20" s="10">
        <f>K20*N20</f>
        <v>0</v>
      </c>
    </row>
    <row r="21" spans="11:15">
      <c r="K21" s="10">
        <f>IFERROR(H21*I21*(1-IF(J21="",0,J21)),0)</f>
        <v>0</v>
      </c>
      <c r="L21" s="10">
        <f>K21*TVA</f>
        <v>0</v>
      </c>
      <c r="M21" s="10">
        <f>K21+L21</f>
        <v>0</v>
      </c>
      <c r="N21" s="8">
        <f>IFERROR(INDEX(Paramètres!$B$10:$B$12, MATCH(INDEX(Projet_Portefeuille!$D$2:$D$200, MATCH(A21,Projet_Portefeuille!$A$2:$A$200,0)), Paramètres!$A$10:$A$12, 0)), 1)</f>
        <v>0</v>
      </c>
      <c r="O21" s="10">
        <f>K21*N21</f>
        <v>0</v>
      </c>
    </row>
    <row r="22" spans="11:15">
      <c r="K22" s="10">
        <f>IFERROR(H22*I22*(1-IF(J22="",0,J22)),0)</f>
        <v>0</v>
      </c>
      <c r="L22" s="10">
        <f>K22*TVA</f>
        <v>0</v>
      </c>
      <c r="M22" s="10">
        <f>K22+L22</f>
        <v>0</v>
      </c>
      <c r="N22" s="8">
        <f>IFERROR(INDEX(Paramètres!$B$10:$B$12, MATCH(INDEX(Projet_Portefeuille!$D$2:$D$200, MATCH(A22,Projet_Portefeuille!$A$2:$A$200,0)), Paramètres!$A$10:$A$12, 0)), 1)</f>
        <v>0</v>
      </c>
      <c r="O22" s="10">
        <f>K22*N22</f>
        <v>0</v>
      </c>
    </row>
    <row r="23" spans="11:15">
      <c r="K23" s="10">
        <f>IFERROR(H23*I23*(1-IF(J23="",0,J23)),0)</f>
        <v>0</v>
      </c>
      <c r="L23" s="10">
        <f>K23*TVA</f>
        <v>0</v>
      </c>
      <c r="M23" s="10">
        <f>K23+L23</f>
        <v>0</v>
      </c>
      <c r="N23" s="8">
        <f>IFERROR(INDEX(Paramètres!$B$10:$B$12, MATCH(INDEX(Projet_Portefeuille!$D$2:$D$200, MATCH(A23,Projet_Portefeuille!$A$2:$A$200,0)), Paramètres!$A$10:$A$12, 0)), 1)</f>
        <v>0</v>
      </c>
      <c r="O23" s="10">
        <f>K23*N23</f>
        <v>0</v>
      </c>
    </row>
    <row r="24" spans="11:15">
      <c r="K24" s="10">
        <f>IFERROR(H24*I24*(1-IF(J24="",0,J24)),0)</f>
        <v>0</v>
      </c>
      <c r="L24" s="10">
        <f>K24*TVA</f>
        <v>0</v>
      </c>
      <c r="M24" s="10">
        <f>K24+L24</f>
        <v>0</v>
      </c>
      <c r="N24" s="8">
        <f>IFERROR(INDEX(Paramètres!$B$10:$B$12, MATCH(INDEX(Projet_Portefeuille!$D$2:$D$200, MATCH(A24,Projet_Portefeuille!$A$2:$A$200,0)), Paramètres!$A$10:$A$12, 0)), 1)</f>
        <v>0</v>
      </c>
      <c r="O24" s="10">
        <f>K24*N24</f>
        <v>0</v>
      </c>
    </row>
    <row r="25" spans="11:15">
      <c r="K25" s="10">
        <f>IFERROR(H25*I25*(1-IF(J25="",0,J25)),0)</f>
        <v>0</v>
      </c>
      <c r="L25" s="10">
        <f>K25*TVA</f>
        <v>0</v>
      </c>
      <c r="M25" s="10">
        <f>K25+L25</f>
        <v>0</v>
      </c>
      <c r="N25" s="8">
        <f>IFERROR(INDEX(Paramètres!$B$10:$B$12, MATCH(INDEX(Projet_Portefeuille!$D$2:$D$200, MATCH(A25,Projet_Portefeuille!$A$2:$A$200,0)), Paramètres!$A$10:$A$12, 0)), 1)</f>
        <v>0</v>
      </c>
      <c r="O25" s="10">
        <f>K25*N25</f>
        <v>0</v>
      </c>
    </row>
    <row r="26" spans="11:15">
      <c r="K26" s="10">
        <f>IFERROR(H26*I26*(1-IF(J26="",0,J26)),0)</f>
        <v>0</v>
      </c>
      <c r="L26" s="10">
        <f>K26*TVA</f>
        <v>0</v>
      </c>
      <c r="M26" s="10">
        <f>K26+L26</f>
        <v>0</v>
      </c>
      <c r="N26" s="8">
        <f>IFERROR(INDEX(Paramètres!$B$10:$B$12, MATCH(INDEX(Projet_Portefeuille!$D$2:$D$200, MATCH(A26,Projet_Portefeuille!$A$2:$A$200,0)), Paramètres!$A$10:$A$12, 0)), 1)</f>
        <v>0</v>
      </c>
      <c r="O26" s="10">
        <f>K26*N26</f>
        <v>0</v>
      </c>
    </row>
    <row r="27" spans="11:15">
      <c r="K27" s="10">
        <f>IFERROR(H27*I27*(1-IF(J27="",0,J27)),0)</f>
        <v>0</v>
      </c>
      <c r="L27" s="10">
        <f>K27*TVA</f>
        <v>0</v>
      </c>
      <c r="M27" s="10">
        <f>K27+L27</f>
        <v>0</v>
      </c>
      <c r="N27" s="8">
        <f>IFERROR(INDEX(Paramètres!$B$10:$B$12, MATCH(INDEX(Projet_Portefeuille!$D$2:$D$200, MATCH(A27,Projet_Portefeuille!$A$2:$A$200,0)), Paramètres!$A$10:$A$12, 0)), 1)</f>
        <v>0</v>
      </c>
      <c r="O27" s="10">
        <f>K27*N27</f>
        <v>0</v>
      </c>
    </row>
    <row r="28" spans="11:15">
      <c r="K28" s="10">
        <f>IFERROR(H28*I28*(1-IF(J28="",0,J28)),0)</f>
        <v>0</v>
      </c>
      <c r="L28" s="10">
        <f>K28*TVA</f>
        <v>0</v>
      </c>
      <c r="M28" s="10">
        <f>K28+L28</f>
        <v>0</v>
      </c>
      <c r="N28" s="8">
        <f>IFERROR(INDEX(Paramètres!$B$10:$B$12, MATCH(INDEX(Projet_Portefeuille!$D$2:$D$200, MATCH(A28,Projet_Portefeuille!$A$2:$A$200,0)), Paramètres!$A$10:$A$12, 0)), 1)</f>
        <v>0</v>
      </c>
      <c r="O28" s="10">
        <f>K28*N28</f>
        <v>0</v>
      </c>
    </row>
    <row r="29" spans="11:15">
      <c r="K29" s="10">
        <f>IFERROR(H29*I29*(1-IF(J29="",0,J29)),0)</f>
        <v>0</v>
      </c>
      <c r="L29" s="10">
        <f>K29*TVA</f>
        <v>0</v>
      </c>
      <c r="M29" s="10">
        <f>K29+L29</f>
        <v>0</v>
      </c>
      <c r="N29" s="8">
        <f>IFERROR(INDEX(Paramètres!$B$10:$B$12, MATCH(INDEX(Projet_Portefeuille!$D$2:$D$200, MATCH(A29,Projet_Portefeuille!$A$2:$A$200,0)), Paramètres!$A$10:$A$12, 0)), 1)</f>
        <v>0</v>
      </c>
      <c r="O29" s="10">
        <f>K29*N29</f>
        <v>0</v>
      </c>
    </row>
    <row r="30" spans="11:15">
      <c r="K30" s="10">
        <f>IFERROR(H30*I30*(1-IF(J30="",0,J30)),0)</f>
        <v>0</v>
      </c>
      <c r="L30" s="10">
        <f>K30*TVA</f>
        <v>0</v>
      </c>
      <c r="M30" s="10">
        <f>K30+L30</f>
        <v>0</v>
      </c>
      <c r="N30" s="8">
        <f>IFERROR(INDEX(Paramètres!$B$10:$B$12, MATCH(INDEX(Projet_Portefeuille!$D$2:$D$200, MATCH(A30,Projet_Portefeuille!$A$2:$A$200,0)), Paramètres!$A$10:$A$12, 0)), 1)</f>
        <v>0</v>
      </c>
      <c r="O30" s="10">
        <f>K30*N30</f>
        <v>0</v>
      </c>
    </row>
    <row r="31" spans="11:15">
      <c r="K31" s="10">
        <f>IFERROR(H31*I31*(1-IF(J31="",0,J31)),0)</f>
        <v>0</v>
      </c>
      <c r="L31" s="10">
        <f>K31*TVA</f>
        <v>0</v>
      </c>
      <c r="M31" s="10">
        <f>K31+L31</f>
        <v>0</v>
      </c>
      <c r="N31" s="8">
        <f>IFERROR(INDEX(Paramètres!$B$10:$B$12, MATCH(INDEX(Projet_Portefeuille!$D$2:$D$200, MATCH(A31,Projet_Portefeuille!$A$2:$A$200,0)), Paramètres!$A$10:$A$12, 0)), 1)</f>
        <v>0</v>
      </c>
      <c r="O31" s="10">
        <f>K31*N31</f>
        <v>0</v>
      </c>
    </row>
    <row r="32" spans="11:15">
      <c r="K32" s="10">
        <f>IFERROR(H32*I32*(1-IF(J32="",0,J32)),0)</f>
        <v>0</v>
      </c>
      <c r="L32" s="10">
        <f>K32*TVA</f>
        <v>0</v>
      </c>
      <c r="M32" s="10">
        <f>K32+L32</f>
        <v>0</v>
      </c>
      <c r="N32" s="8">
        <f>IFERROR(INDEX(Paramètres!$B$10:$B$12, MATCH(INDEX(Projet_Portefeuille!$D$2:$D$200, MATCH(A32,Projet_Portefeuille!$A$2:$A$200,0)), Paramètres!$A$10:$A$12, 0)), 1)</f>
        <v>0</v>
      </c>
      <c r="O32" s="10">
        <f>K32*N32</f>
        <v>0</v>
      </c>
    </row>
    <row r="33" spans="11:15">
      <c r="K33" s="10">
        <f>IFERROR(H33*I33*(1-IF(J33="",0,J33)),0)</f>
        <v>0</v>
      </c>
      <c r="L33" s="10">
        <f>K33*TVA</f>
        <v>0</v>
      </c>
      <c r="M33" s="10">
        <f>K33+L33</f>
        <v>0</v>
      </c>
      <c r="N33" s="8">
        <f>IFERROR(INDEX(Paramètres!$B$10:$B$12, MATCH(INDEX(Projet_Portefeuille!$D$2:$D$200, MATCH(A33,Projet_Portefeuille!$A$2:$A$200,0)), Paramètres!$A$10:$A$12, 0)), 1)</f>
        <v>0</v>
      </c>
      <c r="O33" s="10">
        <f>K33*N33</f>
        <v>0</v>
      </c>
    </row>
    <row r="34" spans="11:15">
      <c r="K34" s="10">
        <f>IFERROR(H34*I34*(1-IF(J34="",0,J34)),0)</f>
        <v>0</v>
      </c>
      <c r="L34" s="10">
        <f>K34*TVA</f>
        <v>0</v>
      </c>
      <c r="M34" s="10">
        <f>K34+L34</f>
        <v>0</v>
      </c>
      <c r="N34" s="8">
        <f>IFERROR(INDEX(Paramètres!$B$10:$B$12, MATCH(INDEX(Projet_Portefeuille!$D$2:$D$200, MATCH(A34,Projet_Portefeuille!$A$2:$A$200,0)), Paramètres!$A$10:$A$12, 0)), 1)</f>
        <v>0</v>
      </c>
      <c r="O34" s="10">
        <f>K34*N34</f>
        <v>0</v>
      </c>
    </row>
    <row r="35" spans="11:15">
      <c r="K35" s="10">
        <f>IFERROR(H35*I35*(1-IF(J35="",0,J35)),0)</f>
        <v>0</v>
      </c>
      <c r="L35" s="10">
        <f>K35*TVA</f>
        <v>0</v>
      </c>
      <c r="M35" s="10">
        <f>K35+L35</f>
        <v>0</v>
      </c>
      <c r="N35" s="8">
        <f>IFERROR(INDEX(Paramètres!$B$10:$B$12, MATCH(INDEX(Projet_Portefeuille!$D$2:$D$200, MATCH(A35,Projet_Portefeuille!$A$2:$A$200,0)), Paramètres!$A$10:$A$12, 0)), 1)</f>
        <v>0</v>
      </c>
      <c r="O35" s="10">
        <f>K35*N35</f>
        <v>0</v>
      </c>
    </row>
    <row r="36" spans="11:15">
      <c r="K36" s="10">
        <f>IFERROR(H36*I36*(1-IF(J36="",0,J36)),0)</f>
        <v>0</v>
      </c>
      <c r="L36" s="10">
        <f>K36*TVA</f>
        <v>0</v>
      </c>
      <c r="M36" s="10">
        <f>K36+L36</f>
        <v>0</v>
      </c>
      <c r="N36" s="8">
        <f>IFERROR(INDEX(Paramètres!$B$10:$B$12, MATCH(INDEX(Projet_Portefeuille!$D$2:$D$200, MATCH(A36,Projet_Portefeuille!$A$2:$A$200,0)), Paramètres!$A$10:$A$12, 0)), 1)</f>
        <v>0</v>
      </c>
      <c r="O36" s="10">
        <f>K36*N36</f>
        <v>0</v>
      </c>
    </row>
    <row r="37" spans="11:15">
      <c r="K37" s="10">
        <f>IFERROR(H37*I37*(1-IF(J37="",0,J37)),0)</f>
        <v>0</v>
      </c>
      <c r="L37" s="10">
        <f>K37*TVA</f>
        <v>0</v>
      </c>
      <c r="M37" s="10">
        <f>K37+L37</f>
        <v>0</v>
      </c>
      <c r="N37" s="8">
        <f>IFERROR(INDEX(Paramètres!$B$10:$B$12, MATCH(INDEX(Projet_Portefeuille!$D$2:$D$200, MATCH(A37,Projet_Portefeuille!$A$2:$A$200,0)), Paramètres!$A$10:$A$12, 0)), 1)</f>
        <v>0</v>
      </c>
      <c r="O37" s="10">
        <f>K37*N37</f>
        <v>0</v>
      </c>
    </row>
    <row r="38" spans="11:15">
      <c r="K38" s="10">
        <f>IFERROR(H38*I38*(1-IF(J38="",0,J38)),0)</f>
        <v>0</v>
      </c>
      <c r="L38" s="10">
        <f>K38*TVA</f>
        <v>0</v>
      </c>
      <c r="M38" s="10">
        <f>K38+L38</f>
        <v>0</v>
      </c>
      <c r="N38" s="8">
        <f>IFERROR(INDEX(Paramètres!$B$10:$B$12, MATCH(INDEX(Projet_Portefeuille!$D$2:$D$200, MATCH(A38,Projet_Portefeuille!$A$2:$A$200,0)), Paramètres!$A$10:$A$12, 0)), 1)</f>
        <v>0</v>
      </c>
      <c r="O38" s="10">
        <f>K38*N38</f>
        <v>0</v>
      </c>
    </row>
    <row r="39" spans="11:15">
      <c r="K39" s="10">
        <f>IFERROR(H39*I39*(1-IF(J39="",0,J39)),0)</f>
        <v>0</v>
      </c>
      <c r="L39" s="10">
        <f>K39*TVA</f>
        <v>0</v>
      </c>
      <c r="M39" s="10">
        <f>K39+L39</f>
        <v>0</v>
      </c>
      <c r="N39" s="8">
        <f>IFERROR(INDEX(Paramètres!$B$10:$B$12, MATCH(INDEX(Projet_Portefeuille!$D$2:$D$200, MATCH(A39,Projet_Portefeuille!$A$2:$A$200,0)), Paramètres!$A$10:$A$12, 0)), 1)</f>
        <v>0</v>
      </c>
      <c r="O39" s="10">
        <f>K39*N39</f>
        <v>0</v>
      </c>
    </row>
    <row r="40" spans="11:15">
      <c r="K40" s="10">
        <f>IFERROR(H40*I40*(1-IF(J40="",0,J40)),0)</f>
        <v>0</v>
      </c>
      <c r="L40" s="10">
        <f>K40*TVA</f>
        <v>0</v>
      </c>
      <c r="M40" s="10">
        <f>K40+L40</f>
        <v>0</v>
      </c>
      <c r="N40" s="8">
        <f>IFERROR(INDEX(Paramètres!$B$10:$B$12, MATCH(INDEX(Projet_Portefeuille!$D$2:$D$200, MATCH(A40,Projet_Portefeuille!$A$2:$A$200,0)), Paramètres!$A$10:$A$12, 0)), 1)</f>
        <v>0</v>
      </c>
      <c r="O40" s="10">
        <f>K40*N40</f>
        <v>0</v>
      </c>
    </row>
    <row r="41" spans="11:15">
      <c r="K41" s="10">
        <f>IFERROR(H41*I41*(1-IF(J41="",0,J41)),0)</f>
        <v>0</v>
      </c>
      <c r="L41" s="10">
        <f>K41*TVA</f>
        <v>0</v>
      </c>
      <c r="M41" s="10">
        <f>K41+L41</f>
        <v>0</v>
      </c>
      <c r="N41" s="8">
        <f>IFERROR(INDEX(Paramètres!$B$10:$B$12, MATCH(INDEX(Projet_Portefeuille!$D$2:$D$200, MATCH(A41,Projet_Portefeuille!$A$2:$A$200,0)), Paramètres!$A$10:$A$12, 0)), 1)</f>
        <v>0</v>
      </c>
      <c r="O41" s="10">
        <f>K41*N41</f>
        <v>0</v>
      </c>
    </row>
    <row r="42" spans="11:15">
      <c r="K42" s="10">
        <f>IFERROR(H42*I42*(1-IF(J42="",0,J42)),0)</f>
        <v>0</v>
      </c>
      <c r="L42" s="10">
        <f>K42*TVA</f>
        <v>0</v>
      </c>
      <c r="M42" s="10">
        <f>K42+L42</f>
        <v>0</v>
      </c>
      <c r="N42" s="8">
        <f>IFERROR(INDEX(Paramètres!$B$10:$B$12, MATCH(INDEX(Projet_Portefeuille!$D$2:$D$200, MATCH(A42,Projet_Portefeuille!$A$2:$A$200,0)), Paramètres!$A$10:$A$12, 0)), 1)</f>
        <v>0</v>
      </c>
      <c r="O42" s="10">
        <f>K42*N42</f>
        <v>0</v>
      </c>
    </row>
    <row r="43" spans="11:15">
      <c r="K43" s="10">
        <f>IFERROR(H43*I43*(1-IF(J43="",0,J43)),0)</f>
        <v>0</v>
      </c>
      <c r="L43" s="10">
        <f>K43*TVA</f>
        <v>0</v>
      </c>
      <c r="M43" s="10">
        <f>K43+L43</f>
        <v>0</v>
      </c>
      <c r="N43" s="8">
        <f>IFERROR(INDEX(Paramètres!$B$10:$B$12, MATCH(INDEX(Projet_Portefeuille!$D$2:$D$200, MATCH(A43,Projet_Portefeuille!$A$2:$A$200,0)), Paramètres!$A$10:$A$12, 0)), 1)</f>
        <v>0</v>
      </c>
      <c r="O43" s="10">
        <f>K43*N43</f>
        <v>0</v>
      </c>
    </row>
    <row r="44" spans="11:15">
      <c r="K44" s="10">
        <f>IFERROR(H44*I44*(1-IF(J44="",0,J44)),0)</f>
        <v>0</v>
      </c>
      <c r="L44" s="10">
        <f>K44*TVA</f>
        <v>0</v>
      </c>
      <c r="M44" s="10">
        <f>K44+L44</f>
        <v>0</v>
      </c>
      <c r="N44" s="8">
        <f>IFERROR(INDEX(Paramètres!$B$10:$B$12, MATCH(INDEX(Projet_Portefeuille!$D$2:$D$200, MATCH(A44,Projet_Portefeuille!$A$2:$A$200,0)), Paramètres!$A$10:$A$12, 0)), 1)</f>
        <v>0</v>
      </c>
      <c r="O44" s="10">
        <f>K44*N44</f>
        <v>0</v>
      </c>
    </row>
    <row r="45" spans="11:15">
      <c r="K45" s="10">
        <f>IFERROR(H45*I45*(1-IF(J45="",0,J45)),0)</f>
        <v>0</v>
      </c>
      <c r="L45" s="10">
        <f>K45*TVA</f>
        <v>0</v>
      </c>
      <c r="M45" s="10">
        <f>K45+L45</f>
        <v>0</v>
      </c>
      <c r="N45" s="8">
        <f>IFERROR(INDEX(Paramètres!$B$10:$B$12, MATCH(INDEX(Projet_Portefeuille!$D$2:$D$200, MATCH(A45,Projet_Portefeuille!$A$2:$A$200,0)), Paramètres!$A$10:$A$12, 0)), 1)</f>
        <v>0</v>
      </c>
      <c r="O45" s="10">
        <f>K45*N45</f>
        <v>0</v>
      </c>
    </row>
    <row r="46" spans="11:15">
      <c r="K46" s="10">
        <f>IFERROR(H46*I46*(1-IF(J46="",0,J46)),0)</f>
        <v>0</v>
      </c>
      <c r="L46" s="10">
        <f>K46*TVA</f>
        <v>0</v>
      </c>
      <c r="M46" s="10">
        <f>K46+L46</f>
        <v>0</v>
      </c>
      <c r="N46" s="8">
        <f>IFERROR(INDEX(Paramètres!$B$10:$B$12, MATCH(INDEX(Projet_Portefeuille!$D$2:$D$200, MATCH(A46,Projet_Portefeuille!$A$2:$A$200,0)), Paramètres!$A$10:$A$12, 0)), 1)</f>
        <v>0</v>
      </c>
      <c r="O46" s="10">
        <f>K46*N46</f>
        <v>0</v>
      </c>
    </row>
    <row r="47" spans="11:15">
      <c r="K47" s="10">
        <f>IFERROR(H47*I47*(1-IF(J47="",0,J47)),0)</f>
        <v>0</v>
      </c>
      <c r="L47" s="10">
        <f>K47*TVA</f>
        <v>0</v>
      </c>
      <c r="M47" s="10">
        <f>K47+L47</f>
        <v>0</v>
      </c>
      <c r="N47" s="8">
        <f>IFERROR(INDEX(Paramètres!$B$10:$B$12, MATCH(INDEX(Projet_Portefeuille!$D$2:$D$200, MATCH(A47,Projet_Portefeuille!$A$2:$A$200,0)), Paramètres!$A$10:$A$12, 0)), 1)</f>
        <v>0</v>
      </c>
      <c r="O47" s="10">
        <f>K47*N47</f>
        <v>0</v>
      </c>
    </row>
    <row r="48" spans="11:15">
      <c r="K48" s="10">
        <f>IFERROR(H48*I48*(1-IF(J48="",0,J48)),0)</f>
        <v>0</v>
      </c>
      <c r="L48" s="10">
        <f>K48*TVA</f>
        <v>0</v>
      </c>
      <c r="M48" s="10">
        <f>K48+L48</f>
        <v>0</v>
      </c>
      <c r="N48" s="8">
        <f>IFERROR(INDEX(Paramètres!$B$10:$B$12, MATCH(INDEX(Projet_Portefeuille!$D$2:$D$200, MATCH(A48,Projet_Portefeuille!$A$2:$A$200,0)), Paramètres!$A$10:$A$12, 0)), 1)</f>
        <v>0</v>
      </c>
      <c r="O48" s="10">
        <f>K48*N48</f>
        <v>0</v>
      </c>
    </row>
    <row r="49" spans="11:15">
      <c r="K49" s="10">
        <f>IFERROR(H49*I49*(1-IF(J49="",0,J49)),0)</f>
        <v>0</v>
      </c>
      <c r="L49" s="10">
        <f>K49*TVA</f>
        <v>0</v>
      </c>
      <c r="M49" s="10">
        <f>K49+L49</f>
        <v>0</v>
      </c>
      <c r="N49" s="8">
        <f>IFERROR(INDEX(Paramètres!$B$10:$B$12, MATCH(INDEX(Projet_Portefeuille!$D$2:$D$200, MATCH(A49,Projet_Portefeuille!$A$2:$A$200,0)), Paramètres!$A$10:$A$12, 0)), 1)</f>
        <v>0</v>
      </c>
      <c r="O49" s="10">
        <f>K49*N49</f>
        <v>0</v>
      </c>
    </row>
    <row r="50" spans="11:15">
      <c r="K50" s="10">
        <f>IFERROR(H50*I50*(1-IF(J50="",0,J50)),0)</f>
        <v>0</v>
      </c>
      <c r="L50" s="10">
        <f>K50*TVA</f>
        <v>0</v>
      </c>
      <c r="M50" s="10">
        <f>K50+L50</f>
        <v>0</v>
      </c>
      <c r="N50" s="8">
        <f>IFERROR(INDEX(Paramètres!$B$10:$B$12, MATCH(INDEX(Projet_Portefeuille!$D$2:$D$200, MATCH(A50,Projet_Portefeuille!$A$2:$A$200,0)), Paramètres!$A$10:$A$12, 0)), 1)</f>
        <v>0</v>
      </c>
      <c r="O50" s="10">
        <f>K50*N50</f>
        <v>0</v>
      </c>
    </row>
    <row r="51" spans="11:15">
      <c r="K51" s="10">
        <f>IFERROR(H51*I51*(1-IF(J51="",0,J51)),0)</f>
        <v>0</v>
      </c>
      <c r="L51" s="10">
        <f>K51*TVA</f>
        <v>0</v>
      </c>
      <c r="M51" s="10">
        <f>K51+L51</f>
        <v>0</v>
      </c>
      <c r="N51" s="8">
        <f>IFERROR(INDEX(Paramètres!$B$10:$B$12, MATCH(INDEX(Projet_Portefeuille!$D$2:$D$200, MATCH(A51,Projet_Portefeuille!$A$2:$A$200,0)), Paramètres!$A$10:$A$12, 0)), 1)</f>
        <v>0</v>
      </c>
      <c r="O51" s="10">
        <f>K51*N51</f>
        <v>0</v>
      </c>
    </row>
    <row r="52" spans="11:15">
      <c r="K52" s="10">
        <f>IFERROR(H52*I52*(1-IF(J52="",0,J52)),0)</f>
        <v>0</v>
      </c>
      <c r="L52" s="10">
        <f>K52*TVA</f>
        <v>0</v>
      </c>
      <c r="M52" s="10">
        <f>K52+L52</f>
        <v>0</v>
      </c>
      <c r="N52" s="8">
        <f>IFERROR(INDEX(Paramètres!$B$10:$B$12, MATCH(INDEX(Projet_Portefeuille!$D$2:$D$200, MATCH(A52,Projet_Portefeuille!$A$2:$A$200,0)), Paramètres!$A$10:$A$12, 0)), 1)</f>
        <v>0</v>
      </c>
      <c r="O52" s="10">
        <f>K52*N52</f>
        <v>0</v>
      </c>
    </row>
    <row r="53" spans="11:15">
      <c r="K53" s="10">
        <f>IFERROR(H53*I53*(1-IF(J53="",0,J53)),0)</f>
        <v>0</v>
      </c>
      <c r="L53" s="10">
        <f>K53*TVA</f>
        <v>0</v>
      </c>
      <c r="M53" s="10">
        <f>K53+L53</f>
        <v>0</v>
      </c>
      <c r="N53" s="8">
        <f>IFERROR(INDEX(Paramètres!$B$10:$B$12, MATCH(INDEX(Projet_Portefeuille!$D$2:$D$200, MATCH(A53,Projet_Portefeuille!$A$2:$A$200,0)), Paramètres!$A$10:$A$12, 0)), 1)</f>
        <v>0</v>
      </c>
      <c r="O53" s="10">
        <f>K53*N53</f>
        <v>0</v>
      </c>
    </row>
    <row r="54" spans="11:15">
      <c r="K54" s="10">
        <f>IFERROR(H54*I54*(1-IF(J54="",0,J54)),0)</f>
        <v>0</v>
      </c>
      <c r="L54" s="10">
        <f>K54*TVA</f>
        <v>0</v>
      </c>
      <c r="M54" s="10">
        <f>K54+L54</f>
        <v>0</v>
      </c>
      <c r="N54" s="8">
        <f>IFERROR(INDEX(Paramètres!$B$10:$B$12, MATCH(INDEX(Projet_Portefeuille!$D$2:$D$200, MATCH(A54,Projet_Portefeuille!$A$2:$A$200,0)), Paramètres!$A$10:$A$12, 0)), 1)</f>
        <v>0</v>
      </c>
      <c r="O54" s="10">
        <f>K54*N54</f>
        <v>0</v>
      </c>
    </row>
    <row r="55" spans="11:15">
      <c r="K55" s="10">
        <f>IFERROR(H55*I55*(1-IF(J55="",0,J55)),0)</f>
        <v>0</v>
      </c>
      <c r="L55" s="10">
        <f>K55*TVA</f>
        <v>0</v>
      </c>
      <c r="M55" s="10">
        <f>K55+L55</f>
        <v>0</v>
      </c>
      <c r="N55" s="8">
        <f>IFERROR(INDEX(Paramètres!$B$10:$B$12, MATCH(INDEX(Projet_Portefeuille!$D$2:$D$200, MATCH(A55,Projet_Portefeuille!$A$2:$A$200,0)), Paramètres!$A$10:$A$12, 0)), 1)</f>
        <v>0</v>
      </c>
      <c r="O55" s="10">
        <f>K55*N55</f>
        <v>0</v>
      </c>
    </row>
    <row r="56" spans="11:15">
      <c r="K56" s="10">
        <f>IFERROR(H56*I56*(1-IF(J56="",0,J56)),0)</f>
        <v>0</v>
      </c>
      <c r="L56" s="10">
        <f>K56*TVA</f>
        <v>0</v>
      </c>
      <c r="M56" s="10">
        <f>K56+L56</f>
        <v>0</v>
      </c>
      <c r="N56" s="8">
        <f>IFERROR(INDEX(Paramètres!$B$10:$B$12, MATCH(INDEX(Projet_Portefeuille!$D$2:$D$200, MATCH(A56,Projet_Portefeuille!$A$2:$A$200,0)), Paramètres!$A$10:$A$12, 0)), 1)</f>
        <v>0</v>
      </c>
      <c r="O56" s="10">
        <f>K56*N56</f>
        <v>0</v>
      </c>
    </row>
    <row r="57" spans="11:15">
      <c r="K57" s="10">
        <f>IFERROR(H57*I57*(1-IF(J57="",0,J57)),0)</f>
        <v>0</v>
      </c>
      <c r="L57" s="10">
        <f>K57*TVA</f>
        <v>0</v>
      </c>
      <c r="M57" s="10">
        <f>K57+L57</f>
        <v>0</v>
      </c>
      <c r="N57" s="8">
        <f>IFERROR(INDEX(Paramètres!$B$10:$B$12, MATCH(INDEX(Projet_Portefeuille!$D$2:$D$200, MATCH(A57,Projet_Portefeuille!$A$2:$A$200,0)), Paramètres!$A$10:$A$12, 0)), 1)</f>
        <v>0</v>
      </c>
      <c r="O57" s="10">
        <f>K57*N57</f>
        <v>0</v>
      </c>
    </row>
    <row r="58" spans="11:15">
      <c r="K58" s="10">
        <f>IFERROR(H58*I58*(1-IF(J58="",0,J58)),0)</f>
        <v>0</v>
      </c>
      <c r="L58" s="10">
        <f>K58*TVA</f>
        <v>0</v>
      </c>
      <c r="M58" s="10">
        <f>K58+L58</f>
        <v>0</v>
      </c>
      <c r="N58" s="8">
        <f>IFERROR(INDEX(Paramètres!$B$10:$B$12, MATCH(INDEX(Projet_Portefeuille!$D$2:$D$200, MATCH(A58,Projet_Portefeuille!$A$2:$A$200,0)), Paramètres!$A$10:$A$12, 0)), 1)</f>
        <v>0</v>
      </c>
      <c r="O58" s="10">
        <f>K58*N58</f>
        <v>0</v>
      </c>
    </row>
    <row r="59" spans="11:15">
      <c r="K59" s="10">
        <f>IFERROR(H59*I59*(1-IF(J59="",0,J59)),0)</f>
        <v>0</v>
      </c>
      <c r="L59" s="10">
        <f>K59*TVA</f>
        <v>0</v>
      </c>
      <c r="M59" s="10">
        <f>K59+L59</f>
        <v>0</v>
      </c>
      <c r="N59" s="8">
        <f>IFERROR(INDEX(Paramètres!$B$10:$B$12, MATCH(INDEX(Projet_Portefeuille!$D$2:$D$200, MATCH(A59,Projet_Portefeuille!$A$2:$A$200,0)), Paramètres!$A$10:$A$12, 0)), 1)</f>
        <v>0</v>
      </c>
      <c r="O59" s="10">
        <f>K59*N59</f>
        <v>0</v>
      </c>
    </row>
    <row r="60" spans="11:15">
      <c r="K60" s="10">
        <f>IFERROR(H60*I60*(1-IF(J60="",0,J60)),0)</f>
        <v>0</v>
      </c>
      <c r="L60" s="10">
        <f>K60*TVA</f>
        <v>0</v>
      </c>
      <c r="M60" s="10">
        <f>K60+L60</f>
        <v>0</v>
      </c>
      <c r="N60" s="8">
        <f>IFERROR(INDEX(Paramètres!$B$10:$B$12, MATCH(INDEX(Projet_Portefeuille!$D$2:$D$200, MATCH(A60,Projet_Portefeuille!$A$2:$A$200,0)), Paramètres!$A$10:$A$12, 0)), 1)</f>
        <v>0</v>
      </c>
      <c r="O60" s="10">
        <f>K60*N60</f>
        <v>0</v>
      </c>
    </row>
    <row r="61" spans="11:15">
      <c r="K61" s="10">
        <f>IFERROR(H61*I61*(1-IF(J61="",0,J61)),0)</f>
        <v>0</v>
      </c>
      <c r="L61" s="10">
        <f>K61*TVA</f>
        <v>0</v>
      </c>
      <c r="M61" s="10">
        <f>K61+L61</f>
        <v>0</v>
      </c>
      <c r="N61" s="8">
        <f>IFERROR(INDEX(Paramètres!$B$10:$B$12, MATCH(INDEX(Projet_Portefeuille!$D$2:$D$200, MATCH(A61,Projet_Portefeuille!$A$2:$A$200,0)), Paramètres!$A$10:$A$12, 0)), 1)</f>
        <v>0</v>
      </c>
      <c r="O61" s="10">
        <f>K61*N61</f>
        <v>0</v>
      </c>
    </row>
    <row r="62" spans="11:15">
      <c r="K62" s="10">
        <f>IFERROR(H62*I62*(1-IF(J62="",0,J62)),0)</f>
        <v>0</v>
      </c>
      <c r="L62" s="10">
        <f>K62*TVA</f>
        <v>0</v>
      </c>
      <c r="M62" s="10">
        <f>K62+L62</f>
        <v>0</v>
      </c>
      <c r="N62" s="8">
        <f>IFERROR(INDEX(Paramètres!$B$10:$B$12, MATCH(INDEX(Projet_Portefeuille!$D$2:$D$200, MATCH(A62,Projet_Portefeuille!$A$2:$A$200,0)), Paramètres!$A$10:$A$12, 0)), 1)</f>
        <v>0</v>
      </c>
      <c r="O62" s="10">
        <f>K62*N62</f>
        <v>0</v>
      </c>
    </row>
    <row r="63" spans="11:15">
      <c r="K63" s="10">
        <f>IFERROR(H63*I63*(1-IF(J63="",0,J63)),0)</f>
        <v>0</v>
      </c>
      <c r="L63" s="10">
        <f>K63*TVA</f>
        <v>0</v>
      </c>
      <c r="M63" s="10">
        <f>K63+L63</f>
        <v>0</v>
      </c>
      <c r="N63" s="8">
        <f>IFERROR(INDEX(Paramètres!$B$10:$B$12, MATCH(INDEX(Projet_Portefeuille!$D$2:$D$200, MATCH(A63,Projet_Portefeuille!$A$2:$A$200,0)), Paramètres!$A$10:$A$12, 0)), 1)</f>
        <v>0</v>
      </c>
      <c r="O63" s="10">
        <f>K63*N63</f>
        <v>0</v>
      </c>
    </row>
    <row r="64" spans="11:15">
      <c r="K64" s="10">
        <f>IFERROR(H64*I64*(1-IF(J64="",0,J64)),0)</f>
        <v>0</v>
      </c>
      <c r="L64" s="10">
        <f>K64*TVA</f>
        <v>0</v>
      </c>
      <c r="M64" s="10">
        <f>K64+L64</f>
        <v>0</v>
      </c>
      <c r="N64" s="8">
        <f>IFERROR(INDEX(Paramètres!$B$10:$B$12, MATCH(INDEX(Projet_Portefeuille!$D$2:$D$200, MATCH(A64,Projet_Portefeuille!$A$2:$A$200,0)), Paramètres!$A$10:$A$12, 0)), 1)</f>
        <v>0</v>
      </c>
      <c r="O64" s="10">
        <f>K64*N64</f>
        <v>0</v>
      </c>
    </row>
    <row r="65" spans="11:15">
      <c r="K65" s="10">
        <f>IFERROR(H65*I65*(1-IF(J65="",0,J65)),0)</f>
        <v>0</v>
      </c>
      <c r="L65" s="10">
        <f>K65*TVA</f>
        <v>0</v>
      </c>
      <c r="M65" s="10">
        <f>K65+L65</f>
        <v>0</v>
      </c>
      <c r="N65" s="8">
        <f>IFERROR(INDEX(Paramètres!$B$10:$B$12, MATCH(INDEX(Projet_Portefeuille!$D$2:$D$200, MATCH(A65,Projet_Portefeuille!$A$2:$A$200,0)), Paramètres!$A$10:$A$12, 0)), 1)</f>
        <v>0</v>
      </c>
      <c r="O65" s="10">
        <f>K65*N65</f>
        <v>0</v>
      </c>
    </row>
    <row r="66" spans="11:15">
      <c r="K66" s="10">
        <f>IFERROR(H66*I66*(1-IF(J66="",0,J66)),0)</f>
        <v>0</v>
      </c>
      <c r="L66" s="10">
        <f>K66*TVA</f>
        <v>0</v>
      </c>
      <c r="M66" s="10">
        <f>K66+L66</f>
        <v>0</v>
      </c>
      <c r="N66" s="8">
        <f>IFERROR(INDEX(Paramètres!$B$10:$B$12, MATCH(INDEX(Projet_Portefeuille!$D$2:$D$200, MATCH(A66,Projet_Portefeuille!$A$2:$A$200,0)), Paramètres!$A$10:$A$12, 0)), 1)</f>
        <v>0</v>
      </c>
      <c r="O66" s="10">
        <f>K66*N66</f>
        <v>0</v>
      </c>
    </row>
    <row r="67" spans="11:15">
      <c r="K67" s="10">
        <f>IFERROR(H67*I67*(1-IF(J67="",0,J67)),0)</f>
        <v>0</v>
      </c>
      <c r="L67" s="10">
        <f>K67*TVA</f>
        <v>0</v>
      </c>
      <c r="M67" s="10">
        <f>K67+L67</f>
        <v>0</v>
      </c>
      <c r="N67" s="8">
        <f>IFERROR(INDEX(Paramètres!$B$10:$B$12, MATCH(INDEX(Projet_Portefeuille!$D$2:$D$200, MATCH(A67,Projet_Portefeuille!$A$2:$A$200,0)), Paramètres!$A$10:$A$12, 0)), 1)</f>
        <v>0</v>
      </c>
      <c r="O67" s="10">
        <f>K67*N67</f>
        <v>0</v>
      </c>
    </row>
    <row r="68" spans="11:15">
      <c r="K68" s="10">
        <f>IFERROR(H68*I68*(1-IF(J68="",0,J68)),0)</f>
        <v>0</v>
      </c>
      <c r="L68" s="10">
        <f>K68*TVA</f>
        <v>0</v>
      </c>
      <c r="M68" s="10">
        <f>K68+L68</f>
        <v>0</v>
      </c>
      <c r="N68" s="8">
        <f>IFERROR(INDEX(Paramètres!$B$10:$B$12, MATCH(INDEX(Projet_Portefeuille!$D$2:$D$200, MATCH(A68,Projet_Portefeuille!$A$2:$A$200,0)), Paramètres!$A$10:$A$12, 0)), 1)</f>
        <v>0</v>
      </c>
      <c r="O68" s="10">
        <f>K68*N68</f>
        <v>0</v>
      </c>
    </row>
    <row r="69" spans="11:15">
      <c r="K69" s="10">
        <f>IFERROR(H69*I69*(1-IF(J69="",0,J69)),0)</f>
        <v>0</v>
      </c>
      <c r="L69" s="10">
        <f>K69*TVA</f>
        <v>0</v>
      </c>
      <c r="M69" s="10">
        <f>K69+L69</f>
        <v>0</v>
      </c>
      <c r="N69" s="8">
        <f>IFERROR(INDEX(Paramètres!$B$10:$B$12, MATCH(INDEX(Projet_Portefeuille!$D$2:$D$200, MATCH(A69,Projet_Portefeuille!$A$2:$A$200,0)), Paramètres!$A$10:$A$12, 0)), 1)</f>
        <v>0</v>
      </c>
      <c r="O69" s="10">
        <f>K69*N69</f>
        <v>0</v>
      </c>
    </row>
    <row r="70" spans="11:15">
      <c r="K70" s="10">
        <f>IFERROR(H70*I70*(1-IF(J70="",0,J70)),0)</f>
        <v>0</v>
      </c>
      <c r="L70" s="10">
        <f>K70*TVA</f>
        <v>0</v>
      </c>
      <c r="M70" s="10">
        <f>K70+L70</f>
        <v>0</v>
      </c>
      <c r="N70" s="8">
        <f>IFERROR(INDEX(Paramètres!$B$10:$B$12, MATCH(INDEX(Projet_Portefeuille!$D$2:$D$200, MATCH(A70,Projet_Portefeuille!$A$2:$A$200,0)), Paramètres!$A$10:$A$12, 0)), 1)</f>
        <v>0</v>
      </c>
      <c r="O70" s="10">
        <f>K70*N70</f>
        <v>0</v>
      </c>
    </row>
    <row r="71" spans="11:15">
      <c r="K71" s="10">
        <f>IFERROR(H71*I71*(1-IF(J71="",0,J71)),0)</f>
        <v>0</v>
      </c>
      <c r="L71" s="10">
        <f>K71*TVA</f>
        <v>0</v>
      </c>
      <c r="M71" s="10">
        <f>K71+L71</f>
        <v>0</v>
      </c>
      <c r="N71" s="8">
        <f>IFERROR(INDEX(Paramètres!$B$10:$B$12, MATCH(INDEX(Projet_Portefeuille!$D$2:$D$200, MATCH(A71,Projet_Portefeuille!$A$2:$A$200,0)), Paramètres!$A$10:$A$12, 0)), 1)</f>
        <v>0</v>
      </c>
      <c r="O71" s="10">
        <f>K71*N71</f>
        <v>0</v>
      </c>
    </row>
    <row r="72" spans="11:15">
      <c r="K72" s="10">
        <f>IFERROR(H72*I72*(1-IF(J72="",0,J72)),0)</f>
        <v>0</v>
      </c>
      <c r="L72" s="10">
        <f>K72*TVA</f>
        <v>0</v>
      </c>
      <c r="M72" s="10">
        <f>K72+L72</f>
        <v>0</v>
      </c>
      <c r="N72" s="8">
        <f>IFERROR(INDEX(Paramètres!$B$10:$B$12, MATCH(INDEX(Projet_Portefeuille!$D$2:$D$200, MATCH(A72,Projet_Portefeuille!$A$2:$A$200,0)), Paramètres!$A$10:$A$12, 0)), 1)</f>
        <v>0</v>
      </c>
      <c r="O72" s="10">
        <f>K72*N72</f>
        <v>0</v>
      </c>
    </row>
    <row r="73" spans="11:15">
      <c r="K73" s="10">
        <f>IFERROR(H73*I73*(1-IF(J73="",0,J73)),0)</f>
        <v>0</v>
      </c>
      <c r="L73" s="10">
        <f>K73*TVA</f>
        <v>0</v>
      </c>
      <c r="M73" s="10">
        <f>K73+L73</f>
        <v>0</v>
      </c>
      <c r="N73" s="8">
        <f>IFERROR(INDEX(Paramètres!$B$10:$B$12, MATCH(INDEX(Projet_Portefeuille!$D$2:$D$200, MATCH(A73,Projet_Portefeuille!$A$2:$A$200,0)), Paramètres!$A$10:$A$12, 0)), 1)</f>
        <v>0</v>
      </c>
      <c r="O73" s="10">
        <f>K73*N73</f>
        <v>0</v>
      </c>
    </row>
    <row r="74" spans="11:15">
      <c r="K74" s="10">
        <f>IFERROR(H74*I74*(1-IF(J74="",0,J74)),0)</f>
        <v>0</v>
      </c>
      <c r="L74" s="10">
        <f>K74*TVA</f>
        <v>0</v>
      </c>
      <c r="M74" s="10">
        <f>K74+L74</f>
        <v>0</v>
      </c>
      <c r="N74" s="8">
        <f>IFERROR(INDEX(Paramètres!$B$10:$B$12, MATCH(INDEX(Projet_Portefeuille!$D$2:$D$200, MATCH(A74,Projet_Portefeuille!$A$2:$A$200,0)), Paramètres!$A$10:$A$12, 0)), 1)</f>
        <v>0</v>
      </c>
      <c r="O74" s="10">
        <f>K74*N74</f>
        <v>0</v>
      </c>
    </row>
    <row r="75" spans="11:15">
      <c r="K75" s="10">
        <f>IFERROR(H75*I75*(1-IF(J75="",0,J75)),0)</f>
        <v>0</v>
      </c>
      <c r="L75" s="10">
        <f>K75*TVA</f>
        <v>0</v>
      </c>
      <c r="M75" s="10">
        <f>K75+L75</f>
        <v>0</v>
      </c>
      <c r="N75" s="8">
        <f>IFERROR(INDEX(Paramètres!$B$10:$B$12, MATCH(INDEX(Projet_Portefeuille!$D$2:$D$200, MATCH(A75,Projet_Portefeuille!$A$2:$A$200,0)), Paramètres!$A$10:$A$12, 0)), 1)</f>
        <v>0</v>
      </c>
      <c r="O75" s="10">
        <f>K75*N75</f>
        <v>0</v>
      </c>
    </row>
    <row r="76" spans="11:15">
      <c r="K76" s="10">
        <f>IFERROR(H76*I76*(1-IF(J76="",0,J76)),0)</f>
        <v>0</v>
      </c>
      <c r="L76" s="10">
        <f>K76*TVA</f>
        <v>0</v>
      </c>
      <c r="M76" s="10">
        <f>K76+L76</f>
        <v>0</v>
      </c>
      <c r="N76" s="8">
        <f>IFERROR(INDEX(Paramètres!$B$10:$B$12, MATCH(INDEX(Projet_Portefeuille!$D$2:$D$200, MATCH(A76,Projet_Portefeuille!$A$2:$A$200,0)), Paramètres!$A$10:$A$12, 0)), 1)</f>
        <v>0</v>
      </c>
      <c r="O76" s="10">
        <f>K76*N76</f>
        <v>0</v>
      </c>
    </row>
    <row r="77" spans="11:15">
      <c r="K77" s="10">
        <f>IFERROR(H77*I77*(1-IF(J77="",0,J77)),0)</f>
        <v>0</v>
      </c>
      <c r="L77" s="10">
        <f>K77*TVA</f>
        <v>0</v>
      </c>
      <c r="M77" s="10">
        <f>K77+L77</f>
        <v>0</v>
      </c>
      <c r="N77" s="8">
        <f>IFERROR(INDEX(Paramètres!$B$10:$B$12, MATCH(INDEX(Projet_Portefeuille!$D$2:$D$200, MATCH(A77,Projet_Portefeuille!$A$2:$A$200,0)), Paramètres!$A$10:$A$12, 0)), 1)</f>
        <v>0</v>
      </c>
      <c r="O77" s="10">
        <f>K77*N77</f>
        <v>0</v>
      </c>
    </row>
    <row r="78" spans="11:15">
      <c r="K78" s="10">
        <f>IFERROR(H78*I78*(1-IF(J78="",0,J78)),0)</f>
        <v>0</v>
      </c>
      <c r="L78" s="10">
        <f>K78*TVA</f>
        <v>0</v>
      </c>
      <c r="M78" s="10">
        <f>K78+L78</f>
        <v>0</v>
      </c>
      <c r="N78" s="8">
        <f>IFERROR(INDEX(Paramètres!$B$10:$B$12, MATCH(INDEX(Projet_Portefeuille!$D$2:$D$200, MATCH(A78,Projet_Portefeuille!$A$2:$A$200,0)), Paramètres!$A$10:$A$12, 0)), 1)</f>
        <v>0</v>
      </c>
      <c r="O78" s="10">
        <f>K78*N78</f>
        <v>0</v>
      </c>
    </row>
    <row r="79" spans="11:15">
      <c r="K79" s="10">
        <f>IFERROR(H79*I79*(1-IF(J79="",0,J79)),0)</f>
        <v>0</v>
      </c>
      <c r="L79" s="10">
        <f>K79*TVA</f>
        <v>0</v>
      </c>
      <c r="M79" s="10">
        <f>K79+L79</f>
        <v>0</v>
      </c>
      <c r="N79" s="8">
        <f>IFERROR(INDEX(Paramètres!$B$10:$B$12, MATCH(INDEX(Projet_Portefeuille!$D$2:$D$200, MATCH(A79,Projet_Portefeuille!$A$2:$A$200,0)), Paramètres!$A$10:$A$12, 0)), 1)</f>
        <v>0</v>
      </c>
      <c r="O79" s="10">
        <f>K79*N79</f>
        <v>0</v>
      </c>
    </row>
    <row r="80" spans="11:15">
      <c r="K80" s="10">
        <f>IFERROR(H80*I80*(1-IF(J80="",0,J80)),0)</f>
        <v>0</v>
      </c>
      <c r="L80" s="10">
        <f>K80*TVA</f>
        <v>0</v>
      </c>
      <c r="M80" s="10">
        <f>K80+L80</f>
        <v>0</v>
      </c>
      <c r="N80" s="8">
        <f>IFERROR(INDEX(Paramètres!$B$10:$B$12, MATCH(INDEX(Projet_Portefeuille!$D$2:$D$200, MATCH(A80,Projet_Portefeuille!$A$2:$A$200,0)), Paramètres!$A$10:$A$12, 0)), 1)</f>
        <v>0</v>
      </c>
      <c r="O80" s="10">
        <f>K80*N80</f>
        <v>0</v>
      </c>
    </row>
    <row r="81" spans="11:15">
      <c r="K81" s="10">
        <f>IFERROR(H81*I81*(1-IF(J81="",0,J81)),0)</f>
        <v>0</v>
      </c>
      <c r="L81" s="10">
        <f>K81*TVA</f>
        <v>0</v>
      </c>
      <c r="M81" s="10">
        <f>K81+L81</f>
        <v>0</v>
      </c>
      <c r="N81" s="8">
        <f>IFERROR(INDEX(Paramètres!$B$10:$B$12, MATCH(INDEX(Projet_Portefeuille!$D$2:$D$200, MATCH(A81,Projet_Portefeuille!$A$2:$A$200,0)), Paramètres!$A$10:$A$12, 0)), 1)</f>
        <v>0</v>
      </c>
      <c r="O81" s="10">
        <f>K81*N81</f>
        <v>0</v>
      </c>
    </row>
    <row r="82" spans="11:15">
      <c r="K82" s="10">
        <f>IFERROR(H82*I82*(1-IF(J82="",0,J82)),0)</f>
        <v>0</v>
      </c>
      <c r="L82" s="10">
        <f>K82*TVA</f>
        <v>0</v>
      </c>
      <c r="M82" s="10">
        <f>K82+L82</f>
        <v>0</v>
      </c>
      <c r="N82" s="8">
        <f>IFERROR(INDEX(Paramètres!$B$10:$B$12, MATCH(INDEX(Projet_Portefeuille!$D$2:$D$200, MATCH(A82,Projet_Portefeuille!$A$2:$A$200,0)), Paramètres!$A$10:$A$12, 0)), 1)</f>
        <v>0</v>
      </c>
      <c r="O82" s="10">
        <f>K82*N82</f>
        <v>0</v>
      </c>
    </row>
    <row r="83" spans="11:15">
      <c r="K83" s="10">
        <f>IFERROR(H83*I83*(1-IF(J83="",0,J83)),0)</f>
        <v>0</v>
      </c>
      <c r="L83" s="10">
        <f>K83*TVA</f>
        <v>0</v>
      </c>
      <c r="M83" s="10">
        <f>K83+L83</f>
        <v>0</v>
      </c>
      <c r="N83" s="8">
        <f>IFERROR(INDEX(Paramètres!$B$10:$B$12, MATCH(INDEX(Projet_Portefeuille!$D$2:$D$200, MATCH(A83,Projet_Portefeuille!$A$2:$A$200,0)), Paramètres!$A$10:$A$12, 0)), 1)</f>
        <v>0</v>
      </c>
      <c r="O83" s="10">
        <f>K83*N83</f>
        <v>0</v>
      </c>
    </row>
    <row r="84" spans="11:15">
      <c r="K84" s="10">
        <f>IFERROR(H84*I84*(1-IF(J84="",0,J84)),0)</f>
        <v>0</v>
      </c>
      <c r="L84" s="10">
        <f>K84*TVA</f>
        <v>0</v>
      </c>
      <c r="M84" s="10">
        <f>K84+L84</f>
        <v>0</v>
      </c>
      <c r="N84" s="8">
        <f>IFERROR(INDEX(Paramètres!$B$10:$B$12, MATCH(INDEX(Projet_Portefeuille!$D$2:$D$200, MATCH(A84,Projet_Portefeuille!$A$2:$A$200,0)), Paramètres!$A$10:$A$12, 0)), 1)</f>
        <v>0</v>
      </c>
      <c r="O84" s="10">
        <f>K84*N84</f>
        <v>0</v>
      </c>
    </row>
    <row r="85" spans="11:15">
      <c r="K85" s="10">
        <f>IFERROR(H85*I85*(1-IF(J85="",0,J85)),0)</f>
        <v>0</v>
      </c>
      <c r="L85" s="10">
        <f>K85*TVA</f>
        <v>0</v>
      </c>
      <c r="M85" s="10">
        <f>K85+L85</f>
        <v>0</v>
      </c>
      <c r="N85" s="8">
        <f>IFERROR(INDEX(Paramètres!$B$10:$B$12, MATCH(INDEX(Projet_Portefeuille!$D$2:$D$200, MATCH(A85,Projet_Portefeuille!$A$2:$A$200,0)), Paramètres!$A$10:$A$12, 0)), 1)</f>
        <v>0</v>
      </c>
      <c r="O85" s="10">
        <f>K85*N85</f>
        <v>0</v>
      </c>
    </row>
    <row r="86" spans="11:15">
      <c r="K86" s="10">
        <f>IFERROR(H86*I86*(1-IF(J86="",0,J86)),0)</f>
        <v>0</v>
      </c>
      <c r="L86" s="10">
        <f>K86*TVA</f>
        <v>0</v>
      </c>
      <c r="M86" s="10">
        <f>K86+L86</f>
        <v>0</v>
      </c>
      <c r="N86" s="8">
        <f>IFERROR(INDEX(Paramètres!$B$10:$B$12, MATCH(INDEX(Projet_Portefeuille!$D$2:$D$200, MATCH(A86,Projet_Portefeuille!$A$2:$A$200,0)), Paramètres!$A$10:$A$12, 0)), 1)</f>
        <v>0</v>
      </c>
      <c r="O86" s="10">
        <f>K86*N86</f>
        <v>0</v>
      </c>
    </row>
    <row r="87" spans="11:15">
      <c r="K87" s="10">
        <f>IFERROR(H87*I87*(1-IF(J87="",0,J87)),0)</f>
        <v>0</v>
      </c>
      <c r="L87" s="10">
        <f>K87*TVA</f>
        <v>0</v>
      </c>
      <c r="M87" s="10">
        <f>K87+L87</f>
        <v>0</v>
      </c>
      <c r="N87" s="8">
        <f>IFERROR(INDEX(Paramètres!$B$10:$B$12, MATCH(INDEX(Projet_Portefeuille!$D$2:$D$200, MATCH(A87,Projet_Portefeuille!$A$2:$A$200,0)), Paramètres!$A$10:$A$12, 0)), 1)</f>
        <v>0</v>
      </c>
      <c r="O87" s="10">
        <f>K87*N87</f>
        <v>0</v>
      </c>
    </row>
    <row r="88" spans="11:15">
      <c r="K88" s="10">
        <f>IFERROR(H88*I88*(1-IF(J88="",0,J88)),0)</f>
        <v>0</v>
      </c>
      <c r="L88" s="10">
        <f>K88*TVA</f>
        <v>0</v>
      </c>
      <c r="M88" s="10">
        <f>K88+L88</f>
        <v>0</v>
      </c>
      <c r="N88" s="8">
        <f>IFERROR(INDEX(Paramètres!$B$10:$B$12, MATCH(INDEX(Projet_Portefeuille!$D$2:$D$200, MATCH(A88,Projet_Portefeuille!$A$2:$A$200,0)), Paramètres!$A$10:$A$12, 0)), 1)</f>
        <v>0</v>
      </c>
      <c r="O88" s="10">
        <f>K88*N88</f>
        <v>0</v>
      </c>
    </row>
    <row r="89" spans="11:15">
      <c r="K89" s="10">
        <f>IFERROR(H89*I89*(1-IF(J89="",0,J89)),0)</f>
        <v>0</v>
      </c>
      <c r="L89" s="10">
        <f>K89*TVA</f>
        <v>0</v>
      </c>
      <c r="M89" s="10">
        <f>K89+L89</f>
        <v>0</v>
      </c>
      <c r="N89" s="8">
        <f>IFERROR(INDEX(Paramètres!$B$10:$B$12, MATCH(INDEX(Projet_Portefeuille!$D$2:$D$200, MATCH(A89,Projet_Portefeuille!$A$2:$A$200,0)), Paramètres!$A$10:$A$12, 0)), 1)</f>
        <v>0</v>
      </c>
      <c r="O89" s="10">
        <f>K89*N89</f>
        <v>0</v>
      </c>
    </row>
    <row r="90" spans="11:15">
      <c r="K90" s="10">
        <f>IFERROR(H90*I90*(1-IF(J90="",0,J90)),0)</f>
        <v>0</v>
      </c>
      <c r="L90" s="10">
        <f>K90*TVA</f>
        <v>0</v>
      </c>
      <c r="M90" s="10">
        <f>K90+L90</f>
        <v>0</v>
      </c>
      <c r="N90" s="8">
        <f>IFERROR(INDEX(Paramètres!$B$10:$B$12, MATCH(INDEX(Projet_Portefeuille!$D$2:$D$200, MATCH(A90,Projet_Portefeuille!$A$2:$A$200,0)), Paramètres!$A$10:$A$12, 0)), 1)</f>
        <v>0</v>
      </c>
      <c r="O90" s="10">
        <f>K90*N90</f>
        <v>0</v>
      </c>
    </row>
    <row r="91" spans="11:15">
      <c r="K91" s="10">
        <f>IFERROR(H91*I91*(1-IF(J91="",0,J91)),0)</f>
        <v>0</v>
      </c>
      <c r="L91" s="10">
        <f>K91*TVA</f>
        <v>0</v>
      </c>
      <c r="M91" s="10">
        <f>K91+L91</f>
        <v>0</v>
      </c>
      <c r="N91" s="8">
        <f>IFERROR(INDEX(Paramètres!$B$10:$B$12, MATCH(INDEX(Projet_Portefeuille!$D$2:$D$200, MATCH(A91,Projet_Portefeuille!$A$2:$A$200,0)), Paramètres!$A$10:$A$12, 0)), 1)</f>
        <v>0</v>
      </c>
      <c r="O91" s="10">
        <f>K91*N91</f>
        <v>0</v>
      </c>
    </row>
    <row r="92" spans="11:15">
      <c r="K92" s="10">
        <f>IFERROR(H92*I92*(1-IF(J92="",0,J92)),0)</f>
        <v>0</v>
      </c>
      <c r="L92" s="10">
        <f>K92*TVA</f>
        <v>0</v>
      </c>
      <c r="M92" s="10">
        <f>K92+L92</f>
        <v>0</v>
      </c>
      <c r="N92" s="8">
        <f>IFERROR(INDEX(Paramètres!$B$10:$B$12, MATCH(INDEX(Projet_Portefeuille!$D$2:$D$200, MATCH(A92,Projet_Portefeuille!$A$2:$A$200,0)), Paramètres!$A$10:$A$12, 0)), 1)</f>
        <v>0</v>
      </c>
      <c r="O92" s="10">
        <f>K92*N92</f>
        <v>0</v>
      </c>
    </row>
    <row r="93" spans="11:15">
      <c r="K93" s="10">
        <f>IFERROR(H93*I93*(1-IF(J93="",0,J93)),0)</f>
        <v>0</v>
      </c>
      <c r="L93" s="10">
        <f>K93*TVA</f>
        <v>0</v>
      </c>
      <c r="M93" s="10">
        <f>K93+L93</f>
        <v>0</v>
      </c>
      <c r="N93" s="8">
        <f>IFERROR(INDEX(Paramètres!$B$10:$B$12, MATCH(INDEX(Projet_Portefeuille!$D$2:$D$200, MATCH(A93,Projet_Portefeuille!$A$2:$A$200,0)), Paramètres!$A$10:$A$12, 0)), 1)</f>
        <v>0</v>
      </c>
      <c r="O93" s="10">
        <f>K93*N93</f>
        <v>0</v>
      </c>
    </row>
    <row r="94" spans="11:15">
      <c r="K94" s="10">
        <f>IFERROR(H94*I94*(1-IF(J94="",0,J94)),0)</f>
        <v>0</v>
      </c>
      <c r="L94" s="10">
        <f>K94*TVA</f>
        <v>0</v>
      </c>
      <c r="M94" s="10">
        <f>K94+L94</f>
        <v>0</v>
      </c>
      <c r="N94" s="8">
        <f>IFERROR(INDEX(Paramètres!$B$10:$B$12, MATCH(INDEX(Projet_Portefeuille!$D$2:$D$200, MATCH(A94,Projet_Portefeuille!$A$2:$A$200,0)), Paramètres!$A$10:$A$12, 0)), 1)</f>
        <v>0</v>
      </c>
      <c r="O94" s="10">
        <f>K94*N94</f>
        <v>0</v>
      </c>
    </row>
    <row r="95" spans="11:15">
      <c r="K95" s="10">
        <f>IFERROR(H95*I95*(1-IF(J95="",0,J95)),0)</f>
        <v>0</v>
      </c>
      <c r="L95" s="10">
        <f>K95*TVA</f>
        <v>0</v>
      </c>
      <c r="M95" s="10">
        <f>K95+L95</f>
        <v>0</v>
      </c>
      <c r="N95" s="8">
        <f>IFERROR(INDEX(Paramètres!$B$10:$B$12, MATCH(INDEX(Projet_Portefeuille!$D$2:$D$200, MATCH(A95,Projet_Portefeuille!$A$2:$A$200,0)), Paramètres!$A$10:$A$12, 0)), 1)</f>
        <v>0</v>
      </c>
      <c r="O95" s="10">
        <f>K95*N95</f>
        <v>0</v>
      </c>
    </row>
    <row r="96" spans="11:15">
      <c r="K96" s="10">
        <f>IFERROR(H96*I96*(1-IF(J96="",0,J96)),0)</f>
        <v>0</v>
      </c>
      <c r="L96" s="10">
        <f>K96*TVA</f>
        <v>0</v>
      </c>
      <c r="M96" s="10">
        <f>K96+L96</f>
        <v>0</v>
      </c>
      <c r="N96" s="8">
        <f>IFERROR(INDEX(Paramètres!$B$10:$B$12, MATCH(INDEX(Projet_Portefeuille!$D$2:$D$200, MATCH(A96,Projet_Portefeuille!$A$2:$A$200,0)), Paramètres!$A$10:$A$12, 0)), 1)</f>
        <v>0</v>
      </c>
      <c r="O96" s="10">
        <f>K96*N96</f>
        <v>0</v>
      </c>
    </row>
    <row r="97" spans="11:15">
      <c r="K97" s="10">
        <f>IFERROR(H97*I97*(1-IF(J97="",0,J97)),0)</f>
        <v>0</v>
      </c>
      <c r="L97" s="10">
        <f>K97*TVA</f>
        <v>0</v>
      </c>
      <c r="M97" s="10">
        <f>K97+L97</f>
        <v>0</v>
      </c>
      <c r="N97" s="8">
        <f>IFERROR(INDEX(Paramètres!$B$10:$B$12, MATCH(INDEX(Projet_Portefeuille!$D$2:$D$200, MATCH(A97,Projet_Portefeuille!$A$2:$A$200,0)), Paramètres!$A$10:$A$12, 0)), 1)</f>
        <v>0</v>
      </c>
      <c r="O97" s="10">
        <f>K97*N97</f>
        <v>0</v>
      </c>
    </row>
    <row r="98" spans="11:15">
      <c r="K98" s="10">
        <f>IFERROR(H98*I98*(1-IF(J98="",0,J98)),0)</f>
        <v>0</v>
      </c>
      <c r="L98" s="10">
        <f>K98*TVA</f>
        <v>0</v>
      </c>
      <c r="M98" s="10">
        <f>K98+L98</f>
        <v>0</v>
      </c>
      <c r="N98" s="8">
        <f>IFERROR(INDEX(Paramètres!$B$10:$B$12, MATCH(INDEX(Projet_Portefeuille!$D$2:$D$200, MATCH(A98,Projet_Portefeuille!$A$2:$A$200,0)), Paramètres!$A$10:$A$12, 0)), 1)</f>
        <v>0</v>
      </c>
      <c r="O98" s="10">
        <f>K98*N98</f>
        <v>0</v>
      </c>
    </row>
    <row r="99" spans="11:15">
      <c r="K99" s="10">
        <f>IFERROR(H99*I99*(1-IF(J99="",0,J99)),0)</f>
        <v>0</v>
      </c>
      <c r="L99" s="10">
        <f>K99*TVA</f>
        <v>0</v>
      </c>
      <c r="M99" s="10">
        <f>K99+L99</f>
        <v>0</v>
      </c>
      <c r="N99" s="8">
        <f>IFERROR(INDEX(Paramètres!$B$10:$B$12, MATCH(INDEX(Projet_Portefeuille!$D$2:$D$200, MATCH(A99,Projet_Portefeuille!$A$2:$A$200,0)), Paramètres!$A$10:$A$12, 0)), 1)</f>
        <v>0</v>
      </c>
      <c r="O99" s="10">
        <f>K99*N99</f>
        <v>0</v>
      </c>
    </row>
    <row r="100" spans="11:15">
      <c r="K100" s="10">
        <f>IFERROR(H100*I100*(1-IF(J100="",0,J100)),0)</f>
        <v>0</v>
      </c>
      <c r="L100" s="10">
        <f>K100*TVA</f>
        <v>0</v>
      </c>
      <c r="M100" s="10">
        <f>K100+L100</f>
        <v>0</v>
      </c>
      <c r="N100" s="8">
        <f>IFERROR(INDEX(Paramètres!$B$10:$B$12, MATCH(INDEX(Projet_Portefeuille!$D$2:$D$200, MATCH(A100,Projet_Portefeuille!$A$2:$A$200,0)), Paramètres!$A$10:$A$12, 0)), 1)</f>
        <v>0</v>
      </c>
      <c r="O100" s="10">
        <f>K100*N100</f>
        <v>0</v>
      </c>
    </row>
    <row r="101" spans="11:15">
      <c r="K101" s="10">
        <f>IFERROR(H101*I101*(1-IF(J101="",0,J101)),0)</f>
        <v>0</v>
      </c>
      <c r="L101" s="10">
        <f>K101*TVA</f>
        <v>0</v>
      </c>
      <c r="M101" s="10">
        <f>K101+L101</f>
        <v>0</v>
      </c>
      <c r="N101" s="8">
        <f>IFERROR(INDEX(Paramètres!$B$10:$B$12, MATCH(INDEX(Projet_Portefeuille!$D$2:$D$200, MATCH(A101,Projet_Portefeuille!$A$2:$A$200,0)), Paramètres!$A$10:$A$12, 0)), 1)</f>
        <v>0</v>
      </c>
      <c r="O101" s="10">
        <f>K101*N101</f>
        <v>0</v>
      </c>
    </row>
    <row r="102" spans="11:15">
      <c r="K102" s="10">
        <f>IFERROR(H102*I102*(1-IF(J102="",0,J102)),0)</f>
        <v>0</v>
      </c>
      <c r="L102" s="10">
        <f>K102*TVA</f>
        <v>0</v>
      </c>
      <c r="M102" s="10">
        <f>K102+L102</f>
        <v>0</v>
      </c>
      <c r="N102" s="8">
        <f>IFERROR(INDEX(Paramètres!$B$10:$B$12, MATCH(INDEX(Projet_Portefeuille!$D$2:$D$200, MATCH(A102,Projet_Portefeuille!$A$2:$A$200,0)), Paramètres!$A$10:$A$12, 0)), 1)</f>
        <v>0</v>
      </c>
      <c r="O102" s="10">
        <f>K102*N102</f>
        <v>0</v>
      </c>
    </row>
    <row r="103" spans="11:15">
      <c r="K103" s="10">
        <f>IFERROR(H103*I103*(1-IF(J103="",0,J103)),0)</f>
        <v>0</v>
      </c>
      <c r="L103" s="10">
        <f>K103*TVA</f>
        <v>0</v>
      </c>
      <c r="M103" s="10">
        <f>K103+L103</f>
        <v>0</v>
      </c>
      <c r="N103" s="8">
        <f>IFERROR(INDEX(Paramètres!$B$10:$B$12, MATCH(INDEX(Projet_Portefeuille!$D$2:$D$200, MATCH(A103,Projet_Portefeuille!$A$2:$A$200,0)), Paramètres!$A$10:$A$12, 0)), 1)</f>
        <v>0</v>
      </c>
      <c r="O103" s="10">
        <f>K103*N103</f>
        <v>0</v>
      </c>
    </row>
    <row r="104" spans="11:15">
      <c r="K104" s="10">
        <f>IFERROR(H104*I104*(1-IF(J104="",0,J104)),0)</f>
        <v>0</v>
      </c>
      <c r="L104" s="10">
        <f>K104*TVA</f>
        <v>0</v>
      </c>
      <c r="M104" s="10">
        <f>K104+L104</f>
        <v>0</v>
      </c>
      <c r="N104" s="8">
        <f>IFERROR(INDEX(Paramètres!$B$10:$B$12, MATCH(INDEX(Projet_Portefeuille!$D$2:$D$200, MATCH(A104,Projet_Portefeuille!$A$2:$A$200,0)), Paramètres!$A$10:$A$12, 0)), 1)</f>
        <v>0</v>
      </c>
      <c r="O104" s="10">
        <f>K104*N104</f>
        <v>0</v>
      </c>
    </row>
    <row r="105" spans="11:15">
      <c r="K105" s="10">
        <f>IFERROR(H105*I105*(1-IF(J105="",0,J105)),0)</f>
        <v>0</v>
      </c>
      <c r="L105" s="10">
        <f>K105*TVA</f>
        <v>0</v>
      </c>
      <c r="M105" s="10">
        <f>K105+L105</f>
        <v>0</v>
      </c>
      <c r="N105" s="8">
        <f>IFERROR(INDEX(Paramètres!$B$10:$B$12, MATCH(INDEX(Projet_Portefeuille!$D$2:$D$200, MATCH(A105,Projet_Portefeuille!$A$2:$A$200,0)), Paramètres!$A$10:$A$12, 0)), 1)</f>
        <v>0</v>
      </c>
      <c r="O105" s="10">
        <f>K105*N105</f>
        <v>0</v>
      </c>
    </row>
    <row r="106" spans="11:15">
      <c r="K106" s="10">
        <f>IFERROR(H106*I106*(1-IF(J106="",0,J106)),0)</f>
        <v>0</v>
      </c>
      <c r="L106" s="10">
        <f>K106*TVA</f>
        <v>0</v>
      </c>
      <c r="M106" s="10">
        <f>K106+L106</f>
        <v>0</v>
      </c>
      <c r="N106" s="8">
        <f>IFERROR(INDEX(Paramètres!$B$10:$B$12, MATCH(INDEX(Projet_Portefeuille!$D$2:$D$200, MATCH(A106,Projet_Portefeuille!$A$2:$A$200,0)), Paramètres!$A$10:$A$12, 0)), 1)</f>
        <v>0</v>
      </c>
      <c r="O106" s="10">
        <f>K106*N106</f>
        <v>0</v>
      </c>
    </row>
    <row r="107" spans="11:15">
      <c r="K107" s="10">
        <f>IFERROR(H107*I107*(1-IF(J107="",0,J107)),0)</f>
        <v>0</v>
      </c>
      <c r="L107" s="10">
        <f>K107*TVA</f>
        <v>0</v>
      </c>
      <c r="M107" s="10">
        <f>K107+L107</f>
        <v>0</v>
      </c>
      <c r="N107" s="8">
        <f>IFERROR(INDEX(Paramètres!$B$10:$B$12, MATCH(INDEX(Projet_Portefeuille!$D$2:$D$200, MATCH(A107,Projet_Portefeuille!$A$2:$A$200,0)), Paramètres!$A$10:$A$12, 0)), 1)</f>
        <v>0</v>
      </c>
      <c r="O107" s="10">
        <f>K107*N107</f>
        <v>0</v>
      </c>
    </row>
    <row r="108" spans="11:15">
      <c r="K108" s="10">
        <f>IFERROR(H108*I108*(1-IF(J108="",0,J108)),0)</f>
        <v>0</v>
      </c>
      <c r="L108" s="10">
        <f>K108*TVA</f>
        <v>0</v>
      </c>
      <c r="M108" s="10">
        <f>K108+L108</f>
        <v>0</v>
      </c>
      <c r="N108" s="8">
        <f>IFERROR(INDEX(Paramètres!$B$10:$B$12, MATCH(INDEX(Projet_Portefeuille!$D$2:$D$200, MATCH(A108,Projet_Portefeuille!$A$2:$A$200,0)), Paramètres!$A$10:$A$12, 0)), 1)</f>
        <v>0</v>
      </c>
      <c r="O108" s="10">
        <f>K108*N108</f>
        <v>0</v>
      </c>
    </row>
    <row r="109" spans="11:15">
      <c r="K109" s="10">
        <f>IFERROR(H109*I109*(1-IF(J109="",0,J109)),0)</f>
        <v>0</v>
      </c>
      <c r="L109" s="10">
        <f>K109*TVA</f>
        <v>0</v>
      </c>
      <c r="M109" s="10">
        <f>K109+L109</f>
        <v>0</v>
      </c>
      <c r="N109" s="8">
        <f>IFERROR(INDEX(Paramètres!$B$10:$B$12, MATCH(INDEX(Projet_Portefeuille!$D$2:$D$200, MATCH(A109,Projet_Portefeuille!$A$2:$A$200,0)), Paramètres!$A$10:$A$12, 0)), 1)</f>
        <v>0</v>
      </c>
      <c r="O109" s="10">
        <f>K109*N109</f>
        <v>0</v>
      </c>
    </row>
    <row r="110" spans="11:15">
      <c r="K110" s="10">
        <f>IFERROR(H110*I110*(1-IF(J110="",0,J110)),0)</f>
        <v>0</v>
      </c>
      <c r="L110" s="10">
        <f>K110*TVA</f>
        <v>0</v>
      </c>
      <c r="M110" s="10">
        <f>K110+L110</f>
        <v>0</v>
      </c>
      <c r="N110" s="8">
        <f>IFERROR(INDEX(Paramètres!$B$10:$B$12, MATCH(INDEX(Projet_Portefeuille!$D$2:$D$200, MATCH(A110,Projet_Portefeuille!$A$2:$A$200,0)), Paramètres!$A$10:$A$12, 0)), 1)</f>
        <v>0</v>
      </c>
      <c r="O110" s="10">
        <f>K110*N110</f>
        <v>0</v>
      </c>
    </row>
    <row r="111" spans="11:15">
      <c r="K111" s="10">
        <f>IFERROR(H111*I111*(1-IF(J111="",0,J111)),0)</f>
        <v>0</v>
      </c>
      <c r="L111" s="10">
        <f>K111*TVA</f>
        <v>0</v>
      </c>
      <c r="M111" s="10">
        <f>K111+L111</f>
        <v>0</v>
      </c>
      <c r="N111" s="8">
        <f>IFERROR(INDEX(Paramètres!$B$10:$B$12, MATCH(INDEX(Projet_Portefeuille!$D$2:$D$200, MATCH(A111,Projet_Portefeuille!$A$2:$A$200,0)), Paramètres!$A$10:$A$12, 0)), 1)</f>
        <v>0</v>
      </c>
      <c r="O111" s="10">
        <f>K111*N111</f>
        <v>0</v>
      </c>
    </row>
    <row r="112" spans="11:15">
      <c r="K112" s="10">
        <f>IFERROR(H112*I112*(1-IF(J112="",0,J112)),0)</f>
        <v>0</v>
      </c>
      <c r="L112" s="10">
        <f>K112*TVA</f>
        <v>0</v>
      </c>
      <c r="M112" s="10">
        <f>K112+L112</f>
        <v>0</v>
      </c>
      <c r="N112" s="8">
        <f>IFERROR(INDEX(Paramètres!$B$10:$B$12, MATCH(INDEX(Projet_Portefeuille!$D$2:$D$200, MATCH(A112,Projet_Portefeuille!$A$2:$A$200,0)), Paramètres!$A$10:$A$12, 0)), 1)</f>
        <v>0</v>
      </c>
      <c r="O112" s="10">
        <f>K112*N112</f>
        <v>0</v>
      </c>
    </row>
    <row r="113" spans="11:15">
      <c r="K113" s="10">
        <f>IFERROR(H113*I113*(1-IF(J113="",0,J113)),0)</f>
        <v>0</v>
      </c>
      <c r="L113" s="10">
        <f>K113*TVA</f>
        <v>0</v>
      </c>
      <c r="M113" s="10">
        <f>K113+L113</f>
        <v>0</v>
      </c>
      <c r="N113" s="8">
        <f>IFERROR(INDEX(Paramètres!$B$10:$B$12, MATCH(INDEX(Projet_Portefeuille!$D$2:$D$200, MATCH(A113,Projet_Portefeuille!$A$2:$A$200,0)), Paramètres!$A$10:$A$12, 0)), 1)</f>
        <v>0</v>
      </c>
      <c r="O113" s="10">
        <f>K113*N113</f>
        <v>0</v>
      </c>
    </row>
    <row r="114" spans="11:15">
      <c r="K114" s="10">
        <f>IFERROR(H114*I114*(1-IF(J114="",0,J114)),0)</f>
        <v>0</v>
      </c>
      <c r="L114" s="10">
        <f>K114*TVA</f>
        <v>0</v>
      </c>
      <c r="M114" s="10">
        <f>K114+L114</f>
        <v>0</v>
      </c>
      <c r="N114" s="8">
        <f>IFERROR(INDEX(Paramètres!$B$10:$B$12, MATCH(INDEX(Projet_Portefeuille!$D$2:$D$200, MATCH(A114,Projet_Portefeuille!$A$2:$A$200,0)), Paramètres!$A$10:$A$12, 0)), 1)</f>
        <v>0</v>
      </c>
      <c r="O114" s="10">
        <f>K114*N114</f>
        <v>0</v>
      </c>
    </row>
    <row r="115" spans="11:15">
      <c r="K115" s="10">
        <f>IFERROR(H115*I115*(1-IF(J115="",0,J115)),0)</f>
        <v>0</v>
      </c>
      <c r="L115" s="10">
        <f>K115*TVA</f>
        <v>0</v>
      </c>
      <c r="M115" s="10">
        <f>K115+L115</f>
        <v>0</v>
      </c>
      <c r="N115" s="8">
        <f>IFERROR(INDEX(Paramètres!$B$10:$B$12, MATCH(INDEX(Projet_Portefeuille!$D$2:$D$200, MATCH(A115,Projet_Portefeuille!$A$2:$A$200,0)), Paramètres!$A$10:$A$12, 0)), 1)</f>
        <v>0</v>
      </c>
      <c r="O115" s="10">
        <f>K115*N115</f>
        <v>0</v>
      </c>
    </row>
    <row r="116" spans="11:15">
      <c r="K116" s="10">
        <f>IFERROR(H116*I116*(1-IF(J116="",0,J116)),0)</f>
        <v>0</v>
      </c>
      <c r="L116" s="10">
        <f>K116*TVA</f>
        <v>0</v>
      </c>
      <c r="M116" s="10">
        <f>K116+L116</f>
        <v>0</v>
      </c>
      <c r="N116" s="8">
        <f>IFERROR(INDEX(Paramètres!$B$10:$B$12, MATCH(INDEX(Projet_Portefeuille!$D$2:$D$200, MATCH(A116,Projet_Portefeuille!$A$2:$A$200,0)), Paramètres!$A$10:$A$12, 0)), 1)</f>
        <v>0</v>
      </c>
      <c r="O116" s="10">
        <f>K116*N116</f>
        <v>0</v>
      </c>
    </row>
    <row r="117" spans="11:15">
      <c r="K117" s="10">
        <f>IFERROR(H117*I117*(1-IF(J117="",0,J117)),0)</f>
        <v>0</v>
      </c>
      <c r="L117" s="10">
        <f>K117*TVA</f>
        <v>0</v>
      </c>
      <c r="M117" s="10">
        <f>K117+L117</f>
        <v>0</v>
      </c>
      <c r="N117" s="8">
        <f>IFERROR(INDEX(Paramètres!$B$10:$B$12, MATCH(INDEX(Projet_Portefeuille!$D$2:$D$200, MATCH(A117,Projet_Portefeuille!$A$2:$A$200,0)), Paramètres!$A$10:$A$12, 0)), 1)</f>
        <v>0</v>
      </c>
      <c r="O117" s="10">
        <f>K117*N117</f>
        <v>0</v>
      </c>
    </row>
    <row r="118" spans="11:15">
      <c r="K118" s="10">
        <f>IFERROR(H118*I118*(1-IF(J118="",0,J118)),0)</f>
        <v>0</v>
      </c>
      <c r="L118" s="10">
        <f>K118*TVA</f>
        <v>0</v>
      </c>
      <c r="M118" s="10">
        <f>K118+L118</f>
        <v>0</v>
      </c>
      <c r="N118" s="8">
        <f>IFERROR(INDEX(Paramètres!$B$10:$B$12, MATCH(INDEX(Projet_Portefeuille!$D$2:$D$200, MATCH(A118,Projet_Portefeuille!$A$2:$A$200,0)), Paramètres!$A$10:$A$12, 0)), 1)</f>
        <v>0</v>
      </c>
      <c r="O118" s="10">
        <f>K118*N118</f>
        <v>0</v>
      </c>
    </row>
    <row r="119" spans="11:15">
      <c r="K119" s="10">
        <f>IFERROR(H119*I119*(1-IF(J119="",0,J119)),0)</f>
        <v>0</v>
      </c>
      <c r="L119" s="10">
        <f>K119*TVA</f>
        <v>0</v>
      </c>
      <c r="M119" s="10">
        <f>K119+L119</f>
        <v>0</v>
      </c>
      <c r="N119" s="8">
        <f>IFERROR(INDEX(Paramètres!$B$10:$B$12, MATCH(INDEX(Projet_Portefeuille!$D$2:$D$200, MATCH(A119,Projet_Portefeuille!$A$2:$A$200,0)), Paramètres!$A$10:$A$12, 0)), 1)</f>
        <v>0</v>
      </c>
      <c r="O119" s="10">
        <f>K119*N119</f>
        <v>0</v>
      </c>
    </row>
    <row r="120" spans="11:15">
      <c r="K120" s="10">
        <f>IFERROR(H120*I120*(1-IF(J120="",0,J120)),0)</f>
        <v>0</v>
      </c>
      <c r="L120" s="10">
        <f>K120*TVA</f>
        <v>0</v>
      </c>
      <c r="M120" s="10">
        <f>K120+L120</f>
        <v>0</v>
      </c>
      <c r="N120" s="8">
        <f>IFERROR(INDEX(Paramètres!$B$10:$B$12, MATCH(INDEX(Projet_Portefeuille!$D$2:$D$200, MATCH(A120,Projet_Portefeuille!$A$2:$A$200,0)), Paramètres!$A$10:$A$12, 0)), 1)</f>
        <v>0</v>
      </c>
      <c r="O120" s="10">
        <f>K120*N120</f>
        <v>0</v>
      </c>
    </row>
    <row r="121" spans="11:15">
      <c r="K121" s="10">
        <f>IFERROR(H121*I121*(1-IF(J121="",0,J121)),0)</f>
        <v>0</v>
      </c>
      <c r="L121" s="10">
        <f>K121*TVA</f>
        <v>0</v>
      </c>
      <c r="M121" s="10">
        <f>K121+L121</f>
        <v>0</v>
      </c>
      <c r="N121" s="8">
        <f>IFERROR(INDEX(Paramètres!$B$10:$B$12, MATCH(INDEX(Projet_Portefeuille!$D$2:$D$200, MATCH(A121,Projet_Portefeuille!$A$2:$A$200,0)), Paramètres!$A$10:$A$12, 0)), 1)</f>
        <v>0</v>
      </c>
      <c r="O121" s="10">
        <f>K121*N121</f>
        <v>0</v>
      </c>
    </row>
    <row r="122" spans="11:15">
      <c r="K122" s="10">
        <f>IFERROR(H122*I122*(1-IF(J122="",0,J122)),0)</f>
        <v>0</v>
      </c>
      <c r="L122" s="10">
        <f>K122*TVA</f>
        <v>0</v>
      </c>
      <c r="M122" s="10">
        <f>K122+L122</f>
        <v>0</v>
      </c>
      <c r="N122" s="8">
        <f>IFERROR(INDEX(Paramètres!$B$10:$B$12, MATCH(INDEX(Projet_Portefeuille!$D$2:$D$200, MATCH(A122,Projet_Portefeuille!$A$2:$A$200,0)), Paramètres!$A$10:$A$12, 0)), 1)</f>
        <v>0</v>
      </c>
      <c r="O122" s="10">
        <f>K122*N122</f>
        <v>0</v>
      </c>
    </row>
    <row r="123" spans="11:15">
      <c r="K123" s="10">
        <f>IFERROR(H123*I123*(1-IF(J123="",0,J123)),0)</f>
        <v>0</v>
      </c>
      <c r="L123" s="10">
        <f>K123*TVA</f>
        <v>0</v>
      </c>
      <c r="M123" s="10">
        <f>K123+L123</f>
        <v>0</v>
      </c>
      <c r="N123" s="8">
        <f>IFERROR(INDEX(Paramètres!$B$10:$B$12, MATCH(INDEX(Projet_Portefeuille!$D$2:$D$200, MATCH(A123,Projet_Portefeuille!$A$2:$A$200,0)), Paramètres!$A$10:$A$12, 0)), 1)</f>
        <v>0</v>
      </c>
      <c r="O123" s="10">
        <f>K123*N123</f>
        <v>0</v>
      </c>
    </row>
    <row r="124" spans="11:15">
      <c r="K124" s="10">
        <f>IFERROR(H124*I124*(1-IF(J124="",0,J124)),0)</f>
        <v>0</v>
      </c>
      <c r="L124" s="10">
        <f>K124*TVA</f>
        <v>0</v>
      </c>
      <c r="M124" s="10">
        <f>K124+L124</f>
        <v>0</v>
      </c>
      <c r="N124" s="8">
        <f>IFERROR(INDEX(Paramètres!$B$10:$B$12, MATCH(INDEX(Projet_Portefeuille!$D$2:$D$200, MATCH(A124,Projet_Portefeuille!$A$2:$A$200,0)), Paramètres!$A$10:$A$12, 0)), 1)</f>
        <v>0</v>
      </c>
      <c r="O124" s="10">
        <f>K124*N124</f>
        <v>0</v>
      </c>
    </row>
    <row r="125" spans="11:15">
      <c r="K125" s="10">
        <f>IFERROR(H125*I125*(1-IF(J125="",0,J125)),0)</f>
        <v>0</v>
      </c>
      <c r="L125" s="10">
        <f>K125*TVA</f>
        <v>0</v>
      </c>
      <c r="M125" s="10">
        <f>K125+L125</f>
        <v>0</v>
      </c>
      <c r="N125" s="8">
        <f>IFERROR(INDEX(Paramètres!$B$10:$B$12, MATCH(INDEX(Projet_Portefeuille!$D$2:$D$200, MATCH(A125,Projet_Portefeuille!$A$2:$A$200,0)), Paramètres!$A$10:$A$12, 0)), 1)</f>
        <v>0</v>
      </c>
      <c r="O125" s="10">
        <f>K125*N125</f>
        <v>0</v>
      </c>
    </row>
    <row r="126" spans="11:15">
      <c r="K126" s="10">
        <f>IFERROR(H126*I126*(1-IF(J126="",0,J126)),0)</f>
        <v>0</v>
      </c>
      <c r="L126" s="10">
        <f>K126*TVA</f>
        <v>0</v>
      </c>
      <c r="M126" s="10">
        <f>K126+L126</f>
        <v>0</v>
      </c>
      <c r="N126" s="8">
        <f>IFERROR(INDEX(Paramètres!$B$10:$B$12, MATCH(INDEX(Projet_Portefeuille!$D$2:$D$200, MATCH(A126,Projet_Portefeuille!$A$2:$A$200,0)), Paramètres!$A$10:$A$12, 0)), 1)</f>
        <v>0</v>
      </c>
      <c r="O126" s="10">
        <f>K126*N126</f>
        <v>0</v>
      </c>
    </row>
    <row r="127" spans="11:15">
      <c r="K127" s="10">
        <f>IFERROR(H127*I127*(1-IF(J127="",0,J127)),0)</f>
        <v>0</v>
      </c>
      <c r="L127" s="10">
        <f>K127*TVA</f>
        <v>0</v>
      </c>
      <c r="M127" s="10">
        <f>K127+L127</f>
        <v>0</v>
      </c>
      <c r="N127" s="8">
        <f>IFERROR(INDEX(Paramètres!$B$10:$B$12, MATCH(INDEX(Projet_Portefeuille!$D$2:$D$200, MATCH(A127,Projet_Portefeuille!$A$2:$A$200,0)), Paramètres!$A$10:$A$12, 0)), 1)</f>
        <v>0</v>
      </c>
      <c r="O127" s="10">
        <f>K127*N127</f>
        <v>0</v>
      </c>
    </row>
    <row r="128" spans="11:15">
      <c r="K128" s="10">
        <f>IFERROR(H128*I128*(1-IF(J128="",0,J128)),0)</f>
        <v>0</v>
      </c>
      <c r="L128" s="10">
        <f>K128*TVA</f>
        <v>0</v>
      </c>
      <c r="M128" s="10">
        <f>K128+L128</f>
        <v>0</v>
      </c>
      <c r="N128" s="8">
        <f>IFERROR(INDEX(Paramètres!$B$10:$B$12, MATCH(INDEX(Projet_Portefeuille!$D$2:$D$200, MATCH(A128,Projet_Portefeuille!$A$2:$A$200,0)), Paramètres!$A$10:$A$12, 0)), 1)</f>
        <v>0</v>
      </c>
      <c r="O128" s="10">
        <f>K128*N128</f>
        <v>0</v>
      </c>
    </row>
    <row r="129" spans="11:15">
      <c r="K129" s="10">
        <f>IFERROR(H129*I129*(1-IF(J129="",0,J129)),0)</f>
        <v>0</v>
      </c>
      <c r="L129" s="10">
        <f>K129*TVA</f>
        <v>0</v>
      </c>
      <c r="M129" s="10">
        <f>K129+L129</f>
        <v>0</v>
      </c>
      <c r="N129" s="8">
        <f>IFERROR(INDEX(Paramètres!$B$10:$B$12, MATCH(INDEX(Projet_Portefeuille!$D$2:$D$200, MATCH(A129,Projet_Portefeuille!$A$2:$A$200,0)), Paramètres!$A$10:$A$12, 0)), 1)</f>
        <v>0</v>
      </c>
      <c r="O129" s="10">
        <f>K129*N129</f>
        <v>0</v>
      </c>
    </row>
    <row r="130" spans="11:15">
      <c r="K130" s="10">
        <f>IFERROR(H130*I130*(1-IF(J130="",0,J130)),0)</f>
        <v>0</v>
      </c>
      <c r="L130" s="10">
        <f>K130*TVA</f>
        <v>0</v>
      </c>
      <c r="M130" s="10">
        <f>K130+L130</f>
        <v>0</v>
      </c>
      <c r="N130" s="8">
        <f>IFERROR(INDEX(Paramètres!$B$10:$B$12, MATCH(INDEX(Projet_Portefeuille!$D$2:$D$200, MATCH(A130,Projet_Portefeuille!$A$2:$A$200,0)), Paramètres!$A$10:$A$12, 0)), 1)</f>
        <v>0</v>
      </c>
      <c r="O130" s="10">
        <f>K130*N130</f>
        <v>0</v>
      </c>
    </row>
    <row r="131" spans="11:15">
      <c r="K131" s="10">
        <f>IFERROR(H131*I131*(1-IF(J131="",0,J131)),0)</f>
        <v>0</v>
      </c>
      <c r="L131" s="10">
        <f>K131*TVA</f>
        <v>0</v>
      </c>
      <c r="M131" s="10">
        <f>K131+L131</f>
        <v>0</v>
      </c>
      <c r="N131" s="8">
        <f>IFERROR(INDEX(Paramètres!$B$10:$B$12, MATCH(INDEX(Projet_Portefeuille!$D$2:$D$200, MATCH(A131,Projet_Portefeuille!$A$2:$A$200,0)), Paramètres!$A$10:$A$12, 0)), 1)</f>
        <v>0</v>
      </c>
      <c r="O131" s="10">
        <f>K131*N131</f>
        <v>0</v>
      </c>
    </row>
    <row r="132" spans="11:15">
      <c r="K132" s="10">
        <f>IFERROR(H132*I132*(1-IF(J132="",0,J132)),0)</f>
        <v>0</v>
      </c>
      <c r="L132" s="10">
        <f>K132*TVA</f>
        <v>0</v>
      </c>
      <c r="M132" s="10">
        <f>K132+L132</f>
        <v>0</v>
      </c>
      <c r="N132" s="8">
        <f>IFERROR(INDEX(Paramètres!$B$10:$B$12, MATCH(INDEX(Projet_Portefeuille!$D$2:$D$200, MATCH(A132,Projet_Portefeuille!$A$2:$A$200,0)), Paramètres!$A$10:$A$12, 0)), 1)</f>
        <v>0</v>
      </c>
      <c r="O132" s="10">
        <f>K132*N132</f>
        <v>0</v>
      </c>
    </row>
    <row r="133" spans="11:15">
      <c r="K133" s="10">
        <f>IFERROR(H133*I133*(1-IF(J133="",0,J133)),0)</f>
        <v>0</v>
      </c>
      <c r="L133" s="10">
        <f>K133*TVA</f>
        <v>0</v>
      </c>
      <c r="M133" s="10">
        <f>K133+L133</f>
        <v>0</v>
      </c>
      <c r="N133" s="8">
        <f>IFERROR(INDEX(Paramètres!$B$10:$B$12, MATCH(INDEX(Projet_Portefeuille!$D$2:$D$200, MATCH(A133,Projet_Portefeuille!$A$2:$A$200,0)), Paramètres!$A$10:$A$12, 0)), 1)</f>
        <v>0</v>
      </c>
      <c r="O133" s="10">
        <f>K133*N133</f>
        <v>0</v>
      </c>
    </row>
    <row r="134" spans="11:15">
      <c r="K134" s="10">
        <f>IFERROR(H134*I134*(1-IF(J134="",0,J134)),0)</f>
        <v>0</v>
      </c>
      <c r="L134" s="10">
        <f>K134*TVA</f>
        <v>0</v>
      </c>
      <c r="M134" s="10">
        <f>K134+L134</f>
        <v>0</v>
      </c>
      <c r="N134" s="8">
        <f>IFERROR(INDEX(Paramètres!$B$10:$B$12, MATCH(INDEX(Projet_Portefeuille!$D$2:$D$200, MATCH(A134,Projet_Portefeuille!$A$2:$A$200,0)), Paramètres!$A$10:$A$12, 0)), 1)</f>
        <v>0</v>
      </c>
      <c r="O134" s="10">
        <f>K134*N134</f>
        <v>0</v>
      </c>
    </row>
    <row r="135" spans="11:15">
      <c r="K135" s="10">
        <f>IFERROR(H135*I135*(1-IF(J135="",0,J135)),0)</f>
        <v>0</v>
      </c>
      <c r="L135" s="10">
        <f>K135*TVA</f>
        <v>0</v>
      </c>
      <c r="M135" s="10">
        <f>K135+L135</f>
        <v>0</v>
      </c>
      <c r="N135" s="8">
        <f>IFERROR(INDEX(Paramètres!$B$10:$B$12, MATCH(INDEX(Projet_Portefeuille!$D$2:$D$200, MATCH(A135,Projet_Portefeuille!$A$2:$A$200,0)), Paramètres!$A$10:$A$12, 0)), 1)</f>
        <v>0</v>
      </c>
      <c r="O135" s="10">
        <f>K135*N135</f>
        <v>0</v>
      </c>
    </row>
    <row r="136" spans="11:15">
      <c r="K136" s="10">
        <f>IFERROR(H136*I136*(1-IF(J136="",0,J136)),0)</f>
        <v>0</v>
      </c>
      <c r="L136" s="10">
        <f>K136*TVA</f>
        <v>0</v>
      </c>
      <c r="M136" s="10">
        <f>K136+L136</f>
        <v>0</v>
      </c>
      <c r="N136" s="8">
        <f>IFERROR(INDEX(Paramètres!$B$10:$B$12, MATCH(INDEX(Projet_Portefeuille!$D$2:$D$200, MATCH(A136,Projet_Portefeuille!$A$2:$A$200,0)), Paramètres!$A$10:$A$12, 0)), 1)</f>
        <v>0</v>
      </c>
      <c r="O136" s="10">
        <f>K136*N136</f>
        <v>0</v>
      </c>
    </row>
    <row r="137" spans="11:15">
      <c r="K137" s="10">
        <f>IFERROR(H137*I137*(1-IF(J137="",0,J137)),0)</f>
        <v>0</v>
      </c>
      <c r="L137" s="10">
        <f>K137*TVA</f>
        <v>0</v>
      </c>
      <c r="M137" s="10">
        <f>K137+L137</f>
        <v>0</v>
      </c>
      <c r="N137" s="8">
        <f>IFERROR(INDEX(Paramètres!$B$10:$B$12, MATCH(INDEX(Projet_Portefeuille!$D$2:$D$200, MATCH(A137,Projet_Portefeuille!$A$2:$A$200,0)), Paramètres!$A$10:$A$12, 0)), 1)</f>
        <v>0</v>
      </c>
      <c r="O137" s="10">
        <f>K137*N137</f>
        <v>0</v>
      </c>
    </row>
    <row r="138" spans="11:15">
      <c r="K138" s="10">
        <f>IFERROR(H138*I138*(1-IF(J138="",0,J138)),0)</f>
        <v>0</v>
      </c>
      <c r="L138" s="10">
        <f>K138*TVA</f>
        <v>0</v>
      </c>
      <c r="M138" s="10">
        <f>K138+L138</f>
        <v>0</v>
      </c>
      <c r="N138" s="8">
        <f>IFERROR(INDEX(Paramètres!$B$10:$B$12, MATCH(INDEX(Projet_Portefeuille!$D$2:$D$200, MATCH(A138,Projet_Portefeuille!$A$2:$A$200,0)), Paramètres!$A$10:$A$12, 0)), 1)</f>
        <v>0</v>
      </c>
      <c r="O138" s="10">
        <f>K138*N138</f>
        <v>0</v>
      </c>
    </row>
    <row r="139" spans="11:15">
      <c r="K139" s="10">
        <f>IFERROR(H139*I139*(1-IF(J139="",0,J139)),0)</f>
        <v>0</v>
      </c>
      <c r="L139" s="10">
        <f>K139*TVA</f>
        <v>0</v>
      </c>
      <c r="M139" s="10">
        <f>K139+L139</f>
        <v>0</v>
      </c>
      <c r="N139" s="8">
        <f>IFERROR(INDEX(Paramètres!$B$10:$B$12, MATCH(INDEX(Projet_Portefeuille!$D$2:$D$200, MATCH(A139,Projet_Portefeuille!$A$2:$A$200,0)), Paramètres!$A$10:$A$12, 0)), 1)</f>
        <v>0</v>
      </c>
      <c r="O139" s="10">
        <f>K139*N139</f>
        <v>0</v>
      </c>
    </row>
    <row r="140" spans="11:15">
      <c r="K140" s="10">
        <f>IFERROR(H140*I140*(1-IF(J140="",0,J140)),0)</f>
        <v>0</v>
      </c>
      <c r="L140" s="10">
        <f>K140*TVA</f>
        <v>0</v>
      </c>
      <c r="M140" s="10">
        <f>K140+L140</f>
        <v>0</v>
      </c>
      <c r="N140" s="8">
        <f>IFERROR(INDEX(Paramètres!$B$10:$B$12, MATCH(INDEX(Projet_Portefeuille!$D$2:$D$200, MATCH(A140,Projet_Portefeuille!$A$2:$A$200,0)), Paramètres!$A$10:$A$12, 0)), 1)</f>
        <v>0</v>
      </c>
      <c r="O140" s="10">
        <f>K140*N140</f>
        <v>0</v>
      </c>
    </row>
    <row r="141" spans="11:15">
      <c r="K141" s="10">
        <f>IFERROR(H141*I141*(1-IF(J141="",0,J141)),0)</f>
        <v>0</v>
      </c>
      <c r="L141" s="10">
        <f>K141*TVA</f>
        <v>0</v>
      </c>
      <c r="M141" s="10">
        <f>K141+L141</f>
        <v>0</v>
      </c>
      <c r="N141" s="8">
        <f>IFERROR(INDEX(Paramètres!$B$10:$B$12, MATCH(INDEX(Projet_Portefeuille!$D$2:$D$200, MATCH(A141,Projet_Portefeuille!$A$2:$A$200,0)), Paramètres!$A$10:$A$12, 0)), 1)</f>
        <v>0</v>
      </c>
      <c r="O141" s="10">
        <f>K141*N141</f>
        <v>0</v>
      </c>
    </row>
    <row r="142" spans="11:15">
      <c r="K142" s="10">
        <f>IFERROR(H142*I142*(1-IF(J142="",0,J142)),0)</f>
        <v>0</v>
      </c>
      <c r="L142" s="10">
        <f>K142*TVA</f>
        <v>0</v>
      </c>
      <c r="M142" s="10">
        <f>K142+L142</f>
        <v>0</v>
      </c>
      <c r="N142" s="8">
        <f>IFERROR(INDEX(Paramètres!$B$10:$B$12, MATCH(INDEX(Projet_Portefeuille!$D$2:$D$200, MATCH(A142,Projet_Portefeuille!$A$2:$A$200,0)), Paramètres!$A$10:$A$12, 0)), 1)</f>
        <v>0</v>
      </c>
      <c r="O142" s="10">
        <f>K142*N142</f>
        <v>0</v>
      </c>
    </row>
    <row r="143" spans="11:15">
      <c r="K143" s="10">
        <f>IFERROR(H143*I143*(1-IF(J143="",0,J143)),0)</f>
        <v>0</v>
      </c>
      <c r="L143" s="10">
        <f>K143*TVA</f>
        <v>0</v>
      </c>
      <c r="M143" s="10">
        <f>K143+L143</f>
        <v>0</v>
      </c>
      <c r="N143" s="8">
        <f>IFERROR(INDEX(Paramètres!$B$10:$B$12, MATCH(INDEX(Projet_Portefeuille!$D$2:$D$200, MATCH(A143,Projet_Portefeuille!$A$2:$A$200,0)), Paramètres!$A$10:$A$12, 0)), 1)</f>
        <v>0</v>
      </c>
      <c r="O143" s="10">
        <f>K143*N143</f>
        <v>0</v>
      </c>
    </row>
    <row r="144" spans="11:15">
      <c r="K144" s="10">
        <f>IFERROR(H144*I144*(1-IF(J144="",0,J144)),0)</f>
        <v>0</v>
      </c>
      <c r="L144" s="10">
        <f>K144*TVA</f>
        <v>0</v>
      </c>
      <c r="M144" s="10">
        <f>K144+L144</f>
        <v>0</v>
      </c>
      <c r="N144" s="8">
        <f>IFERROR(INDEX(Paramètres!$B$10:$B$12, MATCH(INDEX(Projet_Portefeuille!$D$2:$D$200, MATCH(A144,Projet_Portefeuille!$A$2:$A$200,0)), Paramètres!$A$10:$A$12, 0)), 1)</f>
        <v>0</v>
      </c>
      <c r="O144" s="10">
        <f>K144*N144</f>
        <v>0</v>
      </c>
    </row>
    <row r="145" spans="11:15">
      <c r="K145" s="10">
        <f>IFERROR(H145*I145*(1-IF(J145="",0,J145)),0)</f>
        <v>0</v>
      </c>
      <c r="L145" s="10">
        <f>K145*TVA</f>
        <v>0</v>
      </c>
      <c r="M145" s="10">
        <f>K145+L145</f>
        <v>0</v>
      </c>
      <c r="N145" s="8">
        <f>IFERROR(INDEX(Paramètres!$B$10:$B$12, MATCH(INDEX(Projet_Portefeuille!$D$2:$D$200, MATCH(A145,Projet_Portefeuille!$A$2:$A$200,0)), Paramètres!$A$10:$A$12, 0)), 1)</f>
        <v>0</v>
      </c>
      <c r="O145" s="10">
        <f>K145*N145</f>
        <v>0</v>
      </c>
    </row>
    <row r="146" spans="11:15">
      <c r="K146" s="10">
        <f>IFERROR(H146*I146*(1-IF(J146="",0,J146)),0)</f>
        <v>0</v>
      </c>
      <c r="L146" s="10">
        <f>K146*TVA</f>
        <v>0</v>
      </c>
      <c r="M146" s="10">
        <f>K146+L146</f>
        <v>0</v>
      </c>
      <c r="N146" s="8">
        <f>IFERROR(INDEX(Paramètres!$B$10:$B$12, MATCH(INDEX(Projet_Portefeuille!$D$2:$D$200, MATCH(A146,Projet_Portefeuille!$A$2:$A$200,0)), Paramètres!$A$10:$A$12, 0)), 1)</f>
        <v>0</v>
      </c>
      <c r="O146" s="10">
        <f>K146*N146</f>
        <v>0</v>
      </c>
    </row>
    <row r="147" spans="11:15">
      <c r="K147" s="10">
        <f>IFERROR(H147*I147*(1-IF(J147="",0,J147)),0)</f>
        <v>0</v>
      </c>
      <c r="L147" s="10">
        <f>K147*TVA</f>
        <v>0</v>
      </c>
      <c r="M147" s="10">
        <f>K147+L147</f>
        <v>0</v>
      </c>
      <c r="N147" s="8">
        <f>IFERROR(INDEX(Paramètres!$B$10:$B$12, MATCH(INDEX(Projet_Portefeuille!$D$2:$D$200, MATCH(A147,Projet_Portefeuille!$A$2:$A$200,0)), Paramètres!$A$10:$A$12, 0)), 1)</f>
        <v>0</v>
      </c>
      <c r="O147" s="10">
        <f>K147*N147</f>
        <v>0</v>
      </c>
    </row>
    <row r="148" spans="11:15">
      <c r="K148" s="10">
        <f>IFERROR(H148*I148*(1-IF(J148="",0,J148)),0)</f>
        <v>0</v>
      </c>
      <c r="L148" s="10">
        <f>K148*TVA</f>
        <v>0</v>
      </c>
      <c r="M148" s="10">
        <f>K148+L148</f>
        <v>0</v>
      </c>
      <c r="N148" s="8">
        <f>IFERROR(INDEX(Paramètres!$B$10:$B$12, MATCH(INDEX(Projet_Portefeuille!$D$2:$D$200, MATCH(A148,Projet_Portefeuille!$A$2:$A$200,0)), Paramètres!$A$10:$A$12, 0)), 1)</f>
        <v>0</v>
      </c>
      <c r="O148" s="10">
        <f>K148*N148</f>
        <v>0</v>
      </c>
    </row>
    <row r="149" spans="11:15">
      <c r="K149" s="10">
        <f>IFERROR(H149*I149*(1-IF(J149="",0,J149)),0)</f>
        <v>0</v>
      </c>
      <c r="L149" s="10">
        <f>K149*TVA</f>
        <v>0</v>
      </c>
      <c r="M149" s="10">
        <f>K149+L149</f>
        <v>0</v>
      </c>
      <c r="N149" s="8">
        <f>IFERROR(INDEX(Paramètres!$B$10:$B$12, MATCH(INDEX(Projet_Portefeuille!$D$2:$D$200, MATCH(A149,Projet_Portefeuille!$A$2:$A$200,0)), Paramètres!$A$10:$A$12, 0)), 1)</f>
        <v>0</v>
      </c>
      <c r="O149" s="10">
        <f>K149*N149</f>
        <v>0</v>
      </c>
    </row>
    <row r="150" spans="11:15">
      <c r="K150" s="10">
        <f>IFERROR(H150*I150*(1-IF(J150="",0,J150)),0)</f>
        <v>0</v>
      </c>
      <c r="L150" s="10">
        <f>K150*TVA</f>
        <v>0</v>
      </c>
      <c r="M150" s="10">
        <f>K150+L150</f>
        <v>0</v>
      </c>
      <c r="N150" s="8">
        <f>IFERROR(INDEX(Paramètres!$B$10:$B$12, MATCH(INDEX(Projet_Portefeuille!$D$2:$D$200, MATCH(A150,Projet_Portefeuille!$A$2:$A$200,0)), Paramètres!$A$10:$A$12, 0)), 1)</f>
        <v>0</v>
      </c>
      <c r="O150" s="10">
        <f>K150*N150</f>
        <v>0</v>
      </c>
    </row>
    <row r="151" spans="11:15">
      <c r="K151" s="10">
        <f>IFERROR(H151*I151*(1-IF(J151="",0,J151)),0)</f>
        <v>0</v>
      </c>
      <c r="L151" s="10">
        <f>K151*TVA</f>
        <v>0</v>
      </c>
      <c r="M151" s="10">
        <f>K151+L151</f>
        <v>0</v>
      </c>
      <c r="N151" s="8">
        <f>IFERROR(INDEX(Paramètres!$B$10:$B$12, MATCH(INDEX(Projet_Portefeuille!$D$2:$D$200, MATCH(A151,Projet_Portefeuille!$A$2:$A$200,0)), Paramètres!$A$10:$A$12, 0)), 1)</f>
        <v>0</v>
      </c>
      <c r="O151" s="10">
        <f>K151*N151</f>
        <v>0</v>
      </c>
    </row>
    <row r="152" spans="11:15">
      <c r="K152" s="10">
        <f>IFERROR(H152*I152*(1-IF(J152="",0,J152)),0)</f>
        <v>0</v>
      </c>
      <c r="L152" s="10">
        <f>K152*TVA</f>
        <v>0</v>
      </c>
      <c r="M152" s="10">
        <f>K152+L152</f>
        <v>0</v>
      </c>
      <c r="N152" s="8">
        <f>IFERROR(INDEX(Paramètres!$B$10:$B$12, MATCH(INDEX(Projet_Portefeuille!$D$2:$D$200, MATCH(A152,Projet_Portefeuille!$A$2:$A$200,0)), Paramètres!$A$10:$A$12, 0)), 1)</f>
        <v>0</v>
      </c>
      <c r="O152" s="10">
        <f>K152*N152</f>
        <v>0</v>
      </c>
    </row>
    <row r="153" spans="11:15">
      <c r="K153" s="10">
        <f>IFERROR(H153*I153*(1-IF(J153="",0,J153)),0)</f>
        <v>0</v>
      </c>
      <c r="L153" s="10">
        <f>K153*TVA</f>
        <v>0</v>
      </c>
      <c r="M153" s="10">
        <f>K153+L153</f>
        <v>0</v>
      </c>
      <c r="N153" s="8">
        <f>IFERROR(INDEX(Paramètres!$B$10:$B$12, MATCH(INDEX(Projet_Portefeuille!$D$2:$D$200, MATCH(A153,Projet_Portefeuille!$A$2:$A$200,0)), Paramètres!$A$10:$A$12, 0)), 1)</f>
        <v>0</v>
      </c>
      <c r="O153" s="10">
        <f>K153*N153</f>
        <v>0</v>
      </c>
    </row>
    <row r="154" spans="11:15">
      <c r="K154" s="10">
        <f>IFERROR(H154*I154*(1-IF(J154="",0,J154)),0)</f>
        <v>0</v>
      </c>
      <c r="L154" s="10">
        <f>K154*TVA</f>
        <v>0</v>
      </c>
      <c r="M154" s="10">
        <f>K154+L154</f>
        <v>0</v>
      </c>
      <c r="N154" s="8">
        <f>IFERROR(INDEX(Paramètres!$B$10:$B$12, MATCH(INDEX(Projet_Portefeuille!$D$2:$D$200, MATCH(A154,Projet_Portefeuille!$A$2:$A$200,0)), Paramètres!$A$10:$A$12, 0)), 1)</f>
        <v>0</v>
      </c>
      <c r="O154" s="10">
        <f>K154*N154</f>
        <v>0</v>
      </c>
    </row>
    <row r="155" spans="11:15">
      <c r="K155" s="10">
        <f>IFERROR(H155*I155*(1-IF(J155="",0,J155)),0)</f>
        <v>0</v>
      </c>
      <c r="L155" s="10">
        <f>K155*TVA</f>
        <v>0</v>
      </c>
      <c r="M155" s="10">
        <f>K155+L155</f>
        <v>0</v>
      </c>
      <c r="N155" s="8">
        <f>IFERROR(INDEX(Paramètres!$B$10:$B$12, MATCH(INDEX(Projet_Portefeuille!$D$2:$D$200, MATCH(A155,Projet_Portefeuille!$A$2:$A$200,0)), Paramètres!$A$10:$A$12, 0)), 1)</f>
        <v>0</v>
      </c>
      <c r="O155" s="10">
        <f>K155*N155</f>
        <v>0</v>
      </c>
    </row>
    <row r="156" spans="11:15">
      <c r="K156" s="10">
        <f>IFERROR(H156*I156*(1-IF(J156="",0,J156)),0)</f>
        <v>0</v>
      </c>
      <c r="L156" s="10">
        <f>K156*TVA</f>
        <v>0</v>
      </c>
      <c r="M156" s="10">
        <f>K156+L156</f>
        <v>0</v>
      </c>
      <c r="N156" s="8">
        <f>IFERROR(INDEX(Paramètres!$B$10:$B$12, MATCH(INDEX(Projet_Portefeuille!$D$2:$D$200, MATCH(A156,Projet_Portefeuille!$A$2:$A$200,0)), Paramètres!$A$10:$A$12, 0)), 1)</f>
        <v>0</v>
      </c>
      <c r="O156" s="10">
        <f>K156*N156</f>
        <v>0</v>
      </c>
    </row>
    <row r="157" spans="11:15">
      <c r="K157" s="10">
        <f>IFERROR(H157*I157*(1-IF(J157="",0,J157)),0)</f>
        <v>0</v>
      </c>
      <c r="L157" s="10">
        <f>K157*TVA</f>
        <v>0</v>
      </c>
      <c r="M157" s="10">
        <f>K157+L157</f>
        <v>0</v>
      </c>
      <c r="N157" s="8">
        <f>IFERROR(INDEX(Paramètres!$B$10:$B$12, MATCH(INDEX(Projet_Portefeuille!$D$2:$D$200, MATCH(A157,Projet_Portefeuille!$A$2:$A$200,0)), Paramètres!$A$10:$A$12, 0)), 1)</f>
        <v>0</v>
      </c>
      <c r="O157" s="10">
        <f>K157*N157</f>
        <v>0</v>
      </c>
    </row>
    <row r="158" spans="11:15">
      <c r="K158" s="10">
        <f>IFERROR(H158*I158*(1-IF(J158="",0,J158)),0)</f>
        <v>0</v>
      </c>
      <c r="L158" s="10">
        <f>K158*TVA</f>
        <v>0</v>
      </c>
      <c r="M158" s="10">
        <f>K158+L158</f>
        <v>0</v>
      </c>
      <c r="N158" s="8">
        <f>IFERROR(INDEX(Paramètres!$B$10:$B$12, MATCH(INDEX(Projet_Portefeuille!$D$2:$D$200, MATCH(A158,Projet_Portefeuille!$A$2:$A$200,0)), Paramètres!$A$10:$A$12, 0)), 1)</f>
        <v>0</v>
      </c>
      <c r="O158" s="10">
        <f>K158*N158</f>
        <v>0</v>
      </c>
    </row>
    <row r="159" spans="11:15">
      <c r="K159" s="10">
        <f>IFERROR(H159*I159*(1-IF(J159="",0,J159)),0)</f>
        <v>0</v>
      </c>
      <c r="L159" s="10">
        <f>K159*TVA</f>
        <v>0</v>
      </c>
      <c r="M159" s="10">
        <f>K159+L159</f>
        <v>0</v>
      </c>
      <c r="N159" s="8">
        <f>IFERROR(INDEX(Paramètres!$B$10:$B$12, MATCH(INDEX(Projet_Portefeuille!$D$2:$D$200, MATCH(A159,Projet_Portefeuille!$A$2:$A$200,0)), Paramètres!$A$10:$A$12, 0)), 1)</f>
        <v>0</v>
      </c>
      <c r="O159" s="10">
        <f>K159*N159</f>
        <v>0</v>
      </c>
    </row>
    <row r="160" spans="11:15">
      <c r="K160" s="10">
        <f>IFERROR(H160*I160*(1-IF(J160="",0,J160)),0)</f>
        <v>0</v>
      </c>
      <c r="L160" s="10">
        <f>K160*TVA</f>
        <v>0</v>
      </c>
      <c r="M160" s="10">
        <f>K160+L160</f>
        <v>0</v>
      </c>
      <c r="N160" s="8">
        <f>IFERROR(INDEX(Paramètres!$B$10:$B$12, MATCH(INDEX(Projet_Portefeuille!$D$2:$D$200, MATCH(A160,Projet_Portefeuille!$A$2:$A$200,0)), Paramètres!$A$10:$A$12, 0)), 1)</f>
        <v>0</v>
      </c>
      <c r="O160" s="10">
        <f>K160*N160</f>
        <v>0</v>
      </c>
    </row>
    <row r="161" spans="11:15">
      <c r="K161" s="10">
        <f>IFERROR(H161*I161*(1-IF(J161="",0,J161)),0)</f>
        <v>0</v>
      </c>
      <c r="L161" s="10">
        <f>K161*TVA</f>
        <v>0</v>
      </c>
      <c r="M161" s="10">
        <f>K161+L161</f>
        <v>0</v>
      </c>
      <c r="N161" s="8">
        <f>IFERROR(INDEX(Paramètres!$B$10:$B$12, MATCH(INDEX(Projet_Portefeuille!$D$2:$D$200, MATCH(A161,Projet_Portefeuille!$A$2:$A$200,0)), Paramètres!$A$10:$A$12, 0)), 1)</f>
        <v>0</v>
      </c>
      <c r="O161" s="10">
        <f>K161*N161</f>
        <v>0</v>
      </c>
    </row>
    <row r="162" spans="11:15">
      <c r="K162" s="10">
        <f>IFERROR(H162*I162*(1-IF(J162="",0,J162)),0)</f>
        <v>0</v>
      </c>
      <c r="L162" s="10">
        <f>K162*TVA</f>
        <v>0</v>
      </c>
      <c r="M162" s="10">
        <f>K162+L162</f>
        <v>0</v>
      </c>
      <c r="N162" s="8">
        <f>IFERROR(INDEX(Paramètres!$B$10:$B$12, MATCH(INDEX(Projet_Portefeuille!$D$2:$D$200, MATCH(A162,Projet_Portefeuille!$A$2:$A$200,0)), Paramètres!$A$10:$A$12, 0)), 1)</f>
        <v>0</v>
      </c>
      <c r="O162" s="10">
        <f>K162*N162</f>
        <v>0</v>
      </c>
    </row>
    <row r="163" spans="11:15">
      <c r="K163" s="10">
        <f>IFERROR(H163*I163*(1-IF(J163="",0,J163)),0)</f>
        <v>0</v>
      </c>
      <c r="L163" s="10">
        <f>K163*TVA</f>
        <v>0</v>
      </c>
      <c r="M163" s="10">
        <f>K163+L163</f>
        <v>0</v>
      </c>
      <c r="N163" s="8">
        <f>IFERROR(INDEX(Paramètres!$B$10:$B$12, MATCH(INDEX(Projet_Portefeuille!$D$2:$D$200, MATCH(A163,Projet_Portefeuille!$A$2:$A$200,0)), Paramètres!$A$10:$A$12, 0)), 1)</f>
        <v>0</v>
      </c>
      <c r="O163" s="10">
        <f>K163*N163</f>
        <v>0</v>
      </c>
    </row>
    <row r="164" spans="11:15">
      <c r="K164" s="10">
        <f>IFERROR(H164*I164*(1-IF(J164="",0,J164)),0)</f>
        <v>0</v>
      </c>
      <c r="L164" s="10">
        <f>K164*TVA</f>
        <v>0</v>
      </c>
      <c r="M164" s="10">
        <f>K164+L164</f>
        <v>0</v>
      </c>
      <c r="N164" s="8">
        <f>IFERROR(INDEX(Paramètres!$B$10:$B$12, MATCH(INDEX(Projet_Portefeuille!$D$2:$D$200, MATCH(A164,Projet_Portefeuille!$A$2:$A$200,0)), Paramètres!$A$10:$A$12, 0)), 1)</f>
        <v>0</v>
      </c>
      <c r="O164" s="10">
        <f>K164*N164</f>
        <v>0</v>
      </c>
    </row>
    <row r="165" spans="11:15">
      <c r="K165" s="10">
        <f>IFERROR(H165*I165*(1-IF(J165="",0,J165)),0)</f>
        <v>0</v>
      </c>
      <c r="L165" s="10">
        <f>K165*TVA</f>
        <v>0</v>
      </c>
      <c r="M165" s="10">
        <f>K165+L165</f>
        <v>0</v>
      </c>
      <c r="N165" s="8">
        <f>IFERROR(INDEX(Paramètres!$B$10:$B$12, MATCH(INDEX(Projet_Portefeuille!$D$2:$D$200, MATCH(A165,Projet_Portefeuille!$A$2:$A$200,0)), Paramètres!$A$10:$A$12, 0)), 1)</f>
        <v>0</v>
      </c>
      <c r="O165" s="10">
        <f>K165*N165</f>
        <v>0</v>
      </c>
    </row>
    <row r="166" spans="11:15">
      <c r="K166" s="10">
        <f>IFERROR(H166*I166*(1-IF(J166="",0,J166)),0)</f>
        <v>0</v>
      </c>
      <c r="L166" s="10">
        <f>K166*TVA</f>
        <v>0</v>
      </c>
      <c r="M166" s="10">
        <f>K166+L166</f>
        <v>0</v>
      </c>
      <c r="N166" s="8">
        <f>IFERROR(INDEX(Paramètres!$B$10:$B$12, MATCH(INDEX(Projet_Portefeuille!$D$2:$D$200, MATCH(A166,Projet_Portefeuille!$A$2:$A$200,0)), Paramètres!$A$10:$A$12, 0)), 1)</f>
        <v>0</v>
      </c>
      <c r="O166" s="10">
        <f>K166*N166</f>
        <v>0</v>
      </c>
    </row>
    <row r="167" spans="11:15">
      <c r="K167" s="10">
        <f>IFERROR(H167*I167*(1-IF(J167="",0,J167)),0)</f>
        <v>0</v>
      </c>
      <c r="L167" s="10">
        <f>K167*TVA</f>
        <v>0</v>
      </c>
      <c r="M167" s="10">
        <f>K167+L167</f>
        <v>0</v>
      </c>
      <c r="N167" s="8">
        <f>IFERROR(INDEX(Paramètres!$B$10:$B$12, MATCH(INDEX(Projet_Portefeuille!$D$2:$D$200, MATCH(A167,Projet_Portefeuille!$A$2:$A$200,0)), Paramètres!$A$10:$A$12, 0)), 1)</f>
        <v>0</v>
      </c>
      <c r="O167" s="10">
        <f>K167*N167</f>
        <v>0</v>
      </c>
    </row>
    <row r="168" spans="11:15">
      <c r="K168" s="10">
        <f>IFERROR(H168*I168*(1-IF(J168="",0,J168)),0)</f>
        <v>0</v>
      </c>
      <c r="L168" s="10">
        <f>K168*TVA</f>
        <v>0</v>
      </c>
      <c r="M168" s="10">
        <f>K168+L168</f>
        <v>0</v>
      </c>
      <c r="N168" s="8">
        <f>IFERROR(INDEX(Paramètres!$B$10:$B$12, MATCH(INDEX(Projet_Portefeuille!$D$2:$D$200, MATCH(A168,Projet_Portefeuille!$A$2:$A$200,0)), Paramètres!$A$10:$A$12, 0)), 1)</f>
        <v>0</v>
      </c>
      <c r="O168" s="10">
        <f>K168*N168</f>
        <v>0</v>
      </c>
    </row>
    <row r="169" spans="11:15">
      <c r="K169" s="10">
        <f>IFERROR(H169*I169*(1-IF(J169="",0,J169)),0)</f>
        <v>0</v>
      </c>
      <c r="L169" s="10">
        <f>K169*TVA</f>
        <v>0</v>
      </c>
      <c r="M169" s="10">
        <f>K169+L169</f>
        <v>0</v>
      </c>
      <c r="N169" s="8">
        <f>IFERROR(INDEX(Paramètres!$B$10:$B$12, MATCH(INDEX(Projet_Portefeuille!$D$2:$D$200, MATCH(A169,Projet_Portefeuille!$A$2:$A$200,0)), Paramètres!$A$10:$A$12, 0)), 1)</f>
        <v>0</v>
      </c>
      <c r="O169" s="10">
        <f>K169*N169</f>
        <v>0</v>
      </c>
    </row>
    <row r="170" spans="11:15">
      <c r="K170" s="10">
        <f>IFERROR(H170*I170*(1-IF(J170="",0,J170)),0)</f>
        <v>0</v>
      </c>
      <c r="L170" s="10">
        <f>K170*TVA</f>
        <v>0</v>
      </c>
      <c r="M170" s="10">
        <f>K170+L170</f>
        <v>0</v>
      </c>
      <c r="N170" s="8">
        <f>IFERROR(INDEX(Paramètres!$B$10:$B$12, MATCH(INDEX(Projet_Portefeuille!$D$2:$D$200, MATCH(A170,Projet_Portefeuille!$A$2:$A$200,0)), Paramètres!$A$10:$A$12, 0)), 1)</f>
        <v>0</v>
      </c>
      <c r="O170" s="10">
        <f>K170*N170</f>
        <v>0</v>
      </c>
    </row>
    <row r="171" spans="11:15">
      <c r="K171" s="10">
        <f>IFERROR(H171*I171*(1-IF(J171="",0,J171)),0)</f>
        <v>0</v>
      </c>
      <c r="L171" s="10">
        <f>K171*TVA</f>
        <v>0</v>
      </c>
      <c r="M171" s="10">
        <f>K171+L171</f>
        <v>0</v>
      </c>
      <c r="N171" s="8">
        <f>IFERROR(INDEX(Paramètres!$B$10:$B$12, MATCH(INDEX(Projet_Portefeuille!$D$2:$D$200, MATCH(A171,Projet_Portefeuille!$A$2:$A$200,0)), Paramètres!$A$10:$A$12, 0)), 1)</f>
        <v>0</v>
      </c>
      <c r="O171" s="10">
        <f>K171*N171</f>
        <v>0</v>
      </c>
    </row>
    <row r="172" spans="11:15">
      <c r="K172" s="10">
        <f>IFERROR(H172*I172*(1-IF(J172="",0,J172)),0)</f>
        <v>0</v>
      </c>
      <c r="L172" s="10">
        <f>K172*TVA</f>
        <v>0</v>
      </c>
      <c r="M172" s="10">
        <f>K172+L172</f>
        <v>0</v>
      </c>
      <c r="N172" s="8">
        <f>IFERROR(INDEX(Paramètres!$B$10:$B$12, MATCH(INDEX(Projet_Portefeuille!$D$2:$D$200, MATCH(A172,Projet_Portefeuille!$A$2:$A$200,0)), Paramètres!$A$10:$A$12, 0)), 1)</f>
        <v>0</v>
      </c>
      <c r="O172" s="10">
        <f>K172*N172</f>
        <v>0</v>
      </c>
    </row>
    <row r="173" spans="11:15">
      <c r="K173" s="10">
        <f>IFERROR(H173*I173*(1-IF(J173="",0,J173)),0)</f>
        <v>0</v>
      </c>
      <c r="L173" s="10">
        <f>K173*TVA</f>
        <v>0</v>
      </c>
      <c r="M173" s="10">
        <f>K173+L173</f>
        <v>0</v>
      </c>
      <c r="N173" s="8">
        <f>IFERROR(INDEX(Paramètres!$B$10:$B$12, MATCH(INDEX(Projet_Portefeuille!$D$2:$D$200, MATCH(A173,Projet_Portefeuille!$A$2:$A$200,0)), Paramètres!$A$10:$A$12, 0)), 1)</f>
        <v>0</v>
      </c>
      <c r="O173" s="10">
        <f>K173*N173</f>
        <v>0</v>
      </c>
    </row>
    <row r="174" spans="11:15">
      <c r="K174" s="10">
        <f>IFERROR(H174*I174*(1-IF(J174="",0,J174)),0)</f>
        <v>0</v>
      </c>
      <c r="L174" s="10">
        <f>K174*TVA</f>
        <v>0</v>
      </c>
      <c r="M174" s="10">
        <f>K174+L174</f>
        <v>0</v>
      </c>
      <c r="N174" s="8">
        <f>IFERROR(INDEX(Paramètres!$B$10:$B$12, MATCH(INDEX(Projet_Portefeuille!$D$2:$D$200, MATCH(A174,Projet_Portefeuille!$A$2:$A$200,0)), Paramètres!$A$10:$A$12, 0)), 1)</f>
        <v>0</v>
      </c>
      <c r="O174" s="10">
        <f>K174*N174</f>
        <v>0</v>
      </c>
    </row>
    <row r="175" spans="11:15">
      <c r="K175" s="10">
        <f>IFERROR(H175*I175*(1-IF(J175="",0,J175)),0)</f>
        <v>0</v>
      </c>
      <c r="L175" s="10">
        <f>K175*TVA</f>
        <v>0</v>
      </c>
      <c r="M175" s="10">
        <f>K175+L175</f>
        <v>0</v>
      </c>
      <c r="N175" s="8">
        <f>IFERROR(INDEX(Paramètres!$B$10:$B$12, MATCH(INDEX(Projet_Portefeuille!$D$2:$D$200, MATCH(A175,Projet_Portefeuille!$A$2:$A$200,0)), Paramètres!$A$10:$A$12, 0)), 1)</f>
        <v>0</v>
      </c>
      <c r="O175" s="10">
        <f>K175*N175</f>
        <v>0</v>
      </c>
    </row>
    <row r="176" spans="11:15">
      <c r="K176" s="10">
        <f>IFERROR(H176*I176*(1-IF(J176="",0,J176)),0)</f>
        <v>0</v>
      </c>
      <c r="L176" s="10">
        <f>K176*TVA</f>
        <v>0</v>
      </c>
      <c r="M176" s="10">
        <f>K176+L176</f>
        <v>0</v>
      </c>
      <c r="N176" s="8">
        <f>IFERROR(INDEX(Paramètres!$B$10:$B$12, MATCH(INDEX(Projet_Portefeuille!$D$2:$D$200, MATCH(A176,Projet_Portefeuille!$A$2:$A$200,0)), Paramètres!$A$10:$A$12, 0)), 1)</f>
        <v>0</v>
      </c>
      <c r="O176" s="10">
        <f>K176*N176</f>
        <v>0</v>
      </c>
    </row>
    <row r="177" spans="11:15">
      <c r="K177" s="10">
        <f>IFERROR(H177*I177*(1-IF(J177="",0,J177)),0)</f>
        <v>0</v>
      </c>
      <c r="L177" s="10">
        <f>K177*TVA</f>
        <v>0</v>
      </c>
      <c r="M177" s="10">
        <f>K177+L177</f>
        <v>0</v>
      </c>
      <c r="N177" s="8">
        <f>IFERROR(INDEX(Paramètres!$B$10:$B$12, MATCH(INDEX(Projet_Portefeuille!$D$2:$D$200, MATCH(A177,Projet_Portefeuille!$A$2:$A$200,0)), Paramètres!$A$10:$A$12, 0)), 1)</f>
        <v>0</v>
      </c>
      <c r="O177" s="10">
        <f>K177*N177</f>
        <v>0</v>
      </c>
    </row>
    <row r="178" spans="11:15">
      <c r="K178" s="10">
        <f>IFERROR(H178*I178*(1-IF(J178="",0,J178)),0)</f>
        <v>0</v>
      </c>
      <c r="L178" s="10">
        <f>K178*TVA</f>
        <v>0</v>
      </c>
      <c r="M178" s="10">
        <f>K178+L178</f>
        <v>0</v>
      </c>
      <c r="N178" s="8">
        <f>IFERROR(INDEX(Paramètres!$B$10:$B$12, MATCH(INDEX(Projet_Portefeuille!$D$2:$D$200, MATCH(A178,Projet_Portefeuille!$A$2:$A$200,0)), Paramètres!$A$10:$A$12, 0)), 1)</f>
        <v>0</v>
      </c>
      <c r="O178" s="10">
        <f>K178*N178</f>
        <v>0</v>
      </c>
    </row>
    <row r="179" spans="11:15">
      <c r="K179" s="10">
        <f>IFERROR(H179*I179*(1-IF(J179="",0,J179)),0)</f>
        <v>0</v>
      </c>
      <c r="L179" s="10">
        <f>K179*TVA</f>
        <v>0</v>
      </c>
      <c r="M179" s="10">
        <f>K179+L179</f>
        <v>0</v>
      </c>
      <c r="N179" s="8">
        <f>IFERROR(INDEX(Paramètres!$B$10:$B$12, MATCH(INDEX(Projet_Portefeuille!$D$2:$D$200, MATCH(A179,Projet_Portefeuille!$A$2:$A$200,0)), Paramètres!$A$10:$A$12, 0)), 1)</f>
        <v>0</v>
      </c>
      <c r="O179" s="10">
        <f>K179*N179</f>
        <v>0</v>
      </c>
    </row>
    <row r="180" spans="11:15">
      <c r="K180" s="10">
        <f>IFERROR(H180*I180*(1-IF(J180="",0,J180)),0)</f>
        <v>0</v>
      </c>
      <c r="L180" s="10">
        <f>K180*TVA</f>
        <v>0</v>
      </c>
      <c r="M180" s="10">
        <f>K180+L180</f>
        <v>0</v>
      </c>
      <c r="N180" s="8">
        <f>IFERROR(INDEX(Paramètres!$B$10:$B$12, MATCH(INDEX(Projet_Portefeuille!$D$2:$D$200, MATCH(A180,Projet_Portefeuille!$A$2:$A$200,0)), Paramètres!$A$10:$A$12, 0)), 1)</f>
        <v>0</v>
      </c>
      <c r="O180" s="10">
        <f>K180*N180</f>
        <v>0</v>
      </c>
    </row>
    <row r="181" spans="11:15">
      <c r="K181" s="10">
        <f>IFERROR(H181*I181*(1-IF(J181="",0,J181)),0)</f>
        <v>0</v>
      </c>
      <c r="L181" s="10">
        <f>K181*TVA</f>
        <v>0</v>
      </c>
      <c r="M181" s="10">
        <f>K181+L181</f>
        <v>0</v>
      </c>
      <c r="N181" s="8">
        <f>IFERROR(INDEX(Paramètres!$B$10:$B$12, MATCH(INDEX(Projet_Portefeuille!$D$2:$D$200, MATCH(A181,Projet_Portefeuille!$A$2:$A$200,0)), Paramètres!$A$10:$A$12, 0)), 1)</f>
        <v>0</v>
      </c>
      <c r="O181" s="10">
        <f>K181*N181</f>
        <v>0</v>
      </c>
    </row>
    <row r="182" spans="11:15">
      <c r="K182" s="10">
        <f>IFERROR(H182*I182*(1-IF(J182="",0,J182)),0)</f>
        <v>0</v>
      </c>
      <c r="L182" s="10">
        <f>K182*TVA</f>
        <v>0</v>
      </c>
      <c r="M182" s="10">
        <f>K182+L182</f>
        <v>0</v>
      </c>
      <c r="N182" s="8">
        <f>IFERROR(INDEX(Paramètres!$B$10:$B$12, MATCH(INDEX(Projet_Portefeuille!$D$2:$D$200, MATCH(A182,Projet_Portefeuille!$A$2:$A$200,0)), Paramètres!$A$10:$A$12, 0)), 1)</f>
        <v>0</v>
      </c>
      <c r="O182" s="10">
        <f>K182*N182</f>
        <v>0</v>
      </c>
    </row>
    <row r="183" spans="11:15">
      <c r="K183" s="10">
        <f>IFERROR(H183*I183*(1-IF(J183="",0,J183)),0)</f>
        <v>0</v>
      </c>
      <c r="L183" s="10">
        <f>K183*TVA</f>
        <v>0</v>
      </c>
      <c r="M183" s="10">
        <f>K183+L183</f>
        <v>0</v>
      </c>
      <c r="N183" s="8">
        <f>IFERROR(INDEX(Paramètres!$B$10:$B$12, MATCH(INDEX(Projet_Portefeuille!$D$2:$D$200, MATCH(A183,Projet_Portefeuille!$A$2:$A$200,0)), Paramètres!$A$10:$A$12, 0)), 1)</f>
        <v>0</v>
      </c>
      <c r="O183" s="10">
        <f>K183*N183</f>
        <v>0</v>
      </c>
    </row>
    <row r="184" spans="11:15">
      <c r="K184" s="10">
        <f>IFERROR(H184*I184*(1-IF(J184="",0,J184)),0)</f>
        <v>0</v>
      </c>
      <c r="L184" s="10">
        <f>K184*TVA</f>
        <v>0</v>
      </c>
      <c r="M184" s="10">
        <f>K184+L184</f>
        <v>0</v>
      </c>
      <c r="N184" s="8">
        <f>IFERROR(INDEX(Paramètres!$B$10:$B$12, MATCH(INDEX(Projet_Portefeuille!$D$2:$D$200, MATCH(A184,Projet_Portefeuille!$A$2:$A$200,0)), Paramètres!$A$10:$A$12, 0)), 1)</f>
        <v>0</v>
      </c>
      <c r="O184" s="10">
        <f>K184*N184</f>
        <v>0</v>
      </c>
    </row>
    <row r="185" spans="11:15">
      <c r="K185" s="10">
        <f>IFERROR(H185*I185*(1-IF(J185="",0,J185)),0)</f>
        <v>0</v>
      </c>
      <c r="L185" s="10">
        <f>K185*TVA</f>
        <v>0</v>
      </c>
      <c r="M185" s="10">
        <f>K185+L185</f>
        <v>0</v>
      </c>
      <c r="N185" s="8">
        <f>IFERROR(INDEX(Paramètres!$B$10:$B$12, MATCH(INDEX(Projet_Portefeuille!$D$2:$D$200, MATCH(A185,Projet_Portefeuille!$A$2:$A$200,0)), Paramètres!$A$10:$A$12, 0)), 1)</f>
        <v>0</v>
      </c>
      <c r="O185" s="10">
        <f>K185*N185</f>
        <v>0</v>
      </c>
    </row>
    <row r="186" spans="11:15">
      <c r="K186" s="10">
        <f>IFERROR(H186*I186*(1-IF(J186="",0,J186)),0)</f>
        <v>0</v>
      </c>
      <c r="L186" s="10">
        <f>K186*TVA</f>
        <v>0</v>
      </c>
      <c r="M186" s="10">
        <f>K186+L186</f>
        <v>0</v>
      </c>
      <c r="N186" s="8">
        <f>IFERROR(INDEX(Paramètres!$B$10:$B$12, MATCH(INDEX(Projet_Portefeuille!$D$2:$D$200, MATCH(A186,Projet_Portefeuille!$A$2:$A$200,0)), Paramètres!$A$10:$A$12, 0)), 1)</f>
        <v>0</v>
      </c>
      <c r="O186" s="10">
        <f>K186*N186</f>
        <v>0</v>
      </c>
    </row>
    <row r="187" spans="11:15">
      <c r="K187" s="10">
        <f>IFERROR(H187*I187*(1-IF(J187="",0,J187)),0)</f>
        <v>0</v>
      </c>
      <c r="L187" s="10">
        <f>K187*TVA</f>
        <v>0</v>
      </c>
      <c r="M187" s="10">
        <f>K187+L187</f>
        <v>0</v>
      </c>
      <c r="N187" s="8">
        <f>IFERROR(INDEX(Paramètres!$B$10:$B$12, MATCH(INDEX(Projet_Portefeuille!$D$2:$D$200, MATCH(A187,Projet_Portefeuille!$A$2:$A$200,0)), Paramètres!$A$10:$A$12, 0)), 1)</f>
        <v>0</v>
      </c>
      <c r="O187" s="10">
        <f>K187*N187</f>
        <v>0</v>
      </c>
    </row>
    <row r="188" spans="11:15">
      <c r="K188" s="10">
        <f>IFERROR(H188*I188*(1-IF(J188="",0,J188)),0)</f>
        <v>0</v>
      </c>
      <c r="L188" s="10">
        <f>K188*TVA</f>
        <v>0</v>
      </c>
      <c r="M188" s="10">
        <f>K188+L188</f>
        <v>0</v>
      </c>
      <c r="N188" s="8">
        <f>IFERROR(INDEX(Paramètres!$B$10:$B$12, MATCH(INDEX(Projet_Portefeuille!$D$2:$D$200, MATCH(A188,Projet_Portefeuille!$A$2:$A$200,0)), Paramètres!$A$10:$A$12, 0)), 1)</f>
        <v>0</v>
      </c>
      <c r="O188" s="10">
        <f>K188*N188</f>
        <v>0</v>
      </c>
    </row>
    <row r="189" spans="11:15">
      <c r="K189" s="10">
        <f>IFERROR(H189*I189*(1-IF(J189="",0,J189)),0)</f>
        <v>0</v>
      </c>
      <c r="L189" s="10">
        <f>K189*TVA</f>
        <v>0</v>
      </c>
      <c r="M189" s="10">
        <f>K189+L189</f>
        <v>0</v>
      </c>
      <c r="N189" s="8">
        <f>IFERROR(INDEX(Paramètres!$B$10:$B$12, MATCH(INDEX(Projet_Portefeuille!$D$2:$D$200, MATCH(A189,Projet_Portefeuille!$A$2:$A$200,0)), Paramètres!$A$10:$A$12, 0)), 1)</f>
        <v>0</v>
      </c>
      <c r="O189" s="10">
        <f>K189*N189</f>
        <v>0</v>
      </c>
    </row>
    <row r="190" spans="11:15">
      <c r="K190" s="10">
        <f>IFERROR(H190*I190*(1-IF(J190="",0,J190)),0)</f>
        <v>0</v>
      </c>
      <c r="L190" s="10">
        <f>K190*TVA</f>
        <v>0</v>
      </c>
      <c r="M190" s="10">
        <f>K190+L190</f>
        <v>0</v>
      </c>
      <c r="N190" s="8">
        <f>IFERROR(INDEX(Paramètres!$B$10:$B$12, MATCH(INDEX(Projet_Portefeuille!$D$2:$D$200, MATCH(A190,Projet_Portefeuille!$A$2:$A$200,0)), Paramètres!$A$10:$A$12, 0)), 1)</f>
        <v>0</v>
      </c>
      <c r="O190" s="10">
        <f>K190*N190</f>
        <v>0</v>
      </c>
    </row>
    <row r="191" spans="11:15">
      <c r="K191" s="10">
        <f>IFERROR(H191*I191*(1-IF(J191="",0,J191)),0)</f>
        <v>0</v>
      </c>
      <c r="L191" s="10">
        <f>K191*TVA</f>
        <v>0</v>
      </c>
      <c r="M191" s="10">
        <f>K191+L191</f>
        <v>0</v>
      </c>
      <c r="N191" s="8">
        <f>IFERROR(INDEX(Paramètres!$B$10:$B$12, MATCH(INDEX(Projet_Portefeuille!$D$2:$D$200, MATCH(A191,Projet_Portefeuille!$A$2:$A$200,0)), Paramètres!$A$10:$A$12, 0)), 1)</f>
        <v>0</v>
      </c>
      <c r="O191" s="10">
        <f>K191*N191</f>
        <v>0</v>
      </c>
    </row>
    <row r="192" spans="11:15">
      <c r="K192" s="10">
        <f>IFERROR(H192*I192*(1-IF(J192="",0,J192)),0)</f>
        <v>0</v>
      </c>
      <c r="L192" s="10">
        <f>K192*TVA</f>
        <v>0</v>
      </c>
      <c r="M192" s="10">
        <f>K192+L192</f>
        <v>0</v>
      </c>
      <c r="N192" s="8">
        <f>IFERROR(INDEX(Paramètres!$B$10:$B$12, MATCH(INDEX(Projet_Portefeuille!$D$2:$D$200, MATCH(A192,Projet_Portefeuille!$A$2:$A$200,0)), Paramètres!$A$10:$A$12, 0)), 1)</f>
        <v>0</v>
      </c>
      <c r="O192" s="10">
        <f>K192*N192</f>
        <v>0</v>
      </c>
    </row>
    <row r="193" spans="11:15">
      <c r="K193" s="10">
        <f>IFERROR(H193*I193*(1-IF(J193="",0,J193)),0)</f>
        <v>0</v>
      </c>
      <c r="L193" s="10">
        <f>K193*TVA</f>
        <v>0</v>
      </c>
      <c r="M193" s="10">
        <f>K193+L193</f>
        <v>0</v>
      </c>
      <c r="N193" s="8">
        <f>IFERROR(INDEX(Paramètres!$B$10:$B$12, MATCH(INDEX(Projet_Portefeuille!$D$2:$D$200, MATCH(A193,Projet_Portefeuille!$A$2:$A$200,0)), Paramètres!$A$10:$A$12, 0)), 1)</f>
        <v>0</v>
      </c>
      <c r="O193" s="10">
        <f>K193*N193</f>
        <v>0</v>
      </c>
    </row>
    <row r="194" spans="11:15">
      <c r="K194" s="10">
        <f>IFERROR(H194*I194*(1-IF(J194="",0,J194)),0)</f>
        <v>0</v>
      </c>
      <c r="L194" s="10">
        <f>K194*TVA</f>
        <v>0</v>
      </c>
      <c r="M194" s="10">
        <f>K194+L194</f>
        <v>0</v>
      </c>
      <c r="N194" s="8">
        <f>IFERROR(INDEX(Paramètres!$B$10:$B$12, MATCH(INDEX(Projet_Portefeuille!$D$2:$D$200, MATCH(A194,Projet_Portefeuille!$A$2:$A$200,0)), Paramètres!$A$10:$A$12, 0)), 1)</f>
        <v>0</v>
      </c>
      <c r="O194" s="10">
        <f>K194*N194</f>
        <v>0</v>
      </c>
    </row>
    <row r="195" spans="11:15">
      <c r="K195" s="10">
        <f>IFERROR(H195*I195*(1-IF(J195="",0,J195)),0)</f>
        <v>0</v>
      </c>
      <c r="L195" s="10">
        <f>K195*TVA</f>
        <v>0</v>
      </c>
      <c r="M195" s="10">
        <f>K195+L195</f>
        <v>0</v>
      </c>
      <c r="N195" s="8">
        <f>IFERROR(INDEX(Paramètres!$B$10:$B$12, MATCH(INDEX(Projet_Portefeuille!$D$2:$D$200, MATCH(A195,Projet_Portefeuille!$A$2:$A$200,0)), Paramètres!$A$10:$A$12, 0)), 1)</f>
        <v>0</v>
      </c>
      <c r="O195" s="10">
        <f>K195*N195</f>
        <v>0</v>
      </c>
    </row>
    <row r="196" spans="11:15">
      <c r="K196" s="10">
        <f>IFERROR(H196*I196*(1-IF(J196="",0,J196)),0)</f>
        <v>0</v>
      </c>
      <c r="L196" s="10">
        <f>K196*TVA</f>
        <v>0</v>
      </c>
      <c r="M196" s="10">
        <f>K196+L196</f>
        <v>0</v>
      </c>
      <c r="N196" s="8">
        <f>IFERROR(INDEX(Paramètres!$B$10:$B$12, MATCH(INDEX(Projet_Portefeuille!$D$2:$D$200, MATCH(A196,Projet_Portefeuille!$A$2:$A$200,0)), Paramètres!$A$10:$A$12, 0)), 1)</f>
        <v>0</v>
      </c>
      <c r="O196" s="10">
        <f>K196*N196</f>
        <v>0</v>
      </c>
    </row>
    <row r="197" spans="11:15">
      <c r="K197" s="10">
        <f>IFERROR(H197*I197*(1-IF(J197="",0,J197)),0)</f>
        <v>0</v>
      </c>
      <c r="L197" s="10">
        <f>K197*TVA</f>
        <v>0</v>
      </c>
      <c r="M197" s="10">
        <f>K197+L197</f>
        <v>0</v>
      </c>
      <c r="N197" s="8">
        <f>IFERROR(INDEX(Paramètres!$B$10:$B$12, MATCH(INDEX(Projet_Portefeuille!$D$2:$D$200, MATCH(A197,Projet_Portefeuille!$A$2:$A$200,0)), Paramètres!$A$10:$A$12, 0)), 1)</f>
        <v>0</v>
      </c>
      <c r="O197" s="10">
        <f>K197*N197</f>
        <v>0</v>
      </c>
    </row>
    <row r="198" spans="11:15">
      <c r="K198" s="10">
        <f>IFERROR(H198*I198*(1-IF(J198="",0,J198)),0)</f>
        <v>0</v>
      </c>
      <c r="L198" s="10">
        <f>K198*TVA</f>
        <v>0</v>
      </c>
      <c r="M198" s="10">
        <f>K198+L198</f>
        <v>0</v>
      </c>
      <c r="N198" s="8">
        <f>IFERROR(INDEX(Paramètres!$B$10:$B$12, MATCH(INDEX(Projet_Portefeuille!$D$2:$D$200, MATCH(A198,Projet_Portefeuille!$A$2:$A$200,0)), Paramètres!$A$10:$A$12, 0)), 1)</f>
        <v>0</v>
      </c>
      <c r="O198" s="10">
        <f>K198*N198</f>
        <v>0</v>
      </c>
    </row>
    <row r="199" spans="11:15">
      <c r="K199" s="10">
        <f>IFERROR(H199*I199*(1-IF(J199="",0,J199)),0)</f>
        <v>0</v>
      </c>
      <c r="L199" s="10">
        <f>K199*TVA</f>
        <v>0</v>
      </c>
      <c r="M199" s="10">
        <f>K199+L199</f>
        <v>0</v>
      </c>
      <c r="N199" s="8">
        <f>IFERROR(INDEX(Paramètres!$B$10:$B$12, MATCH(INDEX(Projet_Portefeuille!$D$2:$D$200, MATCH(A199,Projet_Portefeuille!$A$2:$A$200,0)), Paramètres!$A$10:$A$12, 0)), 1)</f>
        <v>0</v>
      </c>
      <c r="O199" s="10">
        <f>K199*N199</f>
        <v>0</v>
      </c>
    </row>
    <row r="200" spans="11:15">
      <c r="K200" s="10">
        <f>IFERROR(H200*I200*(1-IF(J200="",0,J200)),0)</f>
        <v>0</v>
      </c>
      <c r="L200" s="10">
        <f>K200*TVA</f>
        <v>0</v>
      </c>
      <c r="M200" s="10">
        <f>K200+L200</f>
        <v>0</v>
      </c>
      <c r="N200" s="8">
        <f>IFERROR(INDEX(Paramètres!$B$10:$B$12, MATCH(INDEX(Projet_Portefeuille!$D$2:$D$200, MATCH(A200,Projet_Portefeuille!$A$2:$A$200,0)), Paramètres!$A$10:$A$12, 0)), 1)</f>
        <v>0</v>
      </c>
      <c r="O200" s="10">
        <f>K200*N200</f>
        <v>0</v>
      </c>
    </row>
    <row r="201" spans="11:15">
      <c r="K201" s="10">
        <f>IFERROR(H201*I201*(1-IF(J201="",0,J201)),0)</f>
        <v>0</v>
      </c>
      <c r="L201" s="10">
        <f>K201*TVA</f>
        <v>0</v>
      </c>
      <c r="M201" s="10">
        <f>K201+L201</f>
        <v>0</v>
      </c>
      <c r="N201" s="8">
        <f>IFERROR(INDEX(Paramètres!$B$10:$B$12, MATCH(INDEX(Projet_Portefeuille!$D$2:$D$200, MATCH(A201,Projet_Portefeuille!$A$2:$A$200,0)), Paramètres!$A$10:$A$12, 0)), 1)</f>
        <v>0</v>
      </c>
      <c r="O201" s="10">
        <f>K201*N201</f>
        <v>0</v>
      </c>
    </row>
    <row r="202" spans="11:15">
      <c r="K202" s="10">
        <f>IFERROR(H202*I202*(1-IF(J202="",0,J202)),0)</f>
        <v>0</v>
      </c>
      <c r="L202" s="10">
        <f>K202*TVA</f>
        <v>0</v>
      </c>
      <c r="M202" s="10">
        <f>K202+L202</f>
        <v>0</v>
      </c>
      <c r="N202" s="8">
        <f>IFERROR(INDEX(Paramètres!$B$10:$B$12, MATCH(INDEX(Projet_Portefeuille!$D$2:$D$200, MATCH(A202,Projet_Portefeuille!$A$2:$A$200,0)), Paramètres!$A$10:$A$12, 0)), 1)</f>
        <v>0</v>
      </c>
      <c r="O202" s="10">
        <f>K202*N202</f>
        <v>0</v>
      </c>
    </row>
    <row r="203" spans="11:15">
      <c r="K203" s="10">
        <f>IFERROR(H203*I203*(1-IF(J203="",0,J203)),0)</f>
        <v>0</v>
      </c>
      <c r="L203" s="10">
        <f>K203*TVA</f>
        <v>0</v>
      </c>
      <c r="M203" s="10">
        <f>K203+L203</f>
        <v>0</v>
      </c>
      <c r="N203" s="8">
        <f>IFERROR(INDEX(Paramètres!$B$10:$B$12, MATCH(INDEX(Projet_Portefeuille!$D$2:$D$200, MATCH(A203,Projet_Portefeuille!$A$2:$A$200,0)), Paramètres!$A$10:$A$12, 0)), 1)</f>
        <v>0</v>
      </c>
      <c r="O203" s="10">
        <f>K203*N203</f>
        <v>0</v>
      </c>
    </row>
    <row r="204" spans="11:15">
      <c r="K204" s="10">
        <f>IFERROR(H204*I204*(1-IF(J204="",0,J204)),0)</f>
        <v>0</v>
      </c>
      <c r="L204" s="10">
        <f>K204*TVA</f>
        <v>0</v>
      </c>
      <c r="M204" s="10">
        <f>K204+L204</f>
        <v>0</v>
      </c>
      <c r="N204" s="8">
        <f>IFERROR(INDEX(Paramètres!$B$10:$B$12, MATCH(INDEX(Projet_Portefeuille!$D$2:$D$200, MATCH(A204,Projet_Portefeuille!$A$2:$A$200,0)), Paramètres!$A$10:$A$12, 0)), 1)</f>
        <v>0</v>
      </c>
      <c r="O204" s="10">
        <f>K204*N204</f>
        <v>0</v>
      </c>
    </row>
    <row r="205" spans="11:15">
      <c r="K205" s="10">
        <f>IFERROR(H205*I205*(1-IF(J205="",0,J205)),0)</f>
        <v>0</v>
      </c>
      <c r="L205" s="10">
        <f>K205*TVA</f>
        <v>0</v>
      </c>
      <c r="M205" s="10">
        <f>K205+L205</f>
        <v>0</v>
      </c>
      <c r="N205" s="8">
        <f>IFERROR(INDEX(Paramètres!$B$10:$B$12, MATCH(INDEX(Projet_Portefeuille!$D$2:$D$200, MATCH(A205,Projet_Portefeuille!$A$2:$A$200,0)), Paramètres!$A$10:$A$12, 0)), 1)</f>
        <v>0</v>
      </c>
      <c r="O205" s="10">
        <f>K205*N205</f>
        <v>0</v>
      </c>
    </row>
    <row r="206" spans="11:15">
      <c r="K206" s="10">
        <f>IFERROR(H206*I206*(1-IF(J206="",0,J206)),0)</f>
        <v>0</v>
      </c>
      <c r="L206" s="10">
        <f>K206*TVA</f>
        <v>0</v>
      </c>
      <c r="M206" s="10">
        <f>K206+L206</f>
        <v>0</v>
      </c>
      <c r="N206" s="8">
        <f>IFERROR(INDEX(Paramètres!$B$10:$B$12, MATCH(INDEX(Projet_Portefeuille!$D$2:$D$200, MATCH(A206,Projet_Portefeuille!$A$2:$A$200,0)), Paramètres!$A$10:$A$12, 0)), 1)</f>
        <v>0</v>
      </c>
      <c r="O206" s="10">
        <f>K206*N206</f>
        <v>0</v>
      </c>
    </row>
    <row r="207" spans="11:15">
      <c r="K207" s="10">
        <f>IFERROR(H207*I207*(1-IF(J207="",0,J207)),0)</f>
        <v>0</v>
      </c>
      <c r="L207" s="10">
        <f>K207*TVA</f>
        <v>0</v>
      </c>
      <c r="M207" s="10">
        <f>K207+L207</f>
        <v>0</v>
      </c>
      <c r="N207" s="8">
        <f>IFERROR(INDEX(Paramètres!$B$10:$B$12, MATCH(INDEX(Projet_Portefeuille!$D$2:$D$200, MATCH(A207,Projet_Portefeuille!$A$2:$A$200,0)), Paramètres!$A$10:$A$12, 0)), 1)</f>
        <v>0</v>
      </c>
      <c r="O207" s="10">
        <f>K207*N207</f>
        <v>0</v>
      </c>
    </row>
    <row r="208" spans="11:15">
      <c r="K208" s="10">
        <f>IFERROR(H208*I208*(1-IF(J208="",0,J208)),0)</f>
        <v>0</v>
      </c>
      <c r="L208" s="10">
        <f>K208*TVA</f>
        <v>0</v>
      </c>
      <c r="M208" s="10">
        <f>K208+L208</f>
        <v>0</v>
      </c>
      <c r="N208" s="8">
        <f>IFERROR(INDEX(Paramètres!$B$10:$B$12, MATCH(INDEX(Projet_Portefeuille!$D$2:$D$200, MATCH(A208,Projet_Portefeuille!$A$2:$A$200,0)), Paramètres!$A$10:$A$12, 0)), 1)</f>
        <v>0</v>
      </c>
      <c r="O208" s="10">
        <f>K208*N208</f>
        <v>0</v>
      </c>
    </row>
    <row r="209" spans="11:15">
      <c r="K209" s="10">
        <f>IFERROR(H209*I209*(1-IF(J209="",0,J209)),0)</f>
        <v>0</v>
      </c>
      <c r="L209" s="10">
        <f>K209*TVA</f>
        <v>0</v>
      </c>
      <c r="M209" s="10">
        <f>K209+L209</f>
        <v>0</v>
      </c>
      <c r="N209" s="8">
        <f>IFERROR(INDEX(Paramètres!$B$10:$B$12, MATCH(INDEX(Projet_Portefeuille!$D$2:$D$200, MATCH(A209,Projet_Portefeuille!$A$2:$A$200,0)), Paramètres!$A$10:$A$12, 0)), 1)</f>
        <v>0</v>
      </c>
      <c r="O209" s="10">
        <f>K209*N209</f>
        <v>0</v>
      </c>
    </row>
    <row r="210" spans="11:15">
      <c r="K210" s="10">
        <f>IFERROR(H210*I210*(1-IF(J210="",0,J210)),0)</f>
        <v>0</v>
      </c>
      <c r="L210" s="10">
        <f>K210*TVA</f>
        <v>0</v>
      </c>
      <c r="M210" s="10">
        <f>K210+L210</f>
        <v>0</v>
      </c>
      <c r="N210" s="8">
        <f>IFERROR(INDEX(Paramètres!$B$10:$B$12, MATCH(INDEX(Projet_Portefeuille!$D$2:$D$200, MATCH(A210,Projet_Portefeuille!$A$2:$A$200,0)), Paramètres!$A$10:$A$12, 0)), 1)</f>
        <v>0</v>
      </c>
      <c r="O210" s="10">
        <f>K210*N210</f>
        <v>0</v>
      </c>
    </row>
    <row r="211" spans="11:15">
      <c r="K211" s="10">
        <f>IFERROR(H211*I211*(1-IF(J211="",0,J211)),0)</f>
        <v>0</v>
      </c>
      <c r="L211" s="10">
        <f>K211*TVA</f>
        <v>0</v>
      </c>
      <c r="M211" s="10">
        <f>K211+L211</f>
        <v>0</v>
      </c>
      <c r="N211" s="8">
        <f>IFERROR(INDEX(Paramètres!$B$10:$B$12, MATCH(INDEX(Projet_Portefeuille!$D$2:$D$200, MATCH(A211,Projet_Portefeuille!$A$2:$A$200,0)), Paramètres!$A$10:$A$12, 0)), 1)</f>
        <v>0</v>
      </c>
      <c r="O211" s="10">
        <f>K211*N211</f>
        <v>0</v>
      </c>
    </row>
    <row r="212" spans="11:15">
      <c r="K212" s="10">
        <f>IFERROR(H212*I212*(1-IF(J212="",0,J212)),0)</f>
        <v>0</v>
      </c>
      <c r="L212" s="10">
        <f>K212*TVA</f>
        <v>0</v>
      </c>
      <c r="M212" s="10">
        <f>K212+L212</f>
        <v>0</v>
      </c>
      <c r="N212" s="8">
        <f>IFERROR(INDEX(Paramètres!$B$10:$B$12, MATCH(INDEX(Projet_Portefeuille!$D$2:$D$200, MATCH(A212,Projet_Portefeuille!$A$2:$A$200,0)), Paramètres!$A$10:$A$12, 0)), 1)</f>
        <v>0</v>
      </c>
      <c r="O212" s="10">
        <f>K212*N212</f>
        <v>0</v>
      </c>
    </row>
    <row r="213" spans="11:15">
      <c r="K213" s="10">
        <f>IFERROR(H213*I213*(1-IF(J213="",0,J213)),0)</f>
        <v>0</v>
      </c>
      <c r="L213" s="10">
        <f>K213*TVA</f>
        <v>0</v>
      </c>
      <c r="M213" s="10">
        <f>K213+L213</f>
        <v>0</v>
      </c>
      <c r="N213" s="8">
        <f>IFERROR(INDEX(Paramètres!$B$10:$B$12, MATCH(INDEX(Projet_Portefeuille!$D$2:$D$200, MATCH(A213,Projet_Portefeuille!$A$2:$A$200,0)), Paramètres!$A$10:$A$12, 0)), 1)</f>
        <v>0</v>
      </c>
      <c r="O213" s="10">
        <f>K213*N213</f>
        <v>0</v>
      </c>
    </row>
    <row r="214" spans="11:15">
      <c r="K214" s="10">
        <f>IFERROR(H214*I214*(1-IF(J214="",0,J214)),0)</f>
        <v>0</v>
      </c>
      <c r="L214" s="10">
        <f>K214*TVA</f>
        <v>0</v>
      </c>
      <c r="M214" s="10">
        <f>K214+L214</f>
        <v>0</v>
      </c>
      <c r="N214" s="8">
        <f>IFERROR(INDEX(Paramètres!$B$10:$B$12, MATCH(INDEX(Projet_Portefeuille!$D$2:$D$200, MATCH(A214,Projet_Portefeuille!$A$2:$A$200,0)), Paramètres!$A$10:$A$12, 0)), 1)</f>
        <v>0</v>
      </c>
      <c r="O214" s="10">
        <f>K214*N214</f>
        <v>0</v>
      </c>
    </row>
    <row r="215" spans="11:15">
      <c r="K215" s="10">
        <f>IFERROR(H215*I215*(1-IF(J215="",0,J215)),0)</f>
        <v>0</v>
      </c>
      <c r="L215" s="10">
        <f>K215*TVA</f>
        <v>0</v>
      </c>
      <c r="M215" s="10">
        <f>K215+L215</f>
        <v>0</v>
      </c>
      <c r="N215" s="8">
        <f>IFERROR(INDEX(Paramètres!$B$10:$B$12, MATCH(INDEX(Projet_Portefeuille!$D$2:$D$200, MATCH(A215,Projet_Portefeuille!$A$2:$A$200,0)), Paramètres!$A$10:$A$12, 0)), 1)</f>
        <v>0</v>
      </c>
      <c r="O215" s="10">
        <f>K215*N215</f>
        <v>0</v>
      </c>
    </row>
    <row r="216" spans="11:15">
      <c r="K216" s="10">
        <f>IFERROR(H216*I216*(1-IF(J216="",0,J216)),0)</f>
        <v>0</v>
      </c>
      <c r="L216" s="10">
        <f>K216*TVA</f>
        <v>0</v>
      </c>
      <c r="M216" s="10">
        <f>K216+L216</f>
        <v>0</v>
      </c>
      <c r="N216" s="8">
        <f>IFERROR(INDEX(Paramètres!$B$10:$B$12, MATCH(INDEX(Projet_Portefeuille!$D$2:$D$200, MATCH(A216,Projet_Portefeuille!$A$2:$A$200,0)), Paramètres!$A$10:$A$12, 0)), 1)</f>
        <v>0</v>
      </c>
      <c r="O216" s="10">
        <f>K216*N216</f>
        <v>0</v>
      </c>
    </row>
    <row r="217" spans="11:15">
      <c r="K217" s="10">
        <f>IFERROR(H217*I217*(1-IF(J217="",0,J217)),0)</f>
        <v>0</v>
      </c>
      <c r="L217" s="10">
        <f>K217*TVA</f>
        <v>0</v>
      </c>
      <c r="M217" s="10">
        <f>K217+L217</f>
        <v>0</v>
      </c>
      <c r="N217" s="8">
        <f>IFERROR(INDEX(Paramètres!$B$10:$B$12, MATCH(INDEX(Projet_Portefeuille!$D$2:$D$200, MATCH(A217,Projet_Portefeuille!$A$2:$A$200,0)), Paramètres!$A$10:$A$12, 0)), 1)</f>
        <v>0</v>
      </c>
      <c r="O217" s="10">
        <f>K217*N217</f>
        <v>0</v>
      </c>
    </row>
    <row r="218" spans="11:15">
      <c r="K218" s="10">
        <f>IFERROR(H218*I218*(1-IF(J218="",0,J218)),0)</f>
        <v>0</v>
      </c>
      <c r="L218" s="10">
        <f>K218*TVA</f>
        <v>0</v>
      </c>
      <c r="M218" s="10">
        <f>K218+L218</f>
        <v>0</v>
      </c>
      <c r="N218" s="8">
        <f>IFERROR(INDEX(Paramètres!$B$10:$B$12, MATCH(INDEX(Projet_Portefeuille!$D$2:$D$200, MATCH(A218,Projet_Portefeuille!$A$2:$A$200,0)), Paramètres!$A$10:$A$12, 0)), 1)</f>
        <v>0</v>
      </c>
      <c r="O218" s="10">
        <f>K218*N218</f>
        <v>0</v>
      </c>
    </row>
    <row r="219" spans="11:15">
      <c r="K219" s="10">
        <f>IFERROR(H219*I219*(1-IF(J219="",0,J219)),0)</f>
        <v>0</v>
      </c>
      <c r="L219" s="10">
        <f>K219*TVA</f>
        <v>0</v>
      </c>
      <c r="M219" s="10">
        <f>K219+L219</f>
        <v>0</v>
      </c>
      <c r="N219" s="8">
        <f>IFERROR(INDEX(Paramètres!$B$10:$B$12, MATCH(INDEX(Projet_Portefeuille!$D$2:$D$200, MATCH(A219,Projet_Portefeuille!$A$2:$A$200,0)), Paramètres!$A$10:$A$12, 0)), 1)</f>
        <v>0</v>
      </c>
      <c r="O219" s="10">
        <f>K219*N219</f>
        <v>0</v>
      </c>
    </row>
    <row r="220" spans="11:15">
      <c r="K220" s="10">
        <f>IFERROR(H220*I220*(1-IF(J220="",0,J220)),0)</f>
        <v>0</v>
      </c>
      <c r="L220" s="10">
        <f>K220*TVA</f>
        <v>0</v>
      </c>
      <c r="M220" s="10">
        <f>K220+L220</f>
        <v>0</v>
      </c>
      <c r="N220" s="8">
        <f>IFERROR(INDEX(Paramètres!$B$10:$B$12, MATCH(INDEX(Projet_Portefeuille!$D$2:$D$200, MATCH(A220,Projet_Portefeuille!$A$2:$A$200,0)), Paramètres!$A$10:$A$12, 0)), 1)</f>
        <v>0</v>
      </c>
      <c r="O220" s="10">
        <f>K220*N220</f>
        <v>0</v>
      </c>
    </row>
    <row r="221" spans="11:15">
      <c r="K221" s="10">
        <f>IFERROR(H221*I221*(1-IF(J221="",0,J221)),0)</f>
        <v>0</v>
      </c>
      <c r="L221" s="10">
        <f>K221*TVA</f>
        <v>0</v>
      </c>
      <c r="M221" s="10">
        <f>K221+L221</f>
        <v>0</v>
      </c>
      <c r="N221" s="8">
        <f>IFERROR(INDEX(Paramètres!$B$10:$B$12, MATCH(INDEX(Projet_Portefeuille!$D$2:$D$200, MATCH(A221,Projet_Portefeuille!$A$2:$A$200,0)), Paramètres!$A$10:$A$12, 0)), 1)</f>
        <v>0</v>
      </c>
      <c r="O221" s="10">
        <f>K221*N221</f>
        <v>0</v>
      </c>
    </row>
    <row r="222" spans="11:15">
      <c r="K222" s="10">
        <f>IFERROR(H222*I222*(1-IF(J222="",0,J222)),0)</f>
        <v>0</v>
      </c>
      <c r="L222" s="10">
        <f>K222*TVA</f>
        <v>0</v>
      </c>
      <c r="M222" s="10">
        <f>K222+L222</f>
        <v>0</v>
      </c>
      <c r="N222" s="8">
        <f>IFERROR(INDEX(Paramètres!$B$10:$B$12, MATCH(INDEX(Projet_Portefeuille!$D$2:$D$200, MATCH(A222,Projet_Portefeuille!$A$2:$A$200,0)), Paramètres!$A$10:$A$12, 0)), 1)</f>
        <v>0</v>
      </c>
      <c r="O222" s="10">
        <f>K222*N222</f>
        <v>0</v>
      </c>
    </row>
    <row r="223" spans="11:15">
      <c r="K223" s="10">
        <f>IFERROR(H223*I223*(1-IF(J223="",0,J223)),0)</f>
        <v>0</v>
      </c>
      <c r="L223" s="10">
        <f>K223*TVA</f>
        <v>0</v>
      </c>
      <c r="M223" s="10">
        <f>K223+L223</f>
        <v>0</v>
      </c>
      <c r="N223" s="8">
        <f>IFERROR(INDEX(Paramètres!$B$10:$B$12, MATCH(INDEX(Projet_Portefeuille!$D$2:$D$200, MATCH(A223,Projet_Portefeuille!$A$2:$A$200,0)), Paramètres!$A$10:$A$12, 0)), 1)</f>
        <v>0</v>
      </c>
      <c r="O223" s="10">
        <f>K223*N223</f>
        <v>0</v>
      </c>
    </row>
    <row r="224" spans="11:15">
      <c r="K224" s="10">
        <f>IFERROR(H224*I224*(1-IF(J224="",0,J224)),0)</f>
        <v>0</v>
      </c>
      <c r="L224" s="10">
        <f>K224*TVA</f>
        <v>0</v>
      </c>
      <c r="M224" s="10">
        <f>K224+L224</f>
        <v>0</v>
      </c>
      <c r="N224" s="8">
        <f>IFERROR(INDEX(Paramètres!$B$10:$B$12, MATCH(INDEX(Projet_Portefeuille!$D$2:$D$200, MATCH(A224,Projet_Portefeuille!$A$2:$A$200,0)), Paramètres!$A$10:$A$12, 0)), 1)</f>
        <v>0</v>
      </c>
      <c r="O224" s="10">
        <f>K224*N224</f>
        <v>0</v>
      </c>
    </row>
    <row r="225" spans="11:15">
      <c r="K225" s="10">
        <f>IFERROR(H225*I225*(1-IF(J225="",0,J225)),0)</f>
        <v>0</v>
      </c>
      <c r="L225" s="10">
        <f>K225*TVA</f>
        <v>0</v>
      </c>
      <c r="M225" s="10">
        <f>K225+L225</f>
        <v>0</v>
      </c>
      <c r="N225" s="8">
        <f>IFERROR(INDEX(Paramètres!$B$10:$B$12, MATCH(INDEX(Projet_Portefeuille!$D$2:$D$200, MATCH(A225,Projet_Portefeuille!$A$2:$A$200,0)), Paramètres!$A$10:$A$12, 0)), 1)</f>
        <v>0</v>
      </c>
      <c r="O225" s="10">
        <f>K225*N225</f>
        <v>0</v>
      </c>
    </row>
    <row r="226" spans="11:15">
      <c r="K226" s="10">
        <f>IFERROR(H226*I226*(1-IF(J226="",0,J226)),0)</f>
        <v>0</v>
      </c>
      <c r="L226" s="10">
        <f>K226*TVA</f>
        <v>0</v>
      </c>
      <c r="M226" s="10">
        <f>K226+L226</f>
        <v>0</v>
      </c>
      <c r="N226" s="8">
        <f>IFERROR(INDEX(Paramètres!$B$10:$B$12, MATCH(INDEX(Projet_Portefeuille!$D$2:$D$200, MATCH(A226,Projet_Portefeuille!$A$2:$A$200,0)), Paramètres!$A$10:$A$12, 0)), 1)</f>
        <v>0</v>
      </c>
      <c r="O226" s="10">
        <f>K226*N226</f>
        <v>0</v>
      </c>
    </row>
    <row r="227" spans="11:15">
      <c r="K227" s="10">
        <f>IFERROR(H227*I227*(1-IF(J227="",0,J227)),0)</f>
        <v>0</v>
      </c>
      <c r="L227" s="10">
        <f>K227*TVA</f>
        <v>0</v>
      </c>
      <c r="M227" s="10">
        <f>K227+L227</f>
        <v>0</v>
      </c>
      <c r="N227" s="8">
        <f>IFERROR(INDEX(Paramètres!$B$10:$B$12, MATCH(INDEX(Projet_Portefeuille!$D$2:$D$200, MATCH(A227,Projet_Portefeuille!$A$2:$A$200,0)), Paramètres!$A$10:$A$12, 0)), 1)</f>
        <v>0</v>
      </c>
      <c r="O227" s="10">
        <f>K227*N227</f>
        <v>0</v>
      </c>
    </row>
    <row r="228" spans="11:15">
      <c r="K228" s="10">
        <f>IFERROR(H228*I228*(1-IF(J228="",0,J228)),0)</f>
        <v>0</v>
      </c>
      <c r="L228" s="10">
        <f>K228*TVA</f>
        <v>0</v>
      </c>
      <c r="M228" s="10">
        <f>K228+L228</f>
        <v>0</v>
      </c>
      <c r="N228" s="8">
        <f>IFERROR(INDEX(Paramètres!$B$10:$B$12, MATCH(INDEX(Projet_Portefeuille!$D$2:$D$200, MATCH(A228,Projet_Portefeuille!$A$2:$A$200,0)), Paramètres!$A$10:$A$12, 0)), 1)</f>
        <v>0</v>
      </c>
      <c r="O228" s="10">
        <f>K228*N228</f>
        <v>0</v>
      </c>
    </row>
    <row r="229" spans="11:15">
      <c r="K229" s="10">
        <f>IFERROR(H229*I229*(1-IF(J229="",0,J229)),0)</f>
        <v>0</v>
      </c>
      <c r="L229" s="10">
        <f>K229*TVA</f>
        <v>0</v>
      </c>
      <c r="M229" s="10">
        <f>K229+L229</f>
        <v>0</v>
      </c>
      <c r="N229" s="8">
        <f>IFERROR(INDEX(Paramètres!$B$10:$B$12, MATCH(INDEX(Projet_Portefeuille!$D$2:$D$200, MATCH(A229,Projet_Portefeuille!$A$2:$A$200,0)), Paramètres!$A$10:$A$12, 0)), 1)</f>
        <v>0</v>
      </c>
      <c r="O229" s="10">
        <f>K229*N229</f>
        <v>0</v>
      </c>
    </row>
    <row r="230" spans="11:15">
      <c r="K230" s="10">
        <f>IFERROR(H230*I230*(1-IF(J230="",0,J230)),0)</f>
        <v>0</v>
      </c>
      <c r="L230" s="10">
        <f>K230*TVA</f>
        <v>0</v>
      </c>
      <c r="M230" s="10">
        <f>K230+L230</f>
        <v>0</v>
      </c>
      <c r="N230" s="8">
        <f>IFERROR(INDEX(Paramètres!$B$10:$B$12, MATCH(INDEX(Projet_Portefeuille!$D$2:$D$200, MATCH(A230,Projet_Portefeuille!$A$2:$A$200,0)), Paramètres!$A$10:$A$12, 0)), 1)</f>
        <v>0</v>
      </c>
      <c r="O230" s="10">
        <f>K230*N230</f>
        <v>0</v>
      </c>
    </row>
    <row r="231" spans="11:15">
      <c r="K231" s="10">
        <f>IFERROR(H231*I231*(1-IF(J231="",0,J231)),0)</f>
        <v>0</v>
      </c>
      <c r="L231" s="10">
        <f>K231*TVA</f>
        <v>0</v>
      </c>
      <c r="M231" s="10">
        <f>K231+L231</f>
        <v>0</v>
      </c>
      <c r="N231" s="8">
        <f>IFERROR(INDEX(Paramètres!$B$10:$B$12, MATCH(INDEX(Projet_Portefeuille!$D$2:$D$200, MATCH(A231,Projet_Portefeuille!$A$2:$A$200,0)), Paramètres!$A$10:$A$12, 0)), 1)</f>
        <v>0</v>
      </c>
      <c r="O231" s="10">
        <f>K231*N231</f>
        <v>0</v>
      </c>
    </row>
    <row r="232" spans="11:15">
      <c r="K232" s="10">
        <f>IFERROR(H232*I232*(1-IF(J232="",0,J232)),0)</f>
        <v>0</v>
      </c>
      <c r="L232" s="10">
        <f>K232*TVA</f>
        <v>0</v>
      </c>
      <c r="M232" s="10">
        <f>K232+L232</f>
        <v>0</v>
      </c>
      <c r="N232" s="8">
        <f>IFERROR(INDEX(Paramètres!$B$10:$B$12, MATCH(INDEX(Projet_Portefeuille!$D$2:$D$200, MATCH(A232,Projet_Portefeuille!$A$2:$A$200,0)), Paramètres!$A$10:$A$12, 0)), 1)</f>
        <v>0</v>
      </c>
      <c r="O232" s="10">
        <f>K232*N232</f>
        <v>0</v>
      </c>
    </row>
    <row r="233" spans="11:15">
      <c r="K233" s="10">
        <f>IFERROR(H233*I233*(1-IF(J233="",0,J233)),0)</f>
        <v>0</v>
      </c>
      <c r="L233" s="10">
        <f>K233*TVA</f>
        <v>0</v>
      </c>
      <c r="M233" s="10">
        <f>K233+L233</f>
        <v>0</v>
      </c>
      <c r="N233" s="8">
        <f>IFERROR(INDEX(Paramètres!$B$10:$B$12, MATCH(INDEX(Projet_Portefeuille!$D$2:$D$200, MATCH(A233,Projet_Portefeuille!$A$2:$A$200,0)), Paramètres!$A$10:$A$12, 0)), 1)</f>
        <v>0</v>
      </c>
      <c r="O233" s="10">
        <f>K233*N233</f>
        <v>0</v>
      </c>
    </row>
    <row r="234" spans="11:15">
      <c r="K234" s="10">
        <f>IFERROR(H234*I234*(1-IF(J234="",0,J234)),0)</f>
        <v>0</v>
      </c>
      <c r="L234" s="10">
        <f>K234*TVA</f>
        <v>0</v>
      </c>
      <c r="M234" s="10">
        <f>K234+L234</f>
        <v>0</v>
      </c>
      <c r="N234" s="8">
        <f>IFERROR(INDEX(Paramètres!$B$10:$B$12, MATCH(INDEX(Projet_Portefeuille!$D$2:$D$200, MATCH(A234,Projet_Portefeuille!$A$2:$A$200,0)), Paramètres!$A$10:$A$12, 0)), 1)</f>
        <v>0</v>
      </c>
      <c r="O234" s="10">
        <f>K234*N234</f>
        <v>0</v>
      </c>
    </row>
    <row r="235" spans="11:15">
      <c r="K235" s="10">
        <f>IFERROR(H235*I235*(1-IF(J235="",0,J235)),0)</f>
        <v>0</v>
      </c>
      <c r="L235" s="10">
        <f>K235*TVA</f>
        <v>0</v>
      </c>
      <c r="M235" s="10">
        <f>K235+L235</f>
        <v>0</v>
      </c>
      <c r="N235" s="8">
        <f>IFERROR(INDEX(Paramètres!$B$10:$B$12, MATCH(INDEX(Projet_Portefeuille!$D$2:$D$200, MATCH(A235,Projet_Portefeuille!$A$2:$A$200,0)), Paramètres!$A$10:$A$12, 0)), 1)</f>
        <v>0</v>
      </c>
      <c r="O235" s="10">
        <f>K235*N235</f>
        <v>0</v>
      </c>
    </row>
    <row r="236" spans="11:15">
      <c r="K236" s="10">
        <f>IFERROR(H236*I236*(1-IF(J236="",0,J236)),0)</f>
        <v>0</v>
      </c>
      <c r="L236" s="10">
        <f>K236*TVA</f>
        <v>0</v>
      </c>
      <c r="M236" s="10">
        <f>K236+L236</f>
        <v>0</v>
      </c>
      <c r="N236" s="8">
        <f>IFERROR(INDEX(Paramètres!$B$10:$B$12, MATCH(INDEX(Projet_Portefeuille!$D$2:$D$200, MATCH(A236,Projet_Portefeuille!$A$2:$A$200,0)), Paramètres!$A$10:$A$12, 0)), 1)</f>
        <v>0</v>
      </c>
      <c r="O236" s="10">
        <f>K236*N236</f>
        <v>0</v>
      </c>
    </row>
    <row r="237" spans="11:15">
      <c r="K237" s="10">
        <f>IFERROR(H237*I237*(1-IF(J237="",0,J237)),0)</f>
        <v>0</v>
      </c>
      <c r="L237" s="10">
        <f>K237*TVA</f>
        <v>0</v>
      </c>
      <c r="M237" s="10">
        <f>K237+L237</f>
        <v>0</v>
      </c>
      <c r="N237" s="8">
        <f>IFERROR(INDEX(Paramètres!$B$10:$B$12, MATCH(INDEX(Projet_Portefeuille!$D$2:$D$200, MATCH(A237,Projet_Portefeuille!$A$2:$A$200,0)), Paramètres!$A$10:$A$12, 0)), 1)</f>
        <v>0</v>
      </c>
      <c r="O237" s="10">
        <f>K237*N237</f>
        <v>0</v>
      </c>
    </row>
    <row r="238" spans="11:15">
      <c r="K238" s="10">
        <f>IFERROR(H238*I238*(1-IF(J238="",0,J238)),0)</f>
        <v>0</v>
      </c>
      <c r="L238" s="10">
        <f>K238*TVA</f>
        <v>0</v>
      </c>
      <c r="M238" s="10">
        <f>K238+L238</f>
        <v>0</v>
      </c>
      <c r="N238" s="8">
        <f>IFERROR(INDEX(Paramètres!$B$10:$B$12, MATCH(INDEX(Projet_Portefeuille!$D$2:$D$200, MATCH(A238,Projet_Portefeuille!$A$2:$A$200,0)), Paramètres!$A$10:$A$12, 0)), 1)</f>
        <v>0</v>
      </c>
      <c r="O238" s="10">
        <f>K238*N238</f>
        <v>0</v>
      </c>
    </row>
    <row r="239" spans="11:15">
      <c r="K239" s="10">
        <f>IFERROR(H239*I239*(1-IF(J239="",0,J239)),0)</f>
        <v>0</v>
      </c>
      <c r="L239" s="10">
        <f>K239*TVA</f>
        <v>0</v>
      </c>
      <c r="M239" s="10">
        <f>K239+L239</f>
        <v>0</v>
      </c>
      <c r="N239" s="8">
        <f>IFERROR(INDEX(Paramètres!$B$10:$B$12, MATCH(INDEX(Projet_Portefeuille!$D$2:$D$200, MATCH(A239,Projet_Portefeuille!$A$2:$A$200,0)), Paramètres!$A$10:$A$12, 0)), 1)</f>
        <v>0</v>
      </c>
      <c r="O239" s="10">
        <f>K239*N239</f>
        <v>0</v>
      </c>
    </row>
    <row r="240" spans="11:15">
      <c r="K240" s="10">
        <f>IFERROR(H240*I240*(1-IF(J240="",0,J240)),0)</f>
        <v>0</v>
      </c>
      <c r="L240" s="10">
        <f>K240*TVA</f>
        <v>0</v>
      </c>
      <c r="M240" s="10">
        <f>K240+L240</f>
        <v>0</v>
      </c>
      <c r="N240" s="8">
        <f>IFERROR(INDEX(Paramètres!$B$10:$B$12, MATCH(INDEX(Projet_Portefeuille!$D$2:$D$200, MATCH(A240,Projet_Portefeuille!$A$2:$A$200,0)), Paramètres!$A$10:$A$12, 0)), 1)</f>
        <v>0</v>
      </c>
      <c r="O240" s="10">
        <f>K240*N240</f>
        <v>0</v>
      </c>
    </row>
    <row r="241" spans="11:15">
      <c r="K241" s="10">
        <f>IFERROR(H241*I241*(1-IF(J241="",0,J241)),0)</f>
        <v>0</v>
      </c>
      <c r="L241" s="10">
        <f>K241*TVA</f>
        <v>0</v>
      </c>
      <c r="M241" s="10">
        <f>K241+L241</f>
        <v>0</v>
      </c>
      <c r="N241" s="8">
        <f>IFERROR(INDEX(Paramètres!$B$10:$B$12, MATCH(INDEX(Projet_Portefeuille!$D$2:$D$200, MATCH(A241,Projet_Portefeuille!$A$2:$A$200,0)), Paramètres!$A$10:$A$12, 0)), 1)</f>
        <v>0</v>
      </c>
      <c r="O241" s="10">
        <f>K241*N241</f>
        <v>0</v>
      </c>
    </row>
    <row r="242" spans="11:15">
      <c r="K242" s="10">
        <f>IFERROR(H242*I242*(1-IF(J242="",0,J242)),0)</f>
        <v>0</v>
      </c>
      <c r="L242" s="10">
        <f>K242*TVA</f>
        <v>0</v>
      </c>
      <c r="M242" s="10">
        <f>K242+L242</f>
        <v>0</v>
      </c>
      <c r="N242" s="8">
        <f>IFERROR(INDEX(Paramètres!$B$10:$B$12, MATCH(INDEX(Projet_Portefeuille!$D$2:$D$200, MATCH(A242,Projet_Portefeuille!$A$2:$A$200,0)), Paramètres!$A$10:$A$12, 0)), 1)</f>
        <v>0</v>
      </c>
      <c r="O242" s="10">
        <f>K242*N242</f>
        <v>0</v>
      </c>
    </row>
    <row r="243" spans="11:15">
      <c r="K243" s="10">
        <f>IFERROR(H243*I243*(1-IF(J243="",0,J243)),0)</f>
        <v>0</v>
      </c>
      <c r="L243" s="10">
        <f>K243*TVA</f>
        <v>0</v>
      </c>
      <c r="M243" s="10">
        <f>K243+L243</f>
        <v>0</v>
      </c>
      <c r="N243" s="8">
        <f>IFERROR(INDEX(Paramètres!$B$10:$B$12, MATCH(INDEX(Projet_Portefeuille!$D$2:$D$200, MATCH(A243,Projet_Portefeuille!$A$2:$A$200,0)), Paramètres!$A$10:$A$12, 0)), 1)</f>
        <v>0</v>
      </c>
      <c r="O243" s="10">
        <f>K243*N243</f>
        <v>0</v>
      </c>
    </row>
    <row r="244" spans="11:15">
      <c r="K244" s="10">
        <f>IFERROR(H244*I244*(1-IF(J244="",0,J244)),0)</f>
        <v>0</v>
      </c>
      <c r="L244" s="10">
        <f>K244*TVA</f>
        <v>0</v>
      </c>
      <c r="M244" s="10">
        <f>K244+L244</f>
        <v>0</v>
      </c>
      <c r="N244" s="8">
        <f>IFERROR(INDEX(Paramètres!$B$10:$B$12, MATCH(INDEX(Projet_Portefeuille!$D$2:$D$200, MATCH(A244,Projet_Portefeuille!$A$2:$A$200,0)), Paramètres!$A$10:$A$12, 0)), 1)</f>
        <v>0</v>
      </c>
      <c r="O244" s="10">
        <f>K244*N244</f>
        <v>0</v>
      </c>
    </row>
    <row r="245" spans="11:15">
      <c r="K245" s="10">
        <f>IFERROR(H245*I245*(1-IF(J245="",0,J245)),0)</f>
        <v>0</v>
      </c>
      <c r="L245" s="10">
        <f>K245*TVA</f>
        <v>0</v>
      </c>
      <c r="M245" s="10">
        <f>K245+L245</f>
        <v>0</v>
      </c>
      <c r="N245" s="8">
        <f>IFERROR(INDEX(Paramètres!$B$10:$B$12, MATCH(INDEX(Projet_Portefeuille!$D$2:$D$200, MATCH(A245,Projet_Portefeuille!$A$2:$A$200,0)), Paramètres!$A$10:$A$12, 0)), 1)</f>
        <v>0</v>
      </c>
      <c r="O245" s="10">
        <f>K245*N245</f>
        <v>0</v>
      </c>
    </row>
    <row r="246" spans="11:15">
      <c r="K246" s="10">
        <f>IFERROR(H246*I246*(1-IF(J246="",0,J246)),0)</f>
        <v>0</v>
      </c>
      <c r="L246" s="10">
        <f>K246*TVA</f>
        <v>0</v>
      </c>
      <c r="M246" s="10">
        <f>K246+L246</f>
        <v>0</v>
      </c>
      <c r="N246" s="8">
        <f>IFERROR(INDEX(Paramètres!$B$10:$B$12, MATCH(INDEX(Projet_Portefeuille!$D$2:$D$200, MATCH(A246,Projet_Portefeuille!$A$2:$A$200,0)), Paramètres!$A$10:$A$12, 0)), 1)</f>
        <v>0</v>
      </c>
      <c r="O246" s="10">
        <f>K246*N246</f>
        <v>0</v>
      </c>
    </row>
    <row r="247" spans="11:15">
      <c r="K247" s="10">
        <f>IFERROR(H247*I247*(1-IF(J247="",0,J247)),0)</f>
        <v>0</v>
      </c>
      <c r="L247" s="10">
        <f>K247*TVA</f>
        <v>0</v>
      </c>
      <c r="M247" s="10">
        <f>K247+L247</f>
        <v>0</v>
      </c>
      <c r="N247" s="8">
        <f>IFERROR(INDEX(Paramètres!$B$10:$B$12, MATCH(INDEX(Projet_Portefeuille!$D$2:$D$200, MATCH(A247,Projet_Portefeuille!$A$2:$A$200,0)), Paramètres!$A$10:$A$12, 0)), 1)</f>
        <v>0</v>
      </c>
      <c r="O247" s="10">
        <f>K247*N247</f>
        <v>0</v>
      </c>
    </row>
    <row r="248" spans="11:15">
      <c r="K248" s="10">
        <f>IFERROR(H248*I248*(1-IF(J248="",0,J248)),0)</f>
        <v>0</v>
      </c>
      <c r="L248" s="10">
        <f>K248*TVA</f>
        <v>0</v>
      </c>
      <c r="M248" s="10">
        <f>K248+L248</f>
        <v>0</v>
      </c>
      <c r="N248" s="8">
        <f>IFERROR(INDEX(Paramètres!$B$10:$B$12, MATCH(INDEX(Projet_Portefeuille!$D$2:$D$200, MATCH(A248,Projet_Portefeuille!$A$2:$A$200,0)), Paramètres!$A$10:$A$12, 0)), 1)</f>
        <v>0</v>
      </c>
      <c r="O248" s="10">
        <f>K248*N248</f>
        <v>0</v>
      </c>
    </row>
    <row r="249" spans="11:15">
      <c r="K249" s="10">
        <f>IFERROR(H249*I249*(1-IF(J249="",0,J249)),0)</f>
        <v>0</v>
      </c>
      <c r="L249" s="10">
        <f>K249*TVA</f>
        <v>0</v>
      </c>
      <c r="M249" s="10">
        <f>K249+L249</f>
        <v>0</v>
      </c>
      <c r="N249" s="8">
        <f>IFERROR(INDEX(Paramètres!$B$10:$B$12, MATCH(INDEX(Projet_Portefeuille!$D$2:$D$200, MATCH(A249,Projet_Portefeuille!$A$2:$A$200,0)), Paramètres!$A$10:$A$12, 0)), 1)</f>
        <v>0</v>
      </c>
      <c r="O249" s="10">
        <f>K249*N249</f>
        <v>0</v>
      </c>
    </row>
    <row r="250" spans="11:15">
      <c r="K250" s="10">
        <f>IFERROR(H250*I250*(1-IF(J250="",0,J250)),0)</f>
        <v>0</v>
      </c>
      <c r="L250" s="10">
        <f>K250*TVA</f>
        <v>0</v>
      </c>
      <c r="M250" s="10">
        <f>K250+L250</f>
        <v>0</v>
      </c>
      <c r="N250" s="8">
        <f>IFERROR(INDEX(Paramètres!$B$10:$B$12, MATCH(INDEX(Projet_Portefeuille!$D$2:$D$200, MATCH(A250,Projet_Portefeuille!$A$2:$A$200,0)), Paramètres!$A$10:$A$12, 0)), 1)</f>
        <v>0</v>
      </c>
      <c r="O250" s="10">
        <f>K250*N250</f>
        <v>0</v>
      </c>
    </row>
    <row r="251" spans="11:15">
      <c r="K251" s="10">
        <f>IFERROR(H251*I251*(1-IF(J251="",0,J251)),0)</f>
        <v>0</v>
      </c>
      <c r="L251" s="10">
        <f>K251*TVA</f>
        <v>0</v>
      </c>
      <c r="M251" s="10">
        <f>K251+L251</f>
        <v>0</v>
      </c>
      <c r="N251" s="8">
        <f>IFERROR(INDEX(Paramètres!$B$10:$B$12, MATCH(INDEX(Projet_Portefeuille!$D$2:$D$200, MATCH(A251,Projet_Portefeuille!$A$2:$A$200,0)), Paramètres!$A$10:$A$12, 0)), 1)</f>
        <v>0</v>
      </c>
      <c r="O251" s="10">
        <f>K251*N251</f>
        <v>0</v>
      </c>
    </row>
    <row r="252" spans="11:15">
      <c r="K252" s="10">
        <f>IFERROR(H252*I252*(1-IF(J252="",0,J252)),0)</f>
        <v>0</v>
      </c>
      <c r="L252" s="10">
        <f>K252*TVA</f>
        <v>0</v>
      </c>
      <c r="M252" s="10">
        <f>K252+L252</f>
        <v>0</v>
      </c>
      <c r="N252" s="8">
        <f>IFERROR(INDEX(Paramètres!$B$10:$B$12, MATCH(INDEX(Projet_Portefeuille!$D$2:$D$200, MATCH(A252,Projet_Portefeuille!$A$2:$A$200,0)), Paramètres!$A$10:$A$12, 0)), 1)</f>
        <v>0</v>
      </c>
      <c r="O252" s="10">
        <f>K252*N252</f>
        <v>0</v>
      </c>
    </row>
    <row r="253" spans="11:15">
      <c r="K253" s="10">
        <f>IFERROR(H253*I253*(1-IF(J253="",0,J253)),0)</f>
        <v>0</v>
      </c>
      <c r="L253" s="10">
        <f>K253*TVA</f>
        <v>0</v>
      </c>
      <c r="M253" s="10">
        <f>K253+L253</f>
        <v>0</v>
      </c>
      <c r="N253" s="8">
        <f>IFERROR(INDEX(Paramètres!$B$10:$B$12, MATCH(INDEX(Projet_Portefeuille!$D$2:$D$200, MATCH(A253,Projet_Portefeuille!$A$2:$A$200,0)), Paramètres!$A$10:$A$12, 0)), 1)</f>
        <v>0</v>
      </c>
      <c r="O253" s="10">
        <f>K253*N253</f>
        <v>0</v>
      </c>
    </row>
    <row r="254" spans="11:15">
      <c r="K254" s="10">
        <f>IFERROR(H254*I254*(1-IF(J254="",0,J254)),0)</f>
        <v>0</v>
      </c>
      <c r="L254" s="10">
        <f>K254*TVA</f>
        <v>0</v>
      </c>
      <c r="M254" s="10">
        <f>K254+L254</f>
        <v>0</v>
      </c>
      <c r="N254" s="8">
        <f>IFERROR(INDEX(Paramètres!$B$10:$B$12, MATCH(INDEX(Projet_Portefeuille!$D$2:$D$200, MATCH(A254,Projet_Portefeuille!$A$2:$A$200,0)), Paramètres!$A$10:$A$12, 0)), 1)</f>
        <v>0</v>
      </c>
      <c r="O254" s="10">
        <f>K254*N254</f>
        <v>0</v>
      </c>
    </row>
    <row r="255" spans="11:15">
      <c r="K255" s="10">
        <f>IFERROR(H255*I255*(1-IF(J255="",0,J255)),0)</f>
        <v>0</v>
      </c>
      <c r="L255" s="10">
        <f>K255*TVA</f>
        <v>0</v>
      </c>
      <c r="M255" s="10">
        <f>K255+L255</f>
        <v>0</v>
      </c>
      <c r="N255" s="8">
        <f>IFERROR(INDEX(Paramètres!$B$10:$B$12, MATCH(INDEX(Projet_Portefeuille!$D$2:$D$200, MATCH(A255,Projet_Portefeuille!$A$2:$A$200,0)), Paramètres!$A$10:$A$12, 0)), 1)</f>
        <v>0</v>
      </c>
      <c r="O255" s="10">
        <f>K255*N255</f>
        <v>0</v>
      </c>
    </row>
    <row r="256" spans="11:15">
      <c r="K256" s="10">
        <f>IFERROR(H256*I256*(1-IF(J256="",0,J256)),0)</f>
        <v>0</v>
      </c>
      <c r="L256" s="10">
        <f>K256*TVA</f>
        <v>0</v>
      </c>
      <c r="M256" s="10">
        <f>K256+L256</f>
        <v>0</v>
      </c>
      <c r="N256" s="8">
        <f>IFERROR(INDEX(Paramètres!$B$10:$B$12, MATCH(INDEX(Projet_Portefeuille!$D$2:$D$200, MATCH(A256,Projet_Portefeuille!$A$2:$A$200,0)), Paramètres!$A$10:$A$12, 0)), 1)</f>
        <v>0</v>
      </c>
      <c r="O256" s="10">
        <f>K256*N256</f>
        <v>0</v>
      </c>
    </row>
    <row r="257" spans="11:15">
      <c r="K257" s="10">
        <f>IFERROR(H257*I257*(1-IF(J257="",0,J257)),0)</f>
        <v>0</v>
      </c>
      <c r="L257" s="10">
        <f>K257*TVA</f>
        <v>0</v>
      </c>
      <c r="M257" s="10">
        <f>K257+L257</f>
        <v>0</v>
      </c>
      <c r="N257" s="8">
        <f>IFERROR(INDEX(Paramètres!$B$10:$B$12, MATCH(INDEX(Projet_Portefeuille!$D$2:$D$200, MATCH(A257,Projet_Portefeuille!$A$2:$A$200,0)), Paramètres!$A$10:$A$12, 0)), 1)</f>
        <v>0</v>
      </c>
      <c r="O257" s="10">
        <f>K257*N257</f>
        <v>0</v>
      </c>
    </row>
    <row r="258" spans="11:15">
      <c r="K258" s="10">
        <f>IFERROR(H258*I258*(1-IF(J258="",0,J258)),0)</f>
        <v>0</v>
      </c>
      <c r="L258" s="10">
        <f>K258*TVA</f>
        <v>0</v>
      </c>
      <c r="M258" s="10">
        <f>K258+L258</f>
        <v>0</v>
      </c>
      <c r="N258" s="8">
        <f>IFERROR(INDEX(Paramètres!$B$10:$B$12, MATCH(INDEX(Projet_Portefeuille!$D$2:$D$200, MATCH(A258,Projet_Portefeuille!$A$2:$A$200,0)), Paramètres!$A$10:$A$12, 0)), 1)</f>
        <v>0</v>
      </c>
      <c r="O258" s="10">
        <f>K258*N258</f>
        <v>0</v>
      </c>
    </row>
    <row r="259" spans="11:15">
      <c r="K259" s="10">
        <f>IFERROR(H259*I259*(1-IF(J259="",0,J259)),0)</f>
        <v>0</v>
      </c>
      <c r="L259" s="10">
        <f>K259*TVA</f>
        <v>0</v>
      </c>
      <c r="M259" s="10">
        <f>K259+L259</f>
        <v>0</v>
      </c>
      <c r="N259" s="8">
        <f>IFERROR(INDEX(Paramètres!$B$10:$B$12, MATCH(INDEX(Projet_Portefeuille!$D$2:$D$200, MATCH(A259,Projet_Portefeuille!$A$2:$A$200,0)), Paramètres!$A$10:$A$12, 0)), 1)</f>
        <v>0</v>
      </c>
      <c r="O259" s="10">
        <f>K259*N259</f>
        <v>0</v>
      </c>
    </row>
    <row r="260" spans="11:15">
      <c r="K260" s="10">
        <f>IFERROR(H260*I260*(1-IF(J260="",0,J260)),0)</f>
        <v>0</v>
      </c>
      <c r="L260" s="10">
        <f>K260*TVA</f>
        <v>0</v>
      </c>
      <c r="M260" s="10">
        <f>K260+L260</f>
        <v>0</v>
      </c>
      <c r="N260" s="8">
        <f>IFERROR(INDEX(Paramètres!$B$10:$B$12, MATCH(INDEX(Projet_Portefeuille!$D$2:$D$200, MATCH(A260,Projet_Portefeuille!$A$2:$A$200,0)), Paramètres!$A$10:$A$12, 0)), 1)</f>
        <v>0</v>
      </c>
      <c r="O260" s="10">
        <f>K260*N260</f>
        <v>0</v>
      </c>
    </row>
    <row r="261" spans="11:15">
      <c r="K261" s="10">
        <f>IFERROR(H261*I261*(1-IF(J261="",0,J261)),0)</f>
        <v>0</v>
      </c>
      <c r="L261" s="10">
        <f>K261*TVA</f>
        <v>0</v>
      </c>
      <c r="M261" s="10">
        <f>K261+L261</f>
        <v>0</v>
      </c>
      <c r="N261" s="8">
        <f>IFERROR(INDEX(Paramètres!$B$10:$B$12, MATCH(INDEX(Projet_Portefeuille!$D$2:$D$200, MATCH(A261,Projet_Portefeuille!$A$2:$A$200,0)), Paramètres!$A$10:$A$12, 0)), 1)</f>
        <v>0</v>
      </c>
      <c r="O261" s="10">
        <f>K261*N261</f>
        <v>0</v>
      </c>
    </row>
    <row r="262" spans="11:15">
      <c r="K262" s="10">
        <f>IFERROR(H262*I262*(1-IF(J262="",0,J262)),0)</f>
        <v>0</v>
      </c>
      <c r="L262" s="10">
        <f>K262*TVA</f>
        <v>0</v>
      </c>
      <c r="M262" s="10">
        <f>K262+L262</f>
        <v>0</v>
      </c>
      <c r="N262" s="8">
        <f>IFERROR(INDEX(Paramètres!$B$10:$B$12, MATCH(INDEX(Projet_Portefeuille!$D$2:$D$200, MATCH(A262,Projet_Portefeuille!$A$2:$A$200,0)), Paramètres!$A$10:$A$12, 0)), 1)</f>
        <v>0</v>
      </c>
      <c r="O262" s="10">
        <f>K262*N262</f>
        <v>0</v>
      </c>
    </row>
    <row r="263" spans="11:15">
      <c r="K263" s="10">
        <f>IFERROR(H263*I263*(1-IF(J263="",0,J263)),0)</f>
        <v>0</v>
      </c>
      <c r="L263" s="10">
        <f>K263*TVA</f>
        <v>0</v>
      </c>
      <c r="M263" s="10">
        <f>K263+L263</f>
        <v>0</v>
      </c>
      <c r="N263" s="8">
        <f>IFERROR(INDEX(Paramètres!$B$10:$B$12, MATCH(INDEX(Projet_Portefeuille!$D$2:$D$200, MATCH(A263,Projet_Portefeuille!$A$2:$A$200,0)), Paramètres!$A$10:$A$12, 0)), 1)</f>
        <v>0</v>
      </c>
      <c r="O263" s="10">
        <f>K263*N263</f>
        <v>0</v>
      </c>
    </row>
    <row r="264" spans="11:15">
      <c r="K264" s="10">
        <f>IFERROR(H264*I264*(1-IF(J264="",0,J264)),0)</f>
        <v>0</v>
      </c>
      <c r="L264" s="10">
        <f>K264*TVA</f>
        <v>0</v>
      </c>
      <c r="M264" s="10">
        <f>K264+L264</f>
        <v>0</v>
      </c>
      <c r="N264" s="8">
        <f>IFERROR(INDEX(Paramètres!$B$10:$B$12, MATCH(INDEX(Projet_Portefeuille!$D$2:$D$200, MATCH(A264,Projet_Portefeuille!$A$2:$A$200,0)), Paramètres!$A$10:$A$12, 0)), 1)</f>
        <v>0</v>
      </c>
      <c r="O264" s="10">
        <f>K264*N264</f>
        <v>0</v>
      </c>
    </row>
    <row r="265" spans="11:15">
      <c r="K265" s="10">
        <f>IFERROR(H265*I265*(1-IF(J265="",0,J265)),0)</f>
        <v>0</v>
      </c>
      <c r="L265" s="10">
        <f>K265*TVA</f>
        <v>0</v>
      </c>
      <c r="M265" s="10">
        <f>K265+L265</f>
        <v>0</v>
      </c>
      <c r="N265" s="8">
        <f>IFERROR(INDEX(Paramètres!$B$10:$B$12, MATCH(INDEX(Projet_Portefeuille!$D$2:$D$200, MATCH(A265,Projet_Portefeuille!$A$2:$A$200,0)), Paramètres!$A$10:$A$12, 0)), 1)</f>
        <v>0</v>
      </c>
      <c r="O265" s="10">
        <f>K265*N265</f>
        <v>0</v>
      </c>
    </row>
    <row r="266" spans="11:15">
      <c r="K266" s="10">
        <f>IFERROR(H266*I266*(1-IF(J266="",0,J266)),0)</f>
        <v>0</v>
      </c>
      <c r="L266" s="10">
        <f>K266*TVA</f>
        <v>0</v>
      </c>
      <c r="M266" s="10">
        <f>K266+L266</f>
        <v>0</v>
      </c>
      <c r="N266" s="8">
        <f>IFERROR(INDEX(Paramètres!$B$10:$B$12, MATCH(INDEX(Projet_Portefeuille!$D$2:$D$200, MATCH(A266,Projet_Portefeuille!$A$2:$A$200,0)), Paramètres!$A$10:$A$12, 0)), 1)</f>
        <v>0</v>
      </c>
      <c r="O266" s="10">
        <f>K266*N266</f>
        <v>0</v>
      </c>
    </row>
    <row r="267" spans="11:15">
      <c r="K267" s="10">
        <f>IFERROR(H267*I267*(1-IF(J267="",0,J267)),0)</f>
        <v>0</v>
      </c>
      <c r="L267" s="10">
        <f>K267*TVA</f>
        <v>0</v>
      </c>
      <c r="M267" s="10">
        <f>K267+L267</f>
        <v>0</v>
      </c>
      <c r="N267" s="8">
        <f>IFERROR(INDEX(Paramètres!$B$10:$B$12, MATCH(INDEX(Projet_Portefeuille!$D$2:$D$200, MATCH(A267,Projet_Portefeuille!$A$2:$A$200,0)), Paramètres!$A$10:$A$12, 0)), 1)</f>
        <v>0</v>
      </c>
      <c r="O267" s="10">
        <f>K267*N267</f>
        <v>0</v>
      </c>
    </row>
    <row r="268" spans="11:15">
      <c r="K268" s="10">
        <f>IFERROR(H268*I268*(1-IF(J268="",0,J268)),0)</f>
        <v>0</v>
      </c>
      <c r="L268" s="10">
        <f>K268*TVA</f>
        <v>0</v>
      </c>
      <c r="M268" s="10">
        <f>K268+L268</f>
        <v>0</v>
      </c>
      <c r="N268" s="8">
        <f>IFERROR(INDEX(Paramètres!$B$10:$B$12, MATCH(INDEX(Projet_Portefeuille!$D$2:$D$200, MATCH(A268,Projet_Portefeuille!$A$2:$A$200,0)), Paramètres!$A$10:$A$12, 0)), 1)</f>
        <v>0</v>
      </c>
      <c r="O268" s="10">
        <f>K268*N268</f>
        <v>0</v>
      </c>
    </row>
    <row r="269" spans="11:15">
      <c r="K269" s="10">
        <f>IFERROR(H269*I269*(1-IF(J269="",0,J269)),0)</f>
        <v>0</v>
      </c>
      <c r="L269" s="10">
        <f>K269*TVA</f>
        <v>0</v>
      </c>
      <c r="M269" s="10">
        <f>K269+L269</f>
        <v>0</v>
      </c>
      <c r="N269" s="8">
        <f>IFERROR(INDEX(Paramètres!$B$10:$B$12, MATCH(INDEX(Projet_Portefeuille!$D$2:$D$200, MATCH(A269,Projet_Portefeuille!$A$2:$A$200,0)), Paramètres!$A$10:$A$12, 0)), 1)</f>
        <v>0</v>
      </c>
      <c r="O269" s="10">
        <f>K269*N269</f>
        <v>0</v>
      </c>
    </row>
    <row r="270" spans="11:15">
      <c r="K270" s="10">
        <f>IFERROR(H270*I270*(1-IF(J270="",0,J270)),0)</f>
        <v>0</v>
      </c>
      <c r="L270" s="10">
        <f>K270*TVA</f>
        <v>0</v>
      </c>
      <c r="M270" s="10">
        <f>K270+L270</f>
        <v>0</v>
      </c>
      <c r="N270" s="8">
        <f>IFERROR(INDEX(Paramètres!$B$10:$B$12, MATCH(INDEX(Projet_Portefeuille!$D$2:$D$200, MATCH(A270,Projet_Portefeuille!$A$2:$A$200,0)), Paramètres!$A$10:$A$12, 0)), 1)</f>
        <v>0</v>
      </c>
      <c r="O270" s="10">
        <f>K270*N270</f>
        <v>0</v>
      </c>
    </row>
    <row r="271" spans="11:15">
      <c r="K271" s="10">
        <f>IFERROR(H271*I271*(1-IF(J271="",0,J271)),0)</f>
        <v>0</v>
      </c>
      <c r="L271" s="10">
        <f>K271*TVA</f>
        <v>0</v>
      </c>
      <c r="M271" s="10">
        <f>K271+L271</f>
        <v>0</v>
      </c>
      <c r="N271" s="8">
        <f>IFERROR(INDEX(Paramètres!$B$10:$B$12, MATCH(INDEX(Projet_Portefeuille!$D$2:$D$200, MATCH(A271,Projet_Portefeuille!$A$2:$A$200,0)), Paramètres!$A$10:$A$12, 0)), 1)</f>
        <v>0</v>
      </c>
      <c r="O271" s="10">
        <f>K271*N271</f>
        <v>0</v>
      </c>
    </row>
    <row r="272" spans="11:15">
      <c r="K272" s="10">
        <f>IFERROR(H272*I272*(1-IF(J272="",0,J272)),0)</f>
        <v>0</v>
      </c>
      <c r="L272" s="10">
        <f>K272*TVA</f>
        <v>0</v>
      </c>
      <c r="M272" s="10">
        <f>K272+L272</f>
        <v>0</v>
      </c>
      <c r="N272" s="8">
        <f>IFERROR(INDEX(Paramètres!$B$10:$B$12, MATCH(INDEX(Projet_Portefeuille!$D$2:$D$200, MATCH(A272,Projet_Portefeuille!$A$2:$A$200,0)), Paramètres!$A$10:$A$12, 0)), 1)</f>
        <v>0</v>
      </c>
      <c r="O272" s="10">
        <f>K272*N272</f>
        <v>0</v>
      </c>
    </row>
    <row r="273" spans="11:15">
      <c r="K273" s="10">
        <f>IFERROR(H273*I273*(1-IF(J273="",0,J273)),0)</f>
        <v>0</v>
      </c>
      <c r="L273" s="10">
        <f>K273*TVA</f>
        <v>0</v>
      </c>
      <c r="M273" s="10">
        <f>K273+L273</f>
        <v>0</v>
      </c>
      <c r="N273" s="8">
        <f>IFERROR(INDEX(Paramètres!$B$10:$B$12, MATCH(INDEX(Projet_Portefeuille!$D$2:$D$200, MATCH(A273,Projet_Portefeuille!$A$2:$A$200,0)), Paramètres!$A$10:$A$12, 0)), 1)</f>
        <v>0</v>
      </c>
      <c r="O273" s="10">
        <f>K273*N273</f>
        <v>0</v>
      </c>
    </row>
    <row r="274" spans="11:15">
      <c r="K274" s="10">
        <f>IFERROR(H274*I274*(1-IF(J274="",0,J274)),0)</f>
        <v>0</v>
      </c>
      <c r="L274" s="10">
        <f>K274*TVA</f>
        <v>0</v>
      </c>
      <c r="M274" s="10">
        <f>K274+L274</f>
        <v>0</v>
      </c>
      <c r="N274" s="8">
        <f>IFERROR(INDEX(Paramètres!$B$10:$B$12, MATCH(INDEX(Projet_Portefeuille!$D$2:$D$200, MATCH(A274,Projet_Portefeuille!$A$2:$A$200,0)), Paramètres!$A$10:$A$12, 0)), 1)</f>
        <v>0</v>
      </c>
      <c r="O274" s="10">
        <f>K274*N274</f>
        <v>0</v>
      </c>
    </row>
    <row r="275" spans="11:15">
      <c r="K275" s="10">
        <f>IFERROR(H275*I275*(1-IF(J275="",0,J275)),0)</f>
        <v>0</v>
      </c>
      <c r="L275" s="10">
        <f>K275*TVA</f>
        <v>0</v>
      </c>
      <c r="M275" s="10">
        <f>K275+L275</f>
        <v>0</v>
      </c>
      <c r="N275" s="8">
        <f>IFERROR(INDEX(Paramètres!$B$10:$B$12, MATCH(INDEX(Projet_Portefeuille!$D$2:$D$200, MATCH(A275,Projet_Portefeuille!$A$2:$A$200,0)), Paramètres!$A$10:$A$12, 0)), 1)</f>
        <v>0</v>
      </c>
      <c r="O275" s="10">
        <f>K275*N275</f>
        <v>0</v>
      </c>
    </row>
    <row r="276" spans="11:15">
      <c r="K276" s="10">
        <f>IFERROR(H276*I276*(1-IF(J276="",0,J276)),0)</f>
        <v>0</v>
      </c>
      <c r="L276" s="10">
        <f>K276*TVA</f>
        <v>0</v>
      </c>
      <c r="M276" s="10">
        <f>K276+L276</f>
        <v>0</v>
      </c>
      <c r="N276" s="8">
        <f>IFERROR(INDEX(Paramètres!$B$10:$B$12, MATCH(INDEX(Projet_Portefeuille!$D$2:$D$200, MATCH(A276,Projet_Portefeuille!$A$2:$A$200,0)), Paramètres!$A$10:$A$12, 0)), 1)</f>
        <v>0</v>
      </c>
      <c r="O276" s="10">
        <f>K276*N276</f>
        <v>0</v>
      </c>
    </row>
    <row r="277" spans="11:15">
      <c r="K277" s="10">
        <f>IFERROR(H277*I277*(1-IF(J277="",0,J277)),0)</f>
        <v>0</v>
      </c>
      <c r="L277" s="10">
        <f>K277*TVA</f>
        <v>0</v>
      </c>
      <c r="M277" s="10">
        <f>K277+L277</f>
        <v>0</v>
      </c>
      <c r="N277" s="8">
        <f>IFERROR(INDEX(Paramètres!$B$10:$B$12, MATCH(INDEX(Projet_Portefeuille!$D$2:$D$200, MATCH(A277,Projet_Portefeuille!$A$2:$A$200,0)), Paramètres!$A$10:$A$12, 0)), 1)</f>
        <v>0</v>
      </c>
      <c r="O277" s="10">
        <f>K277*N277</f>
        <v>0</v>
      </c>
    </row>
    <row r="278" spans="11:15">
      <c r="K278" s="10">
        <f>IFERROR(H278*I278*(1-IF(J278="",0,J278)),0)</f>
        <v>0</v>
      </c>
      <c r="L278" s="10">
        <f>K278*TVA</f>
        <v>0</v>
      </c>
      <c r="M278" s="10">
        <f>K278+L278</f>
        <v>0</v>
      </c>
      <c r="N278" s="8">
        <f>IFERROR(INDEX(Paramètres!$B$10:$B$12, MATCH(INDEX(Projet_Portefeuille!$D$2:$D$200, MATCH(A278,Projet_Portefeuille!$A$2:$A$200,0)), Paramètres!$A$10:$A$12, 0)), 1)</f>
        <v>0</v>
      </c>
      <c r="O278" s="10">
        <f>K278*N278</f>
        <v>0</v>
      </c>
    </row>
    <row r="279" spans="11:15">
      <c r="K279" s="10">
        <f>IFERROR(H279*I279*(1-IF(J279="",0,J279)),0)</f>
        <v>0</v>
      </c>
      <c r="L279" s="10">
        <f>K279*TVA</f>
        <v>0</v>
      </c>
      <c r="M279" s="10">
        <f>K279+L279</f>
        <v>0</v>
      </c>
      <c r="N279" s="8">
        <f>IFERROR(INDEX(Paramètres!$B$10:$B$12, MATCH(INDEX(Projet_Portefeuille!$D$2:$D$200, MATCH(A279,Projet_Portefeuille!$A$2:$A$200,0)), Paramètres!$A$10:$A$12, 0)), 1)</f>
        <v>0</v>
      </c>
      <c r="O279" s="10">
        <f>K279*N279</f>
        <v>0</v>
      </c>
    </row>
    <row r="280" spans="11:15">
      <c r="K280" s="10">
        <f>IFERROR(H280*I280*(1-IF(J280="",0,J280)),0)</f>
        <v>0</v>
      </c>
      <c r="L280" s="10">
        <f>K280*TVA</f>
        <v>0</v>
      </c>
      <c r="M280" s="10">
        <f>K280+L280</f>
        <v>0</v>
      </c>
      <c r="N280" s="8">
        <f>IFERROR(INDEX(Paramètres!$B$10:$B$12, MATCH(INDEX(Projet_Portefeuille!$D$2:$D$200, MATCH(A280,Projet_Portefeuille!$A$2:$A$200,0)), Paramètres!$A$10:$A$12, 0)), 1)</f>
        <v>0</v>
      </c>
      <c r="O280" s="10">
        <f>K280*N280</f>
        <v>0</v>
      </c>
    </row>
    <row r="281" spans="11:15">
      <c r="K281" s="10">
        <f>IFERROR(H281*I281*(1-IF(J281="",0,J281)),0)</f>
        <v>0</v>
      </c>
      <c r="L281" s="10">
        <f>K281*TVA</f>
        <v>0</v>
      </c>
      <c r="M281" s="10">
        <f>K281+L281</f>
        <v>0</v>
      </c>
      <c r="N281" s="8">
        <f>IFERROR(INDEX(Paramètres!$B$10:$B$12, MATCH(INDEX(Projet_Portefeuille!$D$2:$D$200, MATCH(A281,Projet_Portefeuille!$A$2:$A$200,0)), Paramètres!$A$10:$A$12, 0)), 1)</f>
        <v>0</v>
      </c>
      <c r="O281" s="10">
        <f>K281*N281</f>
        <v>0</v>
      </c>
    </row>
    <row r="282" spans="11:15">
      <c r="K282" s="10">
        <f>IFERROR(H282*I282*(1-IF(J282="",0,J282)),0)</f>
        <v>0</v>
      </c>
      <c r="L282" s="10">
        <f>K282*TVA</f>
        <v>0</v>
      </c>
      <c r="M282" s="10">
        <f>K282+L282</f>
        <v>0</v>
      </c>
      <c r="N282" s="8">
        <f>IFERROR(INDEX(Paramètres!$B$10:$B$12, MATCH(INDEX(Projet_Portefeuille!$D$2:$D$200, MATCH(A282,Projet_Portefeuille!$A$2:$A$200,0)), Paramètres!$A$10:$A$12, 0)), 1)</f>
        <v>0</v>
      </c>
      <c r="O282" s="10">
        <f>K282*N282</f>
        <v>0</v>
      </c>
    </row>
    <row r="283" spans="11:15">
      <c r="K283" s="10">
        <f>IFERROR(H283*I283*(1-IF(J283="",0,J283)),0)</f>
        <v>0</v>
      </c>
      <c r="L283" s="10">
        <f>K283*TVA</f>
        <v>0</v>
      </c>
      <c r="M283" s="10">
        <f>K283+L283</f>
        <v>0</v>
      </c>
      <c r="N283" s="8">
        <f>IFERROR(INDEX(Paramètres!$B$10:$B$12, MATCH(INDEX(Projet_Portefeuille!$D$2:$D$200, MATCH(A283,Projet_Portefeuille!$A$2:$A$200,0)), Paramètres!$A$10:$A$12, 0)), 1)</f>
        <v>0</v>
      </c>
      <c r="O283" s="10">
        <f>K283*N283</f>
        <v>0</v>
      </c>
    </row>
    <row r="284" spans="11:15">
      <c r="K284" s="10">
        <f>IFERROR(H284*I284*(1-IF(J284="",0,J284)),0)</f>
        <v>0</v>
      </c>
      <c r="L284" s="10">
        <f>K284*TVA</f>
        <v>0</v>
      </c>
      <c r="M284" s="10">
        <f>K284+L284</f>
        <v>0</v>
      </c>
      <c r="N284" s="8">
        <f>IFERROR(INDEX(Paramètres!$B$10:$B$12, MATCH(INDEX(Projet_Portefeuille!$D$2:$D$200, MATCH(A284,Projet_Portefeuille!$A$2:$A$200,0)), Paramètres!$A$10:$A$12, 0)), 1)</f>
        <v>0</v>
      </c>
      <c r="O284" s="10">
        <f>K284*N284</f>
        <v>0</v>
      </c>
    </row>
    <row r="285" spans="11:15">
      <c r="K285" s="10">
        <f>IFERROR(H285*I285*(1-IF(J285="",0,J285)),0)</f>
        <v>0</v>
      </c>
      <c r="L285" s="10">
        <f>K285*TVA</f>
        <v>0</v>
      </c>
      <c r="M285" s="10">
        <f>K285+L285</f>
        <v>0</v>
      </c>
      <c r="N285" s="8">
        <f>IFERROR(INDEX(Paramètres!$B$10:$B$12, MATCH(INDEX(Projet_Portefeuille!$D$2:$D$200, MATCH(A285,Projet_Portefeuille!$A$2:$A$200,0)), Paramètres!$A$10:$A$12, 0)), 1)</f>
        <v>0</v>
      </c>
      <c r="O285" s="10">
        <f>K285*N285</f>
        <v>0</v>
      </c>
    </row>
    <row r="286" spans="11:15">
      <c r="K286" s="10">
        <f>IFERROR(H286*I286*(1-IF(J286="",0,J286)),0)</f>
        <v>0</v>
      </c>
      <c r="L286" s="10">
        <f>K286*TVA</f>
        <v>0</v>
      </c>
      <c r="M286" s="10">
        <f>K286+L286</f>
        <v>0</v>
      </c>
      <c r="N286" s="8">
        <f>IFERROR(INDEX(Paramètres!$B$10:$B$12, MATCH(INDEX(Projet_Portefeuille!$D$2:$D$200, MATCH(A286,Projet_Portefeuille!$A$2:$A$200,0)), Paramètres!$A$10:$A$12, 0)), 1)</f>
        <v>0</v>
      </c>
      <c r="O286" s="10">
        <f>K286*N286</f>
        <v>0</v>
      </c>
    </row>
    <row r="287" spans="11:15">
      <c r="K287" s="10">
        <f>IFERROR(H287*I287*(1-IF(J287="",0,J287)),0)</f>
        <v>0</v>
      </c>
      <c r="L287" s="10">
        <f>K287*TVA</f>
        <v>0</v>
      </c>
      <c r="M287" s="10">
        <f>K287+L287</f>
        <v>0</v>
      </c>
      <c r="N287" s="8">
        <f>IFERROR(INDEX(Paramètres!$B$10:$B$12, MATCH(INDEX(Projet_Portefeuille!$D$2:$D$200, MATCH(A287,Projet_Portefeuille!$A$2:$A$200,0)), Paramètres!$A$10:$A$12, 0)), 1)</f>
        <v>0</v>
      </c>
      <c r="O287" s="10">
        <f>K287*N287</f>
        <v>0</v>
      </c>
    </row>
    <row r="288" spans="11:15">
      <c r="K288" s="10">
        <f>IFERROR(H288*I288*(1-IF(J288="",0,J288)),0)</f>
        <v>0</v>
      </c>
      <c r="L288" s="10">
        <f>K288*TVA</f>
        <v>0</v>
      </c>
      <c r="M288" s="10">
        <f>K288+L288</f>
        <v>0</v>
      </c>
      <c r="N288" s="8">
        <f>IFERROR(INDEX(Paramètres!$B$10:$B$12, MATCH(INDEX(Projet_Portefeuille!$D$2:$D$200, MATCH(A288,Projet_Portefeuille!$A$2:$A$200,0)), Paramètres!$A$10:$A$12, 0)), 1)</f>
        <v>0</v>
      </c>
      <c r="O288" s="10">
        <f>K288*N288</f>
        <v>0</v>
      </c>
    </row>
    <row r="289" spans="10:15">
      <c r="K289" s="10">
        <f>IFERROR(H289*I289*(1-IF(J289="",0,J289)),0)</f>
        <v>0</v>
      </c>
      <c r="L289" s="10">
        <f>K289*TVA</f>
        <v>0</v>
      </c>
      <c r="M289" s="10">
        <f>K289+L289</f>
        <v>0</v>
      </c>
      <c r="N289" s="8">
        <f>IFERROR(INDEX(Paramètres!$B$10:$B$12, MATCH(INDEX(Projet_Portefeuille!$D$2:$D$200, MATCH(A289,Projet_Portefeuille!$A$2:$A$200,0)), Paramètres!$A$10:$A$12, 0)), 1)</f>
        <v>0</v>
      </c>
      <c r="O289" s="10">
        <f>K289*N289</f>
        <v>0</v>
      </c>
    </row>
    <row r="290" spans="10:15">
      <c r="K290" s="10">
        <f>IFERROR(H290*I290*(1-IF(J290="",0,J290)),0)</f>
        <v>0</v>
      </c>
      <c r="L290" s="10">
        <f>K290*TVA</f>
        <v>0</v>
      </c>
      <c r="M290" s="10">
        <f>K290+L290</f>
        <v>0</v>
      </c>
      <c r="N290" s="8">
        <f>IFERROR(INDEX(Paramètres!$B$10:$B$12, MATCH(INDEX(Projet_Portefeuille!$D$2:$D$200, MATCH(A290,Projet_Portefeuille!$A$2:$A$200,0)), Paramètres!$A$10:$A$12, 0)), 1)</f>
        <v>0</v>
      </c>
      <c r="O290" s="10">
        <f>K290*N290</f>
        <v>0</v>
      </c>
    </row>
    <row r="291" spans="10:15">
      <c r="K291" s="10">
        <f>IFERROR(H291*I291*(1-IF(J291="",0,J291)),0)</f>
        <v>0</v>
      </c>
      <c r="L291" s="10">
        <f>K291*TVA</f>
        <v>0</v>
      </c>
      <c r="M291" s="10">
        <f>K291+L291</f>
        <v>0</v>
      </c>
      <c r="N291" s="8">
        <f>IFERROR(INDEX(Paramètres!$B$10:$B$12, MATCH(INDEX(Projet_Portefeuille!$D$2:$D$200, MATCH(A291,Projet_Portefeuille!$A$2:$A$200,0)), Paramètres!$A$10:$A$12, 0)), 1)</f>
        <v>0</v>
      </c>
      <c r="O291" s="10">
        <f>K291*N291</f>
        <v>0</v>
      </c>
    </row>
    <row r="292" spans="10:15">
      <c r="K292" s="10">
        <f>IFERROR(H292*I292*(1-IF(J292="",0,J292)),0)</f>
        <v>0</v>
      </c>
      <c r="L292" s="10">
        <f>K292*TVA</f>
        <v>0</v>
      </c>
      <c r="M292" s="10">
        <f>K292+L292</f>
        <v>0</v>
      </c>
      <c r="N292" s="8">
        <f>IFERROR(INDEX(Paramètres!$B$10:$B$12, MATCH(INDEX(Projet_Portefeuille!$D$2:$D$200, MATCH(A292,Projet_Portefeuille!$A$2:$A$200,0)), Paramètres!$A$10:$A$12, 0)), 1)</f>
        <v>0</v>
      </c>
      <c r="O292" s="10">
        <f>K292*N292</f>
        <v>0</v>
      </c>
    </row>
    <row r="293" spans="10:15">
      <c r="K293" s="10">
        <f>IFERROR(H293*I293*(1-IF(J293="",0,J293)),0)</f>
        <v>0</v>
      </c>
      <c r="L293" s="10">
        <f>K293*TVA</f>
        <v>0</v>
      </c>
      <c r="M293" s="10">
        <f>K293+L293</f>
        <v>0</v>
      </c>
      <c r="N293" s="8">
        <f>IFERROR(INDEX(Paramètres!$B$10:$B$12, MATCH(INDEX(Projet_Portefeuille!$D$2:$D$200, MATCH(A293,Projet_Portefeuille!$A$2:$A$200,0)), Paramètres!$A$10:$A$12, 0)), 1)</f>
        <v>0</v>
      </c>
      <c r="O293" s="10">
        <f>K293*N293</f>
        <v>0</v>
      </c>
    </row>
    <row r="294" spans="10:15">
      <c r="K294" s="10">
        <f>IFERROR(H294*I294*(1-IF(J294="",0,J294)),0)</f>
        <v>0</v>
      </c>
      <c r="L294" s="10">
        <f>K294*TVA</f>
        <v>0</v>
      </c>
      <c r="M294" s="10">
        <f>K294+L294</f>
        <v>0</v>
      </c>
      <c r="N294" s="8">
        <f>IFERROR(INDEX(Paramètres!$B$10:$B$12, MATCH(INDEX(Projet_Portefeuille!$D$2:$D$200, MATCH(A294,Projet_Portefeuille!$A$2:$A$200,0)), Paramètres!$A$10:$A$12, 0)), 1)</f>
        <v>0</v>
      </c>
      <c r="O294" s="10">
        <f>K294*N294</f>
        <v>0</v>
      </c>
    </row>
    <row r="295" spans="10:15">
      <c r="K295" s="10">
        <f>IFERROR(H295*I295*(1-IF(J295="",0,J295)),0)</f>
        <v>0</v>
      </c>
      <c r="L295" s="10">
        <f>K295*TVA</f>
        <v>0</v>
      </c>
      <c r="M295" s="10">
        <f>K295+L295</f>
        <v>0</v>
      </c>
      <c r="N295" s="8">
        <f>IFERROR(INDEX(Paramètres!$B$10:$B$12, MATCH(INDEX(Projet_Portefeuille!$D$2:$D$200, MATCH(A295,Projet_Portefeuille!$A$2:$A$200,0)), Paramètres!$A$10:$A$12, 0)), 1)</f>
        <v>0</v>
      </c>
      <c r="O295" s="10">
        <f>K295*N295</f>
        <v>0</v>
      </c>
    </row>
    <row r="296" spans="10:15">
      <c r="K296" s="10">
        <f>IFERROR(H296*I296*(1-IF(J296="",0,J296)),0)</f>
        <v>0</v>
      </c>
      <c r="L296" s="10">
        <f>K296*TVA</f>
        <v>0</v>
      </c>
      <c r="M296" s="10">
        <f>K296+L296</f>
        <v>0</v>
      </c>
      <c r="N296" s="8">
        <f>IFERROR(INDEX(Paramètres!$B$10:$B$12, MATCH(INDEX(Projet_Portefeuille!$D$2:$D$200, MATCH(A296,Projet_Portefeuille!$A$2:$A$200,0)), Paramètres!$A$10:$A$12, 0)), 1)</f>
        <v>0</v>
      </c>
      <c r="O296" s="10">
        <f>K296*N296</f>
        <v>0</v>
      </c>
    </row>
    <row r="297" spans="10:15">
      <c r="K297" s="10">
        <f>IFERROR(H297*I297*(1-IF(J297="",0,J297)),0)</f>
        <v>0</v>
      </c>
      <c r="L297" s="10">
        <f>K297*TVA</f>
        <v>0</v>
      </c>
      <c r="M297" s="10">
        <f>K297+L297</f>
        <v>0</v>
      </c>
      <c r="N297" s="8">
        <f>IFERROR(INDEX(Paramètres!$B$10:$B$12, MATCH(INDEX(Projet_Portefeuille!$D$2:$D$200, MATCH(A297,Projet_Portefeuille!$A$2:$A$200,0)), Paramètres!$A$10:$A$12, 0)), 1)</f>
        <v>0</v>
      </c>
      <c r="O297" s="10">
        <f>K297*N297</f>
        <v>0</v>
      </c>
    </row>
    <row r="298" spans="10:15">
      <c r="K298" s="10">
        <f>IFERROR(H298*I298*(1-IF(J298="",0,J298)),0)</f>
        <v>0</v>
      </c>
      <c r="L298" s="10">
        <f>K298*TVA</f>
        <v>0</v>
      </c>
      <c r="M298" s="10">
        <f>K298+L298</f>
        <v>0</v>
      </c>
      <c r="N298" s="8">
        <f>IFERROR(INDEX(Paramètres!$B$10:$B$12, MATCH(INDEX(Projet_Portefeuille!$D$2:$D$200, MATCH(A298,Projet_Portefeuille!$A$2:$A$200,0)), Paramètres!$A$10:$A$12, 0)), 1)</f>
        <v>0</v>
      </c>
      <c r="O298" s="10">
        <f>K298*N298</f>
        <v>0</v>
      </c>
    </row>
    <row r="299" spans="10:15">
      <c r="K299" s="10">
        <f>IFERROR(H299*I299*(1-IF(J299="",0,J299)),0)</f>
        <v>0</v>
      </c>
      <c r="L299" s="10">
        <f>K299*TVA</f>
        <v>0</v>
      </c>
      <c r="M299" s="10">
        <f>K299+L299</f>
        <v>0</v>
      </c>
      <c r="N299" s="8">
        <f>IFERROR(INDEX(Paramètres!$B$10:$B$12, MATCH(INDEX(Projet_Portefeuille!$D$2:$D$200, MATCH(A299,Projet_Portefeuille!$A$2:$A$200,0)), Paramètres!$A$10:$A$12, 0)), 1)</f>
        <v>0</v>
      </c>
      <c r="O299" s="10">
        <f>K299*N299</f>
        <v>0</v>
      </c>
    </row>
    <row r="300" spans="10:15">
      <c r="K300" s="10">
        <f>IFERROR(H300*I300*(1-IF(J300="",0,J300)),0)</f>
        <v>0</v>
      </c>
      <c r="L300" s="10">
        <f>K300*TVA</f>
        <v>0</v>
      </c>
      <c r="M300" s="10">
        <f>K300+L300</f>
        <v>0</v>
      </c>
      <c r="N300" s="8">
        <f>IFERROR(INDEX(Paramètres!$B$10:$B$12, MATCH(INDEX(Projet_Portefeuille!$D$2:$D$200, MATCH(A300,Projet_Portefeuille!$A$2:$A$200,0)), Paramètres!$A$10:$A$12, 0)), 1)</f>
        <v>0</v>
      </c>
      <c r="O300" s="10">
        <f>K300*N300</f>
        <v>0</v>
      </c>
    </row>
    <row r="301" spans="10:15">
      <c r="K301" s="10">
        <f>IFERROR(H301*I301*(1-IF(J301="",0,J301)),0)</f>
        <v>0</v>
      </c>
      <c r="L301" s="10">
        <f>K301*TVA</f>
        <v>0</v>
      </c>
      <c r="M301" s="10">
        <f>K301+L301</f>
        <v>0</v>
      </c>
      <c r="N301" s="8">
        <f>IFERROR(INDEX(Paramètres!$B$10:$B$12, MATCH(INDEX(Projet_Portefeuille!$D$2:$D$200, MATCH(A301,Projet_Portefeuille!$A$2:$A$200,0)), Paramètres!$A$10:$A$12, 0)), 1)</f>
        <v>0</v>
      </c>
      <c r="O301" s="10">
        <f>K301*N301</f>
        <v>0</v>
      </c>
    </row>
    <row r="304" spans="10:15">
      <c r="J304" s="11" t="s">
        <v>78</v>
      </c>
      <c r="K304" s="12">
        <f>SUM(K2:K301)</f>
        <v>0</v>
      </c>
    </row>
    <row r="305" spans="14:15">
      <c r="N305" s="11" t="s">
        <v>79</v>
      </c>
      <c r="O305" s="12">
        <f>SUM(O2:O301)</f>
        <v>0</v>
      </c>
    </row>
  </sheetData>
  <dataValidations count="1200">
    <dataValidation type="list" allowBlank="1" showInputMessage="1" showErrorMessage="1" sqref="E2">
      <formula1>Capex,Opex</formula1>
    </dataValidation>
    <dataValidation type="list" allowBlank="1" showInputMessage="1" showErrorMessage="1" sqref="F2">
      <formula1>Ressource,Achat,Sous-traitance,Dépense</formula1>
    </dataValidation>
    <dataValidation type="list" allowBlank="1" showInputMessage="1" showErrorMessage="1" sqref="G2">
      <formula1>h,u,lot,jour,km</formula1>
    </dataValidation>
    <dataValidation type="list" allowBlank="1" showInputMessage="1" showErrorMessage="1" sqref="P2">
      <formula1>Fixe,Variable</formula1>
    </dataValidation>
    <dataValidation type="list" allowBlank="1" showInputMessage="1" showErrorMessage="1" sqref="E3">
      <formula1>Capex,Opex</formula1>
    </dataValidation>
    <dataValidation type="list" allowBlank="1" showInputMessage="1" showErrorMessage="1" sqref="F3">
      <formula1>Ressource,Achat,Sous-traitance,Dépense</formula1>
    </dataValidation>
    <dataValidation type="list" allowBlank="1" showInputMessage="1" showErrorMessage="1" sqref="G3">
      <formula1>h,u,lot,jour,km</formula1>
    </dataValidation>
    <dataValidation type="list" allowBlank="1" showInputMessage="1" showErrorMessage="1" sqref="P3">
      <formula1>Fixe,Variable</formula1>
    </dataValidation>
    <dataValidation type="list" allowBlank="1" showInputMessage="1" showErrorMessage="1" sqref="E4">
      <formula1>Capex,Opex</formula1>
    </dataValidation>
    <dataValidation type="list" allowBlank="1" showInputMessage="1" showErrorMessage="1" sqref="F4">
      <formula1>Ressource,Achat,Sous-traitance,Dépense</formula1>
    </dataValidation>
    <dataValidation type="list" allowBlank="1" showInputMessage="1" showErrorMessage="1" sqref="G4">
      <formula1>h,u,lot,jour,km</formula1>
    </dataValidation>
    <dataValidation type="list" allowBlank="1" showInputMessage="1" showErrorMessage="1" sqref="P4">
      <formula1>Fixe,Variable</formula1>
    </dataValidation>
    <dataValidation type="list" allowBlank="1" showInputMessage="1" showErrorMessage="1" sqref="E5">
      <formula1>Capex,Opex</formula1>
    </dataValidation>
    <dataValidation type="list" allowBlank="1" showInputMessage="1" showErrorMessage="1" sqref="F5">
      <formula1>Ressource,Achat,Sous-traitance,Dépense</formula1>
    </dataValidation>
    <dataValidation type="list" allowBlank="1" showInputMessage="1" showErrorMessage="1" sqref="G5">
      <formula1>h,u,lot,jour,km</formula1>
    </dataValidation>
    <dataValidation type="list" allowBlank="1" showInputMessage="1" showErrorMessage="1" sqref="P5">
      <formula1>Fixe,Variable</formula1>
    </dataValidation>
    <dataValidation type="list" allowBlank="1" showInputMessage="1" showErrorMessage="1" sqref="E6">
      <formula1>Capex,Opex</formula1>
    </dataValidation>
    <dataValidation type="list" allowBlank="1" showInputMessage="1" showErrorMessage="1" sqref="F6">
      <formula1>Ressource,Achat,Sous-traitance,Dépense</formula1>
    </dataValidation>
    <dataValidation type="list" allowBlank="1" showInputMessage="1" showErrorMessage="1" sqref="G6">
      <formula1>h,u,lot,jour,km</formula1>
    </dataValidation>
    <dataValidation type="list" allowBlank="1" showInputMessage="1" showErrorMessage="1" sqref="P6">
      <formula1>Fixe,Variable</formula1>
    </dataValidation>
    <dataValidation type="list" allowBlank="1" showInputMessage="1" showErrorMessage="1" sqref="E7">
      <formula1>Capex,Opex</formula1>
    </dataValidation>
    <dataValidation type="list" allowBlank="1" showInputMessage="1" showErrorMessage="1" sqref="F7">
      <formula1>Ressource,Achat,Sous-traitance,Dépense</formula1>
    </dataValidation>
    <dataValidation type="list" allowBlank="1" showInputMessage="1" showErrorMessage="1" sqref="G7">
      <formula1>h,u,lot,jour,km</formula1>
    </dataValidation>
    <dataValidation type="list" allowBlank="1" showInputMessage="1" showErrorMessage="1" sqref="P7">
      <formula1>Fixe,Variable</formula1>
    </dataValidation>
    <dataValidation type="list" allowBlank="1" showInputMessage="1" showErrorMessage="1" sqref="E8">
      <formula1>Capex,Opex</formula1>
    </dataValidation>
    <dataValidation type="list" allowBlank="1" showInputMessage="1" showErrorMessage="1" sqref="F8">
      <formula1>Ressource,Achat,Sous-traitance,Dépense</formula1>
    </dataValidation>
    <dataValidation type="list" allowBlank="1" showInputMessage="1" showErrorMessage="1" sqref="G8">
      <formula1>h,u,lot,jour,km</formula1>
    </dataValidation>
    <dataValidation type="list" allowBlank="1" showInputMessage="1" showErrorMessage="1" sqref="P8">
      <formula1>Fixe,Variable</formula1>
    </dataValidation>
    <dataValidation type="list" allowBlank="1" showInputMessage="1" showErrorMessage="1" sqref="E9">
      <formula1>Capex,Opex</formula1>
    </dataValidation>
    <dataValidation type="list" allowBlank="1" showInputMessage="1" showErrorMessage="1" sqref="F9">
      <formula1>Ressource,Achat,Sous-traitance,Dépense</formula1>
    </dataValidation>
    <dataValidation type="list" allowBlank="1" showInputMessage="1" showErrorMessage="1" sqref="G9">
      <formula1>h,u,lot,jour,km</formula1>
    </dataValidation>
    <dataValidation type="list" allowBlank="1" showInputMessage="1" showErrorMessage="1" sqref="P9">
      <formula1>Fixe,Variable</formula1>
    </dataValidation>
    <dataValidation type="list" allowBlank="1" showInputMessage="1" showErrorMessage="1" sqref="E10">
      <formula1>Capex,Opex</formula1>
    </dataValidation>
    <dataValidation type="list" allowBlank="1" showInputMessage="1" showErrorMessage="1" sqref="F10">
      <formula1>Ressource,Achat,Sous-traitance,Dépense</formula1>
    </dataValidation>
    <dataValidation type="list" allowBlank="1" showInputMessage="1" showErrorMessage="1" sqref="G10">
      <formula1>h,u,lot,jour,km</formula1>
    </dataValidation>
    <dataValidation type="list" allowBlank="1" showInputMessage="1" showErrorMessage="1" sqref="P10">
      <formula1>Fixe,Variable</formula1>
    </dataValidation>
    <dataValidation type="list" allowBlank="1" showInputMessage="1" showErrorMessage="1" sqref="E11">
      <formula1>Capex,Opex</formula1>
    </dataValidation>
    <dataValidation type="list" allowBlank="1" showInputMessage="1" showErrorMessage="1" sqref="F11">
      <formula1>Ressource,Achat,Sous-traitance,Dépense</formula1>
    </dataValidation>
    <dataValidation type="list" allowBlank="1" showInputMessage="1" showErrorMessage="1" sqref="G11">
      <formula1>h,u,lot,jour,km</formula1>
    </dataValidation>
    <dataValidation type="list" allowBlank="1" showInputMessage="1" showErrorMessage="1" sqref="P11">
      <formula1>Fixe,Variable</formula1>
    </dataValidation>
    <dataValidation type="list" allowBlank="1" showInputMessage="1" showErrorMessage="1" sqref="E12">
      <formula1>Capex,Opex</formula1>
    </dataValidation>
    <dataValidation type="list" allowBlank="1" showInputMessage="1" showErrorMessage="1" sqref="F12">
      <formula1>Ressource,Achat,Sous-traitance,Dépense</formula1>
    </dataValidation>
    <dataValidation type="list" allowBlank="1" showInputMessage="1" showErrorMessage="1" sqref="G12">
      <formula1>h,u,lot,jour,km</formula1>
    </dataValidation>
    <dataValidation type="list" allowBlank="1" showInputMessage="1" showErrorMessage="1" sqref="P12">
      <formula1>Fixe,Variable</formula1>
    </dataValidation>
    <dataValidation type="list" allowBlank="1" showInputMessage="1" showErrorMessage="1" sqref="E13">
      <formula1>Capex,Opex</formula1>
    </dataValidation>
    <dataValidation type="list" allowBlank="1" showInputMessage="1" showErrorMessage="1" sqref="F13">
      <formula1>Ressource,Achat,Sous-traitance,Dépense</formula1>
    </dataValidation>
    <dataValidation type="list" allowBlank="1" showInputMessage="1" showErrorMessage="1" sqref="G13">
      <formula1>h,u,lot,jour,km</formula1>
    </dataValidation>
    <dataValidation type="list" allowBlank="1" showInputMessage="1" showErrorMessage="1" sqref="P13">
      <formula1>Fixe,Variable</formula1>
    </dataValidation>
    <dataValidation type="list" allowBlank="1" showInputMessage="1" showErrorMessage="1" sqref="E14">
      <formula1>Capex,Opex</formula1>
    </dataValidation>
    <dataValidation type="list" allowBlank="1" showInputMessage="1" showErrorMessage="1" sqref="F14">
      <formula1>Ressource,Achat,Sous-traitance,Dépense</formula1>
    </dataValidation>
    <dataValidation type="list" allowBlank="1" showInputMessage="1" showErrorMessage="1" sqref="G14">
      <formula1>h,u,lot,jour,km</formula1>
    </dataValidation>
    <dataValidation type="list" allowBlank="1" showInputMessage="1" showErrorMessage="1" sqref="P14">
      <formula1>Fixe,Variable</formula1>
    </dataValidation>
    <dataValidation type="list" allowBlank="1" showInputMessage="1" showErrorMessage="1" sqref="E15">
      <formula1>Capex,Opex</formula1>
    </dataValidation>
    <dataValidation type="list" allowBlank="1" showInputMessage="1" showErrorMessage="1" sqref="F15">
      <formula1>Ressource,Achat,Sous-traitance,Dépense</formula1>
    </dataValidation>
    <dataValidation type="list" allowBlank="1" showInputMessage="1" showErrorMessage="1" sqref="G15">
      <formula1>h,u,lot,jour,km</formula1>
    </dataValidation>
    <dataValidation type="list" allowBlank="1" showInputMessage="1" showErrorMessage="1" sqref="P15">
      <formula1>Fixe,Variable</formula1>
    </dataValidation>
    <dataValidation type="list" allowBlank="1" showInputMessage="1" showErrorMessage="1" sqref="E16">
      <formula1>Capex,Opex</formula1>
    </dataValidation>
    <dataValidation type="list" allowBlank="1" showInputMessage="1" showErrorMessage="1" sqref="F16">
      <formula1>Ressource,Achat,Sous-traitance,Dépense</formula1>
    </dataValidation>
    <dataValidation type="list" allowBlank="1" showInputMessage="1" showErrorMessage="1" sqref="G16">
      <formula1>h,u,lot,jour,km</formula1>
    </dataValidation>
    <dataValidation type="list" allowBlank="1" showInputMessage="1" showErrorMessage="1" sqref="P16">
      <formula1>Fixe,Variable</formula1>
    </dataValidation>
    <dataValidation type="list" allowBlank="1" showInputMessage="1" showErrorMessage="1" sqref="E17">
      <formula1>Capex,Opex</formula1>
    </dataValidation>
    <dataValidation type="list" allowBlank="1" showInputMessage="1" showErrorMessage="1" sqref="F17">
      <formula1>Ressource,Achat,Sous-traitance,Dépense</formula1>
    </dataValidation>
    <dataValidation type="list" allowBlank="1" showInputMessage="1" showErrorMessage="1" sqref="G17">
      <formula1>h,u,lot,jour,km</formula1>
    </dataValidation>
    <dataValidation type="list" allowBlank="1" showInputMessage="1" showErrorMessage="1" sqref="P17">
      <formula1>Fixe,Variable</formula1>
    </dataValidation>
    <dataValidation type="list" allowBlank="1" showInputMessage="1" showErrorMessage="1" sqref="E18">
      <formula1>Capex,Opex</formula1>
    </dataValidation>
    <dataValidation type="list" allowBlank="1" showInputMessage="1" showErrorMessage="1" sqref="F18">
      <formula1>Ressource,Achat,Sous-traitance,Dépense</formula1>
    </dataValidation>
    <dataValidation type="list" allowBlank="1" showInputMessage="1" showErrorMessage="1" sqref="G18">
      <formula1>h,u,lot,jour,km</formula1>
    </dataValidation>
    <dataValidation type="list" allowBlank="1" showInputMessage="1" showErrorMessage="1" sqref="P18">
      <formula1>Fixe,Variable</formula1>
    </dataValidation>
    <dataValidation type="list" allowBlank="1" showInputMessage="1" showErrorMessage="1" sqref="E19">
      <formula1>Capex,Opex</formula1>
    </dataValidation>
    <dataValidation type="list" allowBlank="1" showInputMessage="1" showErrorMessage="1" sqref="F19">
      <formula1>Ressource,Achat,Sous-traitance,Dépense</formula1>
    </dataValidation>
    <dataValidation type="list" allowBlank="1" showInputMessage="1" showErrorMessage="1" sqref="G19">
      <formula1>h,u,lot,jour,km</formula1>
    </dataValidation>
    <dataValidation type="list" allowBlank="1" showInputMessage="1" showErrorMessage="1" sqref="P19">
      <formula1>Fixe,Variable</formula1>
    </dataValidation>
    <dataValidation type="list" allowBlank="1" showInputMessage="1" showErrorMessage="1" sqref="E20">
      <formula1>Capex,Opex</formula1>
    </dataValidation>
    <dataValidation type="list" allowBlank="1" showInputMessage="1" showErrorMessage="1" sqref="F20">
      <formula1>Ressource,Achat,Sous-traitance,Dépense</formula1>
    </dataValidation>
    <dataValidation type="list" allowBlank="1" showInputMessage="1" showErrorMessage="1" sqref="G20">
      <formula1>h,u,lot,jour,km</formula1>
    </dataValidation>
    <dataValidation type="list" allowBlank="1" showInputMessage="1" showErrorMessage="1" sqref="P20">
      <formula1>Fixe,Variable</formula1>
    </dataValidation>
    <dataValidation type="list" allowBlank="1" showInputMessage="1" showErrorMessage="1" sqref="E21">
      <formula1>Capex,Opex</formula1>
    </dataValidation>
    <dataValidation type="list" allowBlank="1" showInputMessage="1" showErrorMessage="1" sqref="F21">
      <formula1>Ressource,Achat,Sous-traitance,Dépense</formula1>
    </dataValidation>
    <dataValidation type="list" allowBlank="1" showInputMessage="1" showErrorMessage="1" sqref="G21">
      <formula1>h,u,lot,jour,km</formula1>
    </dataValidation>
    <dataValidation type="list" allowBlank="1" showInputMessage="1" showErrorMessage="1" sqref="P21">
      <formula1>Fixe,Variable</formula1>
    </dataValidation>
    <dataValidation type="list" allowBlank="1" showInputMessage="1" showErrorMessage="1" sqref="E22">
      <formula1>Capex,Opex</formula1>
    </dataValidation>
    <dataValidation type="list" allowBlank="1" showInputMessage="1" showErrorMessage="1" sqref="F22">
      <formula1>Ressource,Achat,Sous-traitance,Dépense</formula1>
    </dataValidation>
    <dataValidation type="list" allowBlank="1" showInputMessage="1" showErrorMessage="1" sqref="G22">
      <formula1>h,u,lot,jour,km</formula1>
    </dataValidation>
    <dataValidation type="list" allowBlank="1" showInputMessage="1" showErrorMessage="1" sqref="P22">
      <formula1>Fixe,Variable</formula1>
    </dataValidation>
    <dataValidation type="list" allowBlank="1" showInputMessage="1" showErrorMessage="1" sqref="E23">
      <formula1>Capex,Opex</formula1>
    </dataValidation>
    <dataValidation type="list" allowBlank="1" showInputMessage="1" showErrorMessage="1" sqref="F23">
      <formula1>Ressource,Achat,Sous-traitance,Dépense</formula1>
    </dataValidation>
    <dataValidation type="list" allowBlank="1" showInputMessage="1" showErrorMessage="1" sqref="G23">
      <formula1>h,u,lot,jour,km</formula1>
    </dataValidation>
    <dataValidation type="list" allowBlank="1" showInputMessage="1" showErrorMessage="1" sqref="P23">
      <formula1>Fixe,Variable</formula1>
    </dataValidation>
    <dataValidation type="list" allowBlank="1" showInputMessage="1" showErrorMessage="1" sqref="E24">
      <formula1>Capex,Opex</formula1>
    </dataValidation>
    <dataValidation type="list" allowBlank="1" showInputMessage="1" showErrorMessage="1" sqref="F24">
      <formula1>Ressource,Achat,Sous-traitance,Dépense</formula1>
    </dataValidation>
    <dataValidation type="list" allowBlank="1" showInputMessage="1" showErrorMessage="1" sqref="G24">
      <formula1>h,u,lot,jour,km</formula1>
    </dataValidation>
    <dataValidation type="list" allowBlank="1" showInputMessage="1" showErrorMessage="1" sqref="P24">
      <formula1>Fixe,Variable</formula1>
    </dataValidation>
    <dataValidation type="list" allowBlank="1" showInputMessage="1" showErrorMessage="1" sqref="E25">
      <formula1>Capex,Opex</formula1>
    </dataValidation>
    <dataValidation type="list" allowBlank="1" showInputMessage="1" showErrorMessage="1" sqref="F25">
      <formula1>Ressource,Achat,Sous-traitance,Dépense</formula1>
    </dataValidation>
    <dataValidation type="list" allowBlank="1" showInputMessage="1" showErrorMessage="1" sqref="G25">
      <formula1>h,u,lot,jour,km</formula1>
    </dataValidation>
    <dataValidation type="list" allowBlank="1" showInputMessage="1" showErrorMessage="1" sqref="P25">
      <formula1>Fixe,Variable</formula1>
    </dataValidation>
    <dataValidation type="list" allowBlank="1" showInputMessage="1" showErrorMessage="1" sqref="E26">
      <formula1>Capex,Opex</formula1>
    </dataValidation>
    <dataValidation type="list" allowBlank="1" showInputMessage="1" showErrorMessage="1" sqref="F26">
      <formula1>Ressource,Achat,Sous-traitance,Dépense</formula1>
    </dataValidation>
    <dataValidation type="list" allowBlank="1" showInputMessage="1" showErrorMessage="1" sqref="G26">
      <formula1>h,u,lot,jour,km</formula1>
    </dataValidation>
    <dataValidation type="list" allowBlank="1" showInputMessage="1" showErrorMessage="1" sqref="P26">
      <formula1>Fixe,Variable</formula1>
    </dataValidation>
    <dataValidation type="list" allowBlank="1" showInputMessage="1" showErrorMessage="1" sqref="E27">
      <formula1>Capex,Opex</formula1>
    </dataValidation>
    <dataValidation type="list" allowBlank="1" showInputMessage="1" showErrorMessage="1" sqref="F27">
      <formula1>Ressource,Achat,Sous-traitance,Dépense</formula1>
    </dataValidation>
    <dataValidation type="list" allowBlank="1" showInputMessage="1" showErrorMessage="1" sqref="G27">
      <formula1>h,u,lot,jour,km</formula1>
    </dataValidation>
    <dataValidation type="list" allowBlank="1" showInputMessage="1" showErrorMessage="1" sqref="P27">
      <formula1>Fixe,Variable</formula1>
    </dataValidation>
    <dataValidation type="list" allowBlank="1" showInputMessage="1" showErrorMessage="1" sqref="E28">
      <formula1>Capex,Opex</formula1>
    </dataValidation>
    <dataValidation type="list" allowBlank="1" showInputMessage="1" showErrorMessage="1" sqref="F28">
      <formula1>Ressource,Achat,Sous-traitance,Dépense</formula1>
    </dataValidation>
    <dataValidation type="list" allowBlank="1" showInputMessage="1" showErrorMessage="1" sqref="G28">
      <formula1>h,u,lot,jour,km</formula1>
    </dataValidation>
    <dataValidation type="list" allowBlank="1" showInputMessage="1" showErrorMessage="1" sqref="P28">
      <formula1>Fixe,Variable</formula1>
    </dataValidation>
    <dataValidation type="list" allowBlank="1" showInputMessage="1" showErrorMessage="1" sqref="E29">
      <formula1>Capex,Opex</formula1>
    </dataValidation>
    <dataValidation type="list" allowBlank="1" showInputMessage="1" showErrorMessage="1" sqref="F29">
      <formula1>Ressource,Achat,Sous-traitance,Dépense</formula1>
    </dataValidation>
    <dataValidation type="list" allowBlank="1" showInputMessage="1" showErrorMessage="1" sqref="G29">
      <formula1>h,u,lot,jour,km</formula1>
    </dataValidation>
    <dataValidation type="list" allowBlank="1" showInputMessage="1" showErrorMessage="1" sqref="P29">
      <formula1>Fixe,Variable</formula1>
    </dataValidation>
    <dataValidation type="list" allowBlank="1" showInputMessage="1" showErrorMessage="1" sqref="E30">
      <formula1>Capex,Opex</formula1>
    </dataValidation>
    <dataValidation type="list" allowBlank="1" showInputMessage="1" showErrorMessage="1" sqref="F30">
      <formula1>Ressource,Achat,Sous-traitance,Dépense</formula1>
    </dataValidation>
    <dataValidation type="list" allowBlank="1" showInputMessage="1" showErrorMessage="1" sqref="G30">
      <formula1>h,u,lot,jour,km</formula1>
    </dataValidation>
    <dataValidation type="list" allowBlank="1" showInputMessage="1" showErrorMessage="1" sqref="P30">
      <formula1>Fixe,Variable</formula1>
    </dataValidation>
    <dataValidation type="list" allowBlank="1" showInputMessage="1" showErrorMessage="1" sqref="E31">
      <formula1>Capex,Opex</formula1>
    </dataValidation>
    <dataValidation type="list" allowBlank="1" showInputMessage="1" showErrorMessage="1" sqref="F31">
      <formula1>Ressource,Achat,Sous-traitance,Dépense</formula1>
    </dataValidation>
    <dataValidation type="list" allowBlank="1" showInputMessage="1" showErrorMessage="1" sqref="G31">
      <formula1>h,u,lot,jour,km</formula1>
    </dataValidation>
    <dataValidation type="list" allowBlank="1" showInputMessage="1" showErrorMessage="1" sqref="P31">
      <formula1>Fixe,Variable</formula1>
    </dataValidation>
    <dataValidation type="list" allowBlank="1" showInputMessage="1" showErrorMessage="1" sqref="E32">
      <formula1>Capex,Opex</formula1>
    </dataValidation>
    <dataValidation type="list" allowBlank="1" showInputMessage="1" showErrorMessage="1" sqref="F32">
      <formula1>Ressource,Achat,Sous-traitance,Dépense</formula1>
    </dataValidation>
    <dataValidation type="list" allowBlank="1" showInputMessage="1" showErrorMessage="1" sqref="G32">
      <formula1>h,u,lot,jour,km</formula1>
    </dataValidation>
    <dataValidation type="list" allowBlank="1" showInputMessage="1" showErrorMessage="1" sqref="P32">
      <formula1>Fixe,Variable</formula1>
    </dataValidation>
    <dataValidation type="list" allowBlank="1" showInputMessage="1" showErrorMessage="1" sqref="E33">
      <formula1>Capex,Opex</formula1>
    </dataValidation>
    <dataValidation type="list" allowBlank="1" showInputMessage="1" showErrorMessage="1" sqref="F33">
      <formula1>Ressource,Achat,Sous-traitance,Dépense</formula1>
    </dataValidation>
    <dataValidation type="list" allowBlank="1" showInputMessage="1" showErrorMessage="1" sqref="G33">
      <formula1>h,u,lot,jour,km</formula1>
    </dataValidation>
    <dataValidation type="list" allowBlank="1" showInputMessage="1" showErrorMessage="1" sqref="P33">
      <formula1>Fixe,Variable</formula1>
    </dataValidation>
    <dataValidation type="list" allowBlank="1" showInputMessage="1" showErrorMessage="1" sqref="E34">
      <formula1>Capex,Opex</formula1>
    </dataValidation>
    <dataValidation type="list" allowBlank="1" showInputMessage="1" showErrorMessage="1" sqref="F34">
      <formula1>Ressource,Achat,Sous-traitance,Dépense</formula1>
    </dataValidation>
    <dataValidation type="list" allowBlank="1" showInputMessage="1" showErrorMessage="1" sqref="G34">
      <formula1>h,u,lot,jour,km</formula1>
    </dataValidation>
    <dataValidation type="list" allowBlank="1" showInputMessage="1" showErrorMessage="1" sqref="P34">
      <formula1>Fixe,Variable</formula1>
    </dataValidation>
    <dataValidation type="list" allowBlank="1" showInputMessage="1" showErrorMessage="1" sqref="E35">
      <formula1>Capex,Opex</formula1>
    </dataValidation>
    <dataValidation type="list" allowBlank="1" showInputMessage="1" showErrorMessage="1" sqref="F35">
      <formula1>Ressource,Achat,Sous-traitance,Dépense</formula1>
    </dataValidation>
    <dataValidation type="list" allowBlank="1" showInputMessage="1" showErrorMessage="1" sqref="G35">
      <formula1>h,u,lot,jour,km</formula1>
    </dataValidation>
    <dataValidation type="list" allowBlank="1" showInputMessage="1" showErrorMessage="1" sqref="P35">
      <formula1>Fixe,Variable</formula1>
    </dataValidation>
    <dataValidation type="list" allowBlank="1" showInputMessage="1" showErrorMessage="1" sqref="E36">
      <formula1>Capex,Opex</formula1>
    </dataValidation>
    <dataValidation type="list" allowBlank="1" showInputMessage="1" showErrorMessage="1" sqref="F36">
      <formula1>Ressource,Achat,Sous-traitance,Dépense</formula1>
    </dataValidation>
    <dataValidation type="list" allowBlank="1" showInputMessage="1" showErrorMessage="1" sqref="G36">
      <formula1>h,u,lot,jour,km</formula1>
    </dataValidation>
    <dataValidation type="list" allowBlank="1" showInputMessage="1" showErrorMessage="1" sqref="P36">
      <formula1>Fixe,Variable</formula1>
    </dataValidation>
    <dataValidation type="list" allowBlank="1" showInputMessage="1" showErrorMessage="1" sqref="E37">
      <formula1>Capex,Opex</formula1>
    </dataValidation>
    <dataValidation type="list" allowBlank="1" showInputMessage="1" showErrorMessage="1" sqref="F37">
      <formula1>Ressource,Achat,Sous-traitance,Dépense</formula1>
    </dataValidation>
    <dataValidation type="list" allowBlank="1" showInputMessage="1" showErrorMessage="1" sqref="G37">
      <formula1>h,u,lot,jour,km</formula1>
    </dataValidation>
    <dataValidation type="list" allowBlank="1" showInputMessage="1" showErrorMessage="1" sqref="P37">
      <formula1>Fixe,Variable</formula1>
    </dataValidation>
    <dataValidation type="list" allowBlank="1" showInputMessage="1" showErrorMessage="1" sqref="E38">
      <formula1>Capex,Opex</formula1>
    </dataValidation>
    <dataValidation type="list" allowBlank="1" showInputMessage="1" showErrorMessage="1" sqref="F38">
      <formula1>Ressource,Achat,Sous-traitance,Dépense</formula1>
    </dataValidation>
    <dataValidation type="list" allowBlank="1" showInputMessage="1" showErrorMessage="1" sqref="G38">
      <formula1>h,u,lot,jour,km</formula1>
    </dataValidation>
    <dataValidation type="list" allowBlank="1" showInputMessage="1" showErrorMessage="1" sqref="P38">
      <formula1>Fixe,Variable</formula1>
    </dataValidation>
    <dataValidation type="list" allowBlank="1" showInputMessage="1" showErrorMessage="1" sqref="E39">
      <formula1>Capex,Opex</formula1>
    </dataValidation>
    <dataValidation type="list" allowBlank="1" showInputMessage="1" showErrorMessage="1" sqref="F39">
      <formula1>Ressource,Achat,Sous-traitance,Dépense</formula1>
    </dataValidation>
    <dataValidation type="list" allowBlank="1" showInputMessage="1" showErrorMessage="1" sqref="G39">
      <formula1>h,u,lot,jour,km</formula1>
    </dataValidation>
    <dataValidation type="list" allowBlank="1" showInputMessage="1" showErrorMessage="1" sqref="P39">
      <formula1>Fixe,Variable</formula1>
    </dataValidation>
    <dataValidation type="list" allowBlank="1" showInputMessage="1" showErrorMessage="1" sqref="E40">
      <formula1>Capex,Opex</formula1>
    </dataValidation>
    <dataValidation type="list" allowBlank="1" showInputMessage="1" showErrorMessage="1" sqref="F40">
      <formula1>Ressource,Achat,Sous-traitance,Dépense</formula1>
    </dataValidation>
    <dataValidation type="list" allowBlank="1" showInputMessage="1" showErrorMessage="1" sqref="G40">
      <formula1>h,u,lot,jour,km</formula1>
    </dataValidation>
    <dataValidation type="list" allowBlank="1" showInputMessage="1" showErrorMessage="1" sqref="P40">
      <formula1>Fixe,Variable</formula1>
    </dataValidation>
    <dataValidation type="list" allowBlank="1" showInputMessage="1" showErrorMessage="1" sqref="E41">
      <formula1>Capex,Opex</formula1>
    </dataValidation>
    <dataValidation type="list" allowBlank="1" showInputMessage="1" showErrorMessage="1" sqref="F41">
      <formula1>Ressource,Achat,Sous-traitance,Dépense</formula1>
    </dataValidation>
    <dataValidation type="list" allowBlank="1" showInputMessage="1" showErrorMessage="1" sqref="G41">
      <formula1>h,u,lot,jour,km</formula1>
    </dataValidation>
    <dataValidation type="list" allowBlank="1" showInputMessage="1" showErrorMessage="1" sqref="P41">
      <formula1>Fixe,Variable</formula1>
    </dataValidation>
    <dataValidation type="list" allowBlank="1" showInputMessage="1" showErrorMessage="1" sqref="E42">
      <formula1>Capex,Opex</formula1>
    </dataValidation>
    <dataValidation type="list" allowBlank="1" showInputMessage="1" showErrorMessage="1" sqref="F42">
      <formula1>Ressource,Achat,Sous-traitance,Dépense</formula1>
    </dataValidation>
    <dataValidation type="list" allowBlank="1" showInputMessage="1" showErrorMessage="1" sqref="G42">
      <formula1>h,u,lot,jour,km</formula1>
    </dataValidation>
    <dataValidation type="list" allowBlank="1" showInputMessage="1" showErrorMessage="1" sqref="P42">
      <formula1>Fixe,Variable</formula1>
    </dataValidation>
    <dataValidation type="list" allowBlank="1" showInputMessage="1" showErrorMessage="1" sqref="E43">
      <formula1>Capex,Opex</formula1>
    </dataValidation>
    <dataValidation type="list" allowBlank="1" showInputMessage="1" showErrorMessage="1" sqref="F43">
      <formula1>Ressource,Achat,Sous-traitance,Dépense</formula1>
    </dataValidation>
    <dataValidation type="list" allowBlank="1" showInputMessage="1" showErrorMessage="1" sqref="G43">
      <formula1>h,u,lot,jour,km</formula1>
    </dataValidation>
    <dataValidation type="list" allowBlank="1" showInputMessage="1" showErrorMessage="1" sqref="P43">
      <formula1>Fixe,Variable</formula1>
    </dataValidation>
    <dataValidation type="list" allowBlank="1" showInputMessage="1" showErrorMessage="1" sqref="E44">
      <formula1>Capex,Opex</formula1>
    </dataValidation>
    <dataValidation type="list" allowBlank="1" showInputMessage="1" showErrorMessage="1" sqref="F44">
      <formula1>Ressource,Achat,Sous-traitance,Dépense</formula1>
    </dataValidation>
    <dataValidation type="list" allowBlank="1" showInputMessage="1" showErrorMessage="1" sqref="G44">
      <formula1>h,u,lot,jour,km</formula1>
    </dataValidation>
    <dataValidation type="list" allowBlank="1" showInputMessage="1" showErrorMessage="1" sqref="P44">
      <formula1>Fixe,Variable</formula1>
    </dataValidation>
    <dataValidation type="list" allowBlank="1" showInputMessage="1" showErrorMessage="1" sqref="E45">
      <formula1>Capex,Opex</formula1>
    </dataValidation>
    <dataValidation type="list" allowBlank="1" showInputMessage="1" showErrorMessage="1" sqref="F45">
      <formula1>Ressource,Achat,Sous-traitance,Dépense</formula1>
    </dataValidation>
    <dataValidation type="list" allowBlank="1" showInputMessage="1" showErrorMessage="1" sqref="G45">
      <formula1>h,u,lot,jour,km</formula1>
    </dataValidation>
    <dataValidation type="list" allowBlank="1" showInputMessage="1" showErrorMessage="1" sqref="P45">
      <formula1>Fixe,Variable</formula1>
    </dataValidation>
    <dataValidation type="list" allowBlank="1" showInputMessage="1" showErrorMessage="1" sqref="E46">
      <formula1>Capex,Opex</formula1>
    </dataValidation>
    <dataValidation type="list" allowBlank="1" showInputMessage="1" showErrorMessage="1" sqref="F46">
      <formula1>Ressource,Achat,Sous-traitance,Dépense</formula1>
    </dataValidation>
    <dataValidation type="list" allowBlank="1" showInputMessage="1" showErrorMessage="1" sqref="G46">
      <formula1>h,u,lot,jour,km</formula1>
    </dataValidation>
    <dataValidation type="list" allowBlank="1" showInputMessage="1" showErrorMessage="1" sqref="P46">
      <formula1>Fixe,Variable</formula1>
    </dataValidation>
    <dataValidation type="list" allowBlank="1" showInputMessage="1" showErrorMessage="1" sqref="E47">
      <formula1>Capex,Opex</formula1>
    </dataValidation>
    <dataValidation type="list" allowBlank="1" showInputMessage="1" showErrorMessage="1" sqref="F47">
      <formula1>Ressource,Achat,Sous-traitance,Dépense</formula1>
    </dataValidation>
    <dataValidation type="list" allowBlank="1" showInputMessage="1" showErrorMessage="1" sqref="G47">
      <formula1>h,u,lot,jour,km</formula1>
    </dataValidation>
    <dataValidation type="list" allowBlank="1" showInputMessage="1" showErrorMessage="1" sqref="P47">
      <formula1>Fixe,Variable</formula1>
    </dataValidation>
    <dataValidation type="list" allowBlank="1" showInputMessage="1" showErrorMessage="1" sqref="E48">
      <formula1>Capex,Opex</formula1>
    </dataValidation>
    <dataValidation type="list" allowBlank="1" showInputMessage="1" showErrorMessage="1" sqref="F48">
      <formula1>Ressource,Achat,Sous-traitance,Dépense</formula1>
    </dataValidation>
    <dataValidation type="list" allowBlank="1" showInputMessage="1" showErrorMessage="1" sqref="G48">
      <formula1>h,u,lot,jour,km</formula1>
    </dataValidation>
    <dataValidation type="list" allowBlank="1" showInputMessage="1" showErrorMessage="1" sqref="P48">
      <formula1>Fixe,Variable</formula1>
    </dataValidation>
    <dataValidation type="list" allowBlank="1" showInputMessage="1" showErrorMessage="1" sqref="E49">
      <formula1>Capex,Opex</formula1>
    </dataValidation>
    <dataValidation type="list" allowBlank="1" showInputMessage="1" showErrorMessage="1" sqref="F49">
      <formula1>Ressource,Achat,Sous-traitance,Dépense</formula1>
    </dataValidation>
    <dataValidation type="list" allowBlank="1" showInputMessage="1" showErrorMessage="1" sqref="G49">
      <formula1>h,u,lot,jour,km</formula1>
    </dataValidation>
    <dataValidation type="list" allowBlank="1" showInputMessage="1" showErrorMessage="1" sqref="P49">
      <formula1>Fixe,Variable</formula1>
    </dataValidation>
    <dataValidation type="list" allowBlank="1" showInputMessage="1" showErrorMessage="1" sqref="E50">
      <formula1>Capex,Opex</formula1>
    </dataValidation>
    <dataValidation type="list" allowBlank="1" showInputMessage="1" showErrorMessage="1" sqref="F50">
      <formula1>Ressource,Achat,Sous-traitance,Dépense</formula1>
    </dataValidation>
    <dataValidation type="list" allowBlank="1" showInputMessage="1" showErrorMessage="1" sqref="G50">
      <formula1>h,u,lot,jour,km</formula1>
    </dataValidation>
    <dataValidation type="list" allowBlank="1" showInputMessage="1" showErrorMessage="1" sqref="P50">
      <formula1>Fixe,Variable</formula1>
    </dataValidation>
    <dataValidation type="list" allowBlank="1" showInputMessage="1" showErrorMessage="1" sqref="E51">
      <formula1>Capex,Opex</formula1>
    </dataValidation>
    <dataValidation type="list" allowBlank="1" showInputMessage="1" showErrorMessage="1" sqref="F51">
      <formula1>Ressource,Achat,Sous-traitance,Dépense</formula1>
    </dataValidation>
    <dataValidation type="list" allowBlank="1" showInputMessage="1" showErrorMessage="1" sqref="G51">
      <formula1>h,u,lot,jour,km</formula1>
    </dataValidation>
    <dataValidation type="list" allowBlank="1" showInputMessage="1" showErrorMessage="1" sqref="P51">
      <formula1>Fixe,Variable</formula1>
    </dataValidation>
    <dataValidation type="list" allowBlank="1" showInputMessage="1" showErrorMessage="1" sqref="E52">
      <formula1>Capex,Opex</formula1>
    </dataValidation>
    <dataValidation type="list" allowBlank="1" showInputMessage="1" showErrorMessage="1" sqref="F52">
      <formula1>Ressource,Achat,Sous-traitance,Dépense</formula1>
    </dataValidation>
    <dataValidation type="list" allowBlank="1" showInputMessage="1" showErrorMessage="1" sqref="G52">
      <formula1>h,u,lot,jour,km</formula1>
    </dataValidation>
    <dataValidation type="list" allowBlank="1" showInputMessage="1" showErrorMessage="1" sqref="P52">
      <formula1>Fixe,Variable</formula1>
    </dataValidation>
    <dataValidation type="list" allowBlank="1" showInputMessage="1" showErrorMessage="1" sqref="E53">
      <formula1>Capex,Opex</formula1>
    </dataValidation>
    <dataValidation type="list" allowBlank="1" showInputMessage="1" showErrorMessage="1" sqref="F53">
      <formula1>Ressource,Achat,Sous-traitance,Dépense</formula1>
    </dataValidation>
    <dataValidation type="list" allowBlank="1" showInputMessage="1" showErrorMessage="1" sqref="G53">
      <formula1>h,u,lot,jour,km</formula1>
    </dataValidation>
    <dataValidation type="list" allowBlank="1" showInputMessage="1" showErrorMessage="1" sqref="P53">
      <formula1>Fixe,Variable</formula1>
    </dataValidation>
    <dataValidation type="list" allowBlank="1" showInputMessage="1" showErrorMessage="1" sqref="E54">
      <formula1>Capex,Opex</formula1>
    </dataValidation>
    <dataValidation type="list" allowBlank="1" showInputMessage="1" showErrorMessage="1" sqref="F54">
      <formula1>Ressource,Achat,Sous-traitance,Dépense</formula1>
    </dataValidation>
    <dataValidation type="list" allowBlank="1" showInputMessage="1" showErrorMessage="1" sqref="G54">
      <formula1>h,u,lot,jour,km</formula1>
    </dataValidation>
    <dataValidation type="list" allowBlank="1" showInputMessage="1" showErrorMessage="1" sqref="P54">
      <formula1>Fixe,Variable</formula1>
    </dataValidation>
    <dataValidation type="list" allowBlank="1" showInputMessage="1" showErrorMessage="1" sqref="E55">
      <formula1>Capex,Opex</formula1>
    </dataValidation>
    <dataValidation type="list" allowBlank="1" showInputMessage="1" showErrorMessage="1" sqref="F55">
      <formula1>Ressource,Achat,Sous-traitance,Dépense</formula1>
    </dataValidation>
    <dataValidation type="list" allowBlank="1" showInputMessage="1" showErrorMessage="1" sqref="G55">
      <formula1>h,u,lot,jour,km</formula1>
    </dataValidation>
    <dataValidation type="list" allowBlank="1" showInputMessage="1" showErrorMessage="1" sqref="P55">
      <formula1>Fixe,Variable</formula1>
    </dataValidation>
    <dataValidation type="list" allowBlank="1" showInputMessage="1" showErrorMessage="1" sqref="E56">
      <formula1>Capex,Opex</formula1>
    </dataValidation>
    <dataValidation type="list" allowBlank="1" showInputMessage="1" showErrorMessage="1" sqref="F56">
      <formula1>Ressource,Achat,Sous-traitance,Dépense</formula1>
    </dataValidation>
    <dataValidation type="list" allowBlank="1" showInputMessage="1" showErrorMessage="1" sqref="G56">
      <formula1>h,u,lot,jour,km</formula1>
    </dataValidation>
    <dataValidation type="list" allowBlank="1" showInputMessage="1" showErrorMessage="1" sqref="P56">
      <formula1>Fixe,Variable</formula1>
    </dataValidation>
    <dataValidation type="list" allowBlank="1" showInputMessage="1" showErrorMessage="1" sqref="E57">
      <formula1>Capex,Opex</formula1>
    </dataValidation>
    <dataValidation type="list" allowBlank="1" showInputMessage="1" showErrorMessage="1" sqref="F57">
      <formula1>Ressource,Achat,Sous-traitance,Dépense</formula1>
    </dataValidation>
    <dataValidation type="list" allowBlank="1" showInputMessage="1" showErrorMessage="1" sqref="G57">
      <formula1>h,u,lot,jour,km</formula1>
    </dataValidation>
    <dataValidation type="list" allowBlank="1" showInputMessage="1" showErrorMessage="1" sqref="P57">
      <formula1>Fixe,Variable</formula1>
    </dataValidation>
    <dataValidation type="list" allowBlank="1" showInputMessage="1" showErrorMessage="1" sqref="E58">
      <formula1>Capex,Opex</formula1>
    </dataValidation>
    <dataValidation type="list" allowBlank="1" showInputMessage="1" showErrorMessage="1" sqref="F58">
      <formula1>Ressource,Achat,Sous-traitance,Dépense</formula1>
    </dataValidation>
    <dataValidation type="list" allowBlank="1" showInputMessage="1" showErrorMessage="1" sqref="G58">
      <formula1>h,u,lot,jour,km</formula1>
    </dataValidation>
    <dataValidation type="list" allowBlank="1" showInputMessage="1" showErrorMessage="1" sqref="P58">
      <formula1>Fixe,Variable</formula1>
    </dataValidation>
    <dataValidation type="list" allowBlank="1" showInputMessage="1" showErrorMessage="1" sqref="E59">
      <formula1>Capex,Opex</formula1>
    </dataValidation>
    <dataValidation type="list" allowBlank="1" showInputMessage="1" showErrorMessage="1" sqref="F59">
      <formula1>Ressource,Achat,Sous-traitance,Dépense</formula1>
    </dataValidation>
    <dataValidation type="list" allowBlank="1" showInputMessage="1" showErrorMessage="1" sqref="G59">
      <formula1>h,u,lot,jour,km</formula1>
    </dataValidation>
    <dataValidation type="list" allowBlank="1" showInputMessage="1" showErrorMessage="1" sqref="P59">
      <formula1>Fixe,Variable</formula1>
    </dataValidation>
    <dataValidation type="list" allowBlank="1" showInputMessage="1" showErrorMessage="1" sqref="E60">
      <formula1>Capex,Opex</formula1>
    </dataValidation>
    <dataValidation type="list" allowBlank="1" showInputMessage="1" showErrorMessage="1" sqref="F60">
      <formula1>Ressource,Achat,Sous-traitance,Dépense</formula1>
    </dataValidation>
    <dataValidation type="list" allowBlank="1" showInputMessage="1" showErrorMessage="1" sqref="G60">
      <formula1>h,u,lot,jour,km</formula1>
    </dataValidation>
    <dataValidation type="list" allowBlank="1" showInputMessage="1" showErrorMessage="1" sqref="P60">
      <formula1>Fixe,Variable</formula1>
    </dataValidation>
    <dataValidation type="list" allowBlank="1" showInputMessage="1" showErrorMessage="1" sqref="E61">
      <formula1>Capex,Opex</formula1>
    </dataValidation>
    <dataValidation type="list" allowBlank="1" showInputMessage="1" showErrorMessage="1" sqref="F61">
      <formula1>Ressource,Achat,Sous-traitance,Dépense</formula1>
    </dataValidation>
    <dataValidation type="list" allowBlank="1" showInputMessage="1" showErrorMessage="1" sqref="G61">
      <formula1>h,u,lot,jour,km</formula1>
    </dataValidation>
    <dataValidation type="list" allowBlank="1" showInputMessage="1" showErrorMessage="1" sqref="P61">
      <formula1>Fixe,Variable</formula1>
    </dataValidation>
    <dataValidation type="list" allowBlank="1" showInputMessage="1" showErrorMessage="1" sqref="E62">
      <formula1>Capex,Opex</formula1>
    </dataValidation>
    <dataValidation type="list" allowBlank="1" showInputMessage="1" showErrorMessage="1" sqref="F62">
      <formula1>Ressource,Achat,Sous-traitance,Dépense</formula1>
    </dataValidation>
    <dataValidation type="list" allowBlank="1" showInputMessage="1" showErrorMessage="1" sqref="G62">
      <formula1>h,u,lot,jour,km</formula1>
    </dataValidation>
    <dataValidation type="list" allowBlank="1" showInputMessage="1" showErrorMessage="1" sqref="P62">
      <formula1>Fixe,Variable</formula1>
    </dataValidation>
    <dataValidation type="list" allowBlank="1" showInputMessage="1" showErrorMessage="1" sqref="E63">
      <formula1>Capex,Opex</formula1>
    </dataValidation>
    <dataValidation type="list" allowBlank="1" showInputMessage="1" showErrorMessage="1" sqref="F63">
      <formula1>Ressource,Achat,Sous-traitance,Dépense</formula1>
    </dataValidation>
    <dataValidation type="list" allowBlank="1" showInputMessage="1" showErrorMessage="1" sqref="G63">
      <formula1>h,u,lot,jour,km</formula1>
    </dataValidation>
    <dataValidation type="list" allowBlank="1" showInputMessage="1" showErrorMessage="1" sqref="P63">
      <formula1>Fixe,Variable</formula1>
    </dataValidation>
    <dataValidation type="list" allowBlank="1" showInputMessage="1" showErrorMessage="1" sqref="E64">
      <formula1>Capex,Opex</formula1>
    </dataValidation>
    <dataValidation type="list" allowBlank="1" showInputMessage="1" showErrorMessage="1" sqref="F64">
      <formula1>Ressource,Achat,Sous-traitance,Dépense</formula1>
    </dataValidation>
    <dataValidation type="list" allowBlank="1" showInputMessage="1" showErrorMessage="1" sqref="G64">
      <formula1>h,u,lot,jour,km</formula1>
    </dataValidation>
    <dataValidation type="list" allowBlank="1" showInputMessage="1" showErrorMessage="1" sqref="P64">
      <formula1>Fixe,Variable</formula1>
    </dataValidation>
    <dataValidation type="list" allowBlank="1" showInputMessage="1" showErrorMessage="1" sqref="E65">
      <formula1>Capex,Opex</formula1>
    </dataValidation>
    <dataValidation type="list" allowBlank="1" showInputMessage="1" showErrorMessage="1" sqref="F65">
      <formula1>Ressource,Achat,Sous-traitance,Dépense</formula1>
    </dataValidation>
    <dataValidation type="list" allowBlank="1" showInputMessage="1" showErrorMessage="1" sqref="G65">
      <formula1>h,u,lot,jour,km</formula1>
    </dataValidation>
    <dataValidation type="list" allowBlank="1" showInputMessage="1" showErrorMessage="1" sqref="P65">
      <formula1>Fixe,Variable</formula1>
    </dataValidation>
    <dataValidation type="list" allowBlank="1" showInputMessage="1" showErrorMessage="1" sqref="E66">
      <formula1>Capex,Opex</formula1>
    </dataValidation>
    <dataValidation type="list" allowBlank="1" showInputMessage="1" showErrorMessage="1" sqref="F66">
      <formula1>Ressource,Achat,Sous-traitance,Dépense</formula1>
    </dataValidation>
    <dataValidation type="list" allowBlank="1" showInputMessage="1" showErrorMessage="1" sqref="G66">
      <formula1>h,u,lot,jour,km</formula1>
    </dataValidation>
    <dataValidation type="list" allowBlank="1" showInputMessage="1" showErrorMessage="1" sqref="P66">
      <formula1>Fixe,Variable</formula1>
    </dataValidation>
    <dataValidation type="list" allowBlank="1" showInputMessage="1" showErrorMessage="1" sqref="E67">
      <formula1>Capex,Opex</formula1>
    </dataValidation>
    <dataValidation type="list" allowBlank="1" showInputMessage="1" showErrorMessage="1" sqref="F67">
      <formula1>Ressource,Achat,Sous-traitance,Dépense</formula1>
    </dataValidation>
    <dataValidation type="list" allowBlank="1" showInputMessage="1" showErrorMessage="1" sqref="G67">
      <formula1>h,u,lot,jour,km</formula1>
    </dataValidation>
    <dataValidation type="list" allowBlank="1" showInputMessage="1" showErrorMessage="1" sqref="P67">
      <formula1>Fixe,Variable</formula1>
    </dataValidation>
    <dataValidation type="list" allowBlank="1" showInputMessage="1" showErrorMessage="1" sqref="E68">
      <formula1>Capex,Opex</formula1>
    </dataValidation>
    <dataValidation type="list" allowBlank="1" showInputMessage="1" showErrorMessage="1" sqref="F68">
      <formula1>Ressource,Achat,Sous-traitance,Dépense</formula1>
    </dataValidation>
    <dataValidation type="list" allowBlank="1" showInputMessage="1" showErrorMessage="1" sqref="G68">
      <formula1>h,u,lot,jour,km</formula1>
    </dataValidation>
    <dataValidation type="list" allowBlank="1" showInputMessage="1" showErrorMessage="1" sqref="P68">
      <formula1>Fixe,Variable</formula1>
    </dataValidation>
    <dataValidation type="list" allowBlank="1" showInputMessage="1" showErrorMessage="1" sqref="E69">
      <formula1>Capex,Opex</formula1>
    </dataValidation>
    <dataValidation type="list" allowBlank="1" showInputMessage="1" showErrorMessage="1" sqref="F69">
      <formula1>Ressource,Achat,Sous-traitance,Dépense</formula1>
    </dataValidation>
    <dataValidation type="list" allowBlank="1" showInputMessage="1" showErrorMessage="1" sqref="G69">
      <formula1>h,u,lot,jour,km</formula1>
    </dataValidation>
    <dataValidation type="list" allowBlank="1" showInputMessage="1" showErrorMessage="1" sqref="P69">
      <formula1>Fixe,Variable</formula1>
    </dataValidation>
    <dataValidation type="list" allowBlank="1" showInputMessage="1" showErrorMessage="1" sqref="E70">
      <formula1>Capex,Opex</formula1>
    </dataValidation>
    <dataValidation type="list" allowBlank="1" showInputMessage="1" showErrorMessage="1" sqref="F70">
      <formula1>Ressource,Achat,Sous-traitance,Dépense</formula1>
    </dataValidation>
    <dataValidation type="list" allowBlank="1" showInputMessage="1" showErrorMessage="1" sqref="G70">
      <formula1>h,u,lot,jour,km</formula1>
    </dataValidation>
    <dataValidation type="list" allowBlank="1" showInputMessage="1" showErrorMessage="1" sqref="P70">
      <formula1>Fixe,Variable</formula1>
    </dataValidation>
    <dataValidation type="list" allowBlank="1" showInputMessage="1" showErrorMessage="1" sqref="E71">
      <formula1>Capex,Opex</formula1>
    </dataValidation>
    <dataValidation type="list" allowBlank="1" showInputMessage="1" showErrorMessage="1" sqref="F71">
      <formula1>Ressource,Achat,Sous-traitance,Dépense</formula1>
    </dataValidation>
    <dataValidation type="list" allowBlank="1" showInputMessage="1" showErrorMessage="1" sqref="G71">
      <formula1>h,u,lot,jour,km</formula1>
    </dataValidation>
    <dataValidation type="list" allowBlank="1" showInputMessage="1" showErrorMessage="1" sqref="P71">
      <formula1>Fixe,Variable</formula1>
    </dataValidation>
    <dataValidation type="list" allowBlank="1" showInputMessage="1" showErrorMessage="1" sqref="E72">
      <formula1>Capex,Opex</formula1>
    </dataValidation>
    <dataValidation type="list" allowBlank="1" showInputMessage="1" showErrorMessage="1" sqref="F72">
      <formula1>Ressource,Achat,Sous-traitance,Dépense</formula1>
    </dataValidation>
    <dataValidation type="list" allowBlank="1" showInputMessage="1" showErrorMessage="1" sqref="G72">
      <formula1>h,u,lot,jour,km</formula1>
    </dataValidation>
    <dataValidation type="list" allowBlank="1" showInputMessage="1" showErrorMessage="1" sqref="P72">
      <formula1>Fixe,Variable</formula1>
    </dataValidation>
    <dataValidation type="list" allowBlank="1" showInputMessage="1" showErrorMessage="1" sqref="E73">
      <formula1>Capex,Opex</formula1>
    </dataValidation>
    <dataValidation type="list" allowBlank="1" showInputMessage="1" showErrorMessage="1" sqref="F73">
      <formula1>Ressource,Achat,Sous-traitance,Dépense</formula1>
    </dataValidation>
    <dataValidation type="list" allowBlank="1" showInputMessage="1" showErrorMessage="1" sqref="G73">
      <formula1>h,u,lot,jour,km</formula1>
    </dataValidation>
    <dataValidation type="list" allowBlank="1" showInputMessage="1" showErrorMessage="1" sqref="P73">
      <formula1>Fixe,Variable</formula1>
    </dataValidation>
    <dataValidation type="list" allowBlank="1" showInputMessage="1" showErrorMessage="1" sqref="E74">
      <formula1>Capex,Opex</formula1>
    </dataValidation>
    <dataValidation type="list" allowBlank="1" showInputMessage="1" showErrorMessage="1" sqref="F74">
      <formula1>Ressource,Achat,Sous-traitance,Dépense</formula1>
    </dataValidation>
    <dataValidation type="list" allowBlank="1" showInputMessage="1" showErrorMessage="1" sqref="G74">
      <formula1>h,u,lot,jour,km</formula1>
    </dataValidation>
    <dataValidation type="list" allowBlank="1" showInputMessage="1" showErrorMessage="1" sqref="P74">
      <formula1>Fixe,Variable</formula1>
    </dataValidation>
    <dataValidation type="list" allowBlank="1" showInputMessage="1" showErrorMessage="1" sqref="E75">
      <formula1>Capex,Opex</formula1>
    </dataValidation>
    <dataValidation type="list" allowBlank="1" showInputMessage="1" showErrorMessage="1" sqref="F75">
      <formula1>Ressource,Achat,Sous-traitance,Dépense</formula1>
    </dataValidation>
    <dataValidation type="list" allowBlank="1" showInputMessage="1" showErrorMessage="1" sqref="G75">
      <formula1>h,u,lot,jour,km</formula1>
    </dataValidation>
    <dataValidation type="list" allowBlank="1" showInputMessage="1" showErrorMessage="1" sqref="P75">
      <formula1>Fixe,Variable</formula1>
    </dataValidation>
    <dataValidation type="list" allowBlank="1" showInputMessage="1" showErrorMessage="1" sqref="E76">
      <formula1>Capex,Opex</formula1>
    </dataValidation>
    <dataValidation type="list" allowBlank="1" showInputMessage="1" showErrorMessage="1" sqref="F76">
      <formula1>Ressource,Achat,Sous-traitance,Dépense</formula1>
    </dataValidation>
    <dataValidation type="list" allowBlank="1" showInputMessage="1" showErrorMessage="1" sqref="G76">
      <formula1>h,u,lot,jour,km</formula1>
    </dataValidation>
    <dataValidation type="list" allowBlank="1" showInputMessage="1" showErrorMessage="1" sqref="P76">
      <formula1>Fixe,Variable</formula1>
    </dataValidation>
    <dataValidation type="list" allowBlank="1" showInputMessage="1" showErrorMessage="1" sqref="E77">
      <formula1>Capex,Opex</formula1>
    </dataValidation>
    <dataValidation type="list" allowBlank="1" showInputMessage="1" showErrorMessage="1" sqref="F77">
      <formula1>Ressource,Achat,Sous-traitance,Dépense</formula1>
    </dataValidation>
    <dataValidation type="list" allowBlank="1" showInputMessage="1" showErrorMessage="1" sqref="G77">
      <formula1>h,u,lot,jour,km</formula1>
    </dataValidation>
    <dataValidation type="list" allowBlank="1" showInputMessage="1" showErrorMessage="1" sqref="P77">
      <formula1>Fixe,Variable</formula1>
    </dataValidation>
    <dataValidation type="list" allowBlank="1" showInputMessage="1" showErrorMessage="1" sqref="E78">
      <formula1>Capex,Opex</formula1>
    </dataValidation>
    <dataValidation type="list" allowBlank="1" showInputMessage="1" showErrorMessage="1" sqref="F78">
      <formula1>Ressource,Achat,Sous-traitance,Dépense</formula1>
    </dataValidation>
    <dataValidation type="list" allowBlank="1" showInputMessage="1" showErrorMessage="1" sqref="G78">
      <formula1>h,u,lot,jour,km</formula1>
    </dataValidation>
    <dataValidation type="list" allowBlank="1" showInputMessage="1" showErrorMessage="1" sqref="P78">
      <formula1>Fixe,Variable</formula1>
    </dataValidation>
    <dataValidation type="list" allowBlank="1" showInputMessage="1" showErrorMessage="1" sqref="E79">
      <formula1>Capex,Opex</formula1>
    </dataValidation>
    <dataValidation type="list" allowBlank="1" showInputMessage="1" showErrorMessage="1" sqref="F79">
      <formula1>Ressource,Achat,Sous-traitance,Dépense</formula1>
    </dataValidation>
    <dataValidation type="list" allowBlank="1" showInputMessage="1" showErrorMessage="1" sqref="G79">
      <formula1>h,u,lot,jour,km</formula1>
    </dataValidation>
    <dataValidation type="list" allowBlank="1" showInputMessage="1" showErrorMessage="1" sqref="P79">
      <formula1>Fixe,Variable</formula1>
    </dataValidation>
    <dataValidation type="list" allowBlank="1" showInputMessage="1" showErrorMessage="1" sqref="E80">
      <formula1>Capex,Opex</formula1>
    </dataValidation>
    <dataValidation type="list" allowBlank="1" showInputMessage="1" showErrorMessage="1" sqref="F80">
      <formula1>Ressource,Achat,Sous-traitance,Dépense</formula1>
    </dataValidation>
    <dataValidation type="list" allowBlank="1" showInputMessage="1" showErrorMessage="1" sqref="G80">
      <formula1>h,u,lot,jour,km</formula1>
    </dataValidation>
    <dataValidation type="list" allowBlank="1" showInputMessage="1" showErrorMessage="1" sqref="P80">
      <formula1>Fixe,Variable</formula1>
    </dataValidation>
    <dataValidation type="list" allowBlank="1" showInputMessage="1" showErrorMessage="1" sqref="E81">
      <formula1>Capex,Opex</formula1>
    </dataValidation>
    <dataValidation type="list" allowBlank="1" showInputMessage="1" showErrorMessage="1" sqref="F81">
      <formula1>Ressource,Achat,Sous-traitance,Dépense</formula1>
    </dataValidation>
    <dataValidation type="list" allowBlank="1" showInputMessage="1" showErrorMessage="1" sqref="G81">
      <formula1>h,u,lot,jour,km</formula1>
    </dataValidation>
    <dataValidation type="list" allowBlank="1" showInputMessage="1" showErrorMessage="1" sqref="P81">
      <formula1>Fixe,Variable</formula1>
    </dataValidation>
    <dataValidation type="list" allowBlank="1" showInputMessage="1" showErrorMessage="1" sqref="E82">
      <formula1>Capex,Opex</formula1>
    </dataValidation>
    <dataValidation type="list" allowBlank="1" showInputMessage="1" showErrorMessage="1" sqref="F82">
      <formula1>Ressource,Achat,Sous-traitance,Dépense</formula1>
    </dataValidation>
    <dataValidation type="list" allowBlank="1" showInputMessage="1" showErrorMessage="1" sqref="G82">
      <formula1>h,u,lot,jour,km</formula1>
    </dataValidation>
    <dataValidation type="list" allowBlank="1" showInputMessage="1" showErrorMessage="1" sqref="P82">
      <formula1>Fixe,Variable</formula1>
    </dataValidation>
    <dataValidation type="list" allowBlank="1" showInputMessage="1" showErrorMessage="1" sqref="E83">
      <formula1>Capex,Opex</formula1>
    </dataValidation>
    <dataValidation type="list" allowBlank="1" showInputMessage="1" showErrorMessage="1" sqref="F83">
      <formula1>Ressource,Achat,Sous-traitance,Dépense</formula1>
    </dataValidation>
    <dataValidation type="list" allowBlank="1" showInputMessage="1" showErrorMessage="1" sqref="G83">
      <formula1>h,u,lot,jour,km</formula1>
    </dataValidation>
    <dataValidation type="list" allowBlank="1" showInputMessage="1" showErrorMessage="1" sqref="P83">
      <formula1>Fixe,Variable</formula1>
    </dataValidation>
    <dataValidation type="list" allowBlank="1" showInputMessage="1" showErrorMessage="1" sqref="E84">
      <formula1>Capex,Opex</formula1>
    </dataValidation>
    <dataValidation type="list" allowBlank="1" showInputMessage="1" showErrorMessage="1" sqref="F84">
      <formula1>Ressource,Achat,Sous-traitance,Dépense</formula1>
    </dataValidation>
    <dataValidation type="list" allowBlank="1" showInputMessage="1" showErrorMessage="1" sqref="G84">
      <formula1>h,u,lot,jour,km</formula1>
    </dataValidation>
    <dataValidation type="list" allowBlank="1" showInputMessage="1" showErrorMessage="1" sqref="P84">
      <formula1>Fixe,Variable</formula1>
    </dataValidation>
    <dataValidation type="list" allowBlank="1" showInputMessage="1" showErrorMessage="1" sqref="E85">
      <formula1>Capex,Opex</formula1>
    </dataValidation>
    <dataValidation type="list" allowBlank="1" showInputMessage="1" showErrorMessage="1" sqref="F85">
      <formula1>Ressource,Achat,Sous-traitance,Dépense</formula1>
    </dataValidation>
    <dataValidation type="list" allowBlank="1" showInputMessage="1" showErrorMessage="1" sqref="G85">
      <formula1>h,u,lot,jour,km</formula1>
    </dataValidation>
    <dataValidation type="list" allowBlank="1" showInputMessage="1" showErrorMessage="1" sqref="P85">
      <formula1>Fixe,Variable</formula1>
    </dataValidation>
    <dataValidation type="list" allowBlank="1" showInputMessage="1" showErrorMessage="1" sqref="E86">
      <formula1>Capex,Opex</formula1>
    </dataValidation>
    <dataValidation type="list" allowBlank="1" showInputMessage="1" showErrorMessage="1" sqref="F86">
      <formula1>Ressource,Achat,Sous-traitance,Dépense</formula1>
    </dataValidation>
    <dataValidation type="list" allowBlank="1" showInputMessage="1" showErrorMessage="1" sqref="G86">
      <formula1>h,u,lot,jour,km</formula1>
    </dataValidation>
    <dataValidation type="list" allowBlank="1" showInputMessage="1" showErrorMessage="1" sqref="P86">
      <formula1>Fixe,Variable</formula1>
    </dataValidation>
    <dataValidation type="list" allowBlank="1" showInputMessage="1" showErrorMessage="1" sqref="E87">
      <formula1>Capex,Opex</formula1>
    </dataValidation>
    <dataValidation type="list" allowBlank="1" showInputMessage="1" showErrorMessage="1" sqref="F87">
      <formula1>Ressource,Achat,Sous-traitance,Dépense</formula1>
    </dataValidation>
    <dataValidation type="list" allowBlank="1" showInputMessage="1" showErrorMessage="1" sqref="G87">
      <formula1>h,u,lot,jour,km</formula1>
    </dataValidation>
    <dataValidation type="list" allowBlank="1" showInputMessage="1" showErrorMessage="1" sqref="P87">
      <formula1>Fixe,Variable</formula1>
    </dataValidation>
    <dataValidation type="list" allowBlank="1" showInputMessage="1" showErrorMessage="1" sqref="E88">
      <formula1>Capex,Opex</formula1>
    </dataValidation>
    <dataValidation type="list" allowBlank="1" showInputMessage="1" showErrorMessage="1" sqref="F88">
      <formula1>Ressource,Achat,Sous-traitance,Dépense</formula1>
    </dataValidation>
    <dataValidation type="list" allowBlank="1" showInputMessage="1" showErrorMessage="1" sqref="G88">
      <formula1>h,u,lot,jour,km</formula1>
    </dataValidation>
    <dataValidation type="list" allowBlank="1" showInputMessage="1" showErrorMessage="1" sqref="P88">
      <formula1>Fixe,Variable</formula1>
    </dataValidation>
    <dataValidation type="list" allowBlank="1" showInputMessage="1" showErrorMessage="1" sqref="E89">
      <formula1>Capex,Opex</formula1>
    </dataValidation>
    <dataValidation type="list" allowBlank="1" showInputMessage="1" showErrorMessage="1" sqref="F89">
      <formula1>Ressource,Achat,Sous-traitance,Dépense</formula1>
    </dataValidation>
    <dataValidation type="list" allowBlank="1" showInputMessage="1" showErrorMessage="1" sqref="G89">
      <formula1>h,u,lot,jour,km</formula1>
    </dataValidation>
    <dataValidation type="list" allowBlank="1" showInputMessage="1" showErrorMessage="1" sqref="P89">
      <formula1>Fixe,Variable</formula1>
    </dataValidation>
    <dataValidation type="list" allowBlank="1" showInputMessage="1" showErrorMessage="1" sqref="E90">
      <formula1>Capex,Opex</formula1>
    </dataValidation>
    <dataValidation type="list" allowBlank="1" showInputMessage="1" showErrorMessage="1" sqref="F90">
      <formula1>Ressource,Achat,Sous-traitance,Dépense</formula1>
    </dataValidation>
    <dataValidation type="list" allowBlank="1" showInputMessage="1" showErrorMessage="1" sqref="G90">
      <formula1>h,u,lot,jour,km</formula1>
    </dataValidation>
    <dataValidation type="list" allowBlank="1" showInputMessage="1" showErrorMessage="1" sqref="P90">
      <formula1>Fixe,Variable</formula1>
    </dataValidation>
    <dataValidation type="list" allowBlank="1" showInputMessage="1" showErrorMessage="1" sqref="E91">
      <formula1>Capex,Opex</formula1>
    </dataValidation>
    <dataValidation type="list" allowBlank="1" showInputMessage="1" showErrorMessage="1" sqref="F91">
      <formula1>Ressource,Achat,Sous-traitance,Dépense</formula1>
    </dataValidation>
    <dataValidation type="list" allowBlank="1" showInputMessage="1" showErrorMessage="1" sqref="G91">
      <formula1>h,u,lot,jour,km</formula1>
    </dataValidation>
    <dataValidation type="list" allowBlank="1" showInputMessage="1" showErrorMessage="1" sqref="P91">
      <formula1>Fixe,Variable</formula1>
    </dataValidation>
    <dataValidation type="list" allowBlank="1" showInputMessage="1" showErrorMessage="1" sqref="E92">
      <formula1>Capex,Opex</formula1>
    </dataValidation>
    <dataValidation type="list" allowBlank="1" showInputMessage="1" showErrorMessage="1" sqref="F92">
      <formula1>Ressource,Achat,Sous-traitance,Dépense</formula1>
    </dataValidation>
    <dataValidation type="list" allowBlank="1" showInputMessage="1" showErrorMessage="1" sqref="G92">
      <formula1>h,u,lot,jour,km</formula1>
    </dataValidation>
    <dataValidation type="list" allowBlank="1" showInputMessage="1" showErrorMessage="1" sqref="P92">
      <formula1>Fixe,Variable</formula1>
    </dataValidation>
    <dataValidation type="list" allowBlank="1" showInputMessage="1" showErrorMessage="1" sqref="E93">
      <formula1>Capex,Opex</formula1>
    </dataValidation>
    <dataValidation type="list" allowBlank="1" showInputMessage="1" showErrorMessage="1" sqref="F93">
      <formula1>Ressource,Achat,Sous-traitance,Dépense</formula1>
    </dataValidation>
    <dataValidation type="list" allowBlank="1" showInputMessage="1" showErrorMessage="1" sqref="G93">
      <formula1>h,u,lot,jour,km</formula1>
    </dataValidation>
    <dataValidation type="list" allowBlank="1" showInputMessage="1" showErrorMessage="1" sqref="P93">
      <formula1>Fixe,Variable</formula1>
    </dataValidation>
    <dataValidation type="list" allowBlank="1" showInputMessage="1" showErrorMessage="1" sqref="E94">
      <formula1>Capex,Opex</formula1>
    </dataValidation>
    <dataValidation type="list" allowBlank="1" showInputMessage="1" showErrorMessage="1" sqref="F94">
      <formula1>Ressource,Achat,Sous-traitance,Dépense</formula1>
    </dataValidation>
    <dataValidation type="list" allowBlank="1" showInputMessage="1" showErrorMessage="1" sqref="G94">
      <formula1>h,u,lot,jour,km</formula1>
    </dataValidation>
    <dataValidation type="list" allowBlank="1" showInputMessage="1" showErrorMessage="1" sqref="P94">
      <formula1>Fixe,Variable</formula1>
    </dataValidation>
    <dataValidation type="list" allowBlank="1" showInputMessage="1" showErrorMessage="1" sqref="E95">
      <formula1>Capex,Opex</formula1>
    </dataValidation>
    <dataValidation type="list" allowBlank="1" showInputMessage="1" showErrorMessage="1" sqref="F95">
      <formula1>Ressource,Achat,Sous-traitance,Dépense</formula1>
    </dataValidation>
    <dataValidation type="list" allowBlank="1" showInputMessage="1" showErrorMessage="1" sqref="G95">
      <formula1>h,u,lot,jour,km</formula1>
    </dataValidation>
    <dataValidation type="list" allowBlank="1" showInputMessage="1" showErrorMessage="1" sqref="P95">
      <formula1>Fixe,Variable</formula1>
    </dataValidation>
    <dataValidation type="list" allowBlank="1" showInputMessage="1" showErrorMessage="1" sqref="E96">
      <formula1>Capex,Opex</formula1>
    </dataValidation>
    <dataValidation type="list" allowBlank="1" showInputMessage="1" showErrorMessage="1" sqref="F96">
      <formula1>Ressource,Achat,Sous-traitance,Dépense</formula1>
    </dataValidation>
    <dataValidation type="list" allowBlank="1" showInputMessage="1" showErrorMessage="1" sqref="G96">
      <formula1>h,u,lot,jour,km</formula1>
    </dataValidation>
    <dataValidation type="list" allowBlank="1" showInputMessage="1" showErrorMessage="1" sqref="P96">
      <formula1>Fixe,Variable</formula1>
    </dataValidation>
    <dataValidation type="list" allowBlank="1" showInputMessage="1" showErrorMessage="1" sqref="E97">
      <formula1>Capex,Opex</formula1>
    </dataValidation>
    <dataValidation type="list" allowBlank="1" showInputMessage="1" showErrorMessage="1" sqref="F97">
      <formula1>Ressource,Achat,Sous-traitance,Dépense</formula1>
    </dataValidation>
    <dataValidation type="list" allowBlank="1" showInputMessage="1" showErrorMessage="1" sqref="G97">
      <formula1>h,u,lot,jour,km</formula1>
    </dataValidation>
    <dataValidation type="list" allowBlank="1" showInputMessage="1" showErrorMessage="1" sqref="P97">
      <formula1>Fixe,Variable</formula1>
    </dataValidation>
    <dataValidation type="list" allowBlank="1" showInputMessage="1" showErrorMessage="1" sqref="E98">
      <formula1>Capex,Opex</formula1>
    </dataValidation>
    <dataValidation type="list" allowBlank="1" showInputMessage="1" showErrorMessage="1" sqref="F98">
      <formula1>Ressource,Achat,Sous-traitance,Dépense</formula1>
    </dataValidation>
    <dataValidation type="list" allowBlank="1" showInputMessage="1" showErrorMessage="1" sqref="G98">
      <formula1>h,u,lot,jour,km</formula1>
    </dataValidation>
    <dataValidation type="list" allowBlank="1" showInputMessage="1" showErrorMessage="1" sqref="P98">
      <formula1>Fixe,Variable</formula1>
    </dataValidation>
    <dataValidation type="list" allowBlank="1" showInputMessage="1" showErrorMessage="1" sqref="E99">
      <formula1>Capex,Opex</formula1>
    </dataValidation>
    <dataValidation type="list" allowBlank="1" showInputMessage="1" showErrorMessage="1" sqref="F99">
      <formula1>Ressource,Achat,Sous-traitance,Dépense</formula1>
    </dataValidation>
    <dataValidation type="list" allowBlank="1" showInputMessage="1" showErrorMessage="1" sqref="G99">
      <formula1>h,u,lot,jour,km</formula1>
    </dataValidation>
    <dataValidation type="list" allowBlank="1" showInputMessage="1" showErrorMessage="1" sqref="P99">
      <formula1>Fixe,Variable</formula1>
    </dataValidation>
    <dataValidation type="list" allowBlank="1" showInputMessage="1" showErrorMessage="1" sqref="E100">
      <formula1>Capex,Opex</formula1>
    </dataValidation>
    <dataValidation type="list" allowBlank="1" showInputMessage="1" showErrorMessage="1" sqref="F100">
      <formula1>Ressource,Achat,Sous-traitance,Dépense</formula1>
    </dataValidation>
    <dataValidation type="list" allowBlank="1" showInputMessage="1" showErrorMessage="1" sqref="G100">
      <formula1>h,u,lot,jour,km</formula1>
    </dataValidation>
    <dataValidation type="list" allowBlank="1" showInputMessage="1" showErrorMessage="1" sqref="P100">
      <formula1>Fixe,Variable</formula1>
    </dataValidation>
    <dataValidation type="list" allowBlank="1" showInputMessage="1" showErrorMessage="1" sqref="E101">
      <formula1>Capex,Opex</formula1>
    </dataValidation>
    <dataValidation type="list" allowBlank="1" showInputMessage="1" showErrorMessage="1" sqref="F101">
      <formula1>Ressource,Achat,Sous-traitance,Dépense</formula1>
    </dataValidation>
    <dataValidation type="list" allowBlank="1" showInputMessage="1" showErrorMessage="1" sqref="G101">
      <formula1>h,u,lot,jour,km</formula1>
    </dataValidation>
    <dataValidation type="list" allowBlank="1" showInputMessage="1" showErrorMessage="1" sqref="P101">
      <formula1>Fixe,Variable</formula1>
    </dataValidation>
    <dataValidation type="list" allowBlank="1" showInputMessage="1" showErrorMessage="1" sqref="E102">
      <formula1>Capex,Opex</formula1>
    </dataValidation>
    <dataValidation type="list" allowBlank="1" showInputMessage="1" showErrorMessage="1" sqref="F102">
      <formula1>Ressource,Achat,Sous-traitance,Dépense</formula1>
    </dataValidation>
    <dataValidation type="list" allowBlank="1" showInputMessage="1" showErrorMessage="1" sqref="G102">
      <formula1>h,u,lot,jour,km</formula1>
    </dataValidation>
    <dataValidation type="list" allowBlank="1" showInputMessage="1" showErrorMessage="1" sqref="P102">
      <formula1>Fixe,Variable</formula1>
    </dataValidation>
    <dataValidation type="list" allowBlank="1" showInputMessage="1" showErrorMessage="1" sqref="E103">
      <formula1>Capex,Opex</formula1>
    </dataValidation>
    <dataValidation type="list" allowBlank="1" showInputMessage="1" showErrorMessage="1" sqref="F103">
      <formula1>Ressource,Achat,Sous-traitance,Dépense</formula1>
    </dataValidation>
    <dataValidation type="list" allowBlank="1" showInputMessage="1" showErrorMessage="1" sqref="G103">
      <formula1>h,u,lot,jour,km</formula1>
    </dataValidation>
    <dataValidation type="list" allowBlank="1" showInputMessage="1" showErrorMessage="1" sqref="P103">
      <formula1>Fixe,Variable</formula1>
    </dataValidation>
    <dataValidation type="list" allowBlank="1" showInputMessage="1" showErrorMessage="1" sqref="E104">
      <formula1>Capex,Opex</formula1>
    </dataValidation>
    <dataValidation type="list" allowBlank="1" showInputMessage="1" showErrorMessage="1" sqref="F104">
      <formula1>Ressource,Achat,Sous-traitance,Dépense</formula1>
    </dataValidation>
    <dataValidation type="list" allowBlank="1" showInputMessage="1" showErrorMessage="1" sqref="G104">
      <formula1>h,u,lot,jour,km</formula1>
    </dataValidation>
    <dataValidation type="list" allowBlank="1" showInputMessage="1" showErrorMessage="1" sqref="P104">
      <formula1>Fixe,Variable</formula1>
    </dataValidation>
    <dataValidation type="list" allowBlank="1" showInputMessage="1" showErrorMessage="1" sqref="E105">
      <formula1>Capex,Opex</formula1>
    </dataValidation>
    <dataValidation type="list" allowBlank="1" showInputMessage="1" showErrorMessage="1" sqref="F105">
      <formula1>Ressource,Achat,Sous-traitance,Dépense</formula1>
    </dataValidation>
    <dataValidation type="list" allowBlank="1" showInputMessage="1" showErrorMessage="1" sqref="G105">
      <formula1>h,u,lot,jour,km</formula1>
    </dataValidation>
    <dataValidation type="list" allowBlank="1" showInputMessage="1" showErrorMessage="1" sqref="P105">
      <formula1>Fixe,Variable</formula1>
    </dataValidation>
    <dataValidation type="list" allowBlank="1" showInputMessage="1" showErrorMessage="1" sqref="E106">
      <formula1>Capex,Opex</formula1>
    </dataValidation>
    <dataValidation type="list" allowBlank="1" showInputMessage="1" showErrorMessage="1" sqref="F106">
      <formula1>Ressource,Achat,Sous-traitance,Dépense</formula1>
    </dataValidation>
    <dataValidation type="list" allowBlank="1" showInputMessage="1" showErrorMessage="1" sqref="G106">
      <formula1>h,u,lot,jour,km</formula1>
    </dataValidation>
    <dataValidation type="list" allowBlank="1" showInputMessage="1" showErrorMessage="1" sqref="P106">
      <formula1>Fixe,Variable</formula1>
    </dataValidation>
    <dataValidation type="list" allowBlank="1" showInputMessage="1" showErrorMessage="1" sqref="E107">
      <formula1>Capex,Opex</formula1>
    </dataValidation>
    <dataValidation type="list" allowBlank="1" showInputMessage="1" showErrorMessage="1" sqref="F107">
      <formula1>Ressource,Achat,Sous-traitance,Dépense</formula1>
    </dataValidation>
    <dataValidation type="list" allowBlank="1" showInputMessage="1" showErrorMessage="1" sqref="G107">
      <formula1>h,u,lot,jour,km</formula1>
    </dataValidation>
    <dataValidation type="list" allowBlank="1" showInputMessage="1" showErrorMessage="1" sqref="P107">
      <formula1>Fixe,Variable</formula1>
    </dataValidation>
    <dataValidation type="list" allowBlank="1" showInputMessage="1" showErrorMessage="1" sqref="E108">
      <formula1>Capex,Opex</formula1>
    </dataValidation>
    <dataValidation type="list" allowBlank="1" showInputMessage="1" showErrorMessage="1" sqref="F108">
      <formula1>Ressource,Achat,Sous-traitance,Dépense</formula1>
    </dataValidation>
    <dataValidation type="list" allowBlank="1" showInputMessage="1" showErrorMessage="1" sqref="G108">
      <formula1>h,u,lot,jour,km</formula1>
    </dataValidation>
    <dataValidation type="list" allowBlank="1" showInputMessage="1" showErrorMessage="1" sqref="P108">
      <formula1>Fixe,Variable</formula1>
    </dataValidation>
    <dataValidation type="list" allowBlank="1" showInputMessage="1" showErrorMessage="1" sqref="E109">
      <formula1>Capex,Opex</formula1>
    </dataValidation>
    <dataValidation type="list" allowBlank="1" showInputMessage="1" showErrorMessage="1" sqref="F109">
      <formula1>Ressource,Achat,Sous-traitance,Dépense</formula1>
    </dataValidation>
    <dataValidation type="list" allowBlank="1" showInputMessage="1" showErrorMessage="1" sqref="G109">
      <formula1>h,u,lot,jour,km</formula1>
    </dataValidation>
    <dataValidation type="list" allowBlank="1" showInputMessage="1" showErrorMessage="1" sqref="P109">
      <formula1>Fixe,Variable</formula1>
    </dataValidation>
    <dataValidation type="list" allowBlank="1" showInputMessage="1" showErrorMessage="1" sqref="E110">
      <formula1>Capex,Opex</formula1>
    </dataValidation>
    <dataValidation type="list" allowBlank="1" showInputMessage="1" showErrorMessage="1" sqref="F110">
      <formula1>Ressource,Achat,Sous-traitance,Dépense</formula1>
    </dataValidation>
    <dataValidation type="list" allowBlank="1" showInputMessage="1" showErrorMessage="1" sqref="G110">
      <formula1>h,u,lot,jour,km</formula1>
    </dataValidation>
    <dataValidation type="list" allowBlank="1" showInputMessage="1" showErrorMessage="1" sqref="P110">
      <formula1>Fixe,Variable</formula1>
    </dataValidation>
    <dataValidation type="list" allowBlank="1" showInputMessage="1" showErrorMessage="1" sqref="E111">
      <formula1>Capex,Opex</formula1>
    </dataValidation>
    <dataValidation type="list" allowBlank="1" showInputMessage="1" showErrorMessage="1" sqref="F111">
      <formula1>Ressource,Achat,Sous-traitance,Dépense</formula1>
    </dataValidation>
    <dataValidation type="list" allowBlank="1" showInputMessage="1" showErrorMessage="1" sqref="G111">
      <formula1>h,u,lot,jour,km</formula1>
    </dataValidation>
    <dataValidation type="list" allowBlank="1" showInputMessage="1" showErrorMessage="1" sqref="P111">
      <formula1>Fixe,Variable</formula1>
    </dataValidation>
    <dataValidation type="list" allowBlank="1" showInputMessage="1" showErrorMessage="1" sqref="E112">
      <formula1>Capex,Opex</formula1>
    </dataValidation>
    <dataValidation type="list" allowBlank="1" showInputMessage="1" showErrorMessage="1" sqref="F112">
      <formula1>Ressource,Achat,Sous-traitance,Dépense</formula1>
    </dataValidation>
    <dataValidation type="list" allowBlank="1" showInputMessage="1" showErrorMessage="1" sqref="G112">
      <formula1>h,u,lot,jour,km</formula1>
    </dataValidation>
    <dataValidation type="list" allowBlank="1" showInputMessage="1" showErrorMessage="1" sqref="P112">
      <formula1>Fixe,Variable</formula1>
    </dataValidation>
    <dataValidation type="list" allowBlank="1" showInputMessage="1" showErrorMessage="1" sqref="E113">
      <formula1>Capex,Opex</formula1>
    </dataValidation>
    <dataValidation type="list" allowBlank="1" showInputMessage="1" showErrorMessage="1" sqref="F113">
      <formula1>Ressource,Achat,Sous-traitance,Dépense</formula1>
    </dataValidation>
    <dataValidation type="list" allowBlank="1" showInputMessage="1" showErrorMessage="1" sqref="G113">
      <formula1>h,u,lot,jour,km</formula1>
    </dataValidation>
    <dataValidation type="list" allowBlank="1" showInputMessage="1" showErrorMessage="1" sqref="P113">
      <formula1>Fixe,Variable</formula1>
    </dataValidation>
    <dataValidation type="list" allowBlank="1" showInputMessage="1" showErrorMessage="1" sqref="E114">
      <formula1>Capex,Opex</formula1>
    </dataValidation>
    <dataValidation type="list" allowBlank="1" showInputMessage="1" showErrorMessage="1" sqref="F114">
      <formula1>Ressource,Achat,Sous-traitance,Dépense</formula1>
    </dataValidation>
    <dataValidation type="list" allowBlank="1" showInputMessage="1" showErrorMessage="1" sqref="G114">
      <formula1>h,u,lot,jour,km</formula1>
    </dataValidation>
    <dataValidation type="list" allowBlank="1" showInputMessage="1" showErrorMessage="1" sqref="P114">
      <formula1>Fixe,Variable</formula1>
    </dataValidation>
    <dataValidation type="list" allowBlank="1" showInputMessage="1" showErrorMessage="1" sqref="E115">
      <formula1>Capex,Opex</formula1>
    </dataValidation>
    <dataValidation type="list" allowBlank="1" showInputMessage="1" showErrorMessage="1" sqref="F115">
      <formula1>Ressource,Achat,Sous-traitance,Dépense</formula1>
    </dataValidation>
    <dataValidation type="list" allowBlank="1" showInputMessage="1" showErrorMessage="1" sqref="G115">
      <formula1>h,u,lot,jour,km</formula1>
    </dataValidation>
    <dataValidation type="list" allowBlank="1" showInputMessage="1" showErrorMessage="1" sqref="P115">
      <formula1>Fixe,Variable</formula1>
    </dataValidation>
    <dataValidation type="list" allowBlank="1" showInputMessage="1" showErrorMessage="1" sqref="E116">
      <formula1>Capex,Opex</formula1>
    </dataValidation>
    <dataValidation type="list" allowBlank="1" showInputMessage="1" showErrorMessage="1" sqref="F116">
      <formula1>Ressource,Achat,Sous-traitance,Dépense</formula1>
    </dataValidation>
    <dataValidation type="list" allowBlank="1" showInputMessage="1" showErrorMessage="1" sqref="G116">
      <formula1>h,u,lot,jour,km</formula1>
    </dataValidation>
    <dataValidation type="list" allowBlank="1" showInputMessage="1" showErrorMessage="1" sqref="P116">
      <formula1>Fixe,Variable</formula1>
    </dataValidation>
    <dataValidation type="list" allowBlank="1" showInputMessage="1" showErrorMessage="1" sqref="E117">
      <formula1>Capex,Opex</formula1>
    </dataValidation>
    <dataValidation type="list" allowBlank="1" showInputMessage="1" showErrorMessage="1" sqref="F117">
      <formula1>Ressource,Achat,Sous-traitance,Dépense</formula1>
    </dataValidation>
    <dataValidation type="list" allowBlank="1" showInputMessage="1" showErrorMessage="1" sqref="G117">
      <formula1>h,u,lot,jour,km</formula1>
    </dataValidation>
    <dataValidation type="list" allowBlank="1" showInputMessage="1" showErrorMessage="1" sqref="P117">
      <formula1>Fixe,Variable</formula1>
    </dataValidation>
    <dataValidation type="list" allowBlank="1" showInputMessage="1" showErrorMessage="1" sqref="E118">
      <formula1>Capex,Opex</formula1>
    </dataValidation>
    <dataValidation type="list" allowBlank="1" showInputMessage="1" showErrorMessage="1" sqref="F118">
      <formula1>Ressource,Achat,Sous-traitance,Dépense</formula1>
    </dataValidation>
    <dataValidation type="list" allowBlank="1" showInputMessage="1" showErrorMessage="1" sqref="G118">
      <formula1>h,u,lot,jour,km</formula1>
    </dataValidation>
    <dataValidation type="list" allowBlank="1" showInputMessage="1" showErrorMessage="1" sqref="P118">
      <formula1>Fixe,Variable</formula1>
    </dataValidation>
    <dataValidation type="list" allowBlank="1" showInputMessage="1" showErrorMessage="1" sqref="E119">
      <formula1>Capex,Opex</formula1>
    </dataValidation>
    <dataValidation type="list" allowBlank="1" showInputMessage="1" showErrorMessage="1" sqref="F119">
      <formula1>Ressource,Achat,Sous-traitance,Dépense</formula1>
    </dataValidation>
    <dataValidation type="list" allowBlank="1" showInputMessage="1" showErrorMessage="1" sqref="G119">
      <formula1>h,u,lot,jour,km</formula1>
    </dataValidation>
    <dataValidation type="list" allowBlank="1" showInputMessage="1" showErrorMessage="1" sqref="P119">
      <formula1>Fixe,Variable</formula1>
    </dataValidation>
    <dataValidation type="list" allowBlank="1" showInputMessage="1" showErrorMessage="1" sqref="E120">
      <formula1>Capex,Opex</formula1>
    </dataValidation>
    <dataValidation type="list" allowBlank="1" showInputMessage="1" showErrorMessage="1" sqref="F120">
      <formula1>Ressource,Achat,Sous-traitance,Dépense</formula1>
    </dataValidation>
    <dataValidation type="list" allowBlank="1" showInputMessage="1" showErrorMessage="1" sqref="G120">
      <formula1>h,u,lot,jour,km</formula1>
    </dataValidation>
    <dataValidation type="list" allowBlank="1" showInputMessage="1" showErrorMessage="1" sqref="P120">
      <formula1>Fixe,Variable</formula1>
    </dataValidation>
    <dataValidation type="list" allowBlank="1" showInputMessage="1" showErrorMessage="1" sqref="E121">
      <formula1>Capex,Opex</formula1>
    </dataValidation>
    <dataValidation type="list" allowBlank="1" showInputMessage="1" showErrorMessage="1" sqref="F121">
      <formula1>Ressource,Achat,Sous-traitance,Dépense</formula1>
    </dataValidation>
    <dataValidation type="list" allowBlank="1" showInputMessage="1" showErrorMessage="1" sqref="G121">
      <formula1>h,u,lot,jour,km</formula1>
    </dataValidation>
    <dataValidation type="list" allowBlank="1" showInputMessage="1" showErrorMessage="1" sqref="P121">
      <formula1>Fixe,Variable</formula1>
    </dataValidation>
    <dataValidation type="list" allowBlank="1" showInputMessage="1" showErrorMessage="1" sqref="E122">
      <formula1>Capex,Opex</formula1>
    </dataValidation>
    <dataValidation type="list" allowBlank="1" showInputMessage="1" showErrorMessage="1" sqref="F122">
      <formula1>Ressource,Achat,Sous-traitance,Dépense</formula1>
    </dataValidation>
    <dataValidation type="list" allowBlank="1" showInputMessage="1" showErrorMessage="1" sqref="G122">
      <formula1>h,u,lot,jour,km</formula1>
    </dataValidation>
    <dataValidation type="list" allowBlank="1" showInputMessage="1" showErrorMessage="1" sqref="P122">
      <formula1>Fixe,Variable</formula1>
    </dataValidation>
    <dataValidation type="list" allowBlank="1" showInputMessage="1" showErrorMessage="1" sqref="E123">
      <formula1>Capex,Opex</formula1>
    </dataValidation>
    <dataValidation type="list" allowBlank="1" showInputMessage="1" showErrorMessage="1" sqref="F123">
      <formula1>Ressource,Achat,Sous-traitance,Dépense</formula1>
    </dataValidation>
    <dataValidation type="list" allowBlank="1" showInputMessage="1" showErrorMessage="1" sqref="G123">
      <formula1>h,u,lot,jour,km</formula1>
    </dataValidation>
    <dataValidation type="list" allowBlank="1" showInputMessage="1" showErrorMessage="1" sqref="P123">
      <formula1>Fixe,Variable</formula1>
    </dataValidation>
    <dataValidation type="list" allowBlank="1" showInputMessage="1" showErrorMessage="1" sqref="E124">
      <formula1>Capex,Opex</formula1>
    </dataValidation>
    <dataValidation type="list" allowBlank="1" showInputMessage="1" showErrorMessage="1" sqref="F124">
      <formula1>Ressource,Achat,Sous-traitance,Dépense</formula1>
    </dataValidation>
    <dataValidation type="list" allowBlank="1" showInputMessage="1" showErrorMessage="1" sqref="G124">
      <formula1>h,u,lot,jour,km</formula1>
    </dataValidation>
    <dataValidation type="list" allowBlank="1" showInputMessage="1" showErrorMessage="1" sqref="P124">
      <formula1>Fixe,Variable</formula1>
    </dataValidation>
    <dataValidation type="list" allowBlank="1" showInputMessage="1" showErrorMessage="1" sqref="E125">
      <formula1>Capex,Opex</formula1>
    </dataValidation>
    <dataValidation type="list" allowBlank="1" showInputMessage="1" showErrorMessage="1" sqref="F125">
      <formula1>Ressource,Achat,Sous-traitance,Dépense</formula1>
    </dataValidation>
    <dataValidation type="list" allowBlank="1" showInputMessage="1" showErrorMessage="1" sqref="G125">
      <formula1>h,u,lot,jour,km</formula1>
    </dataValidation>
    <dataValidation type="list" allowBlank="1" showInputMessage="1" showErrorMessage="1" sqref="P125">
      <formula1>Fixe,Variable</formula1>
    </dataValidation>
    <dataValidation type="list" allowBlank="1" showInputMessage="1" showErrorMessage="1" sqref="E126">
      <formula1>Capex,Opex</formula1>
    </dataValidation>
    <dataValidation type="list" allowBlank="1" showInputMessage="1" showErrorMessage="1" sqref="F126">
      <formula1>Ressource,Achat,Sous-traitance,Dépense</formula1>
    </dataValidation>
    <dataValidation type="list" allowBlank="1" showInputMessage="1" showErrorMessage="1" sqref="G126">
      <formula1>h,u,lot,jour,km</formula1>
    </dataValidation>
    <dataValidation type="list" allowBlank="1" showInputMessage="1" showErrorMessage="1" sqref="P126">
      <formula1>Fixe,Variable</formula1>
    </dataValidation>
    <dataValidation type="list" allowBlank="1" showInputMessage="1" showErrorMessage="1" sqref="E127">
      <formula1>Capex,Opex</formula1>
    </dataValidation>
    <dataValidation type="list" allowBlank="1" showInputMessage="1" showErrorMessage="1" sqref="F127">
      <formula1>Ressource,Achat,Sous-traitance,Dépense</formula1>
    </dataValidation>
    <dataValidation type="list" allowBlank="1" showInputMessage="1" showErrorMessage="1" sqref="G127">
      <formula1>h,u,lot,jour,km</formula1>
    </dataValidation>
    <dataValidation type="list" allowBlank="1" showInputMessage="1" showErrorMessage="1" sqref="P127">
      <formula1>Fixe,Variable</formula1>
    </dataValidation>
    <dataValidation type="list" allowBlank="1" showInputMessage="1" showErrorMessage="1" sqref="E128">
      <formula1>Capex,Opex</formula1>
    </dataValidation>
    <dataValidation type="list" allowBlank="1" showInputMessage="1" showErrorMessage="1" sqref="F128">
      <formula1>Ressource,Achat,Sous-traitance,Dépense</formula1>
    </dataValidation>
    <dataValidation type="list" allowBlank="1" showInputMessage="1" showErrorMessage="1" sqref="G128">
      <formula1>h,u,lot,jour,km</formula1>
    </dataValidation>
    <dataValidation type="list" allowBlank="1" showInputMessage="1" showErrorMessage="1" sqref="P128">
      <formula1>Fixe,Variable</formula1>
    </dataValidation>
    <dataValidation type="list" allowBlank="1" showInputMessage="1" showErrorMessage="1" sqref="E129">
      <formula1>Capex,Opex</formula1>
    </dataValidation>
    <dataValidation type="list" allowBlank="1" showInputMessage="1" showErrorMessage="1" sqref="F129">
      <formula1>Ressource,Achat,Sous-traitance,Dépense</formula1>
    </dataValidation>
    <dataValidation type="list" allowBlank="1" showInputMessage="1" showErrorMessage="1" sqref="G129">
      <formula1>h,u,lot,jour,km</formula1>
    </dataValidation>
    <dataValidation type="list" allowBlank="1" showInputMessage="1" showErrorMessage="1" sqref="P129">
      <formula1>Fixe,Variable</formula1>
    </dataValidation>
    <dataValidation type="list" allowBlank="1" showInputMessage="1" showErrorMessage="1" sqref="E130">
      <formula1>Capex,Opex</formula1>
    </dataValidation>
    <dataValidation type="list" allowBlank="1" showInputMessage="1" showErrorMessage="1" sqref="F130">
      <formula1>Ressource,Achat,Sous-traitance,Dépense</formula1>
    </dataValidation>
    <dataValidation type="list" allowBlank="1" showInputMessage="1" showErrorMessage="1" sqref="G130">
      <formula1>h,u,lot,jour,km</formula1>
    </dataValidation>
    <dataValidation type="list" allowBlank="1" showInputMessage="1" showErrorMessage="1" sqref="P130">
      <formula1>Fixe,Variable</formula1>
    </dataValidation>
    <dataValidation type="list" allowBlank="1" showInputMessage="1" showErrorMessage="1" sqref="E131">
      <formula1>Capex,Opex</formula1>
    </dataValidation>
    <dataValidation type="list" allowBlank="1" showInputMessage="1" showErrorMessage="1" sqref="F131">
      <formula1>Ressource,Achat,Sous-traitance,Dépense</formula1>
    </dataValidation>
    <dataValidation type="list" allowBlank="1" showInputMessage="1" showErrorMessage="1" sqref="G131">
      <formula1>h,u,lot,jour,km</formula1>
    </dataValidation>
    <dataValidation type="list" allowBlank="1" showInputMessage="1" showErrorMessage="1" sqref="P131">
      <formula1>Fixe,Variable</formula1>
    </dataValidation>
    <dataValidation type="list" allowBlank="1" showInputMessage="1" showErrorMessage="1" sqref="E132">
      <formula1>Capex,Opex</formula1>
    </dataValidation>
    <dataValidation type="list" allowBlank="1" showInputMessage="1" showErrorMessage="1" sqref="F132">
      <formula1>Ressource,Achat,Sous-traitance,Dépense</formula1>
    </dataValidation>
    <dataValidation type="list" allowBlank="1" showInputMessage="1" showErrorMessage="1" sqref="G132">
      <formula1>h,u,lot,jour,km</formula1>
    </dataValidation>
    <dataValidation type="list" allowBlank="1" showInputMessage="1" showErrorMessage="1" sqref="P132">
      <formula1>Fixe,Variable</formula1>
    </dataValidation>
    <dataValidation type="list" allowBlank="1" showInputMessage="1" showErrorMessage="1" sqref="E133">
      <formula1>Capex,Opex</formula1>
    </dataValidation>
    <dataValidation type="list" allowBlank="1" showInputMessage="1" showErrorMessage="1" sqref="F133">
      <formula1>Ressource,Achat,Sous-traitance,Dépense</formula1>
    </dataValidation>
    <dataValidation type="list" allowBlank="1" showInputMessage="1" showErrorMessage="1" sqref="G133">
      <formula1>h,u,lot,jour,km</formula1>
    </dataValidation>
    <dataValidation type="list" allowBlank="1" showInputMessage="1" showErrorMessage="1" sqref="P133">
      <formula1>Fixe,Variable</formula1>
    </dataValidation>
    <dataValidation type="list" allowBlank="1" showInputMessage="1" showErrorMessage="1" sqref="E134">
      <formula1>Capex,Opex</formula1>
    </dataValidation>
    <dataValidation type="list" allowBlank="1" showInputMessage="1" showErrorMessage="1" sqref="F134">
      <formula1>Ressource,Achat,Sous-traitance,Dépense</formula1>
    </dataValidation>
    <dataValidation type="list" allowBlank="1" showInputMessage="1" showErrorMessage="1" sqref="G134">
      <formula1>h,u,lot,jour,km</formula1>
    </dataValidation>
    <dataValidation type="list" allowBlank="1" showInputMessage="1" showErrorMessage="1" sqref="P134">
      <formula1>Fixe,Variable</formula1>
    </dataValidation>
    <dataValidation type="list" allowBlank="1" showInputMessage="1" showErrorMessage="1" sqref="E135">
      <formula1>Capex,Opex</formula1>
    </dataValidation>
    <dataValidation type="list" allowBlank="1" showInputMessage="1" showErrorMessage="1" sqref="F135">
      <formula1>Ressource,Achat,Sous-traitance,Dépense</formula1>
    </dataValidation>
    <dataValidation type="list" allowBlank="1" showInputMessage="1" showErrorMessage="1" sqref="G135">
      <formula1>h,u,lot,jour,km</formula1>
    </dataValidation>
    <dataValidation type="list" allowBlank="1" showInputMessage="1" showErrorMessage="1" sqref="P135">
      <formula1>Fixe,Variable</formula1>
    </dataValidation>
    <dataValidation type="list" allowBlank="1" showInputMessage="1" showErrorMessage="1" sqref="E136">
      <formula1>Capex,Opex</formula1>
    </dataValidation>
    <dataValidation type="list" allowBlank="1" showInputMessage="1" showErrorMessage="1" sqref="F136">
      <formula1>Ressource,Achat,Sous-traitance,Dépense</formula1>
    </dataValidation>
    <dataValidation type="list" allowBlank="1" showInputMessage="1" showErrorMessage="1" sqref="G136">
      <formula1>h,u,lot,jour,km</formula1>
    </dataValidation>
    <dataValidation type="list" allowBlank="1" showInputMessage="1" showErrorMessage="1" sqref="P136">
      <formula1>Fixe,Variable</formula1>
    </dataValidation>
    <dataValidation type="list" allowBlank="1" showInputMessage="1" showErrorMessage="1" sqref="E137">
      <formula1>Capex,Opex</formula1>
    </dataValidation>
    <dataValidation type="list" allowBlank="1" showInputMessage="1" showErrorMessage="1" sqref="F137">
      <formula1>Ressource,Achat,Sous-traitance,Dépense</formula1>
    </dataValidation>
    <dataValidation type="list" allowBlank="1" showInputMessage="1" showErrorMessage="1" sqref="G137">
      <formula1>h,u,lot,jour,km</formula1>
    </dataValidation>
    <dataValidation type="list" allowBlank="1" showInputMessage="1" showErrorMessage="1" sqref="P137">
      <formula1>Fixe,Variable</formula1>
    </dataValidation>
    <dataValidation type="list" allowBlank="1" showInputMessage="1" showErrorMessage="1" sqref="E138">
      <formula1>Capex,Opex</formula1>
    </dataValidation>
    <dataValidation type="list" allowBlank="1" showInputMessage="1" showErrorMessage="1" sqref="F138">
      <formula1>Ressource,Achat,Sous-traitance,Dépense</formula1>
    </dataValidation>
    <dataValidation type="list" allowBlank="1" showInputMessage="1" showErrorMessage="1" sqref="G138">
      <formula1>h,u,lot,jour,km</formula1>
    </dataValidation>
    <dataValidation type="list" allowBlank="1" showInputMessage="1" showErrorMessage="1" sqref="P138">
      <formula1>Fixe,Variable</formula1>
    </dataValidation>
    <dataValidation type="list" allowBlank="1" showInputMessage="1" showErrorMessage="1" sqref="E139">
      <formula1>Capex,Opex</formula1>
    </dataValidation>
    <dataValidation type="list" allowBlank="1" showInputMessage="1" showErrorMessage="1" sqref="F139">
      <formula1>Ressource,Achat,Sous-traitance,Dépense</formula1>
    </dataValidation>
    <dataValidation type="list" allowBlank="1" showInputMessage="1" showErrorMessage="1" sqref="G139">
      <formula1>h,u,lot,jour,km</formula1>
    </dataValidation>
    <dataValidation type="list" allowBlank="1" showInputMessage="1" showErrorMessage="1" sqref="P139">
      <formula1>Fixe,Variable</formula1>
    </dataValidation>
    <dataValidation type="list" allowBlank="1" showInputMessage="1" showErrorMessage="1" sqref="E140">
      <formula1>Capex,Opex</formula1>
    </dataValidation>
    <dataValidation type="list" allowBlank="1" showInputMessage="1" showErrorMessage="1" sqref="F140">
      <formula1>Ressource,Achat,Sous-traitance,Dépense</formula1>
    </dataValidation>
    <dataValidation type="list" allowBlank="1" showInputMessage="1" showErrorMessage="1" sqref="G140">
      <formula1>h,u,lot,jour,km</formula1>
    </dataValidation>
    <dataValidation type="list" allowBlank="1" showInputMessage="1" showErrorMessage="1" sqref="P140">
      <formula1>Fixe,Variable</formula1>
    </dataValidation>
    <dataValidation type="list" allowBlank="1" showInputMessage="1" showErrorMessage="1" sqref="E141">
      <formula1>Capex,Opex</formula1>
    </dataValidation>
    <dataValidation type="list" allowBlank="1" showInputMessage="1" showErrorMessage="1" sqref="F141">
      <formula1>Ressource,Achat,Sous-traitance,Dépense</formula1>
    </dataValidation>
    <dataValidation type="list" allowBlank="1" showInputMessage="1" showErrorMessage="1" sqref="G141">
      <formula1>h,u,lot,jour,km</formula1>
    </dataValidation>
    <dataValidation type="list" allowBlank="1" showInputMessage="1" showErrorMessage="1" sqref="P141">
      <formula1>Fixe,Variable</formula1>
    </dataValidation>
    <dataValidation type="list" allowBlank="1" showInputMessage="1" showErrorMessage="1" sqref="E142">
      <formula1>Capex,Opex</formula1>
    </dataValidation>
    <dataValidation type="list" allowBlank="1" showInputMessage="1" showErrorMessage="1" sqref="F142">
      <formula1>Ressource,Achat,Sous-traitance,Dépense</formula1>
    </dataValidation>
    <dataValidation type="list" allowBlank="1" showInputMessage="1" showErrorMessage="1" sqref="G142">
      <formula1>h,u,lot,jour,km</formula1>
    </dataValidation>
    <dataValidation type="list" allowBlank="1" showInputMessage="1" showErrorMessage="1" sqref="P142">
      <formula1>Fixe,Variable</formula1>
    </dataValidation>
    <dataValidation type="list" allowBlank="1" showInputMessage="1" showErrorMessage="1" sqref="E143">
      <formula1>Capex,Opex</formula1>
    </dataValidation>
    <dataValidation type="list" allowBlank="1" showInputMessage="1" showErrorMessage="1" sqref="F143">
      <formula1>Ressource,Achat,Sous-traitance,Dépense</formula1>
    </dataValidation>
    <dataValidation type="list" allowBlank="1" showInputMessage="1" showErrorMessage="1" sqref="G143">
      <formula1>h,u,lot,jour,km</formula1>
    </dataValidation>
    <dataValidation type="list" allowBlank="1" showInputMessage="1" showErrorMessage="1" sqref="P143">
      <formula1>Fixe,Variable</formula1>
    </dataValidation>
    <dataValidation type="list" allowBlank="1" showInputMessage="1" showErrorMessage="1" sqref="E144">
      <formula1>Capex,Opex</formula1>
    </dataValidation>
    <dataValidation type="list" allowBlank="1" showInputMessage="1" showErrorMessage="1" sqref="F144">
      <formula1>Ressource,Achat,Sous-traitance,Dépense</formula1>
    </dataValidation>
    <dataValidation type="list" allowBlank="1" showInputMessage="1" showErrorMessage="1" sqref="G144">
      <formula1>h,u,lot,jour,km</formula1>
    </dataValidation>
    <dataValidation type="list" allowBlank="1" showInputMessage="1" showErrorMessage="1" sqref="P144">
      <formula1>Fixe,Variable</formula1>
    </dataValidation>
    <dataValidation type="list" allowBlank="1" showInputMessage="1" showErrorMessage="1" sqref="E145">
      <formula1>Capex,Opex</formula1>
    </dataValidation>
    <dataValidation type="list" allowBlank="1" showInputMessage="1" showErrorMessage="1" sqref="F145">
      <formula1>Ressource,Achat,Sous-traitance,Dépense</formula1>
    </dataValidation>
    <dataValidation type="list" allowBlank="1" showInputMessage="1" showErrorMessage="1" sqref="G145">
      <formula1>h,u,lot,jour,km</formula1>
    </dataValidation>
    <dataValidation type="list" allowBlank="1" showInputMessage="1" showErrorMessage="1" sqref="P145">
      <formula1>Fixe,Variable</formula1>
    </dataValidation>
    <dataValidation type="list" allowBlank="1" showInputMessage="1" showErrorMessage="1" sqref="E146">
      <formula1>Capex,Opex</formula1>
    </dataValidation>
    <dataValidation type="list" allowBlank="1" showInputMessage="1" showErrorMessage="1" sqref="F146">
      <formula1>Ressource,Achat,Sous-traitance,Dépense</formula1>
    </dataValidation>
    <dataValidation type="list" allowBlank="1" showInputMessage="1" showErrorMessage="1" sqref="G146">
      <formula1>h,u,lot,jour,km</formula1>
    </dataValidation>
    <dataValidation type="list" allowBlank="1" showInputMessage="1" showErrorMessage="1" sqref="P146">
      <formula1>Fixe,Variable</formula1>
    </dataValidation>
    <dataValidation type="list" allowBlank="1" showInputMessage="1" showErrorMessage="1" sqref="E147">
      <formula1>Capex,Opex</formula1>
    </dataValidation>
    <dataValidation type="list" allowBlank="1" showInputMessage="1" showErrorMessage="1" sqref="F147">
      <formula1>Ressource,Achat,Sous-traitance,Dépense</formula1>
    </dataValidation>
    <dataValidation type="list" allowBlank="1" showInputMessage="1" showErrorMessage="1" sqref="G147">
      <formula1>h,u,lot,jour,km</formula1>
    </dataValidation>
    <dataValidation type="list" allowBlank="1" showInputMessage="1" showErrorMessage="1" sqref="P147">
      <formula1>Fixe,Variable</formula1>
    </dataValidation>
    <dataValidation type="list" allowBlank="1" showInputMessage="1" showErrorMessage="1" sqref="E148">
      <formula1>Capex,Opex</formula1>
    </dataValidation>
    <dataValidation type="list" allowBlank="1" showInputMessage="1" showErrorMessage="1" sqref="F148">
      <formula1>Ressource,Achat,Sous-traitance,Dépense</formula1>
    </dataValidation>
    <dataValidation type="list" allowBlank="1" showInputMessage="1" showErrorMessage="1" sqref="G148">
      <formula1>h,u,lot,jour,km</formula1>
    </dataValidation>
    <dataValidation type="list" allowBlank="1" showInputMessage="1" showErrorMessage="1" sqref="P148">
      <formula1>Fixe,Variable</formula1>
    </dataValidation>
    <dataValidation type="list" allowBlank="1" showInputMessage="1" showErrorMessage="1" sqref="E149">
      <formula1>Capex,Opex</formula1>
    </dataValidation>
    <dataValidation type="list" allowBlank="1" showInputMessage="1" showErrorMessage="1" sqref="F149">
      <formula1>Ressource,Achat,Sous-traitance,Dépense</formula1>
    </dataValidation>
    <dataValidation type="list" allowBlank="1" showInputMessage="1" showErrorMessage="1" sqref="G149">
      <formula1>h,u,lot,jour,km</formula1>
    </dataValidation>
    <dataValidation type="list" allowBlank="1" showInputMessage="1" showErrorMessage="1" sqref="P149">
      <formula1>Fixe,Variable</formula1>
    </dataValidation>
    <dataValidation type="list" allowBlank="1" showInputMessage="1" showErrorMessage="1" sqref="E150">
      <formula1>Capex,Opex</formula1>
    </dataValidation>
    <dataValidation type="list" allowBlank="1" showInputMessage="1" showErrorMessage="1" sqref="F150">
      <formula1>Ressource,Achat,Sous-traitance,Dépense</formula1>
    </dataValidation>
    <dataValidation type="list" allowBlank="1" showInputMessage="1" showErrorMessage="1" sqref="G150">
      <formula1>h,u,lot,jour,km</formula1>
    </dataValidation>
    <dataValidation type="list" allowBlank="1" showInputMessage="1" showErrorMessage="1" sqref="P150">
      <formula1>Fixe,Variable</formula1>
    </dataValidation>
    <dataValidation type="list" allowBlank="1" showInputMessage="1" showErrorMessage="1" sqref="E151">
      <formula1>Capex,Opex</formula1>
    </dataValidation>
    <dataValidation type="list" allowBlank="1" showInputMessage="1" showErrorMessage="1" sqref="F151">
      <formula1>Ressource,Achat,Sous-traitance,Dépense</formula1>
    </dataValidation>
    <dataValidation type="list" allowBlank="1" showInputMessage="1" showErrorMessage="1" sqref="G151">
      <formula1>h,u,lot,jour,km</formula1>
    </dataValidation>
    <dataValidation type="list" allowBlank="1" showInputMessage="1" showErrorMessage="1" sqref="P151">
      <formula1>Fixe,Variable</formula1>
    </dataValidation>
    <dataValidation type="list" allowBlank="1" showInputMessage="1" showErrorMessage="1" sqref="E152">
      <formula1>Capex,Opex</formula1>
    </dataValidation>
    <dataValidation type="list" allowBlank="1" showInputMessage="1" showErrorMessage="1" sqref="F152">
      <formula1>Ressource,Achat,Sous-traitance,Dépense</formula1>
    </dataValidation>
    <dataValidation type="list" allowBlank="1" showInputMessage="1" showErrorMessage="1" sqref="G152">
      <formula1>h,u,lot,jour,km</formula1>
    </dataValidation>
    <dataValidation type="list" allowBlank="1" showInputMessage="1" showErrorMessage="1" sqref="P152">
      <formula1>Fixe,Variable</formula1>
    </dataValidation>
    <dataValidation type="list" allowBlank="1" showInputMessage="1" showErrorMessage="1" sqref="E153">
      <formula1>Capex,Opex</formula1>
    </dataValidation>
    <dataValidation type="list" allowBlank="1" showInputMessage="1" showErrorMessage="1" sqref="F153">
      <formula1>Ressource,Achat,Sous-traitance,Dépense</formula1>
    </dataValidation>
    <dataValidation type="list" allowBlank="1" showInputMessage="1" showErrorMessage="1" sqref="G153">
      <formula1>h,u,lot,jour,km</formula1>
    </dataValidation>
    <dataValidation type="list" allowBlank="1" showInputMessage="1" showErrorMessage="1" sqref="P153">
      <formula1>Fixe,Variable</formula1>
    </dataValidation>
    <dataValidation type="list" allowBlank="1" showInputMessage="1" showErrorMessage="1" sqref="E154">
      <formula1>Capex,Opex</formula1>
    </dataValidation>
    <dataValidation type="list" allowBlank="1" showInputMessage="1" showErrorMessage="1" sqref="F154">
      <formula1>Ressource,Achat,Sous-traitance,Dépense</formula1>
    </dataValidation>
    <dataValidation type="list" allowBlank="1" showInputMessage="1" showErrorMessage="1" sqref="G154">
      <formula1>h,u,lot,jour,km</formula1>
    </dataValidation>
    <dataValidation type="list" allowBlank="1" showInputMessage="1" showErrorMessage="1" sqref="P154">
      <formula1>Fixe,Variable</formula1>
    </dataValidation>
    <dataValidation type="list" allowBlank="1" showInputMessage="1" showErrorMessage="1" sqref="E155">
      <formula1>Capex,Opex</formula1>
    </dataValidation>
    <dataValidation type="list" allowBlank="1" showInputMessage="1" showErrorMessage="1" sqref="F155">
      <formula1>Ressource,Achat,Sous-traitance,Dépense</formula1>
    </dataValidation>
    <dataValidation type="list" allowBlank="1" showInputMessage="1" showErrorMessage="1" sqref="G155">
      <formula1>h,u,lot,jour,km</formula1>
    </dataValidation>
    <dataValidation type="list" allowBlank="1" showInputMessage="1" showErrorMessage="1" sqref="P155">
      <formula1>Fixe,Variable</formula1>
    </dataValidation>
    <dataValidation type="list" allowBlank="1" showInputMessage="1" showErrorMessage="1" sqref="E156">
      <formula1>Capex,Opex</formula1>
    </dataValidation>
    <dataValidation type="list" allowBlank="1" showInputMessage="1" showErrorMessage="1" sqref="F156">
      <formula1>Ressource,Achat,Sous-traitance,Dépense</formula1>
    </dataValidation>
    <dataValidation type="list" allowBlank="1" showInputMessage="1" showErrorMessage="1" sqref="G156">
      <formula1>h,u,lot,jour,km</formula1>
    </dataValidation>
    <dataValidation type="list" allowBlank="1" showInputMessage="1" showErrorMessage="1" sqref="P156">
      <formula1>Fixe,Variable</formula1>
    </dataValidation>
    <dataValidation type="list" allowBlank="1" showInputMessage="1" showErrorMessage="1" sqref="E157">
      <formula1>Capex,Opex</formula1>
    </dataValidation>
    <dataValidation type="list" allowBlank="1" showInputMessage="1" showErrorMessage="1" sqref="F157">
      <formula1>Ressource,Achat,Sous-traitance,Dépense</formula1>
    </dataValidation>
    <dataValidation type="list" allowBlank="1" showInputMessage="1" showErrorMessage="1" sqref="G157">
      <formula1>h,u,lot,jour,km</formula1>
    </dataValidation>
    <dataValidation type="list" allowBlank="1" showInputMessage="1" showErrorMessage="1" sqref="P157">
      <formula1>Fixe,Variable</formula1>
    </dataValidation>
    <dataValidation type="list" allowBlank="1" showInputMessage="1" showErrorMessage="1" sqref="E158">
      <formula1>Capex,Opex</formula1>
    </dataValidation>
    <dataValidation type="list" allowBlank="1" showInputMessage="1" showErrorMessage="1" sqref="F158">
      <formula1>Ressource,Achat,Sous-traitance,Dépense</formula1>
    </dataValidation>
    <dataValidation type="list" allowBlank="1" showInputMessage="1" showErrorMessage="1" sqref="G158">
      <formula1>h,u,lot,jour,km</formula1>
    </dataValidation>
    <dataValidation type="list" allowBlank="1" showInputMessage="1" showErrorMessage="1" sqref="P158">
      <formula1>Fixe,Variable</formula1>
    </dataValidation>
    <dataValidation type="list" allowBlank="1" showInputMessage="1" showErrorMessage="1" sqref="E159">
      <formula1>Capex,Opex</formula1>
    </dataValidation>
    <dataValidation type="list" allowBlank="1" showInputMessage="1" showErrorMessage="1" sqref="F159">
      <formula1>Ressource,Achat,Sous-traitance,Dépense</formula1>
    </dataValidation>
    <dataValidation type="list" allowBlank="1" showInputMessage="1" showErrorMessage="1" sqref="G159">
      <formula1>h,u,lot,jour,km</formula1>
    </dataValidation>
    <dataValidation type="list" allowBlank="1" showInputMessage="1" showErrorMessage="1" sqref="P159">
      <formula1>Fixe,Variable</formula1>
    </dataValidation>
    <dataValidation type="list" allowBlank="1" showInputMessage="1" showErrorMessage="1" sqref="E160">
      <formula1>Capex,Opex</formula1>
    </dataValidation>
    <dataValidation type="list" allowBlank="1" showInputMessage="1" showErrorMessage="1" sqref="F160">
      <formula1>Ressource,Achat,Sous-traitance,Dépense</formula1>
    </dataValidation>
    <dataValidation type="list" allowBlank="1" showInputMessage="1" showErrorMessage="1" sqref="G160">
      <formula1>h,u,lot,jour,km</formula1>
    </dataValidation>
    <dataValidation type="list" allowBlank="1" showInputMessage="1" showErrorMessage="1" sqref="P160">
      <formula1>Fixe,Variable</formula1>
    </dataValidation>
    <dataValidation type="list" allowBlank="1" showInputMessage="1" showErrorMessage="1" sqref="E161">
      <formula1>Capex,Opex</formula1>
    </dataValidation>
    <dataValidation type="list" allowBlank="1" showInputMessage="1" showErrorMessage="1" sqref="F161">
      <formula1>Ressource,Achat,Sous-traitance,Dépense</formula1>
    </dataValidation>
    <dataValidation type="list" allowBlank="1" showInputMessage="1" showErrorMessage="1" sqref="G161">
      <formula1>h,u,lot,jour,km</formula1>
    </dataValidation>
    <dataValidation type="list" allowBlank="1" showInputMessage="1" showErrorMessage="1" sqref="P161">
      <formula1>Fixe,Variable</formula1>
    </dataValidation>
    <dataValidation type="list" allowBlank="1" showInputMessage="1" showErrorMessage="1" sqref="E162">
      <formula1>Capex,Opex</formula1>
    </dataValidation>
    <dataValidation type="list" allowBlank="1" showInputMessage="1" showErrorMessage="1" sqref="F162">
      <formula1>Ressource,Achat,Sous-traitance,Dépense</formula1>
    </dataValidation>
    <dataValidation type="list" allowBlank="1" showInputMessage="1" showErrorMessage="1" sqref="G162">
      <formula1>h,u,lot,jour,km</formula1>
    </dataValidation>
    <dataValidation type="list" allowBlank="1" showInputMessage="1" showErrorMessage="1" sqref="P162">
      <formula1>Fixe,Variable</formula1>
    </dataValidation>
    <dataValidation type="list" allowBlank="1" showInputMessage="1" showErrorMessage="1" sqref="E163">
      <formula1>Capex,Opex</formula1>
    </dataValidation>
    <dataValidation type="list" allowBlank="1" showInputMessage="1" showErrorMessage="1" sqref="F163">
      <formula1>Ressource,Achat,Sous-traitance,Dépense</formula1>
    </dataValidation>
    <dataValidation type="list" allowBlank="1" showInputMessage="1" showErrorMessage="1" sqref="G163">
      <formula1>h,u,lot,jour,km</formula1>
    </dataValidation>
    <dataValidation type="list" allowBlank="1" showInputMessage="1" showErrorMessage="1" sqref="P163">
      <formula1>Fixe,Variable</formula1>
    </dataValidation>
    <dataValidation type="list" allowBlank="1" showInputMessage="1" showErrorMessage="1" sqref="E164">
      <formula1>Capex,Opex</formula1>
    </dataValidation>
    <dataValidation type="list" allowBlank="1" showInputMessage="1" showErrorMessage="1" sqref="F164">
      <formula1>Ressource,Achat,Sous-traitance,Dépense</formula1>
    </dataValidation>
    <dataValidation type="list" allowBlank="1" showInputMessage="1" showErrorMessage="1" sqref="G164">
      <formula1>h,u,lot,jour,km</formula1>
    </dataValidation>
    <dataValidation type="list" allowBlank="1" showInputMessage="1" showErrorMessage="1" sqref="P164">
      <formula1>Fixe,Variable</formula1>
    </dataValidation>
    <dataValidation type="list" allowBlank="1" showInputMessage="1" showErrorMessage="1" sqref="E165">
      <formula1>Capex,Opex</formula1>
    </dataValidation>
    <dataValidation type="list" allowBlank="1" showInputMessage="1" showErrorMessage="1" sqref="F165">
      <formula1>Ressource,Achat,Sous-traitance,Dépense</formula1>
    </dataValidation>
    <dataValidation type="list" allowBlank="1" showInputMessage="1" showErrorMessage="1" sqref="G165">
      <formula1>h,u,lot,jour,km</formula1>
    </dataValidation>
    <dataValidation type="list" allowBlank="1" showInputMessage="1" showErrorMessage="1" sqref="P165">
      <formula1>Fixe,Variable</formula1>
    </dataValidation>
    <dataValidation type="list" allowBlank="1" showInputMessage="1" showErrorMessage="1" sqref="E166">
      <formula1>Capex,Opex</formula1>
    </dataValidation>
    <dataValidation type="list" allowBlank="1" showInputMessage="1" showErrorMessage="1" sqref="F166">
      <formula1>Ressource,Achat,Sous-traitance,Dépense</formula1>
    </dataValidation>
    <dataValidation type="list" allowBlank="1" showInputMessage="1" showErrorMessage="1" sqref="G166">
      <formula1>h,u,lot,jour,km</formula1>
    </dataValidation>
    <dataValidation type="list" allowBlank="1" showInputMessage="1" showErrorMessage="1" sqref="P166">
      <formula1>Fixe,Variable</formula1>
    </dataValidation>
    <dataValidation type="list" allowBlank="1" showInputMessage="1" showErrorMessage="1" sqref="E167">
      <formula1>Capex,Opex</formula1>
    </dataValidation>
    <dataValidation type="list" allowBlank="1" showInputMessage="1" showErrorMessage="1" sqref="F167">
      <formula1>Ressource,Achat,Sous-traitance,Dépense</formula1>
    </dataValidation>
    <dataValidation type="list" allowBlank="1" showInputMessage="1" showErrorMessage="1" sqref="G167">
      <formula1>h,u,lot,jour,km</formula1>
    </dataValidation>
    <dataValidation type="list" allowBlank="1" showInputMessage="1" showErrorMessage="1" sqref="P167">
      <formula1>Fixe,Variable</formula1>
    </dataValidation>
    <dataValidation type="list" allowBlank="1" showInputMessage="1" showErrorMessage="1" sqref="E168">
      <formula1>Capex,Opex</formula1>
    </dataValidation>
    <dataValidation type="list" allowBlank="1" showInputMessage="1" showErrorMessage="1" sqref="F168">
      <formula1>Ressource,Achat,Sous-traitance,Dépense</formula1>
    </dataValidation>
    <dataValidation type="list" allowBlank="1" showInputMessage="1" showErrorMessage="1" sqref="G168">
      <formula1>h,u,lot,jour,km</formula1>
    </dataValidation>
    <dataValidation type="list" allowBlank="1" showInputMessage="1" showErrorMessage="1" sqref="P168">
      <formula1>Fixe,Variable</formula1>
    </dataValidation>
    <dataValidation type="list" allowBlank="1" showInputMessage="1" showErrorMessage="1" sqref="E169">
      <formula1>Capex,Opex</formula1>
    </dataValidation>
    <dataValidation type="list" allowBlank="1" showInputMessage="1" showErrorMessage="1" sqref="F169">
      <formula1>Ressource,Achat,Sous-traitance,Dépense</formula1>
    </dataValidation>
    <dataValidation type="list" allowBlank="1" showInputMessage="1" showErrorMessage="1" sqref="G169">
      <formula1>h,u,lot,jour,km</formula1>
    </dataValidation>
    <dataValidation type="list" allowBlank="1" showInputMessage="1" showErrorMessage="1" sqref="P169">
      <formula1>Fixe,Variable</formula1>
    </dataValidation>
    <dataValidation type="list" allowBlank="1" showInputMessage="1" showErrorMessage="1" sqref="E170">
      <formula1>Capex,Opex</formula1>
    </dataValidation>
    <dataValidation type="list" allowBlank="1" showInputMessage="1" showErrorMessage="1" sqref="F170">
      <formula1>Ressource,Achat,Sous-traitance,Dépense</formula1>
    </dataValidation>
    <dataValidation type="list" allowBlank="1" showInputMessage="1" showErrorMessage="1" sqref="G170">
      <formula1>h,u,lot,jour,km</formula1>
    </dataValidation>
    <dataValidation type="list" allowBlank="1" showInputMessage="1" showErrorMessage="1" sqref="P170">
      <formula1>Fixe,Variable</formula1>
    </dataValidation>
    <dataValidation type="list" allowBlank="1" showInputMessage="1" showErrorMessage="1" sqref="E171">
      <formula1>Capex,Opex</formula1>
    </dataValidation>
    <dataValidation type="list" allowBlank="1" showInputMessage="1" showErrorMessage="1" sqref="F171">
      <formula1>Ressource,Achat,Sous-traitance,Dépense</formula1>
    </dataValidation>
    <dataValidation type="list" allowBlank="1" showInputMessage="1" showErrorMessage="1" sqref="G171">
      <formula1>h,u,lot,jour,km</formula1>
    </dataValidation>
    <dataValidation type="list" allowBlank="1" showInputMessage="1" showErrorMessage="1" sqref="P171">
      <formula1>Fixe,Variable</formula1>
    </dataValidation>
    <dataValidation type="list" allowBlank="1" showInputMessage="1" showErrorMessage="1" sqref="E172">
      <formula1>Capex,Opex</formula1>
    </dataValidation>
    <dataValidation type="list" allowBlank="1" showInputMessage="1" showErrorMessage="1" sqref="F172">
      <formula1>Ressource,Achat,Sous-traitance,Dépense</formula1>
    </dataValidation>
    <dataValidation type="list" allowBlank="1" showInputMessage="1" showErrorMessage="1" sqref="G172">
      <formula1>h,u,lot,jour,km</formula1>
    </dataValidation>
    <dataValidation type="list" allowBlank="1" showInputMessage="1" showErrorMessage="1" sqref="P172">
      <formula1>Fixe,Variable</formula1>
    </dataValidation>
    <dataValidation type="list" allowBlank="1" showInputMessage="1" showErrorMessage="1" sqref="E173">
      <formula1>Capex,Opex</formula1>
    </dataValidation>
    <dataValidation type="list" allowBlank="1" showInputMessage="1" showErrorMessage="1" sqref="F173">
      <formula1>Ressource,Achat,Sous-traitance,Dépense</formula1>
    </dataValidation>
    <dataValidation type="list" allowBlank="1" showInputMessage="1" showErrorMessage="1" sqref="G173">
      <formula1>h,u,lot,jour,km</formula1>
    </dataValidation>
    <dataValidation type="list" allowBlank="1" showInputMessage="1" showErrorMessage="1" sqref="P173">
      <formula1>Fixe,Variable</formula1>
    </dataValidation>
    <dataValidation type="list" allowBlank="1" showInputMessage="1" showErrorMessage="1" sqref="E174">
      <formula1>Capex,Opex</formula1>
    </dataValidation>
    <dataValidation type="list" allowBlank="1" showInputMessage="1" showErrorMessage="1" sqref="F174">
      <formula1>Ressource,Achat,Sous-traitance,Dépense</formula1>
    </dataValidation>
    <dataValidation type="list" allowBlank="1" showInputMessage="1" showErrorMessage="1" sqref="G174">
      <formula1>h,u,lot,jour,km</formula1>
    </dataValidation>
    <dataValidation type="list" allowBlank="1" showInputMessage="1" showErrorMessage="1" sqref="P174">
      <formula1>Fixe,Variable</formula1>
    </dataValidation>
    <dataValidation type="list" allowBlank="1" showInputMessage="1" showErrorMessage="1" sqref="E175">
      <formula1>Capex,Opex</formula1>
    </dataValidation>
    <dataValidation type="list" allowBlank="1" showInputMessage="1" showErrorMessage="1" sqref="F175">
      <formula1>Ressource,Achat,Sous-traitance,Dépense</formula1>
    </dataValidation>
    <dataValidation type="list" allowBlank="1" showInputMessage="1" showErrorMessage="1" sqref="G175">
      <formula1>h,u,lot,jour,km</formula1>
    </dataValidation>
    <dataValidation type="list" allowBlank="1" showInputMessage="1" showErrorMessage="1" sqref="P175">
      <formula1>Fixe,Variable</formula1>
    </dataValidation>
    <dataValidation type="list" allowBlank="1" showInputMessage="1" showErrorMessage="1" sqref="E176">
      <formula1>Capex,Opex</formula1>
    </dataValidation>
    <dataValidation type="list" allowBlank="1" showInputMessage="1" showErrorMessage="1" sqref="F176">
      <formula1>Ressource,Achat,Sous-traitance,Dépense</formula1>
    </dataValidation>
    <dataValidation type="list" allowBlank="1" showInputMessage="1" showErrorMessage="1" sqref="G176">
      <formula1>h,u,lot,jour,km</formula1>
    </dataValidation>
    <dataValidation type="list" allowBlank="1" showInputMessage="1" showErrorMessage="1" sqref="P176">
      <formula1>Fixe,Variable</formula1>
    </dataValidation>
    <dataValidation type="list" allowBlank="1" showInputMessage="1" showErrorMessage="1" sqref="E177">
      <formula1>Capex,Opex</formula1>
    </dataValidation>
    <dataValidation type="list" allowBlank="1" showInputMessage="1" showErrorMessage="1" sqref="F177">
      <formula1>Ressource,Achat,Sous-traitance,Dépense</formula1>
    </dataValidation>
    <dataValidation type="list" allowBlank="1" showInputMessage="1" showErrorMessage="1" sqref="G177">
      <formula1>h,u,lot,jour,km</formula1>
    </dataValidation>
    <dataValidation type="list" allowBlank="1" showInputMessage="1" showErrorMessage="1" sqref="P177">
      <formula1>Fixe,Variable</formula1>
    </dataValidation>
    <dataValidation type="list" allowBlank="1" showInputMessage="1" showErrorMessage="1" sqref="E178">
      <formula1>Capex,Opex</formula1>
    </dataValidation>
    <dataValidation type="list" allowBlank="1" showInputMessage="1" showErrorMessage="1" sqref="F178">
      <formula1>Ressource,Achat,Sous-traitance,Dépense</formula1>
    </dataValidation>
    <dataValidation type="list" allowBlank="1" showInputMessage="1" showErrorMessage="1" sqref="G178">
      <formula1>h,u,lot,jour,km</formula1>
    </dataValidation>
    <dataValidation type="list" allowBlank="1" showInputMessage="1" showErrorMessage="1" sqref="P178">
      <formula1>Fixe,Variable</formula1>
    </dataValidation>
    <dataValidation type="list" allowBlank="1" showInputMessage="1" showErrorMessage="1" sqref="E179">
      <formula1>Capex,Opex</formula1>
    </dataValidation>
    <dataValidation type="list" allowBlank="1" showInputMessage="1" showErrorMessage="1" sqref="F179">
      <formula1>Ressource,Achat,Sous-traitance,Dépense</formula1>
    </dataValidation>
    <dataValidation type="list" allowBlank="1" showInputMessage="1" showErrorMessage="1" sqref="G179">
      <formula1>h,u,lot,jour,km</formula1>
    </dataValidation>
    <dataValidation type="list" allowBlank="1" showInputMessage="1" showErrorMessage="1" sqref="P179">
      <formula1>Fixe,Variable</formula1>
    </dataValidation>
    <dataValidation type="list" allowBlank="1" showInputMessage="1" showErrorMessage="1" sqref="E180">
      <formula1>Capex,Opex</formula1>
    </dataValidation>
    <dataValidation type="list" allowBlank="1" showInputMessage="1" showErrorMessage="1" sqref="F180">
      <formula1>Ressource,Achat,Sous-traitance,Dépense</formula1>
    </dataValidation>
    <dataValidation type="list" allowBlank="1" showInputMessage="1" showErrorMessage="1" sqref="G180">
      <formula1>h,u,lot,jour,km</formula1>
    </dataValidation>
    <dataValidation type="list" allowBlank="1" showInputMessage="1" showErrorMessage="1" sqref="P180">
      <formula1>Fixe,Variable</formula1>
    </dataValidation>
    <dataValidation type="list" allowBlank="1" showInputMessage="1" showErrorMessage="1" sqref="E181">
      <formula1>Capex,Opex</formula1>
    </dataValidation>
    <dataValidation type="list" allowBlank="1" showInputMessage="1" showErrorMessage="1" sqref="F181">
      <formula1>Ressource,Achat,Sous-traitance,Dépense</formula1>
    </dataValidation>
    <dataValidation type="list" allowBlank="1" showInputMessage="1" showErrorMessage="1" sqref="G181">
      <formula1>h,u,lot,jour,km</formula1>
    </dataValidation>
    <dataValidation type="list" allowBlank="1" showInputMessage="1" showErrorMessage="1" sqref="P181">
      <formula1>Fixe,Variable</formula1>
    </dataValidation>
    <dataValidation type="list" allowBlank="1" showInputMessage="1" showErrorMessage="1" sqref="E182">
      <formula1>Capex,Opex</formula1>
    </dataValidation>
    <dataValidation type="list" allowBlank="1" showInputMessage="1" showErrorMessage="1" sqref="F182">
      <formula1>Ressource,Achat,Sous-traitance,Dépense</formula1>
    </dataValidation>
    <dataValidation type="list" allowBlank="1" showInputMessage="1" showErrorMessage="1" sqref="G182">
      <formula1>h,u,lot,jour,km</formula1>
    </dataValidation>
    <dataValidation type="list" allowBlank="1" showInputMessage="1" showErrorMessage="1" sqref="P182">
      <formula1>Fixe,Variable</formula1>
    </dataValidation>
    <dataValidation type="list" allowBlank="1" showInputMessage="1" showErrorMessage="1" sqref="E183">
      <formula1>Capex,Opex</formula1>
    </dataValidation>
    <dataValidation type="list" allowBlank="1" showInputMessage="1" showErrorMessage="1" sqref="F183">
      <formula1>Ressource,Achat,Sous-traitance,Dépense</formula1>
    </dataValidation>
    <dataValidation type="list" allowBlank="1" showInputMessage="1" showErrorMessage="1" sqref="G183">
      <formula1>h,u,lot,jour,km</formula1>
    </dataValidation>
    <dataValidation type="list" allowBlank="1" showInputMessage="1" showErrorMessage="1" sqref="P183">
      <formula1>Fixe,Variable</formula1>
    </dataValidation>
    <dataValidation type="list" allowBlank="1" showInputMessage="1" showErrorMessage="1" sqref="E184">
      <formula1>Capex,Opex</formula1>
    </dataValidation>
    <dataValidation type="list" allowBlank="1" showInputMessage="1" showErrorMessage="1" sqref="F184">
      <formula1>Ressource,Achat,Sous-traitance,Dépense</formula1>
    </dataValidation>
    <dataValidation type="list" allowBlank="1" showInputMessage="1" showErrorMessage="1" sqref="G184">
      <formula1>h,u,lot,jour,km</formula1>
    </dataValidation>
    <dataValidation type="list" allowBlank="1" showInputMessage="1" showErrorMessage="1" sqref="P184">
      <formula1>Fixe,Variable</formula1>
    </dataValidation>
    <dataValidation type="list" allowBlank="1" showInputMessage="1" showErrorMessage="1" sqref="E185">
      <formula1>Capex,Opex</formula1>
    </dataValidation>
    <dataValidation type="list" allowBlank="1" showInputMessage="1" showErrorMessage="1" sqref="F185">
      <formula1>Ressource,Achat,Sous-traitance,Dépense</formula1>
    </dataValidation>
    <dataValidation type="list" allowBlank="1" showInputMessage="1" showErrorMessage="1" sqref="G185">
      <formula1>h,u,lot,jour,km</formula1>
    </dataValidation>
    <dataValidation type="list" allowBlank="1" showInputMessage="1" showErrorMessage="1" sqref="P185">
      <formula1>Fixe,Variable</formula1>
    </dataValidation>
    <dataValidation type="list" allowBlank="1" showInputMessage="1" showErrorMessage="1" sqref="E186">
      <formula1>Capex,Opex</formula1>
    </dataValidation>
    <dataValidation type="list" allowBlank="1" showInputMessage="1" showErrorMessage="1" sqref="F186">
      <formula1>Ressource,Achat,Sous-traitance,Dépense</formula1>
    </dataValidation>
    <dataValidation type="list" allowBlank="1" showInputMessage="1" showErrorMessage="1" sqref="G186">
      <formula1>h,u,lot,jour,km</formula1>
    </dataValidation>
    <dataValidation type="list" allowBlank="1" showInputMessage="1" showErrorMessage="1" sqref="P186">
      <formula1>Fixe,Variable</formula1>
    </dataValidation>
    <dataValidation type="list" allowBlank="1" showInputMessage="1" showErrorMessage="1" sqref="E187">
      <formula1>Capex,Opex</formula1>
    </dataValidation>
    <dataValidation type="list" allowBlank="1" showInputMessage="1" showErrorMessage="1" sqref="F187">
      <formula1>Ressource,Achat,Sous-traitance,Dépense</formula1>
    </dataValidation>
    <dataValidation type="list" allowBlank="1" showInputMessage="1" showErrorMessage="1" sqref="G187">
      <formula1>h,u,lot,jour,km</formula1>
    </dataValidation>
    <dataValidation type="list" allowBlank="1" showInputMessage="1" showErrorMessage="1" sqref="P187">
      <formula1>Fixe,Variable</formula1>
    </dataValidation>
    <dataValidation type="list" allowBlank="1" showInputMessage="1" showErrorMessage="1" sqref="E188">
      <formula1>Capex,Opex</formula1>
    </dataValidation>
    <dataValidation type="list" allowBlank="1" showInputMessage="1" showErrorMessage="1" sqref="F188">
      <formula1>Ressource,Achat,Sous-traitance,Dépense</formula1>
    </dataValidation>
    <dataValidation type="list" allowBlank="1" showInputMessage="1" showErrorMessage="1" sqref="G188">
      <formula1>h,u,lot,jour,km</formula1>
    </dataValidation>
    <dataValidation type="list" allowBlank="1" showInputMessage="1" showErrorMessage="1" sqref="P188">
      <formula1>Fixe,Variable</formula1>
    </dataValidation>
    <dataValidation type="list" allowBlank="1" showInputMessage="1" showErrorMessage="1" sqref="E189">
      <formula1>Capex,Opex</formula1>
    </dataValidation>
    <dataValidation type="list" allowBlank="1" showInputMessage="1" showErrorMessage="1" sqref="F189">
      <formula1>Ressource,Achat,Sous-traitance,Dépense</formula1>
    </dataValidation>
    <dataValidation type="list" allowBlank="1" showInputMessage="1" showErrorMessage="1" sqref="G189">
      <formula1>h,u,lot,jour,km</formula1>
    </dataValidation>
    <dataValidation type="list" allowBlank="1" showInputMessage="1" showErrorMessage="1" sqref="P189">
      <formula1>Fixe,Variable</formula1>
    </dataValidation>
    <dataValidation type="list" allowBlank="1" showInputMessage="1" showErrorMessage="1" sqref="E190">
      <formula1>Capex,Opex</formula1>
    </dataValidation>
    <dataValidation type="list" allowBlank="1" showInputMessage="1" showErrorMessage="1" sqref="F190">
      <formula1>Ressource,Achat,Sous-traitance,Dépense</formula1>
    </dataValidation>
    <dataValidation type="list" allowBlank="1" showInputMessage="1" showErrorMessage="1" sqref="G190">
      <formula1>h,u,lot,jour,km</formula1>
    </dataValidation>
    <dataValidation type="list" allowBlank="1" showInputMessage="1" showErrorMessage="1" sqref="P190">
      <formula1>Fixe,Variable</formula1>
    </dataValidation>
    <dataValidation type="list" allowBlank="1" showInputMessage="1" showErrorMessage="1" sqref="E191">
      <formula1>Capex,Opex</formula1>
    </dataValidation>
    <dataValidation type="list" allowBlank="1" showInputMessage="1" showErrorMessage="1" sqref="F191">
      <formula1>Ressource,Achat,Sous-traitance,Dépense</formula1>
    </dataValidation>
    <dataValidation type="list" allowBlank="1" showInputMessage="1" showErrorMessage="1" sqref="G191">
      <formula1>h,u,lot,jour,km</formula1>
    </dataValidation>
    <dataValidation type="list" allowBlank="1" showInputMessage="1" showErrorMessage="1" sqref="P191">
      <formula1>Fixe,Variable</formula1>
    </dataValidation>
    <dataValidation type="list" allowBlank="1" showInputMessage="1" showErrorMessage="1" sqref="E192">
      <formula1>Capex,Opex</formula1>
    </dataValidation>
    <dataValidation type="list" allowBlank="1" showInputMessage="1" showErrorMessage="1" sqref="F192">
      <formula1>Ressource,Achat,Sous-traitance,Dépense</formula1>
    </dataValidation>
    <dataValidation type="list" allowBlank="1" showInputMessage="1" showErrorMessage="1" sqref="G192">
      <formula1>h,u,lot,jour,km</formula1>
    </dataValidation>
    <dataValidation type="list" allowBlank="1" showInputMessage="1" showErrorMessage="1" sqref="P192">
      <formula1>Fixe,Variable</formula1>
    </dataValidation>
    <dataValidation type="list" allowBlank="1" showInputMessage="1" showErrorMessage="1" sqref="E193">
      <formula1>Capex,Opex</formula1>
    </dataValidation>
    <dataValidation type="list" allowBlank="1" showInputMessage="1" showErrorMessage="1" sqref="F193">
      <formula1>Ressource,Achat,Sous-traitance,Dépense</formula1>
    </dataValidation>
    <dataValidation type="list" allowBlank="1" showInputMessage="1" showErrorMessage="1" sqref="G193">
      <formula1>h,u,lot,jour,km</formula1>
    </dataValidation>
    <dataValidation type="list" allowBlank="1" showInputMessage="1" showErrorMessage="1" sqref="P193">
      <formula1>Fixe,Variable</formula1>
    </dataValidation>
    <dataValidation type="list" allowBlank="1" showInputMessage="1" showErrorMessage="1" sqref="E194">
      <formula1>Capex,Opex</formula1>
    </dataValidation>
    <dataValidation type="list" allowBlank="1" showInputMessage="1" showErrorMessage="1" sqref="F194">
      <formula1>Ressource,Achat,Sous-traitance,Dépense</formula1>
    </dataValidation>
    <dataValidation type="list" allowBlank="1" showInputMessage="1" showErrorMessage="1" sqref="G194">
      <formula1>h,u,lot,jour,km</formula1>
    </dataValidation>
    <dataValidation type="list" allowBlank="1" showInputMessage="1" showErrorMessage="1" sqref="P194">
      <formula1>Fixe,Variable</formula1>
    </dataValidation>
    <dataValidation type="list" allowBlank="1" showInputMessage="1" showErrorMessage="1" sqref="E195">
      <formula1>Capex,Opex</formula1>
    </dataValidation>
    <dataValidation type="list" allowBlank="1" showInputMessage="1" showErrorMessage="1" sqref="F195">
      <formula1>Ressource,Achat,Sous-traitance,Dépense</formula1>
    </dataValidation>
    <dataValidation type="list" allowBlank="1" showInputMessage="1" showErrorMessage="1" sqref="G195">
      <formula1>h,u,lot,jour,km</formula1>
    </dataValidation>
    <dataValidation type="list" allowBlank="1" showInputMessage="1" showErrorMessage="1" sqref="P195">
      <formula1>Fixe,Variable</formula1>
    </dataValidation>
    <dataValidation type="list" allowBlank="1" showInputMessage="1" showErrorMessage="1" sqref="E196">
      <formula1>Capex,Opex</formula1>
    </dataValidation>
    <dataValidation type="list" allowBlank="1" showInputMessage="1" showErrorMessage="1" sqref="F196">
      <formula1>Ressource,Achat,Sous-traitance,Dépense</formula1>
    </dataValidation>
    <dataValidation type="list" allowBlank="1" showInputMessage="1" showErrorMessage="1" sqref="G196">
      <formula1>h,u,lot,jour,km</formula1>
    </dataValidation>
    <dataValidation type="list" allowBlank="1" showInputMessage="1" showErrorMessage="1" sqref="P196">
      <formula1>Fixe,Variable</formula1>
    </dataValidation>
    <dataValidation type="list" allowBlank="1" showInputMessage="1" showErrorMessage="1" sqref="E197">
      <formula1>Capex,Opex</formula1>
    </dataValidation>
    <dataValidation type="list" allowBlank="1" showInputMessage="1" showErrorMessage="1" sqref="F197">
      <formula1>Ressource,Achat,Sous-traitance,Dépense</formula1>
    </dataValidation>
    <dataValidation type="list" allowBlank="1" showInputMessage="1" showErrorMessage="1" sqref="G197">
      <formula1>h,u,lot,jour,km</formula1>
    </dataValidation>
    <dataValidation type="list" allowBlank="1" showInputMessage="1" showErrorMessage="1" sqref="P197">
      <formula1>Fixe,Variable</formula1>
    </dataValidation>
    <dataValidation type="list" allowBlank="1" showInputMessage="1" showErrorMessage="1" sqref="E198">
      <formula1>Capex,Opex</formula1>
    </dataValidation>
    <dataValidation type="list" allowBlank="1" showInputMessage="1" showErrorMessage="1" sqref="F198">
      <formula1>Ressource,Achat,Sous-traitance,Dépense</formula1>
    </dataValidation>
    <dataValidation type="list" allowBlank="1" showInputMessage="1" showErrorMessage="1" sqref="G198">
      <formula1>h,u,lot,jour,km</formula1>
    </dataValidation>
    <dataValidation type="list" allowBlank="1" showInputMessage="1" showErrorMessage="1" sqref="P198">
      <formula1>Fixe,Variable</formula1>
    </dataValidation>
    <dataValidation type="list" allowBlank="1" showInputMessage="1" showErrorMessage="1" sqref="E199">
      <formula1>Capex,Opex</formula1>
    </dataValidation>
    <dataValidation type="list" allowBlank="1" showInputMessage="1" showErrorMessage="1" sqref="F199">
      <formula1>Ressource,Achat,Sous-traitance,Dépense</formula1>
    </dataValidation>
    <dataValidation type="list" allowBlank="1" showInputMessage="1" showErrorMessage="1" sqref="G199">
      <formula1>h,u,lot,jour,km</formula1>
    </dataValidation>
    <dataValidation type="list" allowBlank="1" showInputMessage="1" showErrorMessage="1" sqref="P199">
      <formula1>Fixe,Variable</formula1>
    </dataValidation>
    <dataValidation type="list" allowBlank="1" showInputMessage="1" showErrorMessage="1" sqref="E200">
      <formula1>Capex,Opex</formula1>
    </dataValidation>
    <dataValidation type="list" allowBlank="1" showInputMessage="1" showErrorMessage="1" sqref="F200">
      <formula1>Ressource,Achat,Sous-traitance,Dépense</formula1>
    </dataValidation>
    <dataValidation type="list" allowBlank="1" showInputMessage="1" showErrorMessage="1" sqref="G200">
      <formula1>h,u,lot,jour,km</formula1>
    </dataValidation>
    <dataValidation type="list" allowBlank="1" showInputMessage="1" showErrorMessage="1" sqref="P200">
      <formula1>Fixe,Variable</formula1>
    </dataValidation>
    <dataValidation type="list" allowBlank="1" showInputMessage="1" showErrorMessage="1" sqref="E201">
      <formula1>Capex,Opex</formula1>
    </dataValidation>
    <dataValidation type="list" allowBlank="1" showInputMessage="1" showErrorMessage="1" sqref="F201">
      <formula1>Ressource,Achat,Sous-traitance,Dépense</formula1>
    </dataValidation>
    <dataValidation type="list" allowBlank="1" showInputMessage="1" showErrorMessage="1" sqref="G201">
      <formula1>h,u,lot,jour,km</formula1>
    </dataValidation>
    <dataValidation type="list" allowBlank="1" showInputMessage="1" showErrorMessage="1" sqref="P201">
      <formula1>Fixe,Variable</formula1>
    </dataValidation>
    <dataValidation type="list" allowBlank="1" showInputMessage="1" showErrorMessage="1" sqref="E202">
      <formula1>Capex,Opex</formula1>
    </dataValidation>
    <dataValidation type="list" allowBlank="1" showInputMessage="1" showErrorMessage="1" sqref="F202">
      <formula1>Ressource,Achat,Sous-traitance,Dépense</formula1>
    </dataValidation>
    <dataValidation type="list" allowBlank="1" showInputMessage="1" showErrorMessage="1" sqref="G202">
      <formula1>h,u,lot,jour,km</formula1>
    </dataValidation>
    <dataValidation type="list" allowBlank="1" showInputMessage="1" showErrorMessage="1" sqref="P202">
      <formula1>Fixe,Variable</formula1>
    </dataValidation>
    <dataValidation type="list" allowBlank="1" showInputMessage="1" showErrorMessage="1" sqref="E203">
      <formula1>Capex,Opex</formula1>
    </dataValidation>
    <dataValidation type="list" allowBlank="1" showInputMessage="1" showErrorMessage="1" sqref="F203">
      <formula1>Ressource,Achat,Sous-traitance,Dépense</formula1>
    </dataValidation>
    <dataValidation type="list" allowBlank="1" showInputMessage="1" showErrorMessage="1" sqref="G203">
      <formula1>h,u,lot,jour,km</formula1>
    </dataValidation>
    <dataValidation type="list" allowBlank="1" showInputMessage="1" showErrorMessage="1" sqref="P203">
      <formula1>Fixe,Variable</formula1>
    </dataValidation>
    <dataValidation type="list" allowBlank="1" showInputMessage="1" showErrorMessage="1" sqref="E204">
      <formula1>Capex,Opex</formula1>
    </dataValidation>
    <dataValidation type="list" allowBlank="1" showInputMessage="1" showErrorMessage="1" sqref="F204">
      <formula1>Ressource,Achat,Sous-traitance,Dépense</formula1>
    </dataValidation>
    <dataValidation type="list" allowBlank="1" showInputMessage="1" showErrorMessage="1" sqref="G204">
      <formula1>h,u,lot,jour,km</formula1>
    </dataValidation>
    <dataValidation type="list" allowBlank="1" showInputMessage="1" showErrorMessage="1" sqref="P204">
      <formula1>Fixe,Variable</formula1>
    </dataValidation>
    <dataValidation type="list" allowBlank="1" showInputMessage="1" showErrorMessage="1" sqref="E205">
      <formula1>Capex,Opex</formula1>
    </dataValidation>
    <dataValidation type="list" allowBlank="1" showInputMessage="1" showErrorMessage="1" sqref="F205">
      <formula1>Ressource,Achat,Sous-traitance,Dépense</formula1>
    </dataValidation>
    <dataValidation type="list" allowBlank="1" showInputMessage="1" showErrorMessage="1" sqref="G205">
      <formula1>h,u,lot,jour,km</formula1>
    </dataValidation>
    <dataValidation type="list" allowBlank="1" showInputMessage="1" showErrorMessage="1" sqref="P205">
      <formula1>Fixe,Variable</formula1>
    </dataValidation>
    <dataValidation type="list" allowBlank="1" showInputMessage="1" showErrorMessage="1" sqref="E206">
      <formula1>Capex,Opex</formula1>
    </dataValidation>
    <dataValidation type="list" allowBlank="1" showInputMessage="1" showErrorMessage="1" sqref="F206">
      <formula1>Ressource,Achat,Sous-traitance,Dépense</formula1>
    </dataValidation>
    <dataValidation type="list" allowBlank="1" showInputMessage="1" showErrorMessage="1" sqref="G206">
      <formula1>h,u,lot,jour,km</formula1>
    </dataValidation>
    <dataValidation type="list" allowBlank="1" showInputMessage="1" showErrorMessage="1" sqref="P206">
      <formula1>Fixe,Variable</formula1>
    </dataValidation>
    <dataValidation type="list" allowBlank="1" showInputMessage="1" showErrorMessage="1" sqref="E207">
      <formula1>Capex,Opex</formula1>
    </dataValidation>
    <dataValidation type="list" allowBlank="1" showInputMessage="1" showErrorMessage="1" sqref="F207">
      <formula1>Ressource,Achat,Sous-traitance,Dépense</formula1>
    </dataValidation>
    <dataValidation type="list" allowBlank="1" showInputMessage="1" showErrorMessage="1" sqref="G207">
      <formula1>h,u,lot,jour,km</formula1>
    </dataValidation>
    <dataValidation type="list" allowBlank="1" showInputMessage="1" showErrorMessage="1" sqref="P207">
      <formula1>Fixe,Variable</formula1>
    </dataValidation>
    <dataValidation type="list" allowBlank="1" showInputMessage="1" showErrorMessage="1" sqref="E208">
      <formula1>Capex,Opex</formula1>
    </dataValidation>
    <dataValidation type="list" allowBlank="1" showInputMessage="1" showErrorMessage="1" sqref="F208">
      <formula1>Ressource,Achat,Sous-traitance,Dépense</formula1>
    </dataValidation>
    <dataValidation type="list" allowBlank="1" showInputMessage="1" showErrorMessage="1" sqref="G208">
      <formula1>h,u,lot,jour,km</formula1>
    </dataValidation>
    <dataValidation type="list" allowBlank="1" showInputMessage="1" showErrorMessage="1" sqref="P208">
      <formula1>Fixe,Variable</formula1>
    </dataValidation>
    <dataValidation type="list" allowBlank="1" showInputMessage="1" showErrorMessage="1" sqref="E209">
      <formula1>Capex,Opex</formula1>
    </dataValidation>
    <dataValidation type="list" allowBlank="1" showInputMessage="1" showErrorMessage="1" sqref="F209">
      <formula1>Ressource,Achat,Sous-traitance,Dépense</formula1>
    </dataValidation>
    <dataValidation type="list" allowBlank="1" showInputMessage="1" showErrorMessage="1" sqref="G209">
      <formula1>h,u,lot,jour,km</formula1>
    </dataValidation>
    <dataValidation type="list" allowBlank="1" showInputMessage="1" showErrorMessage="1" sqref="P209">
      <formula1>Fixe,Variable</formula1>
    </dataValidation>
    <dataValidation type="list" allowBlank="1" showInputMessage="1" showErrorMessage="1" sqref="E210">
      <formula1>Capex,Opex</formula1>
    </dataValidation>
    <dataValidation type="list" allowBlank="1" showInputMessage="1" showErrorMessage="1" sqref="F210">
      <formula1>Ressource,Achat,Sous-traitance,Dépense</formula1>
    </dataValidation>
    <dataValidation type="list" allowBlank="1" showInputMessage="1" showErrorMessage="1" sqref="G210">
      <formula1>h,u,lot,jour,km</formula1>
    </dataValidation>
    <dataValidation type="list" allowBlank="1" showInputMessage="1" showErrorMessage="1" sqref="P210">
      <formula1>Fixe,Variable</formula1>
    </dataValidation>
    <dataValidation type="list" allowBlank="1" showInputMessage="1" showErrorMessage="1" sqref="E211">
      <formula1>Capex,Opex</formula1>
    </dataValidation>
    <dataValidation type="list" allowBlank="1" showInputMessage="1" showErrorMessage="1" sqref="F211">
      <formula1>Ressource,Achat,Sous-traitance,Dépense</formula1>
    </dataValidation>
    <dataValidation type="list" allowBlank="1" showInputMessage="1" showErrorMessage="1" sqref="G211">
      <formula1>h,u,lot,jour,km</formula1>
    </dataValidation>
    <dataValidation type="list" allowBlank="1" showInputMessage="1" showErrorMessage="1" sqref="P211">
      <formula1>Fixe,Variable</formula1>
    </dataValidation>
    <dataValidation type="list" allowBlank="1" showInputMessage="1" showErrorMessage="1" sqref="E212">
      <formula1>Capex,Opex</formula1>
    </dataValidation>
    <dataValidation type="list" allowBlank="1" showInputMessage="1" showErrorMessage="1" sqref="F212">
      <formula1>Ressource,Achat,Sous-traitance,Dépense</formula1>
    </dataValidation>
    <dataValidation type="list" allowBlank="1" showInputMessage="1" showErrorMessage="1" sqref="G212">
      <formula1>h,u,lot,jour,km</formula1>
    </dataValidation>
    <dataValidation type="list" allowBlank="1" showInputMessage="1" showErrorMessage="1" sqref="P212">
      <formula1>Fixe,Variable</formula1>
    </dataValidation>
    <dataValidation type="list" allowBlank="1" showInputMessage="1" showErrorMessage="1" sqref="E213">
      <formula1>Capex,Opex</formula1>
    </dataValidation>
    <dataValidation type="list" allowBlank="1" showInputMessage="1" showErrorMessage="1" sqref="F213">
      <formula1>Ressource,Achat,Sous-traitance,Dépense</formula1>
    </dataValidation>
    <dataValidation type="list" allowBlank="1" showInputMessage="1" showErrorMessage="1" sqref="G213">
      <formula1>h,u,lot,jour,km</formula1>
    </dataValidation>
    <dataValidation type="list" allowBlank="1" showInputMessage="1" showErrorMessage="1" sqref="P213">
      <formula1>Fixe,Variable</formula1>
    </dataValidation>
    <dataValidation type="list" allowBlank="1" showInputMessage="1" showErrorMessage="1" sqref="E214">
      <formula1>Capex,Opex</formula1>
    </dataValidation>
    <dataValidation type="list" allowBlank="1" showInputMessage="1" showErrorMessage="1" sqref="F214">
      <formula1>Ressource,Achat,Sous-traitance,Dépense</formula1>
    </dataValidation>
    <dataValidation type="list" allowBlank="1" showInputMessage="1" showErrorMessage="1" sqref="G214">
      <formula1>h,u,lot,jour,km</formula1>
    </dataValidation>
    <dataValidation type="list" allowBlank="1" showInputMessage="1" showErrorMessage="1" sqref="P214">
      <formula1>Fixe,Variable</formula1>
    </dataValidation>
    <dataValidation type="list" allowBlank="1" showInputMessage="1" showErrorMessage="1" sqref="E215">
      <formula1>Capex,Opex</formula1>
    </dataValidation>
    <dataValidation type="list" allowBlank="1" showInputMessage="1" showErrorMessage="1" sqref="F215">
      <formula1>Ressource,Achat,Sous-traitance,Dépense</formula1>
    </dataValidation>
    <dataValidation type="list" allowBlank="1" showInputMessage="1" showErrorMessage="1" sqref="G215">
      <formula1>h,u,lot,jour,km</formula1>
    </dataValidation>
    <dataValidation type="list" allowBlank="1" showInputMessage="1" showErrorMessage="1" sqref="P215">
      <formula1>Fixe,Variable</formula1>
    </dataValidation>
    <dataValidation type="list" allowBlank="1" showInputMessage="1" showErrorMessage="1" sqref="E216">
      <formula1>Capex,Opex</formula1>
    </dataValidation>
    <dataValidation type="list" allowBlank="1" showInputMessage="1" showErrorMessage="1" sqref="F216">
      <formula1>Ressource,Achat,Sous-traitance,Dépense</formula1>
    </dataValidation>
    <dataValidation type="list" allowBlank="1" showInputMessage="1" showErrorMessage="1" sqref="G216">
      <formula1>h,u,lot,jour,km</formula1>
    </dataValidation>
    <dataValidation type="list" allowBlank="1" showInputMessage="1" showErrorMessage="1" sqref="P216">
      <formula1>Fixe,Variable</formula1>
    </dataValidation>
    <dataValidation type="list" allowBlank="1" showInputMessage="1" showErrorMessage="1" sqref="E217">
      <formula1>Capex,Opex</formula1>
    </dataValidation>
    <dataValidation type="list" allowBlank="1" showInputMessage="1" showErrorMessage="1" sqref="F217">
      <formula1>Ressource,Achat,Sous-traitance,Dépense</formula1>
    </dataValidation>
    <dataValidation type="list" allowBlank="1" showInputMessage="1" showErrorMessage="1" sqref="G217">
      <formula1>h,u,lot,jour,km</formula1>
    </dataValidation>
    <dataValidation type="list" allowBlank="1" showInputMessage="1" showErrorMessage="1" sqref="P217">
      <formula1>Fixe,Variable</formula1>
    </dataValidation>
    <dataValidation type="list" allowBlank="1" showInputMessage="1" showErrorMessage="1" sqref="E218">
      <formula1>Capex,Opex</formula1>
    </dataValidation>
    <dataValidation type="list" allowBlank="1" showInputMessage="1" showErrorMessage="1" sqref="F218">
      <formula1>Ressource,Achat,Sous-traitance,Dépense</formula1>
    </dataValidation>
    <dataValidation type="list" allowBlank="1" showInputMessage="1" showErrorMessage="1" sqref="G218">
      <formula1>h,u,lot,jour,km</formula1>
    </dataValidation>
    <dataValidation type="list" allowBlank="1" showInputMessage="1" showErrorMessage="1" sqref="P218">
      <formula1>Fixe,Variable</formula1>
    </dataValidation>
    <dataValidation type="list" allowBlank="1" showInputMessage="1" showErrorMessage="1" sqref="E219">
      <formula1>Capex,Opex</formula1>
    </dataValidation>
    <dataValidation type="list" allowBlank="1" showInputMessage="1" showErrorMessage="1" sqref="F219">
      <formula1>Ressource,Achat,Sous-traitance,Dépense</formula1>
    </dataValidation>
    <dataValidation type="list" allowBlank="1" showInputMessage="1" showErrorMessage="1" sqref="G219">
      <formula1>h,u,lot,jour,km</formula1>
    </dataValidation>
    <dataValidation type="list" allowBlank="1" showInputMessage="1" showErrorMessage="1" sqref="P219">
      <formula1>Fixe,Variable</formula1>
    </dataValidation>
    <dataValidation type="list" allowBlank="1" showInputMessage="1" showErrorMessage="1" sqref="E220">
      <formula1>Capex,Opex</formula1>
    </dataValidation>
    <dataValidation type="list" allowBlank="1" showInputMessage="1" showErrorMessage="1" sqref="F220">
      <formula1>Ressource,Achat,Sous-traitance,Dépense</formula1>
    </dataValidation>
    <dataValidation type="list" allowBlank="1" showInputMessage="1" showErrorMessage="1" sqref="G220">
      <formula1>h,u,lot,jour,km</formula1>
    </dataValidation>
    <dataValidation type="list" allowBlank="1" showInputMessage="1" showErrorMessage="1" sqref="P220">
      <formula1>Fixe,Variable</formula1>
    </dataValidation>
    <dataValidation type="list" allowBlank="1" showInputMessage="1" showErrorMessage="1" sqref="E221">
      <formula1>Capex,Opex</formula1>
    </dataValidation>
    <dataValidation type="list" allowBlank="1" showInputMessage="1" showErrorMessage="1" sqref="F221">
      <formula1>Ressource,Achat,Sous-traitance,Dépense</formula1>
    </dataValidation>
    <dataValidation type="list" allowBlank="1" showInputMessage="1" showErrorMessage="1" sqref="G221">
      <formula1>h,u,lot,jour,km</formula1>
    </dataValidation>
    <dataValidation type="list" allowBlank="1" showInputMessage="1" showErrorMessage="1" sqref="P221">
      <formula1>Fixe,Variable</formula1>
    </dataValidation>
    <dataValidation type="list" allowBlank="1" showInputMessage="1" showErrorMessage="1" sqref="E222">
      <formula1>Capex,Opex</formula1>
    </dataValidation>
    <dataValidation type="list" allowBlank="1" showInputMessage="1" showErrorMessage="1" sqref="F222">
      <formula1>Ressource,Achat,Sous-traitance,Dépense</formula1>
    </dataValidation>
    <dataValidation type="list" allowBlank="1" showInputMessage="1" showErrorMessage="1" sqref="G222">
      <formula1>h,u,lot,jour,km</formula1>
    </dataValidation>
    <dataValidation type="list" allowBlank="1" showInputMessage="1" showErrorMessage="1" sqref="P222">
      <formula1>Fixe,Variable</formula1>
    </dataValidation>
    <dataValidation type="list" allowBlank="1" showInputMessage="1" showErrorMessage="1" sqref="E223">
      <formula1>Capex,Opex</formula1>
    </dataValidation>
    <dataValidation type="list" allowBlank="1" showInputMessage="1" showErrorMessage="1" sqref="F223">
      <formula1>Ressource,Achat,Sous-traitance,Dépense</formula1>
    </dataValidation>
    <dataValidation type="list" allowBlank="1" showInputMessage="1" showErrorMessage="1" sqref="G223">
      <formula1>h,u,lot,jour,km</formula1>
    </dataValidation>
    <dataValidation type="list" allowBlank="1" showInputMessage="1" showErrorMessage="1" sqref="P223">
      <formula1>Fixe,Variable</formula1>
    </dataValidation>
    <dataValidation type="list" allowBlank="1" showInputMessage="1" showErrorMessage="1" sqref="E224">
      <formula1>Capex,Opex</formula1>
    </dataValidation>
    <dataValidation type="list" allowBlank="1" showInputMessage="1" showErrorMessage="1" sqref="F224">
      <formula1>Ressource,Achat,Sous-traitance,Dépense</formula1>
    </dataValidation>
    <dataValidation type="list" allowBlank="1" showInputMessage="1" showErrorMessage="1" sqref="G224">
      <formula1>h,u,lot,jour,km</formula1>
    </dataValidation>
    <dataValidation type="list" allowBlank="1" showInputMessage="1" showErrorMessage="1" sqref="P224">
      <formula1>Fixe,Variable</formula1>
    </dataValidation>
    <dataValidation type="list" allowBlank="1" showInputMessage="1" showErrorMessage="1" sqref="E225">
      <formula1>Capex,Opex</formula1>
    </dataValidation>
    <dataValidation type="list" allowBlank="1" showInputMessage="1" showErrorMessage="1" sqref="F225">
      <formula1>Ressource,Achat,Sous-traitance,Dépense</formula1>
    </dataValidation>
    <dataValidation type="list" allowBlank="1" showInputMessage="1" showErrorMessage="1" sqref="G225">
      <formula1>h,u,lot,jour,km</formula1>
    </dataValidation>
    <dataValidation type="list" allowBlank="1" showInputMessage="1" showErrorMessage="1" sqref="P225">
      <formula1>Fixe,Variable</formula1>
    </dataValidation>
    <dataValidation type="list" allowBlank="1" showInputMessage="1" showErrorMessage="1" sqref="E226">
      <formula1>Capex,Opex</formula1>
    </dataValidation>
    <dataValidation type="list" allowBlank="1" showInputMessage="1" showErrorMessage="1" sqref="F226">
      <formula1>Ressource,Achat,Sous-traitance,Dépense</formula1>
    </dataValidation>
    <dataValidation type="list" allowBlank="1" showInputMessage="1" showErrorMessage="1" sqref="G226">
      <formula1>h,u,lot,jour,km</formula1>
    </dataValidation>
    <dataValidation type="list" allowBlank="1" showInputMessage="1" showErrorMessage="1" sqref="P226">
      <formula1>Fixe,Variable</formula1>
    </dataValidation>
    <dataValidation type="list" allowBlank="1" showInputMessage="1" showErrorMessage="1" sqref="E227">
      <formula1>Capex,Opex</formula1>
    </dataValidation>
    <dataValidation type="list" allowBlank="1" showInputMessage="1" showErrorMessage="1" sqref="F227">
      <formula1>Ressource,Achat,Sous-traitance,Dépense</formula1>
    </dataValidation>
    <dataValidation type="list" allowBlank="1" showInputMessage="1" showErrorMessage="1" sqref="G227">
      <formula1>h,u,lot,jour,km</formula1>
    </dataValidation>
    <dataValidation type="list" allowBlank="1" showInputMessage="1" showErrorMessage="1" sqref="P227">
      <formula1>Fixe,Variable</formula1>
    </dataValidation>
    <dataValidation type="list" allowBlank="1" showInputMessage="1" showErrorMessage="1" sqref="E228">
      <formula1>Capex,Opex</formula1>
    </dataValidation>
    <dataValidation type="list" allowBlank="1" showInputMessage="1" showErrorMessage="1" sqref="F228">
      <formula1>Ressource,Achat,Sous-traitance,Dépense</formula1>
    </dataValidation>
    <dataValidation type="list" allowBlank="1" showInputMessage="1" showErrorMessage="1" sqref="G228">
      <formula1>h,u,lot,jour,km</formula1>
    </dataValidation>
    <dataValidation type="list" allowBlank="1" showInputMessage="1" showErrorMessage="1" sqref="P228">
      <formula1>Fixe,Variable</formula1>
    </dataValidation>
    <dataValidation type="list" allowBlank="1" showInputMessage="1" showErrorMessage="1" sqref="E229">
      <formula1>Capex,Opex</formula1>
    </dataValidation>
    <dataValidation type="list" allowBlank="1" showInputMessage="1" showErrorMessage="1" sqref="F229">
      <formula1>Ressource,Achat,Sous-traitance,Dépense</formula1>
    </dataValidation>
    <dataValidation type="list" allowBlank="1" showInputMessage="1" showErrorMessage="1" sqref="G229">
      <formula1>h,u,lot,jour,km</formula1>
    </dataValidation>
    <dataValidation type="list" allowBlank="1" showInputMessage="1" showErrorMessage="1" sqref="P229">
      <formula1>Fixe,Variable</formula1>
    </dataValidation>
    <dataValidation type="list" allowBlank="1" showInputMessage="1" showErrorMessage="1" sqref="E230">
      <formula1>Capex,Opex</formula1>
    </dataValidation>
    <dataValidation type="list" allowBlank="1" showInputMessage="1" showErrorMessage="1" sqref="F230">
      <formula1>Ressource,Achat,Sous-traitance,Dépense</formula1>
    </dataValidation>
    <dataValidation type="list" allowBlank="1" showInputMessage="1" showErrorMessage="1" sqref="G230">
      <formula1>h,u,lot,jour,km</formula1>
    </dataValidation>
    <dataValidation type="list" allowBlank="1" showInputMessage="1" showErrorMessage="1" sqref="P230">
      <formula1>Fixe,Variable</formula1>
    </dataValidation>
    <dataValidation type="list" allowBlank="1" showInputMessage="1" showErrorMessage="1" sqref="E231">
      <formula1>Capex,Opex</formula1>
    </dataValidation>
    <dataValidation type="list" allowBlank="1" showInputMessage="1" showErrorMessage="1" sqref="F231">
      <formula1>Ressource,Achat,Sous-traitance,Dépense</formula1>
    </dataValidation>
    <dataValidation type="list" allowBlank="1" showInputMessage="1" showErrorMessage="1" sqref="G231">
      <formula1>h,u,lot,jour,km</formula1>
    </dataValidation>
    <dataValidation type="list" allowBlank="1" showInputMessage="1" showErrorMessage="1" sqref="P231">
      <formula1>Fixe,Variable</formula1>
    </dataValidation>
    <dataValidation type="list" allowBlank="1" showInputMessage="1" showErrorMessage="1" sqref="E232">
      <formula1>Capex,Opex</formula1>
    </dataValidation>
    <dataValidation type="list" allowBlank="1" showInputMessage="1" showErrorMessage="1" sqref="F232">
      <formula1>Ressource,Achat,Sous-traitance,Dépense</formula1>
    </dataValidation>
    <dataValidation type="list" allowBlank="1" showInputMessage="1" showErrorMessage="1" sqref="G232">
      <formula1>h,u,lot,jour,km</formula1>
    </dataValidation>
    <dataValidation type="list" allowBlank="1" showInputMessage="1" showErrorMessage="1" sqref="P232">
      <formula1>Fixe,Variable</formula1>
    </dataValidation>
    <dataValidation type="list" allowBlank="1" showInputMessage="1" showErrorMessage="1" sqref="E233">
      <formula1>Capex,Opex</formula1>
    </dataValidation>
    <dataValidation type="list" allowBlank="1" showInputMessage="1" showErrorMessage="1" sqref="F233">
      <formula1>Ressource,Achat,Sous-traitance,Dépense</formula1>
    </dataValidation>
    <dataValidation type="list" allowBlank="1" showInputMessage="1" showErrorMessage="1" sqref="G233">
      <formula1>h,u,lot,jour,km</formula1>
    </dataValidation>
    <dataValidation type="list" allowBlank="1" showInputMessage="1" showErrorMessage="1" sqref="P233">
      <formula1>Fixe,Variable</formula1>
    </dataValidation>
    <dataValidation type="list" allowBlank="1" showInputMessage="1" showErrorMessage="1" sqref="E234">
      <formula1>Capex,Opex</formula1>
    </dataValidation>
    <dataValidation type="list" allowBlank="1" showInputMessage="1" showErrorMessage="1" sqref="F234">
      <formula1>Ressource,Achat,Sous-traitance,Dépense</formula1>
    </dataValidation>
    <dataValidation type="list" allowBlank="1" showInputMessage="1" showErrorMessage="1" sqref="G234">
      <formula1>h,u,lot,jour,km</formula1>
    </dataValidation>
    <dataValidation type="list" allowBlank="1" showInputMessage="1" showErrorMessage="1" sqref="P234">
      <formula1>Fixe,Variable</formula1>
    </dataValidation>
    <dataValidation type="list" allowBlank="1" showInputMessage="1" showErrorMessage="1" sqref="E235">
      <formula1>Capex,Opex</formula1>
    </dataValidation>
    <dataValidation type="list" allowBlank="1" showInputMessage="1" showErrorMessage="1" sqref="F235">
      <formula1>Ressource,Achat,Sous-traitance,Dépense</formula1>
    </dataValidation>
    <dataValidation type="list" allowBlank="1" showInputMessage="1" showErrorMessage="1" sqref="G235">
      <formula1>h,u,lot,jour,km</formula1>
    </dataValidation>
    <dataValidation type="list" allowBlank="1" showInputMessage="1" showErrorMessage="1" sqref="P235">
      <formula1>Fixe,Variable</formula1>
    </dataValidation>
    <dataValidation type="list" allowBlank="1" showInputMessage="1" showErrorMessage="1" sqref="E236">
      <formula1>Capex,Opex</formula1>
    </dataValidation>
    <dataValidation type="list" allowBlank="1" showInputMessage="1" showErrorMessage="1" sqref="F236">
      <formula1>Ressource,Achat,Sous-traitance,Dépense</formula1>
    </dataValidation>
    <dataValidation type="list" allowBlank="1" showInputMessage="1" showErrorMessage="1" sqref="G236">
      <formula1>h,u,lot,jour,km</formula1>
    </dataValidation>
    <dataValidation type="list" allowBlank="1" showInputMessage="1" showErrorMessage="1" sqref="P236">
      <formula1>Fixe,Variable</formula1>
    </dataValidation>
    <dataValidation type="list" allowBlank="1" showInputMessage="1" showErrorMessage="1" sqref="E237">
      <formula1>Capex,Opex</formula1>
    </dataValidation>
    <dataValidation type="list" allowBlank="1" showInputMessage="1" showErrorMessage="1" sqref="F237">
      <formula1>Ressource,Achat,Sous-traitance,Dépense</formula1>
    </dataValidation>
    <dataValidation type="list" allowBlank="1" showInputMessage="1" showErrorMessage="1" sqref="G237">
      <formula1>h,u,lot,jour,km</formula1>
    </dataValidation>
    <dataValidation type="list" allowBlank="1" showInputMessage="1" showErrorMessage="1" sqref="P237">
      <formula1>Fixe,Variable</formula1>
    </dataValidation>
    <dataValidation type="list" allowBlank="1" showInputMessage="1" showErrorMessage="1" sqref="E238">
      <formula1>Capex,Opex</formula1>
    </dataValidation>
    <dataValidation type="list" allowBlank="1" showInputMessage="1" showErrorMessage="1" sqref="F238">
      <formula1>Ressource,Achat,Sous-traitance,Dépense</formula1>
    </dataValidation>
    <dataValidation type="list" allowBlank="1" showInputMessage="1" showErrorMessage="1" sqref="G238">
      <formula1>h,u,lot,jour,km</formula1>
    </dataValidation>
    <dataValidation type="list" allowBlank="1" showInputMessage="1" showErrorMessage="1" sqref="P238">
      <formula1>Fixe,Variable</formula1>
    </dataValidation>
    <dataValidation type="list" allowBlank="1" showInputMessage="1" showErrorMessage="1" sqref="E239">
      <formula1>Capex,Opex</formula1>
    </dataValidation>
    <dataValidation type="list" allowBlank="1" showInputMessage="1" showErrorMessage="1" sqref="F239">
      <formula1>Ressource,Achat,Sous-traitance,Dépense</formula1>
    </dataValidation>
    <dataValidation type="list" allowBlank="1" showInputMessage="1" showErrorMessage="1" sqref="G239">
      <formula1>h,u,lot,jour,km</formula1>
    </dataValidation>
    <dataValidation type="list" allowBlank="1" showInputMessage="1" showErrorMessage="1" sqref="P239">
      <formula1>Fixe,Variable</formula1>
    </dataValidation>
    <dataValidation type="list" allowBlank="1" showInputMessage="1" showErrorMessage="1" sqref="E240">
      <formula1>Capex,Opex</formula1>
    </dataValidation>
    <dataValidation type="list" allowBlank="1" showInputMessage="1" showErrorMessage="1" sqref="F240">
      <formula1>Ressource,Achat,Sous-traitance,Dépense</formula1>
    </dataValidation>
    <dataValidation type="list" allowBlank="1" showInputMessage="1" showErrorMessage="1" sqref="G240">
      <formula1>h,u,lot,jour,km</formula1>
    </dataValidation>
    <dataValidation type="list" allowBlank="1" showInputMessage="1" showErrorMessage="1" sqref="P240">
      <formula1>Fixe,Variable</formula1>
    </dataValidation>
    <dataValidation type="list" allowBlank="1" showInputMessage="1" showErrorMessage="1" sqref="E241">
      <formula1>Capex,Opex</formula1>
    </dataValidation>
    <dataValidation type="list" allowBlank="1" showInputMessage="1" showErrorMessage="1" sqref="F241">
      <formula1>Ressource,Achat,Sous-traitance,Dépense</formula1>
    </dataValidation>
    <dataValidation type="list" allowBlank="1" showInputMessage="1" showErrorMessage="1" sqref="G241">
      <formula1>h,u,lot,jour,km</formula1>
    </dataValidation>
    <dataValidation type="list" allowBlank="1" showInputMessage="1" showErrorMessage="1" sqref="P241">
      <formula1>Fixe,Variable</formula1>
    </dataValidation>
    <dataValidation type="list" allowBlank="1" showInputMessage="1" showErrorMessage="1" sqref="E242">
      <formula1>Capex,Opex</formula1>
    </dataValidation>
    <dataValidation type="list" allowBlank="1" showInputMessage="1" showErrorMessage="1" sqref="F242">
      <formula1>Ressource,Achat,Sous-traitance,Dépense</formula1>
    </dataValidation>
    <dataValidation type="list" allowBlank="1" showInputMessage="1" showErrorMessage="1" sqref="G242">
      <formula1>h,u,lot,jour,km</formula1>
    </dataValidation>
    <dataValidation type="list" allowBlank="1" showInputMessage="1" showErrorMessage="1" sqref="P242">
      <formula1>Fixe,Variable</formula1>
    </dataValidation>
    <dataValidation type="list" allowBlank="1" showInputMessage="1" showErrorMessage="1" sqref="E243">
      <formula1>Capex,Opex</formula1>
    </dataValidation>
    <dataValidation type="list" allowBlank="1" showInputMessage="1" showErrorMessage="1" sqref="F243">
      <formula1>Ressource,Achat,Sous-traitance,Dépense</formula1>
    </dataValidation>
    <dataValidation type="list" allowBlank="1" showInputMessage="1" showErrorMessage="1" sqref="G243">
      <formula1>h,u,lot,jour,km</formula1>
    </dataValidation>
    <dataValidation type="list" allowBlank="1" showInputMessage="1" showErrorMessage="1" sqref="P243">
      <formula1>Fixe,Variable</formula1>
    </dataValidation>
    <dataValidation type="list" allowBlank="1" showInputMessage="1" showErrorMessage="1" sqref="E244">
      <formula1>Capex,Opex</formula1>
    </dataValidation>
    <dataValidation type="list" allowBlank="1" showInputMessage="1" showErrorMessage="1" sqref="F244">
      <formula1>Ressource,Achat,Sous-traitance,Dépense</formula1>
    </dataValidation>
    <dataValidation type="list" allowBlank="1" showInputMessage="1" showErrorMessage="1" sqref="G244">
      <formula1>h,u,lot,jour,km</formula1>
    </dataValidation>
    <dataValidation type="list" allowBlank="1" showInputMessage="1" showErrorMessage="1" sqref="P244">
      <formula1>Fixe,Variable</formula1>
    </dataValidation>
    <dataValidation type="list" allowBlank="1" showInputMessage="1" showErrorMessage="1" sqref="E245">
      <formula1>Capex,Opex</formula1>
    </dataValidation>
    <dataValidation type="list" allowBlank="1" showInputMessage="1" showErrorMessage="1" sqref="F245">
      <formula1>Ressource,Achat,Sous-traitance,Dépense</formula1>
    </dataValidation>
    <dataValidation type="list" allowBlank="1" showInputMessage="1" showErrorMessage="1" sqref="G245">
      <formula1>h,u,lot,jour,km</formula1>
    </dataValidation>
    <dataValidation type="list" allowBlank="1" showInputMessage="1" showErrorMessage="1" sqref="P245">
      <formula1>Fixe,Variable</formula1>
    </dataValidation>
    <dataValidation type="list" allowBlank="1" showInputMessage="1" showErrorMessage="1" sqref="E246">
      <formula1>Capex,Opex</formula1>
    </dataValidation>
    <dataValidation type="list" allowBlank="1" showInputMessage="1" showErrorMessage="1" sqref="F246">
      <formula1>Ressource,Achat,Sous-traitance,Dépense</formula1>
    </dataValidation>
    <dataValidation type="list" allowBlank="1" showInputMessage="1" showErrorMessage="1" sqref="G246">
      <formula1>h,u,lot,jour,km</formula1>
    </dataValidation>
    <dataValidation type="list" allowBlank="1" showInputMessage="1" showErrorMessage="1" sqref="P246">
      <formula1>Fixe,Variable</formula1>
    </dataValidation>
    <dataValidation type="list" allowBlank="1" showInputMessage="1" showErrorMessage="1" sqref="E247">
      <formula1>Capex,Opex</formula1>
    </dataValidation>
    <dataValidation type="list" allowBlank="1" showInputMessage="1" showErrorMessage="1" sqref="F247">
      <formula1>Ressource,Achat,Sous-traitance,Dépense</formula1>
    </dataValidation>
    <dataValidation type="list" allowBlank="1" showInputMessage="1" showErrorMessage="1" sqref="G247">
      <formula1>h,u,lot,jour,km</formula1>
    </dataValidation>
    <dataValidation type="list" allowBlank="1" showInputMessage="1" showErrorMessage="1" sqref="P247">
      <formula1>Fixe,Variable</formula1>
    </dataValidation>
    <dataValidation type="list" allowBlank="1" showInputMessage="1" showErrorMessage="1" sqref="E248">
      <formula1>Capex,Opex</formula1>
    </dataValidation>
    <dataValidation type="list" allowBlank="1" showInputMessage="1" showErrorMessage="1" sqref="F248">
      <formula1>Ressource,Achat,Sous-traitance,Dépense</formula1>
    </dataValidation>
    <dataValidation type="list" allowBlank="1" showInputMessage="1" showErrorMessage="1" sqref="G248">
      <formula1>h,u,lot,jour,km</formula1>
    </dataValidation>
    <dataValidation type="list" allowBlank="1" showInputMessage="1" showErrorMessage="1" sqref="P248">
      <formula1>Fixe,Variable</formula1>
    </dataValidation>
    <dataValidation type="list" allowBlank="1" showInputMessage="1" showErrorMessage="1" sqref="E249">
      <formula1>Capex,Opex</formula1>
    </dataValidation>
    <dataValidation type="list" allowBlank="1" showInputMessage="1" showErrorMessage="1" sqref="F249">
      <formula1>Ressource,Achat,Sous-traitance,Dépense</formula1>
    </dataValidation>
    <dataValidation type="list" allowBlank="1" showInputMessage="1" showErrorMessage="1" sqref="G249">
      <formula1>h,u,lot,jour,km</formula1>
    </dataValidation>
    <dataValidation type="list" allowBlank="1" showInputMessage="1" showErrorMessage="1" sqref="P249">
      <formula1>Fixe,Variable</formula1>
    </dataValidation>
    <dataValidation type="list" allowBlank="1" showInputMessage="1" showErrorMessage="1" sqref="E250">
      <formula1>Capex,Opex</formula1>
    </dataValidation>
    <dataValidation type="list" allowBlank="1" showInputMessage="1" showErrorMessage="1" sqref="F250">
      <formula1>Ressource,Achat,Sous-traitance,Dépense</formula1>
    </dataValidation>
    <dataValidation type="list" allowBlank="1" showInputMessage="1" showErrorMessage="1" sqref="G250">
      <formula1>h,u,lot,jour,km</formula1>
    </dataValidation>
    <dataValidation type="list" allowBlank="1" showInputMessage="1" showErrorMessage="1" sqref="P250">
      <formula1>Fixe,Variable</formula1>
    </dataValidation>
    <dataValidation type="list" allowBlank="1" showInputMessage="1" showErrorMessage="1" sqref="E251">
      <formula1>Capex,Opex</formula1>
    </dataValidation>
    <dataValidation type="list" allowBlank="1" showInputMessage="1" showErrorMessage="1" sqref="F251">
      <formula1>Ressource,Achat,Sous-traitance,Dépense</formula1>
    </dataValidation>
    <dataValidation type="list" allowBlank="1" showInputMessage="1" showErrorMessage="1" sqref="G251">
      <formula1>h,u,lot,jour,km</formula1>
    </dataValidation>
    <dataValidation type="list" allowBlank="1" showInputMessage="1" showErrorMessage="1" sqref="P251">
      <formula1>Fixe,Variable</formula1>
    </dataValidation>
    <dataValidation type="list" allowBlank="1" showInputMessage="1" showErrorMessage="1" sqref="E252">
      <formula1>Capex,Opex</formula1>
    </dataValidation>
    <dataValidation type="list" allowBlank="1" showInputMessage="1" showErrorMessage="1" sqref="F252">
      <formula1>Ressource,Achat,Sous-traitance,Dépense</formula1>
    </dataValidation>
    <dataValidation type="list" allowBlank="1" showInputMessage="1" showErrorMessage="1" sqref="G252">
      <formula1>h,u,lot,jour,km</formula1>
    </dataValidation>
    <dataValidation type="list" allowBlank="1" showInputMessage="1" showErrorMessage="1" sqref="P252">
      <formula1>Fixe,Variable</formula1>
    </dataValidation>
    <dataValidation type="list" allowBlank="1" showInputMessage="1" showErrorMessage="1" sqref="E253">
      <formula1>Capex,Opex</formula1>
    </dataValidation>
    <dataValidation type="list" allowBlank="1" showInputMessage="1" showErrorMessage="1" sqref="F253">
      <formula1>Ressource,Achat,Sous-traitance,Dépense</formula1>
    </dataValidation>
    <dataValidation type="list" allowBlank="1" showInputMessage="1" showErrorMessage="1" sqref="G253">
      <formula1>h,u,lot,jour,km</formula1>
    </dataValidation>
    <dataValidation type="list" allowBlank="1" showInputMessage="1" showErrorMessage="1" sqref="P253">
      <formula1>Fixe,Variable</formula1>
    </dataValidation>
    <dataValidation type="list" allowBlank="1" showInputMessage="1" showErrorMessage="1" sqref="E254">
      <formula1>Capex,Opex</formula1>
    </dataValidation>
    <dataValidation type="list" allowBlank="1" showInputMessage="1" showErrorMessage="1" sqref="F254">
      <formula1>Ressource,Achat,Sous-traitance,Dépense</formula1>
    </dataValidation>
    <dataValidation type="list" allowBlank="1" showInputMessage="1" showErrorMessage="1" sqref="G254">
      <formula1>h,u,lot,jour,km</formula1>
    </dataValidation>
    <dataValidation type="list" allowBlank="1" showInputMessage="1" showErrorMessage="1" sqref="P254">
      <formula1>Fixe,Variable</formula1>
    </dataValidation>
    <dataValidation type="list" allowBlank="1" showInputMessage="1" showErrorMessage="1" sqref="E255">
      <formula1>Capex,Opex</formula1>
    </dataValidation>
    <dataValidation type="list" allowBlank="1" showInputMessage="1" showErrorMessage="1" sqref="F255">
      <formula1>Ressource,Achat,Sous-traitance,Dépense</formula1>
    </dataValidation>
    <dataValidation type="list" allowBlank="1" showInputMessage="1" showErrorMessage="1" sqref="G255">
      <formula1>h,u,lot,jour,km</formula1>
    </dataValidation>
    <dataValidation type="list" allowBlank="1" showInputMessage="1" showErrorMessage="1" sqref="P255">
      <formula1>Fixe,Variable</formula1>
    </dataValidation>
    <dataValidation type="list" allowBlank="1" showInputMessage="1" showErrorMessage="1" sqref="E256">
      <formula1>Capex,Opex</formula1>
    </dataValidation>
    <dataValidation type="list" allowBlank="1" showInputMessage="1" showErrorMessage="1" sqref="F256">
      <formula1>Ressource,Achat,Sous-traitance,Dépense</formula1>
    </dataValidation>
    <dataValidation type="list" allowBlank="1" showInputMessage="1" showErrorMessage="1" sqref="G256">
      <formula1>h,u,lot,jour,km</formula1>
    </dataValidation>
    <dataValidation type="list" allowBlank="1" showInputMessage="1" showErrorMessage="1" sqref="P256">
      <formula1>Fixe,Variable</formula1>
    </dataValidation>
    <dataValidation type="list" allowBlank="1" showInputMessage="1" showErrorMessage="1" sqref="E257">
      <formula1>Capex,Opex</formula1>
    </dataValidation>
    <dataValidation type="list" allowBlank="1" showInputMessage="1" showErrorMessage="1" sqref="F257">
      <formula1>Ressource,Achat,Sous-traitance,Dépense</formula1>
    </dataValidation>
    <dataValidation type="list" allowBlank="1" showInputMessage="1" showErrorMessage="1" sqref="G257">
      <formula1>h,u,lot,jour,km</formula1>
    </dataValidation>
    <dataValidation type="list" allowBlank="1" showInputMessage="1" showErrorMessage="1" sqref="P257">
      <formula1>Fixe,Variable</formula1>
    </dataValidation>
    <dataValidation type="list" allowBlank="1" showInputMessage="1" showErrorMessage="1" sqref="E258">
      <formula1>Capex,Opex</formula1>
    </dataValidation>
    <dataValidation type="list" allowBlank="1" showInputMessage="1" showErrorMessage="1" sqref="F258">
      <formula1>Ressource,Achat,Sous-traitance,Dépense</formula1>
    </dataValidation>
    <dataValidation type="list" allowBlank="1" showInputMessage="1" showErrorMessage="1" sqref="G258">
      <formula1>h,u,lot,jour,km</formula1>
    </dataValidation>
    <dataValidation type="list" allowBlank="1" showInputMessage="1" showErrorMessage="1" sqref="P258">
      <formula1>Fixe,Variable</formula1>
    </dataValidation>
    <dataValidation type="list" allowBlank="1" showInputMessage="1" showErrorMessage="1" sqref="E259">
      <formula1>Capex,Opex</formula1>
    </dataValidation>
    <dataValidation type="list" allowBlank="1" showInputMessage="1" showErrorMessage="1" sqref="F259">
      <formula1>Ressource,Achat,Sous-traitance,Dépense</formula1>
    </dataValidation>
    <dataValidation type="list" allowBlank="1" showInputMessage="1" showErrorMessage="1" sqref="G259">
      <formula1>h,u,lot,jour,km</formula1>
    </dataValidation>
    <dataValidation type="list" allowBlank="1" showInputMessage="1" showErrorMessage="1" sqref="P259">
      <formula1>Fixe,Variable</formula1>
    </dataValidation>
    <dataValidation type="list" allowBlank="1" showInputMessage="1" showErrorMessage="1" sqref="E260">
      <formula1>Capex,Opex</formula1>
    </dataValidation>
    <dataValidation type="list" allowBlank="1" showInputMessage="1" showErrorMessage="1" sqref="F260">
      <formula1>Ressource,Achat,Sous-traitance,Dépense</formula1>
    </dataValidation>
    <dataValidation type="list" allowBlank="1" showInputMessage="1" showErrorMessage="1" sqref="G260">
      <formula1>h,u,lot,jour,km</formula1>
    </dataValidation>
    <dataValidation type="list" allowBlank="1" showInputMessage="1" showErrorMessage="1" sqref="P260">
      <formula1>Fixe,Variable</formula1>
    </dataValidation>
    <dataValidation type="list" allowBlank="1" showInputMessage="1" showErrorMessage="1" sqref="E261">
      <formula1>Capex,Opex</formula1>
    </dataValidation>
    <dataValidation type="list" allowBlank="1" showInputMessage="1" showErrorMessage="1" sqref="F261">
      <formula1>Ressource,Achat,Sous-traitance,Dépense</formula1>
    </dataValidation>
    <dataValidation type="list" allowBlank="1" showInputMessage="1" showErrorMessage="1" sqref="G261">
      <formula1>h,u,lot,jour,km</formula1>
    </dataValidation>
    <dataValidation type="list" allowBlank="1" showInputMessage="1" showErrorMessage="1" sqref="P261">
      <formula1>Fixe,Variable</formula1>
    </dataValidation>
    <dataValidation type="list" allowBlank="1" showInputMessage="1" showErrorMessage="1" sqref="E262">
      <formula1>Capex,Opex</formula1>
    </dataValidation>
    <dataValidation type="list" allowBlank="1" showInputMessage="1" showErrorMessage="1" sqref="F262">
      <formula1>Ressource,Achat,Sous-traitance,Dépense</formula1>
    </dataValidation>
    <dataValidation type="list" allowBlank="1" showInputMessage="1" showErrorMessage="1" sqref="G262">
      <formula1>h,u,lot,jour,km</formula1>
    </dataValidation>
    <dataValidation type="list" allowBlank="1" showInputMessage="1" showErrorMessage="1" sqref="P262">
      <formula1>Fixe,Variable</formula1>
    </dataValidation>
    <dataValidation type="list" allowBlank="1" showInputMessage="1" showErrorMessage="1" sqref="E263">
      <formula1>Capex,Opex</formula1>
    </dataValidation>
    <dataValidation type="list" allowBlank="1" showInputMessage="1" showErrorMessage="1" sqref="F263">
      <formula1>Ressource,Achat,Sous-traitance,Dépense</formula1>
    </dataValidation>
    <dataValidation type="list" allowBlank="1" showInputMessage="1" showErrorMessage="1" sqref="G263">
      <formula1>h,u,lot,jour,km</formula1>
    </dataValidation>
    <dataValidation type="list" allowBlank="1" showInputMessage="1" showErrorMessage="1" sqref="P263">
      <formula1>Fixe,Variable</formula1>
    </dataValidation>
    <dataValidation type="list" allowBlank="1" showInputMessage="1" showErrorMessage="1" sqref="E264">
      <formula1>Capex,Opex</formula1>
    </dataValidation>
    <dataValidation type="list" allowBlank="1" showInputMessage="1" showErrorMessage="1" sqref="F264">
      <formula1>Ressource,Achat,Sous-traitance,Dépense</formula1>
    </dataValidation>
    <dataValidation type="list" allowBlank="1" showInputMessage="1" showErrorMessage="1" sqref="G264">
      <formula1>h,u,lot,jour,km</formula1>
    </dataValidation>
    <dataValidation type="list" allowBlank="1" showInputMessage="1" showErrorMessage="1" sqref="P264">
      <formula1>Fixe,Variable</formula1>
    </dataValidation>
    <dataValidation type="list" allowBlank="1" showInputMessage="1" showErrorMessage="1" sqref="E265">
      <formula1>Capex,Opex</formula1>
    </dataValidation>
    <dataValidation type="list" allowBlank="1" showInputMessage="1" showErrorMessage="1" sqref="F265">
      <formula1>Ressource,Achat,Sous-traitance,Dépense</formula1>
    </dataValidation>
    <dataValidation type="list" allowBlank="1" showInputMessage="1" showErrorMessage="1" sqref="G265">
      <formula1>h,u,lot,jour,km</formula1>
    </dataValidation>
    <dataValidation type="list" allowBlank="1" showInputMessage="1" showErrorMessage="1" sqref="P265">
      <formula1>Fixe,Variable</formula1>
    </dataValidation>
    <dataValidation type="list" allowBlank="1" showInputMessage="1" showErrorMessage="1" sqref="E266">
      <formula1>Capex,Opex</formula1>
    </dataValidation>
    <dataValidation type="list" allowBlank="1" showInputMessage="1" showErrorMessage="1" sqref="F266">
      <formula1>Ressource,Achat,Sous-traitance,Dépense</formula1>
    </dataValidation>
    <dataValidation type="list" allowBlank="1" showInputMessage="1" showErrorMessage="1" sqref="G266">
      <formula1>h,u,lot,jour,km</formula1>
    </dataValidation>
    <dataValidation type="list" allowBlank="1" showInputMessage="1" showErrorMessage="1" sqref="P266">
      <formula1>Fixe,Variable</formula1>
    </dataValidation>
    <dataValidation type="list" allowBlank="1" showInputMessage="1" showErrorMessage="1" sqref="E267">
      <formula1>Capex,Opex</formula1>
    </dataValidation>
    <dataValidation type="list" allowBlank="1" showInputMessage="1" showErrorMessage="1" sqref="F267">
      <formula1>Ressource,Achat,Sous-traitance,Dépense</formula1>
    </dataValidation>
    <dataValidation type="list" allowBlank="1" showInputMessage="1" showErrorMessage="1" sqref="G267">
      <formula1>h,u,lot,jour,km</formula1>
    </dataValidation>
    <dataValidation type="list" allowBlank="1" showInputMessage="1" showErrorMessage="1" sqref="P267">
      <formula1>Fixe,Variable</formula1>
    </dataValidation>
    <dataValidation type="list" allowBlank="1" showInputMessage="1" showErrorMessage="1" sqref="E268">
      <formula1>Capex,Opex</formula1>
    </dataValidation>
    <dataValidation type="list" allowBlank="1" showInputMessage="1" showErrorMessage="1" sqref="F268">
      <formula1>Ressource,Achat,Sous-traitance,Dépense</formula1>
    </dataValidation>
    <dataValidation type="list" allowBlank="1" showInputMessage="1" showErrorMessage="1" sqref="G268">
      <formula1>h,u,lot,jour,km</formula1>
    </dataValidation>
    <dataValidation type="list" allowBlank="1" showInputMessage="1" showErrorMessage="1" sqref="P268">
      <formula1>Fixe,Variable</formula1>
    </dataValidation>
    <dataValidation type="list" allowBlank="1" showInputMessage="1" showErrorMessage="1" sqref="E269">
      <formula1>Capex,Opex</formula1>
    </dataValidation>
    <dataValidation type="list" allowBlank="1" showInputMessage="1" showErrorMessage="1" sqref="F269">
      <formula1>Ressource,Achat,Sous-traitance,Dépense</formula1>
    </dataValidation>
    <dataValidation type="list" allowBlank="1" showInputMessage="1" showErrorMessage="1" sqref="G269">
      <formula1>h,u,lot,jour,km</formula1>
    </dataValidation>
    <dataValidation type="list" allowBlank="1" showInputMessage="1" showErrorMessage="1" sqref="P269">
      <formula1>Fixe,Variable</formula1>
    </dataValidation>
    <dataValidation type="list" allowBlank="1" showInputMessage="1" showErrorMessage="1" sqref="E270">
      <formula1>Capex,Opex</formula1>
    </dataValidation>
    <dataValidation type="list" allowBlank="1" showInputMessage="1" showErrorMessage="1" sqref="F270">
      <formula1>Ressource,Achat,Sous-traitance,Dépense</formula1>
    </dataValidation>
    <dataValidation type="list" allowBlank="1" showInputMessage="1" showErrorMessage="1" sqref="G270">
      <formula1>h,u,lot,jour,km</formula1>
    </dataValidation>
    <dataValidation type="list" allowBlank="1" showInputMessage="1" showErrorMessage="1" sqref="P270">
      <formula1>Fixe,Variable</formula1>
    </dataValidation>
    <dataValidation type="list" allowBlank="1" showInputMessage="1" showErrorMessage="1" sqref="E271">
      <formula1>Capex,Opex</formula1>
    </dataValidation>
    <dataValidation type="list" allowBlank="1" showInputMessage="1" showErrorMessage="1" sqref="F271">
      <formula1>Ressource,Achat,Sous-traitance,Dépense</formula1>
    </dataValidation>
    <dataValidation type="list" allowBlank="1" showInputMessage="1" showErrorMessage="1" sqref="G271">
      <formula1>h,u,lot,jour,km</formula1>
    </dataValidation>
    <dataValidation type="list" allowBlank="1" showInputMessage="1" showErrorMessage="1" sqref="P271">
      <formula1>Fixe,Variable</formula1>
    </dataValidation>
    <dataValidation type="list" allowBlank="1" showInputMessage="1" showErrorMessage="1" sqref="E272">
      <formula1>Capex,Opex</formula1>
    </dataValidation>
    <dataValidation type="list" allowBlank="1" showInputMessage="1" showErrorMessage="1" sqref="F272">
      <formula1>Ressource,Achat,Sous-traitance,Dépense</formula1>
    </dataValidation>
    <dataValidation type="list" allowBlank="1" showInputMessage="1" showErrorMessage="1" sqref="G272">
      <formula1>h,u,lot,jour,km</formula1>
    </dataValidation>
    <dataValidation type="list" allowBlank="1" showInputMessage="1" showErrorMessage="1" sqref="P272">
      <formula1>Fixe,Variable</formula1>
    </dataValidation>
    <dataValidation type="list" allowBlank="1" showInputMessage="1" showErrorMessage="1" sqref="E273">
      <formula1>Capex,Opex</formula1>
    </dataValidation>
    <dataValidation type="list" allowBlank="1" showInputMessage="1" showErrorMessage="1" sqref="F273">
      <formula1>Ressource,Achat,Sous-traitance,Dépense</formula1>
    </dataValidation>
    <dataValidation type="list" allowBlank="1" showInputMessage="1" showErrorMessage="1" sqref="G273">
      <formula1>h,u,lot,jour,km</formula1>
    </dataValidation>
    <dataValidation type="list" allowBlank="1" showInputMessage="1" showErrorMessage="1" sqref="P273">
      <formula1>Fixe,Variable</formula1>
    </dataValidation>
    <dataValidation type="list" allowBlank="1" showInputMessage="1" showErrorMessage="1" sqref="E274">
      <formula1>Capex,Opex</formula1>
    </dataValidation>
    <dataValidation type="list" allowBlank="1" showInputMessage="1" showErrorMessage="1" sqref="F274">
      <formula1>Ressource,Achat,Sous-traitance,Dépense</formula1>
    </dataValidation>
    <dataValidation type="list" allowBlank="1" showInputMessage="1" showErrorMessage="1" sqref="G274">
      <formula1>h,u,lot,jour,km</formula1>
    </dataValidation>
    <dataValidation type="list" allowBlank="1" showInputMessage="1" showErrorMessage="1" sqref="P274">
      <formula1>Fixe,Variable</formula1>
    </dataValidation>
    <dataValidation type="list" allowBlank="1" showInputMessage="1" showErrorMessage="1" sqref="E275">
      <formula1>Capex,Opex</formula1>
    </dataValidation>
    <dataValidation type="list" allowBlank="1" showInputMessage="1" showErrorMessage="1" sqref="F275">
      <formula1>Ressource,Achat,Sous-traitance,Dépense</formula1>
    </dataValidation>
    <dataValidation type="list" allowBlank="1" showInputMessage="1" showErrorMessage="1" sqref="G275">
      <formula1>h,u,lot,jour,km</formula1>
    </dataValidation>
    <dataValidation type="list" allowBlank="1" showInputMessage="1" showErrorMessage="1" sqref="P275">
      <formula1>Fixe,Variable</formula1>
    </dataValidation>
    <dataValidation type="list" allowBlank="1" showInputMessage="1" showErrorMessage="1" sqref="E276">
      <formula1>Capex,Opex</formula1>
    </dataValidation>
    <dataValidation type="list" allowBlank="1" showInputMessage="1" showErrorMessage="1" sqref="F276">
      <formula1>Ressource,Achat,Sous-traitance,Dépense</formula1>
    </dataValidation>
    <dataValidation type="list" allowBlank="1" showInputMessage="1" showErrorMessage="1" sqref="G276">
      <formula1>h,u,lot,jour,km</formula1>
    </dataValidation>
    <dataValidation type="list" allowBlank="1" showInputMessage="1" showErrorMessage="1" sqref="P276">
      <formula1>Fixe,Variable</formula1>
    </dataValidation>
    <dataValidation type="list" allowBlank="1" showInputMessage="1" showErrorMessage="1" sqref="E277">
      <formula1>Capex,Opex</formula1>
    </dataValidation>
    <dataValidation type="list" allowBlank="1" showInputMessage="1" showErrorMessage="1" sqref="F277">
      <formula1>Ressource,Achat,Sous-traitance,Dépense</formula1>
    </dataValidation>
    <dataValidation type="list" allowBlank="1" showInputMessage="1" showErrorMessage="1" sqref="G277">
      <formula1>h,u,lot,jour,km</formula1>
    </dataValidation>
    <dataValidation type="list" allowBlank="1" showInputMessage="1" showErrorMessage="1" sqref="P277">
      <formula1>Fixe,Variable</formula1>
    </dataValidation>
    <dataValidation type="list" allowBlank="1" showInputMessage="1" showErrorMessage="1" sqref="E278">
      <formula1>Capex,Opex</formula1>
    </dataValidation>
    <dataValidation type="list" allowBlank="1" showInputMessage="1" showErrorMessage="1" sqref="F278">
      <formula1>Ressource,Achat,Sous-traitance,Dépense</formula1>
    </dataValidation>
    <dataValidation type="list" allowBlank="1" showInputMessage="1" showErrorMessage="1" sqref="G278">
      <formula1>h,u,lot,jour,km</formula1>
    </dataValidation>
    <dataValidation type="list" allowBlank="1" showInputMessage="1" showErrorMessage="1" sqref="P278">
      <formula1>Fixe,Variable</formula1>
    </dataValidation>
    <dataValidation type="list" allowBlank="1" showInputMessage="1" showErrorMessage="1" sqref="E279">
      <formula1>Capex,Opex</formula1>
    </dataValidation>
    <dataValidation type="list" allowBlank="1" showInputMessage="1" showErrorMessage="1" sqref="F279">
      <formula1>Ressource,Achat,Sous-traitance,Dépense</formula1>
    </dataValidation>
    <dataValidation type="list" allowBlank="1" showInputMessage="1" showErrorMessage="1" sqref="G279">
      <formula1>h,u,lot,jour,km</formula1>
    </dataValidation>
    <dataValidation type="list" allowBlank="1" showInputMessage="1" showErrorMessage="1" sqref="P279">
      <formula1>Fixe,Variable</formula1>
    </dataValidation>
    <dataValidation type="list" allowBlank="1" showInputMessage="1" showErrorMessage="1" sqref="E280">
      <formula1>Capex,Opex</formula1>
    </dataValidation>
    <dataValidation type="list" allowBlank="1" showInputMessage="1" showErrorMessage="1" sqref="F280">
      <formula1>Ressource,Achat,Sous-traitance,Dépense</formula1>
    </dataValidation>
    <dataValidation type="list" allowBlank="1" showInputMessage="1" showErrorMessage="1" sqref="G280">
      <formula1>h,u,lot,jour,km</formula1>
    </dataValidation>
    <dataValidation type="list" allowBlank="1" showInputMessage="1" showErrorMessage="1" sqref="P280">
      <formula1>Fixe,Variable</formula1>
    </dataValidation>
    <dataValidation type="list" allowBlank="1" showInputMessage="1" showErrorMessage="1" sqref="E281">
      <formula1>Capex,Opex</formula1>
    </dataValidation>
    <dataValidation type="list" allowBlank="1" showInputMessage="1" showErrorMessage="1" sqref="F281">
      <formula1>Ressource,Achat,Sous-traitance,Dépense</formula1>
    </dataValidation>
    <dataValidation type="list" allowBlank="1" showInputMessage="1" showErrorMessage="1" sqref="G281">
      <formula1>h,u,lot,jour,km</formula1>
    </dataValidation>
    <dataValidation type="list" allowBlank="1" showInputMessage="1" showErrorMessage="1" sqref="P281">
      <formula1>Fixe,Variable</formula1>
    </dataValidation>
    <dataValidation type="list" allowBlank="1" showInputMessage="1" showErrorMessage="1" sqref="E282">
      <formula1>Capex,Opex</formula1>
    </dataValidation>
    <dataValidation type="list" allowBlank="1" showInputMessage="1" showErrorMessage="1" sqref="F282">
      <formula1>Ressource,Achat,Sous-traitance,Dépense</formula1>
    </dataValidation>
    <dataValidation type="list" allowBlank="1" showInputMessage="1" showErrorMessage="1" sqref="G282">
      <formula1>h,u,lot,jour,km</formula1>
    </dataValidation>
    <dataValidation type="list" allowBlank="1" showInputMessage="1" showErrorMessage="1" sqref="P282">
      <formula1>Fixe,Variable</formula1>
    </dataValidation>
    <dataValidation type="list" allowBlank="1" showInputMessage="1" showErrorMessage="1" sqref="E283">
      <formula1>Capex,Opex</formula1>
    </dataValidation>
    <dataValidation type="list" allowBlank="1" showInputMessage="1" showErrorMessage="1" sqref="F283">
      <formula1>Ressource,Achat,Sous-traitance,Dépense</formula1>
    </dataValidation>
    <dataValidation type="list" allowBlank="1" showInputMessage="1" showErrorMessage="1" sqref="G283">
      <formula1>h,u,lot,jour,km</formula1>
    </dataValidation>
    <dataValidation type="list" allowBlank="1" showInputMessage="1" showErrorMessage="1" sqref="P283">
      <formula1>Fixe,Variable</formula1>
    </dataValidation>
    <dataValidation type="list" allowBlank="1" showInputMessage="1" showErrorMessage="1" sqref="E284">
      <formula1>Capex,Opex</formula1>
    </dataValidation>
    <dataValidation type="list" allowBlank="1" showInputMessage="1" showErrorMessage="1" sqref="F284">
      <formula1>Ressource,Achat,Sous-traitance,Dépense</formula1>
    </dataValidation>
    <dataValidation type="list" allowBlank="1" showInputMessage="1" showErrorMessage="1" sqref="G284">
      <formula1>h,u,lot,jour,km</formula1>
    </dataValidation>
    <dataValidation type="list" allowBlank="1" showInputMessage="1" showErrorMessage="1" sqref="P284">
      <formula1>Fixe,Variable</formula1>
    </dataValidation>
    <dataValidation type="list" allowBlank="1" showInputMessage="1" showErrorMessage="1" sqref="E285">
      <formula1>Capex,Opex</formula1>
    </dataValidation>
    <dataValidation type="list" allowBlank="1" showInputMessage="1" showErrorMessage="1" sqref="F285">
      <formula1>Ressource,Achat,Sous-traitance,Dépense</formula1>
    </dataValidation>
    <dataValidation type="list" allowBlank="1" showInputMessage="1" showErrorMessage="1" sqref="G285">
      <formula1>h,u,lot,jour,km</formula1>
    </dataValidation>
    <dataValidation type="list" allowBlank="1" showInputMessage="1" showErrorMessage="1" sqref="P285">
      <formula1>Fixe,Variable</formula1>
    </dataValidation>
    <dataValidation type="list" allowBlank="1" showInputMessage="1" showErrorMessage="1" sqref="E286">
      <formula1>Capex,Opex</formula1>
    </dataValidation>
    <dataValidation type="list" allowBlank="1" showInputMessage="1" showErrorMessage="1" sqref="F286">
      <formula1>Ressource,Achat,Sous-traitance,Dépense</formula1>
    </dataValidation>
    <dataValidation type="list" allowBlank="1" showInputMessage="1" showErrorMessage="1" sqref="G286">
      <formula1>h,u,lot,jour,km</formula1>
    </dataValidation>
    <dataValidation type="list" allowBlank="1" showInputMessage="1" showErrorMessage="1" sqref="P286">
      <formula1>Fixe,Variable</formula1>
    </dataValidation>
    <dataValidation type="list" allowBlank="1" showInputMessage="1" showErrorMessage="1" sqref="E287">
      <formula1>Capex,Opex</formula1>
    </dataValidation>
    <dataValidation type="list" allowBlank="1" showInputMessage="1" showErrorMessage="1" sqref="F287">
      <formula1>Ressource,Achat,Sous-traitance,Dépense</formula1>
    </dataValidation>
    <dataValidation type="list" allowBlank="1" showInputMessage="1" showErrorMessage="1" sqref="G287">
      <formula1>h,u,lot,jour,km</formula1>
    </dataValidation>
    <dataValidation type="list" allowBlank="1" showInputMessage="1" showErrorMessage="1" sqref="P287">
      <formula1>Fixe,Variable</formula1>
    </dataValidation>
    <dataValidation type="list" allowBlank="1" showInputMessage="1" showErrorMessage="1" sqref="E288">
      <formula1>Capex,Opex</formula1>
    </dataValidation>
    <dataValidation type="list" allowBlank="1" showInputMessage="1" showErrorMessage="1" sqref="F288">
      <formula1>Ressource,Achat,Sous-traitance,Dépense</formula1>
    </dataValidation>
    <dataValidation type="list" allowBlank="1" showInputMessage="1" showErrorMessage="1" sqref="G288">
      <formula1>h,u,lot,jour,km</formula1>
    </dataValidation>
    <dataValidation type="list" allowBlank="1" showInputMessage="1" showErrorMessage="1" sqref="P288">
      <formula1>Fixe,Variable</formula1>
    </dataValidation>
    <dataValidation type="list" allowBlank="1" showInputMessage="1" showErrorMessage="1" sqref="E289">
      <formula1>Capex,Opex</formula1>
    </dataValidation>
    <dataValidation type="list" allowBlank="1" showInputMessage="1" showErrorMessage="1" sqref="F289">
      <formula1>Ressource,Achat,Sous-traitance,Dépense</formula1>
    </dataValidation>
    <dataValidation type="list" allowBlank="1" showInputMessage="1" showErrorMessage="1" sqref="G289">
      <formula1>h,u,lot,jour,km</formula1>
    </dataValidation>
    <dataValidation type="list" allowBlank="1" showInputMessage="1" showErrorMessage="1" sqref="P289">
      <formula1>Fixe,Variable</formula1>
    </dataValidation>
    <dataValidation type="list" allowBlank="1" showInputMessage="1" showErrorMessage="1" sqref="E290">
      <formula1>Capex,Opex</formula1>
    </dataValidation>
    <dataValidation type="list" allowBlank="1" showInputMessage="1" showErrorMessage="1" sqref="F290">
      <formula1>Ressource,Achat,Sous-traitance,Dépense</formula1>
    </dataValidation>
    <dataValidation type="list" allowBlank="1" showInputMessage="1" showErrorMessage="1" sqref="G290">
      <formula1>h,u,lot,jour,km</formula1>
    </dataValidation>
    <dataValidation type="list" allowBlank="1" showInputMessage="1" showErrorMessage="1" sqref="P290">
      <formula1>Fixe,Variable</formula1>
    </dataValidation>
    <dataValidation type="list" allowBlank="1" showInputMessage="1" showErrorMessage="1" sqref="E291">
      <formula1>Capex,Opex</formula1>
    </dataValidation>
    <dataValidation type="list" allowBlank="1" showInputMessage="1" showErrorMessage="1" sqref="F291">
      <formula1>Ressource,Achat,Sous-traitance,Dépense</formula1>
    </dataValidation>
    <dataValidation type="list" allowBlank="1" showInputMessage="1" showErrorMessage="1" sqref="G291">
      <formula1>h,u,lot,jour,km</formula1>
    </dataValidation>
    <dataValidation type="list" allowBlank="1" showInputMessage="1" showErrorMessage="1" sqref="P291">
      <formula1>Fixe,Variable</formula1>
    </dataValidation>
    <dataValidation type="list" allowBlank="1" showInputMessage="1" showErrorMessage="1" sqref="E292">
      <formula1>Capex,Opex</formula1>
    </dataValidation>
    <dataValidation type="list" allowBlank="1" showInputMessage="1" showErrorMessage="1" sqref="F292">
      <formula1>Ressource,Achat,Sous-traitance,Dépense</formula1>
    </dataValidation>
    <dataValidation type="list" allowBlank="1" showInputMessage="1" showErrorMessage="1" sqref="G292">
      <formula1>h,u,lot,jour,km</formula1>
    </dataValidation>
    <dataValidation type="list" allowBlank="1" showInputMessage="1" showErrorMessage="1" sqref="P292">
      <formula1>Fixe,Variable</formula1>
    </dataValidation>
    <dataValidation type="list" allowBlank="1" showInputMessage="1" showErrorMessage="1" sqref="E293">
      <formula1>Capex,Opex</formula1>
    </dataValidation>
    <dataValidation type="list" allowBlank="1" showInputMessage="1" showErrorMessage="1" sqref="F293">
      <formula1>Ressource,Achat,Sous-traitance,Dépense</formula1>
    </dataValidation>
    <dataValidation type="list" allowBlank="1" showInputMessage="1" showErrorMessage="1" sqref="G293">
      <formula1>h,u,lot,jour,km</formula1>
    </dataValidation>
    <dataValidation type="list" allowBlank="1" showInputMessage="1" showErrorMessage="1" sqref="P293">
      <formula1>Fixe,Variable</formula1>
    </dataValidation>
    <dataValidation type="list" allowBlank="1" showInputMessage="1" showErrorMessage="1" sqref="E294">
      <formula1>Capex,Opex</formula1>
    </dataValidation>
    <dataValidation type="list" allowBlank="1" showInputMessage="1" showErrorMessage="1" sqref="F294">
      <formula1>Ressource,Achat,Sous-traitance,Dépense</formula1>
    </dataValidation>
    <dataValidation type="list" allowBlank="1" showInputMessage="1" showErrorMessage="1" sqref="G294">
      <formula1>h,u,lot,jour,km</formula1>
    </dataValidation>
    <dataValidation type="list" allowBlank="1" showInputMessage="1" showErrorMessage="1" sqref="P294">
      <formula1>Fixe,Variable</formula1>
    </dataValidation>
    <dataValidation type="list" allowBlank="1" showInputMessage="1" showErrorMessage="1" sqref="E295">
      <formula1>Capex,Opex</formula1>
    </dataValidation>
    <dataValidation type="list" allowBlank="1" showInputMessage="1" showErrorMessage="1" sqref="F295">
      <formula1>Ressource,Achat,Sous-traitance,Dépense</formula1>
    </dataValidation>
    <dataValidation type="list" allowBlank="1" showInputMessage="1" showErrorMessage="1" sqref="G295">
      <formula1>h,u,lot,jour,km</formula1>
    </dataValidation>
    <dataValidation type="list" allowBlank="1" showInputMessage="1" showErrorMessage="1" sqref="P295">
      <formula1>Fixe,Variable</formula1>
    </dataValidation>
    <dataValidation type="list" allowBlank="1" showInputMessage="1" showErrorMessage="1" sqref="E296">
      <formula1>Capex,Opex</formula1>
    </dataValidation>
    <dataValidation type="list" allowBlank="1" showInputMessage="1" showErrorMessage="1" sqref="F296">
      <formula1>Ressource,Achat,Sous-traitance,Dépense</formula1>
    </dataValidation>
    <dataValidation type="list" allowBlank="1" showInputMessage="1" showErrorMessage="1" sqref="G296">
      <formula1>h,u,lot,jour,km</formula1>
    </dataValidation>
    <dataValidation type="list" allowBlank="1" showInputMessage="1" showErrorMessage="1" sqref="P296">
      <formula1>Fixe,Variable</formula1>
    </dataValidation>
    <dataValidation type="list" allowBlank="1" showInputMessage="1" showErrorMessage="1" sqref="E297">
      <formula1>Capex,Opex</formula1>
    </dataValidation>
    <dataValidation type="list" allowBlank="1" showInputMessage="1" showErrorMessage="1" sqref="F297">
      <formula1>Ressource,Achat,Sous-traitance,Dépense</formula1>
    </dataValidation>
    <dataValidation type="list" allowBlank="1" showInputMessage="1" showErrorMessage="1" sqref="G297">
      <formula1>h,u,lot,jour,km</formula1>
    </dataValidation>
    <dataValidation type="list" allowBlank="1" showInputMessage="1" showErrorMessage="1" sqref="P297">
      <formula1>Fixe,Variable</formula1>
    </dataValidation>
    <dataValidation type="list" allowBlank="1" showInputMessage="1" showErrorMessage="1" sqref="E298">
      <formula1>Capex,Opex</formula1>
    </dataValidation>
    <dataValidation type="list" allowBlank="1" showInputMessage="1" showErrorMessage="1" sqref="F298">
      <formula1>Ressource,Achat,Sous-traitance,Dépense</formula1>
    </dataValidation>
    <dataValidation type="list" allowBlank="1" showInputMessage="1" showErrorMessage="1" sqref="G298">
      <formula1>h,u,lot,jour,km</formula1>
    </dataValidation>
    <dataValidation type="list" allowBlank="1" showInputMessage="1" showErrorMessage="1" sqref="P298">
      <formula1>Fixe,Variable</formula1>
    </dataValidation>
    <dataValidation type="list" allowBlank="1" showInputMessage="1" showErrorMessage="1" sqref="E299">
      <formula1>Capex,Opex</formula1>
    </dataValidation>
    <dataValidation type="list" allowBlank="1" showInputMessage="1" showErrorMessage="1" sqref="F299">
      <formula1>Ressource,Achat,Sous-traitance,Dépense</formula1>
    </dataValidation>
    <dataValidation type="list" allowBlank="1" showInputMessage="1" showErrorMessage="1" sqref="G299">
      <formula1>h,u,lot,jour,km</formula1>
    </dataValidation>
    <dataValidation type="list" allowBlank="1" showInputMessage="1" showErrorMessage="1" sqref="P299">
      <formula1>Fixe,Variable</formula1>
    </dataValidation>
    <dataValidation type="list" allowBlank="1" showInputMessage="1" showErrorMessage="1" sqref="E300">
      <formula1>Capex,Opex</formula1>
    </dataValidation>
    <dataValidation type="list" allowBlank="1" showInputMessage="1" showErrorMessage="1" sqref="F300">
      <formula1>Ressource,Achat,Sous-traitance,Dépense</formula1>
    </dataValidation>
    <dataValidation type="list" allowBlank="1" showInputMessage="1" showErrorMessage="1" sqref="G300">
      <formula1>h,u,lot,jour,km</formula1>
    </dataValidation>
    <dataValidation type="list" allowBlank="1" showInputMessage="1" showErrorMessage="1" sqref="P300">
      <formula1>Fixe,Variable</formula1>
    </dataValidation>
    <dataValidation type="list" allowBlank="1" showInputMessage="1" showErrorMessage="1" sqref="E301">
      <formula1>Capex,Opex</formula1>
    </dataValidation>
    <dataValidation type="list" allowBlank="1" showInputMessage="1" showErrorMessage="1" sqref="F301">
      <formula1>Ressource,Achat,Sous-traitance,Dépense</formula1>
    </dataValidation>
    <dataValidation type="list" allowBlank="1" showInputMessage="1" showErrorMessage="1" sqref="G301">
      <formula1>h,u,lot,jour,km</formula1>
    </dataValidation>
    <dataValidation type="list" allowBlank="1" showInputMessage="1" showErrorMessage="1" sqref="P301">
      <formula1>Fixe,Variable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36.7109375" customWidth="1"/>
    <col min="3" max="3" width="14.7109375" customWidth="1"/>
    <col min="4" max="4" width="16.7109375" customWidth="1"/>
    <col min="5" max="5" width="18.7109375" customWidth="1"/>
    <col min="6" max="6" width="16.7109375" customWidth="1"/>
  </cols>
  <sheetData>
    <row r="1" spans="1:6">
      <c r="A1" s="7" t="s">
        <v>25</v>
      </c>
      <c r="B1" s="7" t="s">
        <v>80</v>
      </c>
      <c r="C1" s="7" t="s">
        <v>81</v>
      </c>
      <c r="D1" s="7" t="s">
        <v>82</v>
      </c>
      <c r="E1" s="9" t="s">
        <v>83</v>
      </c>
      <c r="F1" s="9" t="s">
        <v>84</v>
      </c>
    </row>
    <row r="2" spans="1:6">
      <c r="A2" t="s">
        <v>30</v>
      </c>
      <c r="B2" t="s">
        <v>85</v>
      </c>
      <c r="C2" s="6">
        <v>0.3</v>
      </c>
      <c r="D2" s="10">
        <v>8000</v>
      </c>
      <c r="E2" s="10">
        <f>IFERROR(C2*D2,0)</f>
        <v>0</v>
      </c>
      <c r="F2" t="s">
        <v>86</v>
      </c>
    </row>
    <row r="3" spans="1:6">
      <c r="A3" t="s">
        <v>33</v>
      </c>
      <c r="B3" t="s">
        <v>87</v>
      </c>
      <c r="C3" s="6">
        <v>0.2</v>
      </c>
      <c r="D3" s="10">
        <v>15000</v>
      </c>
      <c r="E3" s="10">
        <f>IFERROR(C3*D3,0)</f>
        <v>0</v>
      </c>
      <c r="F3" t="s">
        <v>88</v>
      </c>
    </row>
    <row r="4" spans="1:6">
      <c r="E4" s="10">
        <f>IFERROR(C4*D4,0)</f>
        <v>0</v>
      </c>
    </row>
    <row r="5" spans="1:6">
      <c r="E5" s="10">
        <f>IFERROR(C5*D5,0)</f>
        <v>0</v>
      </c>
    </row>
    <row r="6" spans="1:6">
      <c r="E6" s="10">
        <f>IFERROR(C6*D6,0)</f>
        <v>0</v>
      </c>
    </row>
    <row r="7" spans="1:6">
      <c r="E7" s="10">
        <f>IFERROR(C7*D7,0)</f>
        <v>0</v>
      </c>
    </row>
    <row r="8" spans="1:6">
      <c r="E8" s="10">
        <f>IFERROR(C8*D8,0)</f>
        <v>0</v>
      </c>
    </row>
    <row r="9" spans="1:6">
      <c r="E9" s="10">
        <f>IFERROR(C9*D9,0)</f>
        <v>0</v>
      </c>
    </row>
    <row r="10" spans="1:6">
      <c r="E10" s="10">
        <f>IFERROR(C10*D10,0)</f>
        <v>0</v>
      </c>
    </row>
    <row r="11" spans="1:6">
      <c r="E11" s="10">
        <f>IFERROR(C11*D11,0)</f>
        <v>0</v>
      </c>
    </row>
    <row r="12" spans="1:6">
      <c r="E12" s="10">
        <f>IFERROR(C12*D12,0)</f>
        <v>0</v>
      </c>
    </row>
    <row r="13" spans="1:6">
      <c r="E13" s="10">
        <f>IFERROR(C13*D13,0)</f>
        <v>0</v>
      </c>
    </row>
    <row r="14" spans="1:6">
      <c r="E14" s="10">
        <f>IFERROR(C14*D14,0)</f>
        <v>0</v>
      </c>
    </row>
    <row r="15" spans="1:6">
      <c r="E15" s="10">
        <f>IFERROR(C15*D15,0)</f>
        <v>0</v>
      </c>
    </row>
    <row r="16" spans="1:6">
      <c r="E16" s="10">
        <f>IFERROR(C16*D16,0)</f>
        <v>0</v>
      </c>
    </row>
    <row r="17" spans="5:5">
      <c r="E17" s="10">
        <f>IFERROR(C17*D17,0)</f>
        <v>0</v>
      </c>
    </row>
    <row r="18" spans="5:5">
      <c r="E18" s="10">
        <f>IFERROR(C18*D18,0)</f>
        <v>0</v>
      </c>
    </row>
    <row r="19" spans="5:5">
      <c r="E19" s="10">
        <f>IFERROR(C19*D19,0)</f>
        <v>0</v>
      </c>
    </row>
    <row r="20" spans="5:5">
      <c r="E20" s="10">
        <f>IFERROR(C20*D20,0)</f>
        <v>0</v>
      </c>
    </row>
    <row r="21" spans="5:5">
      <c r="E21" s="10">
        <f>IFERROR(C21*D21,0)</f>
        <v>0</v>
      </c>
    </row>
    <row r="22" spans="5:5">
      <c r="E22" s="10">
        <f>IFERROR(C22*D22,0)</f>
        <v>0</v>
      </c>
    </row>
    <row r="23" spans="5:5">
      <c r="E23" s="10">
        <f>IFERROR(C23*D23,0)</f>
        <v>0</v>
      </c>
    </row>
    <row r="24" spans="5:5">
      <c r="E24" s="10">
        <f>IFERROR(C24*D24,0)</f>
        <v>0</v>
      </c>
    </row>
    <row r="25" spans="5:5">
      <c r="E25" s="10">
        <f>IFERROR(C25*D25,0)</f>
        <v>0</v>
      </c>
    </row>
    <row r="26" spans="5:5">
      <c r="E26" s="10">
        <f>IFERROR(C26*D26,0)</f>
        <v>0</v>
      </c>
    </row>
    <row r="27" spans="5:5">
      <c r="E27" s="10">
        <f>IFERROR(C27*D27,0)</f>
        <v>0</v>
      </c>
    </row>
    <row r="28" spans="5:5">
      <c r="E28" s="10">
        <f>IFERROR(C28*D28,0)</f>
        <v>0</v>
      </c>
    </row>
    <row r="29" spans="5:5">
      <c r="E29" s="10">
        <f>IFERROR(C29*D29,0)</f>
        <v>0</v>
      </c>
    </row>
    <row r="30" spans="5:5">
      <c r="E30" s="10">
        <f>IFERROR(C30*D30,0)</f>
        <v>0</v>
      </c>
    </row>
    <row r="31" spans="5:5">
      <c r="E31" s="10">
        <f>IFERROR(C31*D31,0)</f>
        <v>0</v>
      </c>
    </row>
    <row r="32" spans="5:5">
      <c r="E32" s="10">
        <f>IFERROR(C32*D32,0)</f>
        <v>0</v>
      </c>
    </row>
    <row r="33" spans="5:5">
      <c r="E33" s="10">
        <f>IFERROR(C33*D33,0)</f>
        <v>0</v>
      </c>
    </row>
    <row r="34" spans="5:5">
      <c r="E34" s="10">
        <f>IFERROR(C34*D34,0)</f>
        <v>0</v>
      </c>
    </row>
    <row r="35" spans="5:5">
      <c r="E35" s="10">
        <f>IFERROR(C35*D35,0)</f>
        <v>0</v>
      </c>
    </row>
    <row r="36" spans="5:5">
      <c r="E36" s="10">
        <f>IFERROR(C36*D36,0)</f>
        <v>0</v>
      </c>
    </row>
    <row r="37" spans="5:5">
      <c r="E37" s="10">
        <f>IFERROR(C37*D37,0)</f>
        <v>0</v>
      </c>
    </row>
    <row r="38" spans="5:5">
      <c r="E38" s="10">
        <f>IFERROR(C38*D38,0)</f>
        <v>0</v>
      </c>
    </row>
    <row r="39" spans="5:5">
      <c r="E39" s="10">
        <f>IFERROR(C39*D39,0)</f>
        <v>0</v>
      </c>
    </row>
    <row r="40" spans="5:5">
      <c r="E40" s="10">
        <f>IFERROR(C40*D40,0)</f>
        <v>0</v>
      </c>
    </row>
    <row r="41" spans="5:5">
      <c r="E41" s="10">
        <f>IFERROR(C41*D41,0)</f>
        <v>0</v>
      </c>
    </row>
    <row r="42" spans="5:5">
      <c r="E42" s="10">
        <f>IFERROR(C42*D42,0)</f>
        <v>0</v>
      </c>
    </row>
    <row r="43" spans="5:5">
      <c r="E43" s="10">
        <f>IFERROR(C43*D43,0)</f>
        <v>0</v>
      </c>
    </row>
    <row r="44" spans="5:5">
      <c r="E44" s="10">
        <f>IFERROR(C44*D44,0)</f>
        <v>0</v>
      </c>
    </row>
    <row r="45" spans="5:5">
      <c r="E45" s="10">
        <f>IFERROR(C45*D45,0)</f>
        <v>0</v>
      </c>
    </row>
    <row r="46" spans="5:5">
      <c r="E46" s="10">
        <f>IFERROR(C46*D46,0)</f>
        <v>0</v>
      </c>
    </row>
    <row r="47" spans="5:5">
      <c r="E47" s="10">
        <f>IFERROR(C47*D47,0)</f>
        <v>0</v>
      </c>
    </row>
    <row r="48" spans="5:5">
      <c r="E48" s="10">
        <f>IFERROR(C48*D48,0)</f>
        <v>0</v>
      </c>
    </row>
    <row r="49" spans="5:5">
      <c r="E49" s="10">
        <f>IFERROR(C49*D49,0)</f>
        <v>0</v>
      </c>
    </row>
    <row r="50" spans="5:5">
      <c r="E50" s="10">
        <f>IFERROR(C50*D50,0)</f>
        <v>0</v>
      </c>
    </row>
    <row r="51" spans="5:5">
      <c r="E51" s="10">
        <f>IFERROR(C51*D51,0)</f>
        <v>0</v>
      </c>
    </row>
    <row r="52" spans="5:5">
      <c r="E52" s="10">
        <f>IFERROR(C52*D52,0)</f>
        <v>0</v>
      </c>
    </row>
    <row r="53" spans="5:5">
      <c r="E53" s="10">
        <f>IFERROR(C53*D53,0)</f>
        <v>0</v>
      </c>
    </row>
    <row r="54" spans="5:5">
      <c r="E54" s="10">
        <f>IFERROR(C54*D54,0)</f>
        <v>0</v>
      </c>
    </row>
    <row r="55" spans="5:5">
      <c r="E55" s="10">
        <f>IFERROR(C55*D55,0)</f>
        <v>0</v>
      </c>
    </row>
    <row r="56" spans="5:5">
      <c r="E56" s="10">
        <f>IFERROR(C56*D56,0)</f>
        <v>0</v>
      </c>
    </row>
    <row r="57" spans="5:5">
      <c r="E57" s="10">
        <f>IFERROR(C57*D57,0)</f>
        <v>0</v>
      </c>
    </row>
    <row r="58" spans="5:5">
      <c r="E58" s="10">
        <f>IFERROR(C58*D58,0)</f>
        <v>0</v>
      </c>
    </row>
    <row r="59" spans="5:5">
      <c r="E59" s="10">
        <f>IFERROR(C59*D59,0)</f>
        <v>0</v>
      </c>
    </row>
    <row r="60" spans="5:5">
      <c r="E60" s="10">
        <f>IFERROR(C60*D60,0)</f>
        <v>0</v>
      </c>
    </row>
    <row r="61" spans="5:5">
      <c r="E61" s="10">
        <f>IFERROR(C61*D61,0)</f>
        <v>0</v>
      </c>
    </row>
    <row r="62" spans="5:5">
      <c r="E62" s="10">
        <f>IFERROR(C62*D62,0)</f>
        <v>0</v>
      </c>
    </row>
    <row r="63" spans="5:5">
      <c r="E63" s="10">
        <f>IFERROR(C63*D63,0)</f>
        <v>0</v>
      </c>
    </row>
    <row r="64" spans="5:5">
      <c r="E64" s="10">
        <f>IFERROR(C64*D64,0)</f>
        <v>0</v>
      </c>
    </row>
    <row r="65" spans="5:5">
      <c r="E65" s="10">
        <f>IFERROR(C65*D65,0)</f>
        <v>0</v>
      </c>
    </row>
    <row r="66" spans="5:5">
      <c r="E66" s="10">
        <f>IFERROR(C66*D66,0)</f>
        <v>0</v>
      </c>
    </row>
    <row r="67" spans="5:5">
      <c r="E67" s="10">
        <f>IFERROR(C67*D67,0)</f>
        <v>0</v>
      </c>
    </row>
    <row r="68" spans="5:5">
      <c r="E68" s="10">
        <f>IFERROR(C68*D68,0)</f>
        <v>0</v>
      </c>
    </row>
    <row r="69" spans="5:5">
      <c r="E69" s="10">
        <f>IFERROR(C69*D69,0)</f>
        <v>0</v>
      </c>
    </row>
    <row r="70" spans="5:5">
      <c r="E70" s="10">
        <f>IFERROR(C70*D70,0)</f>
        <v>0</v>
      </c>
    </row>
    <row r="71" spans="5:5">
      <c r="E71" s="10">
        <f>IFERROR(C71*D71,0)</f>
        <v>0</v>
      </c>
    </row>
    <row r="72" spans="5:5">
      <c r="E72" s="10">
        <f>IFERROR(C72*D72,0)</f>
        <v>0</v>
      </c>
    </row>
    <row r="73" spans="5:5">
      <c r="E73" s="10">
        <f>IFERROR(C73*D73,0)</f>
        <v>0</v>
      </c>
    </row>
    <row r="74" spans="5:5">
      <c r="E74" s="10">
        <f>IFERROR(C74*D74,0)</f>
        <v>0</v>
      </c>
    </row>
    <row r="75" spans="5:5">
      <c r="E75" s="10">
        <f>IFERROR(C75*D75,0)</f>
        <v>0</v>
      </c>
    </row>
    <row r="76" spans="5:5">
      <c r="E76" s="10">
        <f>IFERROR(C76*D76,0)</f>
        <v>0</v>
      </c>
    </row>
    <row r="77" spans="5:5">
      <c r="E77" s="10">
        <f>IFERROR(C77*D77,0)</f>
        <v>0</v>
      </c>
    </row>
    <row r="78" spans="5:5">
      <c r="E78" s="10">
        <f>IFERROR(C78*D78,0)</f>
        <v>0</v>
      </c>
    </row>
    <row r="79" spans="5:5">
      <c r="E79" s="10">
        <f>IFERROR(C79*D79,0)</f>
        <v>0</v>
      </c>
    </row>
    <row r="80" spans="5:5">
      <c r="E80" s="10">
        <f>IFERROR(C80*D80,0)</f>
        <v>0</v>
      </c>
    </row>
    <row r="81" spans="5:5">
      <c r="E81" s="10">
        <f>IFERROR(C81*D81,0)</f>
        <v>0</v>
      </c>
    </row>
    <row r="82" spans="5:5">
      <c r="E82" s="10">
        <f>IFERROR(C82*D82,0)</f>
        <v>0</v>
      </c>
    </row>
    <row r="83" spans="5:5">
      <c r="E83" s="10">
        <f>IFERROR(C83*D83,0)</f>
        <v>0</v>
      </c>
    </row>
    <row r="84" spans="5:5">
      <c r="E84" s="10">
        <f>IFERROR(C84*D84,0)</f>
        <v>0</v>
      </c>
    </row>
    <row r="85" spans="5:5">
      <c r="E85" s="10">
        <f>IFERROR(C85*D85,0)</f>
        <v>0</v>
      </c>
    </row>
    <row r="86" spans="5:5">
      <c r="E86" s="10">
        <f>IFERROR(C86*D86,0)</f>
        <v>0</v>
      </c>
    </row>
    <row r="87" spans="5:5">
      <c r="E87" s="10">
        <f>IFERROR(C87*D87,0)</f>
        <v>0</v>
      </c>
    </row>
    <row r="88" spans="5:5">
      <c r="E88" s="10">
        <f>IFERROR(C88*D88,0)</f>
        <v>0</v>
      </c>
    </row>
    <row r="89" spans="5:5">
      <c r="E89" s="10">
        <f>IFERROR(C89*D89,0)</f>
        <v>0</v>
      </c>
    </row>
    <row r="90" spans="5:5">
      <c r="E90" s="10">
        <f>IFERROR(C90*D90,0)</f>
        <v>0</v>
      </c>
    </row>
    <row r="91" spans="5:5">
      <c r="E91" s="10">
        <f>IFERROR(C91*D91,0)</f>
        <v>0</v>
      </c>
    </row>
    <row r="92" spans="5:5">
      <c r="E92" s="10">
        <f>IFERROR(C92*D92,0)</f>
        <v>0</v>
      </c>
    </row>
    <row r="93" spans="5:5">
      <c r="E93" s="10">
        <f>IFERROR(C93*D93,0)</f>
        <v>0</v>
      </c>
    </row>
    <row r="94" spans="5:5">
      <c r="E94" s="10">
        <f>IFERROR(C94*D94,0)</f>
        <v>0</v>
      </c>
    </row>
    <row r="95" spans="5:5">
      <c r="E95" s="10">
        <f>IFERROR(C95*D95,0)</f>
        <v>0</v>
      </c>
    </row>
    <row r="96" spans="5:5">
      <c r="E96" s="10">
        <f>IFERROR(C96*D96,0)</f>
        <v>0</v>
      </c>
    </row>
    <row r="97" spans="5:5">
      <c r="E97" s="10">
        <f>IFERROR(C97*D97,0)</f>
        <v>0</v>
      </c>
    </row>
    <row r="98" spans="5:5">
      <c r="E98" s="10">
        <f>IFERROR(C98*D98,0)</f>
        <v>0</v>
      </c>
    </row>
    <row r="99" spans="5:5">
      <c r="E99" s="10">
        <f>IFERROR(C99*D99,0)</f>
        <v>0</v>
      </c>
    </row>
    <row r="100" spans="5:5">
      <c r="E100" s="10">
        <f>IFERROR(C100*D100,0)</f>
        <v>0</v>
      </c>
    </row>
    <row r="101" spans="5:5">
      <c r="E101" s="10">
        <f>IFERROR(C101*D101,0)</f>
        <v>0</v>
      </c>
    </row>
    <row r="102" spans="5:5">
      <c r="E102" s="10">
        <f>IFERROR(C102*D102,0)</f>
        <v>0</v>
      </c>
    </row>
    <row r="103" spans="5:5">
      <c r="E103" s="10">
        <f>IFERROR(C103*D103,0)</f>
        <v>0</v>
      </c>
    </row>
    <row r="104" spans="5:5">
      <c r="E104" s="10">
        <f>IFERROR(C104*D104,0)</f>
        <v>0</v>
      </c>
    </row>
    <row r="105" spans="5:5">
      <c r="E105" s="10">
        <f>IFERROR(C105*D105,0)</f>
        <v>0</v>
      </c>
    </row>
    <row r="106" spans="5:5">
      <c r="E106" s="10">
        <f>IFERROR(C106*D106,0)</f>
        <v>0</v>
      </c>
    </row>
    <row r="107" spans="5:5">
      <c r="E107" s="10">
        <f>IFERROR(C107*D107,0)</f>
        <v>0</v>
      </c>
    </row>
    <row r="108" spans="5:5">
      <c r="E108" s="10">
        <f>IFERROR(C108*D108,0)</f>
        <v>0</v>
      </c>
    </row>
    <row r="109" spans="5:5">
      <c r="E109" s="10">
        <f>IFERROR(C109*D109,0)</f>
        <v>0</v>
      </c>
    </row>
    <row r="110" spans="5:5">
      <c r="E110" s="10">
        <f>IFERROR(C110*D110,0)</f>
        <v>0</v>
      </c>
    </row>
    <row r="111" spans="5:5">
      <c r="E111" s="10">
        <f>IFERROR(C111*D111,0)</f>
        <v>0</v>
      </c>
    </row>
    <row r="112" spans="5:5">
      <c r="E112" s="10">
        <f>IFERROR(C112*D112,0)</f>
        <v>0</v>
      </c>
    </row>
    <row r="113" spans="5:5">
      <c r="E113" s="10">
        <f>IFERROR(C113*D113,0)</f>
        <v>0</v>
      </c>
    </row>
    <row r="114" spans="5:5">
      <c r="E114" s="10">
        <f>IFERROR(C114*D114,0)</f>
        <v>0</v>
      </c>
    </row>
    <row r="115" spans="5:5">
      <c r="E115" s="10">
        <f>IFERROR(C115*D115,0)</f>
        <v>0</v>
      </c>
    </row>
    <row r="116" spans="5:5">
      <c r="E116" s="10">
        <f>IFERROR(C116*D116,0)</f>
        <v>0</v>
      </c>
    </row>
    <row r="117" spans="5:5">
      <c r="E117" s="10">
        <f>IFERROR(C117*D117,0)</f>
        <v>0</v>
      </c>
    </row>
    <row r="118" spans="5:5">
      <c r="E118" s="10">
        <f>IFERROR(C118*D118,0)</f>
        <v>0</v>
      </c>
    </row>
    <row r="119" spans="5:5">
      <c r="E119" s="10">
        <f>IFERROR(C119*D119,0)</f>
        <v>0</v>
      </c>
    </row>
    <row r="120" spans="5:5">
      <c r="E120" s="10">
        <f>IFERROR(C120*D120,0)</f>
        <v>0</v>
      </c>
    </row>
    <row r="121" spans="5:5">
      <c r="E121" s="10">
        <f>IFERROR(C121*D121,0)</f>
        <v>0</v>
      </c>
    </row>
    <row r="122" spans="5:5">
      <c r="E122" s="10">
        <f>IFERROR(C122*D122,0)</f>
        <v>0</v>
      </c>
    </row>
    <row r="123" spans="5:5">
      <c r="E123" s="10">
        <f>IFERROR(C123*D123,0)</f>
        <v>0</v>
      </c>
    </row>
    <row r="124" spans="5:5">
      <c r="E124" s="10">
        <f>IFERROR(C124*D124,0)</f>
        <v>0</v>
      </c>
    </row>
    <row r="125" spans="5:5">
      <c r="E125" s="10">
        <f>IFERROR(C125*D125,0)</f>
        <v>0</v>
      </c>
    </row>
    <row r="126" spans="5:5">
      <c r="E126" s="10">
        <f>IFERROR(C126*D126,0)</f>
        <v>0</v>
      </c>
    </row>
    <row r="127" spans="5:5">
      <c r="E127" s="10">
        <f>IFERROR(C127*D127,0)</f>
        <v>0</v>
      </c>
    </row>
    <row r="128" spans="5:5">
      <c r="E128" s="10">
        <f>IFERROR(C128*D128,0)</f>
        <v>0</v>
      </c>
    </row>
    <row r="129" spans="5:5">
      <c r="E129" s="10">
        <f>IFERROR(C129*D129,0)</f>
        <v>0</v>
      </c>
    </row>
    <row r="130" spans="5:5">
      <c r="E130" s="10">
        <f>IFERROR(C130*D130,0)</f>
        <v>0</v>
      </c>
    </row>
    <row r="131" spans="5:5">
      <c r="E131" s="10">
        <f>IFERROR(C131*D131,0)</f>
        <v>0</v>
      </c>
    </row>
    <row r="132" spans="5:5">
      <c r="E132" s="10">
        <f>IFERROR(C132*D132,0)</f>
        <v>0</v>
      </c>
    </row>
    <row r="133" spans="5:5">
      <c r="E133" s="10">
        <f>IFERROR(C133*D133,0)</f>
        <v>0</v>
      </c>
    </row>
    <row r="134" spans="5:5">
      <c r="E134" s="10">
        <f>IFERROR(C134*D134,0)</f>
        <v>0</v>
      </c>
    </row>
    <row r="135" spans="5:5">
      <c r="E135" s="10">
        <f>IFERROR(C135*D135,0)</f>
        <v>0</v>
      </c>
    </row>
    <row r="136" spans="5:5">
      <c r="E136" s="10">
        <f>IFERROR(C136*D136,0)</f>
        <v>0</v>
      </c>
    </row>
    <row r="137" spans="5:5">
      <c r="E137" s="10">
        <f>IFERROR(C137*D137,0)</f>
        <v>0</v>
      </c>
    </row>
    <row r="138" spans="5:5">
      <c r="E138" s="10">
        <f>IFERROR(C138*D138,0)</f>
        <v>0</v>
      </c>
    </row>
    <row r="139" spans="5:5">
      <c r="E139" s="10">
        <f>IFERROR(C139*D139,0)</f>
        <v>0</v>
      </c>
    </row>
    <row r="140" spans="5:5">
      <c r="E140" s="10">
        <f>IFERROR(C140*D140,0)</f>
        <v>0</v>
      </c>
    </row>
    <row r="141" spans="5:5">
      <c r="E141" s="10">
        <f>IFERROR(C141*D141,0)</f>
        <v>0</v>
      </c>
    </row>
    <row r="142" spans="5:5">
      <c r="E142" s="10">
        <f>IFERROR(C142*D142,0)</f>
        <v>0</v>
      </c>
    </row>
    <row r="143" spans="5:5">
      <c r="E143" s="10">
        <f>IFERROR(C143*D143,0)</f>
        <v>0</v>
      </c>
    </row>
    <row r="144" spans="5:5">
      <c r="E144" s="10">
        <f>IFERROR(C144*D144,0)</f>
        <v>0</v>
      </c>
    </row>
    <row r="145" spans="5:5">
      <c r="E145" s="10">
        <f>IFERROR(C145*D145,0)</f>
        <v>0</v>
      </c>
    </row>
    <row r="146" spans="5:5">
      <c r="E146" s="10">
        <f>IFERROR(C146*D146,0)</f>
        <v>0</v>
      </c>
    </row>
    <row r="147" spans="5:5">
      <c r="E147" s="10">
        <f>IFERROR(C147*D147,0)</f>
        <v>0</v>
      </c>
    </row>
    <row r="148" spans="5:5">
      <c r="E148" s="10">
        <f>IFERROR(C148*D148,0)</f>
        <v>0</v>
      </c>
    </row>
    <row r="149" spans="5:5">
      <c r="E149" s="10">
        <f>IFERROR(C149*D149,0)</f>
        <v>0</v>
      </c>
    </row>
    <row r="150" spans="5:5">
      <c r="E150" s="10">
        <f>IFERROR(C150*D150,0)</f>
        <v>0</v>
      </c>
    </row>
    <row r="151" spans="5:5">
      <c r="E151" s="10">
        <f>IFERROR(C151*D151,0)</f>
        <v>0</v>
      </c>
    </row>
    <row r="152" spans="5:5">
      <c r="E152" s="10">
        <f>IFERROR(C152*D152,0)</f>
        <v>0</v>
      </c>
    </row>
    <row r="153" spans="5:5">
      <c r="E153" s="10">
        <f>IFERROR(C153*D153,0)</f>
        <v>0</v>
      </c>
    </row>
    <row r="154" spans="5:5">
      <c r="E154" s="10">
        <f>IFERROR(C154*D154,0)</f>
        <v>0</v>
      </c>
    </row>
    <row r="155" spans="5:5">
      <c r="E155" s="10">
        <f>IFERROR(C155*D155,0)</f>
        <v>0</v>
      </c>
    </row>
    <row r="156" spans="5:5">
      <c r="E156" s="10">
        <f>IFERROR(C156*D156,0)</f>
        <v>0</v>
      </c>
    </row>
    <row r="157" spans="5:5">
      <c r="E157" s="10">
        <f>IFERROR(C157*D157,0)</f>
        <v>0</v>
      </c>
    </row>
    <row r="158" spans="5:5">
      <c r="E158" s="10">
        <f>IFERROR(C158*D158,0)</f>
        <v>0</v>
      </c>
    </row>
    <row r="159" spans="5:5">
      <c r="E159" s="10">
        <f>IFERROR(C159*D159,0)</f>
        <v>0</v>
      </c>
    </row>
    <row r="160" spans="5:5">
      <c r="E160" s="10">
        <f>IFERROR(C160*D160,0)</f>
        <v>0</v>
      </c>
    </row>
    <row r="161" spans="5:5">
      <c r="E161" s="10">
        <f>IFERROR(C161*D161,0)</f>
        <v>0</v>
      </c>
    </row>
    <row r="162" spans="5:5">
      <c r="E162" s="10">
        <f>IFERROR(C162*D162,0)</f>
        <v>0</v>
      </c>
    </row>
    <row r="163" spans="5:5">
      <c r="E163" s="10">
        <f>IFERROR(C163*D163,0)</f>
        <v>0</v>
      </c>
    </row>
    <row r="164" spans="5:5">
      <c r="E164" s="10">
        <f>IFERROR(C164*D164,0)</f>
        <v>0</v>
      </c>
    </row>
    <row r="165" spans="5:5">
      <c r="E165" s="10">
        <f>IFERROR(C165*D165,0)</f>
        <v>0</v>
      </c>
    </row>
    <row r="166" spans="5:5">
      <c r="E166" s="10">
        <f>IFERROR(C166*D166,0)</f>
        <v>0</v>
      </c>
    </row>
    <row r="167" spans="5:5">
      <c r="E167" s="10">
        <f>IFERROR(C167*D167,0)</f>
        <v>0</v>
      </c>
    </row>
    <row r="168" spans="5:5">
      <c r="E168" s="10">
        <f>IFERROR(C168*D168,0)</f>
        <v>0</v>
      </c>
    </row>
    <row r="169" spans="5:5">
      <c r="E169" s="10">
        <f>IFERROR(C169*D169,0)</f>
        <v>0</v>
      </c>
    </row>
    <row r="170" spans="5:5">
      <c r="E170" s="10">
        <f>IFERROR(C170*D170,0)</f>
        <v>0</v>
      </c>
    </row>
    <row r="171" spans="5:5">
      <c r="E171" s="10">
        <f>IFERROR(C171*D171,0)</f>
        <v>0</v>
      </c>
    </row>
    <row r="172" spans="5:5">
      <c r="E172" s="10">
        <f>IFERROR(C172*D172,0)</f>
        <v>0</v>
      </c>
    </row>
    <row r="173" spans="5:5">
      <c r="E173" s="10">
        <f>IFERROR(C173*D173,0)</f>
        <v>0</v>
      </c>
    </row>
    <row r="174" spans="5:5">
      <c r="E174" s="10">
        <f>IFERROR(C174*D174,0)</f>
        <v>0</v>
      </c>
    </row>
    <row r="175" spans="5:5">
      <c r="E175" s="10">
        <f>IFERROR(C175*D175,0)</f>
        <v>0</v>
      </c>
    </row>
    <row r="176" spans="5:5">
      <c r="E176" s="10">
        <f>IFERROR(C176*D176,0)</f>
        <v>0</v>
      </c>
    </row>
    <row r="177" spans="5:5">
      <c r="E177" s="10">
        <f>IFERROR(C177*D177,0)</f>
        <v>0</v>
      </c>
    </row>
    <row r="178" spans="5:5">
      <c r="E178" s="10">
        <f>IFERROR(C178*D178,0)</f>
        <v>0</v>
      </c>
    </row>
    <row r="179" spans="5:5">
      <c r="E179" s="10">
        <f>IFERROR(C179*D179,0)</f>
        <v>0</v>
      </c>
    </row>
    <row r="180" spans="5:5">
      <c r="E180" s="10">
        <f>IFERROR(C180*D180,0)</f>
        <v>0</v>
      </c>
    </row>
    <row r="181" spans="5:5">
      <c r="E181" s="10">
        <f>IFERROR(C181*D181,0)</f>
        <v>0</v>
      </c>
    </row>
    <row r="182" spans="5:5">
      <c r="E182" s="10">
        <f>IFERROR(C182*D182,0)</f>
        <v>0</v>
      </c>
    </row>
    <row r="183" spans="5:5">
      <c r="E183" s="10">
        <f>IFERROR(C183*D183,0)</f>
        <v>0</v>
      </c>
    </row>
    <row r="184" spans="5:5">
      <c r="E184" s="10">
        <f>IFERROR(C184*D184,0)</f>
        <v>0</v>
      </c>
    </row>
    <row r="185" spans="5:5">
      <c r="E185" s="10">
        <f>IFERROR(C185*D185,0)</f>
        <v>0</v>
      </c>
    </row>
    <row r="186" spans="5:5">
      <c r="E186" s="10">
        <f>IFERROR(C186*D186,0)</f>
        <v>0</v>
      </c>
    </row>
    <row r="187" spans="5:5">
      <c r="E187" s="10">
        <f>IFERROR(C187*D187,0)</f>
        <v>0</v>
      </c>
    </row>
    <row r="188" spans="5:5">
      <c r="E188" s="10">
        <f>IFERROR(C188*D188,0)</f>
        <v>0</v>
      </c>
    </row>
    <row r="189" spans="5:5">
      <c r="E189" s="10">
        <f>IFERROR(C189*D189,0)</f>
        <v>0</v>
      </c>
    </row>
    <row r="190" spans="5:5">
      <c r="E190" s="10">
        <f>IFERROR(C190*D190,0)</f>
        <v>0</v>
      </c>
    </row>
    <row r="191" spans="5:5">
      <c r="E191" s="10">
        <f>IFERROR(C191*D191,0)</f>
        <v>0</v>
      </c>
    </row>
    <row r="192" spans="5:5">
      <c r="E192" s="10">
        <f>IFERROR(C192*D192,0)</f>
        <v>0</v>
      </c>
    </row>
    <row r="193" spans="5:5">
      <c r="E193" s="10">
        <f>IFERROR(C193*D193,0)</f>
        <v>0</v>
      </c>
    </row>
    <row r="194" spans="5:5">
      <c r="E194" s="10">
        <f>IFERROR(C194*D194,0)</f>
        <v>0</v>
      </c>
    </row>
    <row r="195" spans="5:5">
      <c r="E195" s="10">
        <f>IFERROR(C195*D195,0)</f>
        <v>0</v>
      </c>
    </row>
    <row r="196" spans="5:5">
      <c r="E196" s="10">
        <f>IFERROR(C196*D196,0)</f>
        <v>0</v>
      </c>
    </row>
    <row r="197" spans="5:5">
      <c r="E197" s="10">
        <f>IFERROR(C197*D197,0)</f>
        <v>0</v>
      </c>
    </row>
    <row r="198" spans="5:5">
      <c r="E198" s="10">
        <f>IFERROR(C198*D198,0)</f>
        <v>0</v>
      </c>
    </row>
    <row r="199" spans="5:5">
      <c r="E199" s="10">
        <f>IFERROR(C199*D199,0)</f>
        <v>0</v>
      </c>
    </row>
    <row r="200" spans="5:5">
      <c r="E200" s="10">
        <f>IFERROR(C200*D200,0)</f>
        <v>0</v>
      </c>
    </row>
    <row r="201" spans="5:5">
      <c r="E201" s="10">
        <f>IFERROR(C201*D201,0)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3"/>
  <sheetViews>
    <sheetView workbookViewId="0"/>
  </sheetViews>
  <sheetFormatPr defaultRowHeight="15"/>
  <cols>
    <col min="1" max="1" width="14.7109375" customWidth="1"/>
    <col min="2" max="2" width="28.7109375" customWidth="1"/>
    <col min="3" max="12" width="18.7109375" customWidth="1"/>
  </cols>
  <sheetData>
    <row r="1" spans="1:13">
      <c r="A1" s="1" t="s">
        <v>89</v>
      </c>
    </row>
    <row r="3" spans="1:13">
      <c r="A3" s="7" t="s">
        <v>25</v>
      </c>
      <c r="B3" s="7" t="s">
        <v>10</v>
      </c>
      <c r="C3" s="7" t="s">
        <v>16</v>
      </c>
      <c r="D3" s="7" t="s">
        <v>27</v>
      </c>
      <c r="E3" s="7" t="s">
        <v>90</v>
      </c>
      <c r="F3" s="7" t="s">
        <v>91</v>
      </c>
      <c r="G3" s="7" t="s">
        <v>92</v>
      </c>
      <c r="H3" s="7" t="s">
        <v>93</v>
      </c>
      <c r="I3" s="7" t="s">
        <v>94</v>
      </c>
      <c r="J3" s="9" t="s">
        <v>95</v>
      </c>
      <c r="K3" s="9" t="s">
        <v>49</v>
      </c>
      <c r="L3" s="9" t="s">
        <v>96</v>
      </c>
      <c r="M3" s="9" t="s">
        <v>97</v>
      </c>
    </row>
    <row r="4" spans="1:13">
      <c r="A4">
        <f>IFERROR(INDEX(Projet_Portefeuille!$A$2:$A$200, ROW()-2),"")</f>
        <v>0</v>
      </c>
      <c r="B4">
        <f>IF(A4&lt;&gt;"", INDEX(Projet_Portefeuille!$B$2:$B$200, ROW()-2), "")</f>
        <v>0</v>
      </c>
      <c r="C4">
        <f>IF(A4&lt;&gt;"", INDEX(Projet_Portefeuille!$C$2:$C$200, ROW()-2), "")</f>
        <v>0</v>
      </c>
      <c r="D4">
        <f>IF(A4&lt;&gt;"", INDEX(Projet_Portefeuille!$D$2:$D$200, ROW()-2), "")</f>
        <v>0</v>
      </c>
      <c r="E4" s="10">
        <f>IF(A4="",0,SUMIF(WBS_Projet!$A$2:$A$301, A4, WBS_Projet!$O$2:$O$301))</f>
        <v>0</v>
      </c>
      <c r="F4" s="6">
        <f>IFERROR(INDEX(Paramètres!$E$5:$E$11, MATCH(C4, Paramètres!$D$5:$D$11, 0)),0)</f>
        <v>0</v>
      </c>
      <c r="G4" s="10">
        <f>E4*F4</f>
        <v>0</v>
      </c>
      <c r="H4" s="10">
        <f>IF(A4="",0,SUMIF(Risques!$A$2:$A$200, A4, Risques!$E$2:$E$200))</f>
        <v>0</v>
      </c>
      <c r="I4" s="10">
        <f>(E4+G4+H4)*RESERVE_MGMT</f>
        <v>0</v>
      </c>
      <c r="J4" s="10">
        <f>E4+G4+H4+I4</f>
        <v>0</v>
      </c>
      <c r="K4" s="10">
        <f>J4*TVA</f>
        <v>0</v>
      </c>
      <c r="L4" s="10">
        <f>J4+K4</f>
        <v>0</v>
      </c>
      <c r="M4" s="10">
        <f>IFERROR(J4/INDEX(Projet_Portefeuille!$F$2:$F$200, ROW()-2),0)</f>
        <v>0</v>
      </c>
    </row>
    <row r="5" spans="1:13">
      <c r="A5">
        <f>IFERROR(INDEX(Projet_Portefeuille!$A$2:$A$200, ROW()-2),"")</f>
        <v>0</v>
      </c>
      <c r="B5">
        <f>IF(A5&lt;&gt;"", INDEX(Projet_Portefeuille!$B$2:$B$200, ROW()-2), "")</f>
        <v>0</v>
      </c>
      <c r="C5">
        <f>IF(A5&lt;&gt;"", INDEX(Projet_Portefeuille!$C$2:$C$200, ROW()-2), "")</f>
        <v>0</v>
      </c>
      <c r="D5">
        <f>IF(A5&lt;&gt;"", INDEX(Projet_Portefeuille!$D$2:$D$200, ROW()-2), "")</f>
        <v>0</v>
      </c>
      <c r="E5" s="10">
        <f>IF(A5="",0,SUMIF(WBS_Projet!$A$2:$A$301, A5, WBS_Projet!$O$2:$O$301))</f>
        <v>0</v>
      </c>
      <c r="F5" s="6">
        <f>IFERROR(INDEX(Paramètres!$E$5:$E$11, MATCH(C5, Paramètres!$D$5:$D$11, 0)),0)</f>
        <v>0</v>
      </c>
      <c r="G5" s="10">
        <f>E5*F5</f>
        <v>0</v>
      </c>
      <c r="H5" s="10">
        <f>IF(A5="",0,SUMIF(Risques!$A$2:$A$200, A5, Risques!$E$2:$E$200))</f>
        <v>0</v>
      </c>
      <c r="I5" s="10">
        <f>(E5+G5+H5)*RESERVE_MGMT</f>
        <v>0</v>
      </c>
      <c r="J5" s="10">
        <f>E5+G5+H5+I5</f>
        <v>0</v>
      </c>
      <c r="K5" s="10">
        <f>J5*TVA</f>
        <v>0</v>
      </c>
      <c r="L5" s="10">
        <f>J5+K5</f>
        <v>0</v>
      </c>
      <c r="M5" s="10">
        <f>IFERROR(J5/INDEX(Projet_Portefeuille!$F$2:$F$200, ROW()-2),0)</f>
        <v>0</v>
      </c>
    </row>
    <row r="6" spans="1:13">
      <c r="A6">
        <f>IFERROR(INDEX(Projet_Portefeuille!$A$2:$A$200, ROW()-2),"")</f>
        <v>0</v>
      </c>
      <c r="B6">
        <f>IF(A6&lt;&gt;"", INDEX(Projet_Portefeuille!$B$2:$B$200, ROW()-2), "")</f>
        <v>0</v>
      </c>
      <c r="C6">
        <f>IF(A6&lt;&gt;"", INDEX(Projet_Portefeuille!$C$2:$C$200, ROW()-2), "")</f>
        <v>0</v>
      </c>
      <c r="D6">
        <f>IF(A6&lt;&gt;"", INDEX(Projet_Portefeuille!$D$2:$D$200, ROW()-2), "")</f>
        <v>0</v>
      </c>
      <c r="E6" s="10">
        <f>IF(A6="",0,SUMIF(WBS_Projet!$A$2:$A$301, A6, WBS_Projet!$O$2:$O$301))</f>
        <v>0</v>
      </c>
      <c r="F6" s="6">
        <f>IFERROR(INDEX(Paramètres!$E$5:$E$11, MATCH(C6, Paramètres!$D$5:$D$11, 0)),0)</f>
        <v>0</v>
      </c>
      <c r="G6" s="10">
        <f>E6*F6</f>
        <v>0</v>
      </c>
      <c r="H6" s="10">
        <f>IF(A6="",0,SUMIF(Risques!$A$2:$A$200, A6, Risques!$E$2:$E$200))</f>
        <v>0</v>
      </c>
      <c r="I6" s="10">
        <f>(E6+G6+H6)*RESERVE_MGMT</f>
        <v>0</v>
      </c>
      <c r="J6" s="10">
        <f>E6+G6+H6+I6</f>
        <v>0</v>
      </c>
      <c r="K6" s="10">
        <f>J6*TVA</f>
        <v>0</v>
      </c>
      <c r="L6" s="10">
        <f>J6+K6</f>
        <v>0</v>
      </c>
      <c r="M6" s="10">
        <f>IFERROR(J6/INDEX(Projet_Portefeuille!$F$2:$F$200, ROW()-2),0)</f>
        <v>0</v>
      </c>
    </row>
    <row r="7" spans="1:13">
      <c r="A7">
        <f>IFERROR(INDEX(Projet_Portefeuille!$A$2:$A$200, ROW()-2),"")</f>
        <v>0</v>
      </c>
      <c r="B7">
        <f>IF(A7&lt;&gt;"", INDEX(Projet_Portefeuille!$B$2:$B$200, ROW()-2), "")</f>
        <v>0</v>
      </c>
      <c r="C7">
        <f>IF(A7&lt;&gt;"", INDEX(Projet_Portefeuille!$C$2:$C$200, ROW()-2), "")</f>
        <v>0</v>
      </c>
      <c r="D7">
        <f>IF(A7&lt;&gt;"", INDEX(Projet_Portefeuille!$D$2:$D$200, ROW()-2), "")</f>
        <v>0</v>
      </c>
      <c r="E7" s="10">
        <f>IF(A7="",0,SUMIF(WBS_Projet!$A$2:$A$301, A7, WBS_Projet!$O$2:$O$301))</f>
        <v>0</v>
      </c>
      <c r="F7" s="6">
        <f>IFERROR(INDEX(Paramètres!$E$5:$E$11, MATCH(C7, Paramètres!$D$5:$D$11, 0)),0)</f>
        <v>0</v>
      </c>
      <c r="G7" s="10">
        <f>E7*F7</f>
        <v>0</v>
      </c>
      <c r="H7" s="10">
        <f>IF(A7="",0,SUMIF(Risques!$A$2:$A$200, A7, Risques!$E$2:$E$200))</f>
        <v>0</v>
      </c>
      <c r="I7" s="10">
        <f>(E7+G7+H7)*RESERVE_MGMT</f>
        <v>0</v>
      </c>
      <c r="J7" s="10">
        <f>E7+G7+H7+I7</f>
        <v>0</v>
      </c>
      <c r="K7" s="10">
        <f>J7*TVA</f>
        <v>0</v>
      </c>
      <c r="L7" s="10">
        <f>J7+K7</f>
        <v>0</v>
      </c>
      <c r="M7" s="10">
        <f>IFERROR(J7/INDEX(Projet_Portefeuille!$F$2:$F$200, ROW()-2),0)</f>
        <v>0</v>
      </c>
    </row>
    <row r="8" spans="1:13">
      <c r="A8">
        <f>IFERROR(INDEX(Projet_Portefeuille!$A$2:$A$200, ROW()-2),"")</f>
        <v>0</v>
      </c>
      <c r="B8">
        <f>IF(A8&lt;&gt;"", INDEX(Projet_Portefeuille!$B$2:$B$200, ROW()-2), "")</f>
        <v>0</v>
      </c>
      <c r="C8">
        <f>IF(A8&lt;&gt;"", INDEX(Projet_Portefeuille!$C$2:$C$200, ROW()-2), "")</f>
        <v>0</v>
      </c>
      <c r="D8">
        <f>IF(A8&lt;&gt;"", INDEX(Projet_Portefeuille!$D$2:$D$200, ROW()-2), "")</f>
        <v>0</v>
      </c>
      <c r="E8" s="10">
        <f>IF(A8="",0,SUMIF(WBS_Projet!$A$2:$A$301, A8, WBS_Projet!$O$2:$O$301))</f>
        <v>0</v>
      </c>
      <c r="F8" s="6">
        <f>IFERROR(INDEX(Paramètres!$E$5:$E$11, MATCH(C8, Paramètres!$D$5:$D$11, 0)),0)</f>
        <v>0</v>
      </c>
      <c r="G8" s="10">
        <f>E8*F8</f>
        <v>0</v>
      </c>
      <c r="H8" s="10">
        <f>IF(A8="",0,SUMIF(Risques!$A$2:$A$200, A8, Risques!$E$2:$E$200))</f>
        <v>0</v>
      </c>
      <c r="I8" s="10">
        <f>(E8+G8+H8)*RESERVE_MGMT</f>
        <v>0</v>
      </c>
      <c r="J8" s="10">
        <f>E8+G8+H8+I8</f>
        <v>0</v>
      </c>
      <c r="K8" s="10">
        <f>J8*TVA</f>
        <v>0</v>
      </c>
      <c r="L8" s="10">
        <f>J8+K8</f>
        <v>0</v>
      </c>
      <c r="M8" s="10">
        <f>IFERROR(J8/INDEX(Projet_Portefeuille!$F$2:$F$200, ROW()-2),0)</f>
        <v>0</v>
      </c>
    </row>
    <row r="9" spans="1:13">
      <c r="A9">
        <f>IFERROR(INDEX(Projet_Portefeuille!$A$2:$A$200, ROW()-2),"")</f>
        <v>0</v>
      </c>
      <c r="B9">
        <f>IF(A9&lt;&gt;"", INDEX(Projet_Portefeuille!$B$2:$B$200, ROW()-2), "")</f>
        <v>0</v>
      </c>
      <c r="C9">
        <f>IF(A9&lt;&gt;"", INDEX(Projet_Portefeuille!$C$2:$C$200, ROW()-2), "")</f>
        <v>0</v>
      </c>
      <c r="D9">
        <f>IF(A9&lt;&gt;"", INDEX(Projet_Portefeuille!$D$2:$D$200, ROW()-2), "")</f>
        <v>0</v>
      </c>
      <c r="E9" s="10">
        <f>IF(A9="",0,SUMIF(WBS_Projet!$A$2:$A$301, A9, WBS_Projet!$O$2:$O$301))</f>
        <v>0</v>
      </c>
      <c r="F9" s="6">
        <f>IFERROR(INDEX(Paramètres!$E$5:$E$11, MATCH(C9, Paramètres!$D$5:$D$11, 0)),0)</f>
        <v>0</v>
      </c>
      <c r="G9" s="10">
        <f>E9*F9</f>
        <v>0</v>
      </c>
      <c r="H9" s="10">
        <f>IF(A9="",0,SUMIF(Risques!$A$2:$A$200, A9, Risques!$E$2:$E$200))</f>
        <v>0</v>
      </c>
      <c r="I9" s="10">
        <f>(E9+G9+H9)*RESERVE_MGMT</f>
        <v>0</v>
      </c>
      <c r="J9" s="10">
        <f>E9+G9+H9+I9</f>
        <v>0</v>
      </c>
      <c r="K9" s="10">
        <f>J9*TVA</f>
        <v>0</v>
      </c>
      <c r="L9" s="10">
        <f>J9+K9</f>
        <v>0</v>
      </c>
      <c r="M9" s="10">
        <f>IFERROR(J9/INDEX(Projet_Portefeuille!$F$2:$F$200, ROW()-2),0)</f>
        <v>0</v>
      </c>
    </row>
    <row r="10" spans="1:13">
      <c r="A10">
        <f>IFERROR(INDEX(Projet_Portefeuille!$A$2:$A$200, ROW()-2),"")</f>
        <v>0</v>
      </c>
      <c r="B10">
        <f>IF(A10&lt;&gt;"", INDEX(Projet_Portefeuille!$B$2:$B$200, ROW()-2), "")</f>
        <v>0</v>
      </c>
      <c r="C10">
        <f>IF(A10&lt;&gt;"", INDEX(Projet_Portefeuille!$C$2:$C$200, ROW()-2), "")</f>
        <v>0</v>
      </c>
      <c r="D10">
        <f>IF(A10&lt;&gt;"", INDEX(Projet_Portefeuille!$D$2:$D$200, ROW()-2), "")</f>
        <v>0</v>
      </c>
      <c r="E10" s="10">
        <f>IF(A10="",0,SUMIF(WBS_Projet!$A$2:$A$301, A10, WBS_Projet!$O$2:$O$301))</f>
        <v>0</v>
      </c>
      <c r="F10" s="6">
        <f>IFERROR(INDEX(Paramètres!$E$5:$E$11, MATCH(C10, Paramètres!$D$5:$D$11, 0)),0)</f>
        <v>0</v>
      </c>
      <c r="G10" s="10">
        <f>E10*F10</f>
        <v>0</v>
      </c>
      <c r="H10" s="10">
        <f>IF(A10="",0,SUMIF(Risques!$A$2:$A$200, A10, Risques!$E$2:$E$200))</f>
        <v>0</v>
      </c>
      <c r="I10" s="10">
        <f>(E10+G10+H10)*RESERVE_MGMT</f>
        <v>0</v>
      </c>
      <c r="J10" s="10">
        <f>E10+G10+H10+I10</f>
        <v>0</v>
      </c>
      <c r="K10" s="10">
        <f>J10*TVA</f>
        <v>0</v>
      </c>
      <c r="L10" s="10">
        <f>J10+K10</f>
        <v>0</v>
      </c>
      <c r="M10" s="10">
        <f>IFERROR(J10/INDEX(Projet_Portefeuille!$F$2:$F$200, ROW()-2),0)</f>
        <v>0</v>
      </c>
    </row>
    <row r="11" spans="1:13">
      <c r="A11">
        <f>IFERROR(INDEX(Projet_Portefeuille!$A$2:$A$200, ROW()-2),"")</f>
        <v>0</v>
      </c>
      <c r="B11">
        <f>IF(A11&lt;&gt;"", INDEX(Projet_Portefeuille!$B$2:$B$200, ROW()-2), "")</f>
        <v>0</v>
      </c>
      <c r="C11">
        <f>IF(A11&lt;&gt;"", INDEX(Projet_Portefeuille!$C$2:$C$200, ROW()-2), "")</f>
        <v>0</v>
      </c>
      <c r="D11">
        <f>IF(A11&lt;&gt;"", INDEX(Projet_Portefeuille!$D$2:$D$200, ROW()-2), "")</f>
        <v>0</v>
      </c>
      <c r="E11" s="10">
        <f>IF(A11="",0,SUMIF(WBS_Projet!$A$2:$A$301, A11, WBS_Projet!$O$2:$O$301))</f>
        <v>0</v>
      </c>
      <c r="F11" s="6">
        <f>IFERROR(INDEX(Paramètres!$E$5:$E$11, MATCH(C11, Paramètres!$D$5:$D$11, 0)),0)</f>
        <v>0</v>
      </c>
      <c r="G11" s="10">
        <f>E11*F11</f>
        <v>0</v>
      </c>
      <c r="H11" s="10">
        <f>IF(A11="",0,SUMIF(Risques!$A$2:$A$200, A11, Risques!$E$2:$E$200))</f>
        <v>0</v>
      </c>
      <c r="I11" s="10">
        <f>(E11+G11+H11)*RESERVE_MGMT</f>
        <v>0</v>
      </c>
      <c r="J11" s="10">
        <f>E11+G11+H11+I11</f>
        <v>0</v>
      </c>
      <c r="K11" s="10">
        <f>J11*TVA</f>
        <v>0</v>
      </c>
      <c r="L11" s="10">
        <f>J11+K11</f>
        <v>0</v>
      </c>
      <c r="M11" s="10">
        <f>IFERROR(J11/INDEX(Projet_Portefeuille!$F$2:$F$200, ROW()-2),0)</f>
        <v>0</v>
      </c>
    </row>
    <row r="12" spans="1:13">
      <c r="A12">
        <f>IFERROR(INDEX(Projet_Portefeuille!$A$2:$A$200, ROW()-2),"")</f>
        <v>0</v>
      </c>
      <c r="B12">
        <f>IF(A12&lt;&gt;"", INDEX(Projet_Portefeuille!$B$2:$B$200, ROW()-2), "")</f>
        <v>0</v>
      </c>
      <c r="C12">
        <f>IF(A12&lt;&gt;"", INDEX(Projet_Portefeuille!$C$2:$C$200, ROW()-2), "")</f>
        <v>0</v>
      </c>
      <c r="D12">
        <f>IF(A12&lt;&gt;"", INDEX(Projet_Portefeuille!$D$2:$D$200, ROW()-2), "")</f>
        <v>0</v>
      </c>
      <c r="E12" s="10">
        <f>IF(A12="",0,SUMIF(WBS_Projet!$A$2:$A$301, A12, WBS_Projet!$O$2:$O$301))</f>
        <v>0</v>
      </c>
      <c r="F12" s="6">
        <f>IFERROR(INDEX(Paramètres!$E$5:$E$11, MATCH(C12, Paramètres!$D$5:$D$11, 0)),0)</f>
        <v>0</v>
      </c>
      <c r="G12" s="10">
        <f>E12*F12</f>
        <v>0</v>
      </c>
      <c r="H12" s="10">
        <f>IF(A12="",0,SUMIF(Risques!$A$2:$A$200, A12, Risques!$E$2:$E$200))</f>
        <v>0</v>
      </c>
      <c r="I12" s="10">
        <f>(E12+G12+H12)*RESERVE_MGMT</f>
        <v>0</v>
      </c>
      <c r="J12" s="10">
        <f>E12+G12+H12+I12</f>
        <v>0</v>
      </c>
      <c r="K12" s="10">
        <f>J12*TVA</f>
        <v>0</v>
      </c>
      <c r="L12" s="10">
        <f>J12+K12</f>
        <v>0</v>
      </c>
      <c r="M12" s="10">
        <f>IFERROR(J12/INDEX(Projet_Portefeuille!$F$2:$F$200, ROW()-2),0)</f>
        <v>0</v>
      </c>
    </row>
    <row r="13" spans="1:13">
      <c r="A13">
        <f>IFERROR(INDEX(Projet_Portefeuille!$A$2:$A$200, ROW()-2),"")</f>
        <v>0</v>
      </c>
      <c r="B13">
        <f>IF(A13&lt;&gt;"", INDEX(Projet_Portefeuille!$B$2:$B$200, ROW()-2), "")</f>
        <v>0</v>
      </c>
      <c r="C13">
        <f>IF(A13&lt;&gt;"", INDEX(Projet_Portefeuille!$C$2:$C$200, ROW()-2), "")</f>
        <v>0</v>
      </c>
      <c r="D13">
        <f>IF(A13&lt;&gt;"", INDEX(Projet_Portefeuille!$D$2:$D$200, ROW()-2), "")</f>
        <v>0</v>
      </c>
      <c r="E13" s="10">
        <f>IF(A13="",0,SUMIF(WBS_Projet!$A$2:$A$301, A13, WBS_Projet!$O$2:$O$301))</f>
        <v>0</v>
      </c>
      <c r="F13" s="6">
        <f>IFERROR(INDEX(Paramètres!$E$5:$E$11, MATCH(C13, Paramètres!$D$5:$D$11, 0)),0)</f>
        <v>0</v>
      </c>
      <c r="G13" s="10">
        <f>E13*F13</f>
        <v>0</v>
      </c>
      <c r="H13" s="10">
        <f>IF(A13="",0,SUMIF(Risques!$A$2:$A$200, A13, Risques!$E$2:$E$200))</f>
        <v>0</v>
      </c>
      <c r="I13" s="10">
        <f>(E13+G13+H13)*RESERVE_MGMT</f>
        <v>0</v>
      </c>
      <c r="J13" s="10">
        <f>E13+G13+H13+I13</f>
        <v>0</v>
      </c>
      <c r="K13" s="10">
        <f>J13*TVA</f>
        <v>0</v>
      </c>
      <c r="L13" s="10">
        <f>J13+K13</f>
        <v>0</v>
      </c>
      <c r="M13" s="10">
        <f>IFERROR(J13/INDEX(Projet_Portefeuille!$F$2:$F$200, ROW()-2),0)</f>
        <v>0</v>
      </c>
    </row>
    <row r="14" spans="1:13">
      <c r="A14">
        <f>IFERROR(INDEX(Projet_Portefeuille!$A$2:$A$200, ROW()-2),"")</f>
        <v>0</v>
      </c>
      <c r="B14">
        <f>IF(A14&lt;&gt;"", INDEX(Projet_Portefeuille!$B$2:$B$200, ROW()-2), "")</f>
        <v>0</v>
      </c>
      <c r="C14">
        <f>IF(A14&lt;&gt;"", INDEX(Projet_Portefeuille!$C$2:$C$200, ROW()-2), "")</f>
        <v>0</v>
      </c>
      <c r="D14">
        <f>IF(A14&lt;&gt;"", INDEX(Projet_Portefeuille!$D$2:$D$200, ROW()-2), "")</f>
        <v>0</v>
      </c>
      <c r="E14" s="10">
        <f>IF(A14="",0,SUMIF(WBS_Projet!$A$2:$A$301, A14, WBS_Projet!$O$2:$O$301))</f>
        <v>0</v>
      </c>
      <c r="F14" s="6">
        <f>IFERROR(INDEX(Paramètres!$E$5:$E$11, MATCH(C14, Paramètres!$D$5:$D$11, 0)),0)</f>
        <v>0</v>
      </c>
      <c r="G14" s="10">
        <f>E14*F14</f>
        <v>0</v>
      </c>
      <c r="H14" s="10">
        <f>IF(A14="",0,SUMIF(Risques!$A$2:$A$200, A14, Risques!$E$2:$E$200))</f>
        <v>0</v>
      </c>
      <c r="I14" s="10">
        <f>(E14+G14+H14)*RESERVE_MGMT</f>
        <v>0</v>
      </c>
      <c r="J14" s="10">
        <f>E14+G14+H14+I14</f>
        <v>0</v>
      </c>
      <c r="K14" s="10">
        <f>J14*TVA</f>
        <v>0</v>
      </c>
      <c r="L14" s="10">
        <f>J14+K14</f>
        <v>0</v>
      </c>
      <c r="M14" s="10">
        <f>IFERROR(J14/INDEX(Projet_Portefeuille!$F$2:$F$200, ROW()-2),0)</f>
        <v>0</v>
      </c>
    </row>
    <row r="15" spans="1:13">
      <c r="A15">
        <f>IFERROR(INDEX(Projet_Portefeuille!$A$2:$A$200, ROW()-2),"")</f>
        <v>0</v>
      </c>
      <c r="B15">
        <f>IF(A15&lt;&gt;"", INDEX(Projet_Portefeuille!$B$2:$B$200, ROW()-2), "")</f>
        <v>0</v>
      </c>
      <c r="C15">
        <f>IF(A15&lt;&gt;"", INDEX(Projet_Portefeuille!$C$2:$C$200, ROW()-2), "")</f>
        <v>0</v>
      </c>
      <c r="D15">
        <f>IF(A15&lt;&gt;"", INDEX(Projet_Portefeuille!$D$2:$D$200, ROW()-2), "")</f>
        <v>0</v>
      </c>
      <c r="E15" s="10">
        <f>IF(A15="",0,SUMIF(WBS_Projet!$A$2:$A$301, A15, WBS_Projet!$O$2:$O$301))</f>
        <v>0</v>
      </c>
      <c r="F15" s="6">
        <f>IFERROR(INDEX(Paramètres!$E$5:$E$11, MATCH(C15, Paramètres!$D$5:$D$11, 0)),0)</f>
        <v>0</v>
      </c>
      <c r="G15" s="10">
        <f>E15*F15</f>
        <v>0</v>
      </c>
      <c r="H15" s="10">
        <f>IF(A15="",0,SUMIF(Risques!$A$2:$A$200, A15, Risques!$E$2:$E$200))</f>
        <v>0</v>
      </c>
      <c r="I15" s="10">
        <f>(E15+G15+H15)*RESERVE_MGMT</f>
        <v>0</v>
      </c>
      <c r="J15" s="10">
        <f>E15+G15+H15+I15</f>
        <v>0</v>
      </c>
      <c r="K15" s="10">
        <f>J15*TVA</f>
        <v>0</v>
      </c>
      <c r="L15" s="10">
        <f>J15+K15</f>
        <v>0</v>
      </c>
      <c r="M15" s="10">
        <f>IFERROR(J15/INDEX(Projet_Portefeuille!$F$2:$F$200, ROW()-2),0)</f>
        <v>0</v>
      </c>
    </row>
    <row r="16" spans="1:13">
      <c r="A16">
        <f>IFERROR(INDEX(Projet_Portefeuille!$A$2:$A$200, ROW()-2),"")</f>
        <v>0</v>
      </c>
      <c r="B16">
        <f>IF(A16&lt;&gt;"", INDEX(Projet_Portefeuille!$B$2:$B$200, ROW()-2), "")</f>
        <v>0</v>
      </c>
      <c r="C16">
        <f>IF(A16&lt;&gt;"", INDEX(Projet_Portefeuille!$C$2:$C$200, ROW()-2), "")</f>
        <v>0</v>
      </c>
      <c r="D16">
        <f>IF(A16&lt;&gt;"", INDEX(Projet_Portefeuille!$D$2:$D$200, ROW()-2), "")</f>
        <v>0</v>
      </c>
      <c r="E16" s="10">
        <f>IF(A16="",0,SUMIF(WBS_Projet!$A$2:$A$301, A16, WBS_Projet!$O$2:$O$301))</f>
        <v>0</v>
      </c>
      <c r="F16" s="6">
        <f>IFERROR(INDEX(Paramètres!$E$5:$E$11, MATCH(C16, Paramètres!$D$5:$D$11, 0)),0)</f>
        <v>0</v>
      </c>
      <c r="G16" s="10">
        <f>E16*F16</f>
        <v>0</v>
      </c>
      <c r="H16" s="10">
        <f>IF(A16="",0,SUMIF(Risques!$A$2:$A$200, A16, Risques!$E$2:$E$200))</f>
        <v>0</v>
      </c>
      <c r="I16" s="10">
        <f>(E16+G16+H16)*RESERVE_MGMT</f>
        <v>0</v>
      </c>
      <c r="J16" s="10">
        <f>E16+G16+H16+I16</f>
        <v>0</v>
      </c>
      <c r="K16" s="10">
        <f>J16*TVA</f>
        <v>0</v>
      </c>
      <c r="L16" s="10">
        <f>J16+K16</f>
        <v>0</v>
      </c>
      <c r="M16" s="10">
        <f>IFERROR(J16/INDEX(Projet_Portefeuille!$F$2:$F$200, ROW()-2),0)</f>
        <v>0</v>
      </c>
    </row>
    <row r="17" spans="1:13">
      <c r="A17">
        <f>IFERROR(INDEX(Projet_Portefeuille!$A$2:$A$200, ROW()-2),"")</f>
        <v>0</v>
      </c>
      <c r="B17">
        <f>IF(A17&lt;&gt;"", INDEX(Projet_Portefeuille!$B$2:$B$200, ROW()-2), "")</f>
        <v>0</v>
      </c>
      <c r="C17">
        <f>IF(A17&lt;&gt;"", INDEX(Projet_Portefeuille!$C$2:$C$200, ROW()-2), "")</f>
        <v>0</v>
      </c>
      <c r="D17">
        <f>IF(A17&lt;&gt;"", INDEX(Projet_Portefeuille!$D$2:$D$200, ROW()-2), "")</f>
        <v>0</v>
      </c>
      <c r="E17" s="10">
        <f>IF(A17="",0,SUMIF(WBS_Projet!$A$2:$A$301, A17, WBS_Projet!$O$2:$O$301))</f>
        <v>0</v>
      </c>
      <c r="F17" s="6">
        <f>IFERROR(INDEX(Paramètres!$E$5:$E$11, MATCH(C17, Paramètres!$D$5:$D$11, 0)),0)</f>
        <v>0</v>
      </c>
      <c r="G17" s="10">
        <f>E17*F17</f>
        <v>0</v>
      </c>
      <c r="H17" s="10">
        <f>IF(A17="",0,SUMIF(Risques!$A$2:$A$200, A17, Risques!$E$2:$E$200))</f>
        <v>0</v>
      </c>
      <c r="I17" s="10">
        <f>(E17+G17+H17)*RESERVE_MGMT</f>
        <v>0</v>
      </c>
      <c r="J17" s="10">
        <f>E17+G17+H17+I17</f>
        <v>0</v>
      </c>
      <c r="K17" s="10">
        <f>J17*TVA</f>
        <v>0</v>
      </c>
      <c r="L17" s="10">
        <f>J17+K17</f>
        <v>0</v>
      </c>
      <c r="M17" s="10">
        <f>IFERROR(J17/INDEX(Projet_Portefeuille!$F$2:$F$200, ROW()-2),0)</f>
        <v>0</v>
      </c>
    </row>
    <row r="18" spans="1:13">
      <c r="A18">
        <f>IFERROR(INDEX(Projet_Portefeuille!$A$2:$A$200, ROW()-2),"")</f>
        <v>0</v>
      </c>
      <c r="B18">
        <f>IF(A18&lt;&gt;"", INDEX(Projet_Portefeuille!$B$2:$B$200, ROW()-2), "")</f>
        <v>0</v>
      </c>
      <c r="C18">
        <f>IF(A18&lt;&gt;"", INDEX(Projet_Portefeuille!$C$2:$C$200, ROW()-2), "")</f>
        <v>0</v>
      </c>
      <c r="D18">
        <f>IF(A18&lt;&gt;"", INDEX(Projet_Portefeuille!$D$2:$D$200, ROW()-2), "")</f>
        <v>0</v>
      </c>
      <c r="E18" s="10">
        <f>IF(A18="",0,SUMIF(WBS_Projet!$A$2:$A$301, A18, WBS_Projet!$O$2:$O$301))</f>
        <v>0</v>
      </c>
      <c r="F18" s="6">
        <f>IFERROR(INDEX(Paramètres!$E$5:$E$11, MATCH(C18, Paramètres!$D$5:$D$11, 0)),0)</f>
        <v>0</v>
      </c>
      <c r="G18" s="10">
        <f>E18*F18</f>
        <v>0</v>
      </c>
      <c r="H18" s="10">
        <f>IF(A18="",0,SUMIF(Risques!$A$2:$A$200, A18, Risques!$E$2:$E$200))</f>
        <v>0</v>
      </c>
      <c r="I18" s="10">
        <f>(E18+G18+H18)*RESERVE_MGMT</f>
        <v>0</v>
      </c>
      <c r="J18" s="10">
        <f>E18+G18+H18+I18</f>
        <v>0</v>
      </c>
      <c r="K18" s="10">
        <f>J18*TVA</f>
        <v>0</v>
      </c>
      <c r="L18" s="10">
        <f>J18+K18</f>
        <v>0</v>
      </c>
      <c r="M18" s="10">
        <f>IFERROR(J18/INDEX(Projet_Portefeuille!$F$2:$F$200, ROW()-2),0)</f>
        <v>0</v>
      </c>
    </row>
    <row r="19" spans="1:13">
      <c r="A19">
        <f>IFERROR(INDEX(Projet_Portefeuille!$A$2:$A$200, ROW()-2),"")</f>
        <v>0</v>
      </c>
      <c r="B19">
        <f>IF(A19&lt;&gt;"", INDEX(Projet_Portefeuille!$B$2:$B$200, ROW()-2), "")</f>
        <v>0</v>
      </c>
      <c r="C19">
        <f>IF(A19&lt;&gt;"", INDEX(Projet_Portefeuille!$C$2:$C$200, ROW()-2), "")</f>
        <v>0</v>
      </c>
      <c r="D19">
        <f>IF(A19&lt;&gt;"", INDEX(Projet_Portefeuille!$D$2:$D$200, ROW()-2), "")</f>
        <v>0</v>
      </c>
      <c r="E19" s="10">
        <f>IF(A19="",0,SUMIF(WBS_Projet!$A$2:$A$301, A19, WBS_Projet!$O$2:$O$301))</f>
        <v>0</v>
      </c>
      <c r="F19" s="6">
        <f>IFERROR(INDEX(Paramètres!$E$5:$E$11, MATCH(C19, Paramètres!$D$5:$D$11, 0)),0)</f>
        <v>0</v>
      </c>
      <c r="G19" s="10">
        <f>E19*F19</f>
        <v>0</v>
      </c>
      <c r="H19" s="10">
        <f>IF(A19="",0,SUMIF(Risques!$A$2:$A$200, A19, Risques!$E$2:$E$200))</f>
        <v>0</v>
      </c>
      <c r="I19" s="10">
        <f>(E19+G19+H19)*RESERVE_MGMT</f>
        <v>0</v>
      </c>
      <c r="J19" s="10">
        <f>E19+G19+H19+I19</f>
        <v>0</v>
      </c>
      <c r="K19" s="10">
        <f>J19*TVA</f>
        <v>0</v>
      </c>
      <c r="L19" s="10">
        <f>J19+K19</f>
        <v>0</v>
      </c>
      <c r="M19" s="10">
        <f>IFERROR(J19/INDEX(Projet_Portefeuille!$F$2:$F$200, ROW()-2),0)</f>
        <v>0</v>
      </c>
    </row>
    <row r="20" spans="1:13">
      <c r="A20">
        <f>IFERROR(INDEX(Projet_Portefeuille!$A$2:$A$200, ROW()-2),"")</f>
        <v>0</v>
      </c>
      <c r="B20">
        <f>IF(A20&lt;&gt;"", INDEX(Projet_Portefeuille!$B$2:$B$200, ROW()-2), "")</f>
        <v>0</v>
      </c>
      <c r="C20">
        <f>IF(A20&lt;&gt;"", INDEX(Projet_Portefeuille!$C$2:$C$200, ROW()-2), "")</f>
        <v>0</v>
      </c>
      <c r="D20">
        <f>IF(A20&lt;&gt;"", INDEX(Projet_Portefeuille!$D$2:$D$200, ROW()-2), "")</f>
        <v>0</v>
      </c>
      <c r="E20" s="10">
        <f>IF(A20="",0,SUMIF(WBS_Projet!$A$2:$A$301, A20, WBS_Projet!$O$2:$O$301))</f>
        <v>0</v>
      </c>
      <c r="F20" s="6">
        <f>IFERROR(INDEX(Paramètres!$E$5:$E$11, MATCH(C20, Paramètres!$D$5:$D$11, 0)),0)</f>
        <v>0</v>
      </c>
      <c r="G20" s="10">
        <f>E20*F20</f>
        <v>0</v>
      </c>
      <c r="H20" s="10">
        <f>IF(A20="",0,SUMIF(Risques!$A$2:$A$200, A20, Risques!$E$2:$E$200))</f>
        <v>0</v>
      </c>
      <c r="I20" s="10">
        <f>(E20+G20+H20)*RESERVE_MGMT</f>
        <v>0</v>
      </c>
      <c r="J20" s="10">
        <f>E20+G20+H20+I20</f>
        <v>0</v>
      </c>
      <c r="K20" s="10">
        <f>J20*TVA</f>
        <v>0</v>
      </c>
      <c r="L20" s="10">
        <f>J20+K20</f>
        <v>0</v>
      </c>
      <c r="M20" s="10">
        <f>IFERROR(J20/INDEX(Projet_Portefeuille!$F$2:$F$200, ROW()-2),0)</f>
        <v>0</v>
      </c>
    </row>
    <row r="21" spans="1:13">
      <c r="A21">
        <f>IFERROR(INDEX(Projet_Portefeuille!$A$2:$A$200, ROW()-2),"")</f>
        <v>0</v>
      </c>
      <c r="B21">
        <f>IF(A21&lt;&gt;"", INDEX(Projet_Portefeuille!$B$2:$B$200, ROW()-2), "")</f>
        <v>0</v>
      </c>
      <c r="C21">
        <f>IF(A21&lt;&gt;"", INDEX(Projet_Portefeuille!$C$2:$C$200, ROW()-2), "")</f>
        <v>0</v>
      </c>
      <c r="D21">
        <f>IF(A21&lt;&gt;"", INDEX(Projet_Portefeuille!$D$2:$D$200, ROW()-2), "")</f>
        <v>0</v>
      </c>
      <c r="E21" s="10">
        <f>IF(A21="",0,SUMIF(WBS_Projet!$A$2:$A$301, A21, WBS_Projet!$O$2:$O$301))</f>
        <v>0</v>
      </c>
      <c r="F21" s="6">
        <f>IFERROR(INDEX(Paramètres!$E$5:$E$11, MATCH(C21, Paramètres!$D$5:$D$11, 0)),0)</f>
        <v>0</v>
      </c>
      <c r="G21" s="10">
        <f>E21*F21</f>
        <v>0</v>
      </c>
      <c r="H21" s="10">
        <f>IF(A21="",0,SUMIF(Risques!$A$2:$A$200, A21, Risques!$E$2:$E$200))</f>
        <v>0</v>
      </c>
      <c r="I21" s="10">
        <f>(E21+G21+H21)*RESERVE_MGMT</f>
        <v>0</v>
      </c>
      <c r="J21" s="10">
        <f>E21+G21+H21+I21</f>
        <v>0</v>
      </c>
      <c r="K21" s="10">
        <f>J21*TVA</f>
        <v>0</v>
      </c>
      <c r="L21" s="10">
        <f>J21+K21</f>
        <v>0</v>
      </c>
      <c r="M21" s="10">
        <f>IFERROR(J21/INDEX(Projet_Portefeuille!$F$2:$F$200, ROW()-2),0)</f>
        <v>0</v>
      </c>
    </row>
    <row r="22" spans="1:13">
      <c r="A22">
        <f>IFERROR(INDEX(Projet_Portefeuille!$A$2:$A$200, ROW()-2),"")</f>
        <v>0</v>
      </c>
      <c r="B22">
        <f>IF(A22&lt;&gt;"", INDEX(Projet_Portefeuille!$B$2:$B$200, ROW()-2), "")</f>
        <v>0</v>
      </c>
      <c r="C22">
        <f>IF(A22&lt;&gt;"", INDEX(Projet_Portefeuille!$C$2:$C$200, ROW()-2), "")</f>
        <v>0</v>
      </c>
      <c r="D22">
        <f>IF(A22&lt;&gt;"", INDEX(Projet_Portefeuille!$D$2:$D$200, ROW()-2), "")</f>
        <v>0</v>
      </c>
      <c r="E22" s="10">
        <f>IF(A22="",0,SUMIF(WBS_Projet!$A$2:$A$301, A22, WBS_Projet!$O$2:$O$301))</f>
        <v>0</v>
      </c>
      <c r="F22" s="6">
        <f>IFERROR(INDEX(Paramètres!$E$5:$E$11, MATCH(C22, Paramètres!$D$5:$D$11, 0)),0)</f>
        <v>0</v>
      </c>
      <c r="G22" s="10">
        <f>E22*F22</f>
        <v>0</v>
      </c>
      <c r="H22" s="10">
        <f>IF(A22="",0,SUMIF(Risques!$A$2:$A$200, A22, Risques!$E$2:$E$200))</f>
        <v>0</v>
      </c>
      <c r="I22" s="10">
        <f>(E22+G22+H22)*RESERVE_MGMT</f>
        <v>0</v>
      </c>
      <c r="J22" s="10">
        <f>E22+G22+H22+I22</f>
        <v>0</v>
      </c>
      <c r="K22" s="10">
        <f>J22*TVA</f>
        <v>0</v>
      </c>
      <c r="L22" s="10">
        <f>J22+K22</f>
        <v>0</v>
      </c>
      <c r="M22" s="10">
        <f>IFERROR(J22/INDEX(Projet_Portefeuille!$F$2:$F$200, ROW()-2),0)</f>
        <v>0</v>
      </c>
    </row>
    <row r="23" spans="1:13">
      <c r="A23">
        <f>IFERROR(INDEX(Projet_Portefeuille!$A$2:$A$200, ROW()-2),"")</f>
        <v>0</v>
      </c>
      <c r="B23">
        <f>IF(A23&lt;&gt;"", INDEX(Projet_Portefeuille!$B$2:$B$200, ROW()-2), "")</f>
        <v>0</v>
      </c>
      <c r="C23">
        <f>IF(A23&lt;&gt;"", INDEX(Projet_Portefeuille!$C$2:$C$200, ROW()-2), "")</f>
        <v>0</v>
      </c>
      <c r="D23">
        <f>IF(A23&lt;&gt;"", INDEX(Projet_Portefeuille!$D$2:$D$200, ROW()-2), "")</f>
        <v>0</v>
      </c>
      <c r="E23" s="10">
        <f>IF(A23="",0,SUMIF(WBS_Projet!$A$2:$A$301, A23, WBS_Projet!$O$2:$O$301))</f>
        <v>0</v>
      </c>
      <c r="F23" s="6">
        <f>IFERROR(INDEX(Paramètres!$E$5:$E$11, MATCH(C23, Paramètres!$D$5:$D$11, 0)),0)</f>
        <v>0</v>
      </c>
      <c r="G23" s="10">
        <f>E23*F23</f>
        <v>0</v>
      </c>
      <c r="H23" s="10">
        <f>IF(A23="",0,SUMIF(Risques!$A$2:$A$200, A23, Risques!$E$2:$E$200))</f>
        <v>0</v>
      </c>
      <c r="I23" s="10">
        <f>(E23+G23+H23)*RESERVE_MGMT</f>
        <v>0</v>
      </c>
      <c r="J23" s="10">
        <f>E23+G23+H23+I23</f>
        <v>0</v>
      </c>
      <c r="K23" s="10">
        <f>J23*TVA</f>
        <v>0</v>
      </c>
      <c r="L23" s="10">
        <f>J23+K23</f>
        <v>0</v>
      </c>
      <c r="M23" s="10">
        <f>IFERROR(J23/INDEX(Projet_Portefeuille!$F$2:$F$200, ROW()-2),0)</f>
        <v>0</v>
      </c>
    </row>
    <row r="24" spans="1:13">
      <c r="A24">
        <f>IFERROR(INDEX(Projet_Portefeuille!$A$2:$A$200, ROW()-2),"")</f>
        <v>0</v>
      </c>
      <c r="B24">
        <f>IF(A24&lt;&gt;"", INDEX(Projet_Portefeuille!$B$2:$B$200, ROW()-2), "")</f>
        <v>0</v>
      </c>
      <c r="C24">
        <f>IF(A24&lt;&gt;"", INDEX(Projet_Portefeuille!$C$2:$C$200, ROW()-2), "")</f>
        <v>0</v>
      </c>
      <c r="D24">
        <f>IF(A24&lt;&gt;"", INDEX(Projet_Portefeuille!$D$2:$D$200, ROW()-2), "")</f>
        <v>0</v>
      </c>
      <c r="E24" s="10">
        <f>IF(A24="",0,SUMIF(WBS_Projet!$A$2:$A$301, A24, WBS_Projet!$O$2:$O$301))</f>
        <v>0</v>
      </c>
      <c r="F24" s="6">
        <f>IFERROR(INDEX(Paramètres!$E$5:$E$11, MATCH(C24, Paramètres!$D$5:$D$11, 0)),0)</f>
        <v>0</v>
      </c>
      <c r="G24" s="10">
        <f>E24*F24</f>
        <v>0</v>
      </c>
      <c r="H24" s="10">
        <f>IF(A24="",0,SUMIF(Risques!$A$2:$A$200, A24, Risques!$E$2:$E$200))</f>
        <v>0</v>
      </c>
      <c r="I24" s="10">
        <f>(E24+G24+H24)*RESERVE_MGMT</f>
        <v>0</v>
      </c>
      <c r="J24" s="10">
        <f>E24+G24+H24+I24</f>
        <v>0</v>
      </c>
      <c r="K24" s="10">
        <f>J24*TVA</f>
        <v>0</v>
      </c>
      <c r="L24" s="10">
        <f>J24+K24</f>
        <v>0</v>
      </c>
      <c r="M24" s="10">
        <f>IFERROR(J24/INDEX(Projet_Portefeuille!$F$2:$F$200, ROW()-2),0)</f>
        <v>0</v>
      </c>
    </row>
    <row r="25" spans="1:13">
      <c r="A25">
        <f>IFERROR(INDEX(Projet_Portefeuille!$A$2:$A$200, ROW()-2),"")</f>
        <v>0</v>
      </c>
      <c r="B25">
        <f>IF(A25&lt;&gt;"", INDEX(Projet_Portefeuille!$B$2:$B$200, ROW()-2), "")</f>
        <v>0</v>
      </c>
      <c r="C25">
        <f>IF(A25&lt;&gt;"", INDEX(Projet_Portefeuille!$C$2:$C$200, ROW()-2), "")</f>
        <v>0</v>
      </c>
      <c r="D25">
        <f>IF(A25&lt;&gt;"", INDEX(Projet_Portefeuille!$D$2:$D$200, ROW()-2), "")</f>
        <v>0</v>
      </c>
      <c r="E25" s="10">
        <f>IF(A25="",0,SUMIF(WBS_Projet!$A$2:$A$301, A25, WBS_Projet!$O$2:$O$301))</f>
        <v>0</v>
      </c>
      <c r="F25" s="6">
        <f>IFERROR(INDEX(Paramètres!$E$5:$E$11, MATCH(C25, Paramètres!$D$5:$D$11, 0)),0)</f>
        <v>0</v>
      </c>
      <c r="G25" s="10">
        <f>E25*F25</f>
        <v>0</v>
      </c>
      <c r="H25" s="10">
        <f>IF(A25="",0,SUMIF(Risques!$A$2:$A$200, A25, Risques!$E$2:$E$200))</f>
        <v>0</v>
      </c>
      <c r="I25" s="10">
        <f>(E25+G25+H25)*RESERVE_MGMT</f>
        <v>0</v>
      </c>
      <c r="J25" s="10">
        <f>E25+G25+H25+I25</f>
        <v>0</v>
      </c>
      <c r="K25" s="10">
        <f>J25*TVA</f>
        <v>0</v>
      </c>
      <c r="L25" s="10">
        <f>J25+K25</f>
        <v>0</v>
      </c>
      <c r="M25" s="10">
        <f>IFERROR(J25/INDEX(Projet_Portefeuille!$F$2:$F$200, ROW()-2),0)</f>
        <v>0</v>
      </c>
    </row>
    <row r="26" spans="1:13">
      <c r="A26">
        <f>IFERROR(INDEX(Projet_Portefeuille!$A$2:$A$200, ROW()-2),"")</f>
        <v>0</v>
      </c>
      <c r="B26">
        <f>IF(A26&lt;&gt;"", INDEX(Projet_Portefeuille!$B$2:$B$200, ROW()-2), "")</f>
        <v>0</v>
      </c>
      <c r="C26">
        <f>IF(A26&lt;&gt;"", INDEX(Projet_Portefeuille!$C$2:$C$200, ROW()-2), "")</f>
        <v>0</v>
      </c>
      <c r="D26">
        <f>IF(A26&lt;&gt;"", INDEX(Projet_Portefeuille!$D$2:$D$200, ROW()-2), "")</f>
        <v>0</v>
      </c>
      <c r="E26" s="10">
        <f>IF(A26="",0,SUMIF(WBS_Projet!$A$2:$A$301, A26, WBS_Projet!$O$2:$O$301))</f>
        <v>0</v>
      </c>
      <c r="F26" s="6">
        <f>IFERROR(INDEX(Paramètres!$E$5:$E$11, MATCH(C26, Paramètres!$D$5:$D$11, 0)),0)</f>
        <v>0</v>
      </c>
      <c r="G26" s="10">
        <f>E26*F26</f>
        <v>0</v>
      </c>
      <c r="H26" s="10">
        <f>IF(A26="",0,SUMIF(Risques!$A$2:$A$200, A26, Risques!$E$2:$E$200))</f>
        <v>0</v>
      </c>
      <c r="I26" s="10">
        <f>(E26+G26+H26)*RESERVE_MGMT</f>
        <v>0</v>
      </c>
      <c r="J26" s="10">
        <f>E26+G26+H26+I26</f>
        <v>0</v>
      </c>
      <c r="K26" s="10">
        <f>J26*TVA</f>
        <v>0</v>
      </c>
      <c r="L26" s="10">
        <f>J26+K26</f>
        <v>0</v>
      </c>
      <c r="M26" s="10">
        <f>IFERROR(J26/INDEX(Projet_Portefeuille!$F$2:$F$200, ROW()-2),0)</f>
        <v>0</v>
      </c>
    </row>
    <row r="27" spans="1:13">
      <c r="A27">
        <f>IFERROR(INDEX(Projet_Portefeuille!$A$2:$A$200, ROW()-2),"")</f>
        <v>0</v>
      </c>
      <c r="B27">
        <f>IF(A27&lt;&gt;"", INDEX(Projet_Portefeuille!$B$2:$B$200, ROW()-2), "")</f>
        <v>0</v>
      </c>
      <c r="C27">
        <f>IF(A27&lt;&gt;"", INDEX(Projet_Portefeuille!$C$2:$C$200, ROW()-2), "")</f>
        <v>0</v>
      </c>
      <c r="D27">
        <f>IF(A27&lt;&gt;"", INDEX(Projet_Portefeuille!$D$2:$D$200, ROW()-2), "")</f>
        <v>0</v>
      </c>
      <c r="E27" s="10">
        <f>IF(A27="",0,SUMIF(WBS_Projet!$A$2:$A$301, A27, WBS_Projet!$O$2:$O$301))</f>
        <v>0</v>
      </c>
      <c r="F27" s="6">
        <f>IFERROR(INDEX(Paramètres!$E$5:$E$11, MATCH(C27, Paramètres!$D$5:$D$11, 0)),0)</f>
        <v>0</v>
      </c>
      <c r="G27" s="10">
        <f>E27*F27</f>
        <v>0</v>
      </c>
      <c r="H27" s="10">
        <f>IF(A27="",0,SUMIF(Risques!$A$2:$A$200, A27, Risques!$E$2:$E$200))</f>
        <v>0</v>
      </c>
      <c r="I27" s="10">
        <f>(E27+G27+H27)*RESERVE_MGMT</f>
        <v>0</v>
      </c>
      <c r="J27" s="10">
        <f>E27+G27+H27+I27</f>
        <v>0</v>
      </c>
      <c r="K27" s="10">
        <f>J27*TVA</f>
        <v>0</v>
      </c>
      <c r="L27" s="10">
        <f>J27+K27</f>
        <v>0</v>
      </c>
      <c r="M27" s="10">
        <f>IFERROR(J27/INDEX(Projet_Portefeuille!$F$2:$F$200, ROW()-2),0)</f>
        <v>0</v>
      </c>
    </row>
    <row r="28" spans="1:13">
      <c r="A28">
        <f>IFERROR(INDEX(Projet_Portefeuille!$A$2:$A$200, ROW()-2),"")</f>
        <v>0</v>
      </c>
      <c r="B28">
        <f>IF(A28&lt;&gt;"", INDEX(Projet_Portefeuille!$B$2:$B$200, ROW()-2), "")</f>
        <v>0</v>
      </c>
      <c r="C28">
        <f>IF(A28&lt;&gt;"", INDEX(Projet_Portefeuille!$C$2:$C$200, ROW()-2), "")</f>
        <v>0</v>
      </c>
      <c r="D28">
        <f>IF(A28&lt;&gt;"", INDEX(Projet_Portefeuille!$D$2:$D$200, ROW()-2), "")</f>
        <v>0</v>
      </c>
      <c r="E28" s="10">
        <f>IF(A28="",0,SUMIF(WBS_Projet!$A$2:$A$301, A28, WBS_Projet!$O$2:$O$301))</f>
        <v>0</v>
      </c>
      <c r="F28" s="6">
        <f>IFERROR(INDEX(Paramètres!$E$5:$E$11, MATCH(C28, Paramètres!$D$5:$D$11, 0)),0)</f>
        <v>0</v>
      </c>
      <c r="G28" s="10">
        <f>E28*F28</f>
        <v>0</v>
      </c>
      <c r="H28" s="10">
        <f>IF(A28="",0,SUMIF(Risques!$A$2:$A$200, A28, Risques!$E$2:$E$200))</f>
        <v>0</v>
      </c>
      <c r="I28" s="10">
        <f>(E28+G28+H28)*RESERVE_MGMT</f>
        <v>0</v>
      </c>
      <c r="J28" s="10">
        <f>E28+G28+H28+I28</f>
        <v>0</v>
      </c>
      <c r="K28" s="10">
        <f>J28*TVA</f>
        <v>0</v>
      </c>
      <c r="L28" s="10">
        <f>J28+K28</f>
        <v>0</v>
      </c>
      <c r="M28" s="10">
        <f>IFERROR(J28/INDEX(Projet_Portefeuille!$F$2:$F$200, ROW()-2),0)</f>
        <v>0</v>
      </c>
    </row>
    <row r="29" spans="1:13">
      <c r="A29">
        <f>IFERROR(INDEX(Projet_Portefeuille!$A$2:$A$200, ROW()-2),"")</f>
        <v>0</v>
      </c>
      <c r="B29">
        <f>IF(A29&lt;&gt;"", INDEX(Projet_Portefeuille!$B$2:$B$200, ROW()-2), "")</f>
        <v>0</v>
      </c>
      <c r="C29">
        <f>IF(A29&lt;&gt;"", INDEX(Projet_Portefeuille!$C$2:$C$200, ROW()-2), "")</f>
        <v>0</v>
      </c>
      <c r="D29">
        <f>IF(A29&lt;&gt;"", INDEX(Projet_Portefeuille!$D$2:$D$200, ROW()-2), "")</f>
        <v>0</v>
      </c>
      <c r="E29" s="10">
        <f>IF(A29="",0,SUMIF(WBS_Projet!$A$2:$A$301, A29, WBS_Projet!$O$2:$O$301))</f>
        <v>0</v>
      </c>
      <c r="F29" s="6">
        <f>IFERROR(INDEX(Paramètres!$E$5:$E$11, MATCH(C29, Paramètres!$D$5:$D$11, 0)),0)</f>
        <v>0</v>
      </c>
      <c r="G29" s="10">
        <f>E29*F29</f>
        <v>0</v>
      </c>
      <c r="H29" s="10">
        <f>IF(A29="",0,SUMIF(Risques!$A$2:$A$200, A29, Risques!$E$2:$E$200))</f>
        <v>0</v>
      </c>
      <c r="I29" s="10">
        <f>(E29+G29+H29)*RESERVE_MGMT</f>
        <v>0</v>
      </c>
      <c r="J29" s="10">
        <f>E29+G29+H29+I29</f>
        <v>0</v>
      </c>
      <c r="K29" s="10">
        <f>J29*TVA</f>
        <v>0</v>
      </c>
      <c r="L29" s="10">
        <f>J29+K29</f>
        <v>0</v>
      </c>
      <c r="M29" s="10">
        <f>IFERROR(J29/INDEX(Projet_Portefeuille!$F$2:$F$200, ROW()-2),0)</f>
        <v>0</v>
      </c>
    </row>
    <row r="30" spans="1:13">
      <c r="A30">
        <f>IFERROR(INDEX(Projet_Portefeuille!$A$2:$A$200, ROW()-2),"")</f>
        <v>0</v>
      </c>
      <c r="B30">
        <f>IF(A30&lt;&gt;"", INDEX(Projet_Portefeuille!$B$2:$B$200, ROW()-2), "")</f>
        <v>0</v>
      </c>
      <c r="C30">
        <f>IF(A30&lt;&gt;"", INDEX(Projet_Portefeuille!$C$2:$C$200, ROW()-2), "")</f>
        <v>0</v>
      </c>
      <c r="D30">
        <f>IF(A30&lt;&gt;"", INDEX(Projet_Portefeuille!$D$2:$D$200, ROW()-2), "")</f>
        <v>0</v>
      </c>
      <c r="E30" s="10">
        <f>IF(A30="",0,SUMIF(WBS_Projet!$A$2:$A$301, A30, WBS_Projet!$O$2:$O$301))</f>
        <v>0</v>
      </c>
      <c r="F30" s="6">
        <f>IFERROR(INDEX(Paramètres!$E$5:$E$11, MATCH(C30, Paramètres!$D$5:$D$11, 0)),0)</f>
        <v>0</v>
      </c>
      <c r="G30" s="10">
        <f>E30*F30</f>
        <v>0</v>
      </c>
      <c r="H30" s="10">
        <f>IF(A30="",0,SUMIF(Risques!$A$2:$A$200, A30, Risques!$E$2:$E$200))</f>
        <v>0</v>
      </c>
      <c r="I30" s="10">
        <f>(E30+G30+H30)*RESERVE_MGMT</f>
        <v>0</v>
      </c>
      <c r="J30" s="10">
        <f>E30+G30+H30+I30</f>
        <v>0</v>
      </c>
      <c r="K30" s="10">
        <f>J30*TVA</f>
        <v>0</v>
      </c>
      <c r="L30" s="10">
        <f>J30+K30</f>
        <v>0</v>
      </c>
      <c r="M30" s="10">
        <f>IFERROR(J30/INDEX(Projet_Portefeuille!$F$2:$F$200, ROW()-2),0)</f>
        <v>0</v>
      </c>
    </row>
    <row r="31" spans="1:13">
      <c r="A31">
        <f>IFERROR(INDEX(Projet_Portefeuille!$A$2:$A$200, ROW()-2),"")</f>
        <v>0</v>
      </c>
      <c r="B31">
        <f>IF(A31&lt;&gt;"", INDEX(Projet_Portefeuille!$B$2:$B$200, ROW()-2), "")</f>
        <v>0</v>
      </c>
      <c r="C31">
        <f>IF(A31&lt;&gt;"", INDEX(Projet_Portefeuille!$C$2:$C$200, ROW()-2), "")</f>
        <v>0</v>
      </c>
      <c r="D31">
        <f>IF(A31&lt;&gt;"", INDEX(Projet_Portefeuille!$D$2:$D$200, ROW()-2), "")</f>
        <v>0</v>
      </c>
      <c r="E31" s="10">
        <f>IF(A31="",0,SUMIF(WBS_Projet!$A$2:$A$301, A31, WBS_Projet!$O$2:$O$301))</f>
        <v>0</v>
      </c>
      <c r="F31" s="6">
        <f>IFERROR(INDEX(Paramètres!$E$5:$E$11, MATCH(C31, Paramètres!$D$5:$D$11, 0)),0)</f>
        <v>0</v>
      </c>
      <c r="G31" s="10">
        <f>E31*F31</f>
        <v>0</v>
      </c>
      <c r="H31" s="10">
        <f>IF(A31="",0,SUMIF(Risques!$A$2:$A$200, A31, Risques!$E$2:$E$200))</f>
        <v>0</v>
      </c>
      <c r="I31" s="10">
        <f>(E31+G31+H31)*RESERVE_MGMT</f>
        <v>0</v>
      </c>
      <c r="J31" s="10">
        <f>E31+G31+H31+I31</f>
        <v>0</v>
      </c>
      <c r="K31" s="10">
        <f>J31*TVA</f>
        <v>0</v>
      </c>
      <c r="L31" s="10">
        <f>J31+K31</f>
        <v>0</v>
      </c>
      <c r="M31" s="10">
        <f>IFERROR(J31/INDEX(Projet_Portefeuille!$F$2:$F$200, ROW()-2),0)</f>
        <v>0</v>
      </c>
    </row>
    <row r="32" spans="1:13">
      <c r="A32">
        <f>IFERROR(INDEX(Projet_Portefeuille!$A$2:$A$200, ROW()-2),"")</f>
        <v>0</v>
      </c>
      <c r="B32">
        <f>IF(A32&lt;&gt;"", INDEX(Projet_Portefeuille!$B$2:$B$200, ROW()-2), "")</f>
        <v>0</v>
      </c>
      <c r="C32">
        <f>IF(A32&lt;&gt;"", INDEX(Projet_Portefeuille!$C$2:$C$200, ROW()-2), "")</f>
        <v>0</v>
      </c>
      <c r="D32">
        <f>IF(A32&lt;&gt;"", INDEX(Projet_Portefeuille!$D$2:$D$200, ROW()-2), "")</f>
        <v>0</v>
      </c>
      <c r="E32" s="10">
        <f>IF(A32="",0,SUMIF(WBS_Projet!$A$2:$A$301, A32, WBS_Projet!$O$2:$O$301))</f>
        <v>0</v>
      </c>
      <c r="F32" s="6">
        <f>IFERROR(INDEX(Paramètres!$E$5:$E$11, MATCH(C32, Paramètres!$D$5:$D$11, 0)),0)</f>
        <v>0</v>
      </c>
      <c r="G32" s="10">
        <f>E32*F32</f>
        <v>0</v>
      </c>
      <c r="H32" s="10">
        <f>IF(A32="",0,SUMIF(Risques!$A$2:$A$200, A32, Risques!$E$2:$E$200))</f>
        <v>0</v>
      </c>
      <c r="I32" s="10">
        <f>(E32+G32+H32)*RESERVE_MGMT</f>
        <v>0</v>
      </c>
      <c r="J32" s="10">
        <f>E32+G32+H32+I32</f>
        <v>0</v>
      </c>
      <c r="K32" s="10">
        <f>J32*TVA</f>
        <v>0</v>
      </c>
      <c r="L32" s="10">
        <f>J32+K32</f>
        <v>0</v>
      </c>
      <c r="M32" s="10">
        <f>IFERROR(J32/INDEX(Projet_Portefeuille!$F$2:$F$200, ROW()-2),0)</f>
        <v>0</v>
      </c>
    </row>
    <row r="33" spans="1:13">
      <c r="A33">
        <f>IFERROR(INDEX(Projet_Portefeuille!$A$2:$A$200, ROW()-2),"")</f>
        <v>0</v>
      </c>
      <c r="B33">
        <f>IF(A33&lt;&gt;"", INDEX(Projet_Portefeuille!$B$2:$B$200, ROW()-2), "")</f>
        <v>0</v>
      </c>
      <c r="C33">
        <f>IF(A33&lt;&gt;"", INDEX(Projet_Portefeuille!$C$2:$C$200, ROW()-2), "")</f>
        <v>0</v>
      </c>
      <c r="D33">
        <f>IF(A33&lt;&gt;"", INDEX(Projet_Portefeuille!$D$2:$D$200, ROW()-2), "")</f>
        <v>0</v>
      </c>
      <c r="E33" s="10">
        <f>IF(A33="",0,SUMIF(WBS_Projet!$A$2:$A$301, A33, WBS_Projet!$O$2:$O$301))</f>
        <v>0</v>
      </c>
      <c r="F33" s="6">
        <f>IFERROR(INDEX(Paramètres!$E$5:$E$11, MATCH(C33, Paramètres!$D$5:$D$11, 0)),0)</f>
        <v>0</v>
      </c>
      <c r="G33" s="10">
        <f>E33*F33</f>
        <v>0</v>
      </c>
      <c r="H33" s="10">
        <f>IF(A33="",0,SUMIF(Risques!$A$2:$A$200, A33, Risques!$E$2:$E$200))</f>
        <v>0</v>
      </c>
      <c r="I33" s="10">
        <f>(E33+G33+H33)*RESERVE_MGMT</f>
        <v>0</v>
      </c>
      <c r="J33" s="10">
        <f>E33+G33+H33+I33</f>
        <v>0</v>
      </c>
      <c r="K33" s="10">
        <f>J33*TVA</f>
        <v>0</v>
      </c>
      <c r="L33" s="10">
        <f>J33+K33</f>
        <v>0</v>
      </c>
      <c r="M33" s="10">
        <f>IFERROR(J33/INDEX(Projet_Portefeuille!$F$2:$F$200, ROW()-2),0)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4"/>
  <sheetViews>
    <sheetView workbookViewId="0"/>
  </sheetViews>
  <sheetFormatPr defaultRowHeight="15"/>
  <cols>
    <col min="1" max="1" width="12.7109375" customWidth="1"/>
    <col min="2" max="14" width="14.7109375" customWidth="1"/>
  </cols>
  <sheetData>
    <row r="1" spans="1:14">
      <c r="A1" s="7" t="s">
        <v>25</v>
      </c>
      <c r="B1" s="7" t="s">
        <v>98</v>
      </c>
      <c r="C1" s="7" t="s">
        <v>99</v>
      </c>
      <c r="D1" s="7" t="s">
        <v>100</v>
      </c>
      <c r="E1" s="7" t="s">
        <v>101</v>
      </c>
      <c r="F1" s="7" t="s">
        <v>102</v>
      </c>
      <c r="G1" s="7" t="s">
        <v>103</v>
      </c>
      <c r="H1" s="7" t="s">
        <v>104</v>
      </c>
      <c r="I1" s="7" t="s">
        <v>105</v>
      </c>
      <c r="J1" s="7" t="s">
        <v>106</v>
      </c>
      <c r="K1" s="7" t="s">
        <v>107</v>
      </c>
      <c r="L1" s="7" t="s">
        <v>108</v>
      </c>
      <c r="M1" s="7" t="s">
        <v>109</v>
      </c>
      <c r="N1" s="9" t="s">
        <v>110</v>
      </c>
    </row>
    <row r="2" spans="1:14">
      <c r="A2">
        <f>Synthèse!A4</f>
        <v>0</v>
      </c>
      <c r="B2" s="10">
        <f>IF(AND(Synthèse!A4&lt;&gt;"", 1&lt;=INDEX(Projet_Portefeuille!$F$2:$F$200,1)), -IFERROR(Synthèse!J4/INDEX(Projet_Portefeuille!$F$2:$F$200,1),0), 0)</f>
        <v>0</v>
      </c>
      <c r="C2" s="10">
        <f>IF(AND(Synthèse!A4&lt;&gt;"", 2&lt;=INDEX(Projet_Portefeuille!$F$2:$F$200,1)), -IFERROR(Synthèse!J4/INDEX(Projet_Portefeuille!$F$2:$F$200,1),0), 0)</f>
        <v>0</v>
      </c>
      <c r="D2" s="10">
        <f>IF(AND(Synthèse!A4&lt;&gt;"", 3&lt;=INDEX(Projet_Portefeuille!$F$2:$F$200,1)), -IFERROR(Synthèse!J4/INDEX(Projet_Portefeuille!$F$2:$F$200,1),0), 0)</f>
        <v>0</v>
      </c>
      <c r="E2" s="10">
        <f>IF(AND(Synthèse!A4&lt;&gt;"", 4&lt;=INDEX(Projet_Portefeuille!$F$2:$F$200,1)), -IFERROR(Synthèse!J4/INDEX(Projet_Portefeuille!$F$2:$F$200,1),0), 0)</f>
        <v>0</v>
      </c>
      <c r="F2" s="10">
        <f>IF(AND(Synthèse!A4&lt;&gt;"", 5&lt;=INDEX(Projet_Portefeuille!$F$2:$F$200,1)), -IFERROR(Synthèse!J4/INDEX(Projet_Portefeuille!$F$2:$F$200,1),0), 0)</f>
        <v>0</v>
      </c>
      <c r="G2" s="10">
        <f>IF(AND(Synthèse!A4&lt;&gt;"", 6&lt;=INDEX(Projet_Portefeuille!$F$2:$F$200,1)), -IFERROR(Synthèse!J4/INDEX(Projet_Portefeuille!$F$2:$F$200,1),0), 0)</f>
        <v>0</v>
      </c>
      <c r="H2" s="10">
        <f>IF(AND(Synthèse!A4&lt;&gt;"", 7&lt;=INDEX(Projet_Portefeuille!$F$2:$F$200,1)), -IFERROR(Synthèse!J4/INDEX(Projet_Portefeuille!$F$2:$F$200,1),0), 0)</f>
        <v>0</v>
      </c>
      <c r="I2" s="10">
        <f>IF(AND(Synthèse!A4&lt;&gt;"", 8&lt;=INDEX(Projet_Portefeuille!$F$2:$F$200,1)), -IFERROR(Synthèse!J4/INDEX(Projet_Portefeuille!$F$2:$F$200,1),0), 0)</f>
        <v>0</v>
      </c>
      <c r="J2" s="10">
        <f>IF(AND(Synthèse!A4&lt;&gt;"", 9&lt;=INDEX(Projet_Portefeuille!$F$2:$F$200,1)), -IFERROR(Synthèse!J4/INDEX(Projet_Portefeuille!$F$2:$F$200,1),0), 0)</f>
        <v>0</v>
      </c>
      <c r="K2" s="10">
        <f>IF(AND(Synthèse!A4&lt;&gt;"", 10&lt;=INDEX(Projet_Portefeuille!$F$2:$F$200,1)), -IFERROR(Synthèse!J4/INDEX(Projet_Portefeuille!$F$2:$F$200,1),0), 0)</f>
        <v>0</v>
      </c>
      <c r="L2" s="10">
        <f>IF(AND(Synthèse!A4&lt;&gt;"", 11&lt;=INDEX(Projet_Portefeuille!$F$2:$F$200,1)), -IFERROR(Synthèse!J4/INDEX(Projet_Portefeuille!$F$2:$F$200,1),0), 0)</f>
        <v>0</v>
      </c>
      <c r="M2" s="10">
        <f>IF(AND(Synthèse!A4&lt;&gt;"", 12&lt;=INDEX(Projet_Portefeuille!$F$2:$F$200,1)), -IFERROR(Synthèse!J4/INDEX(Projet_Portefeuille!$F$2:$F$200,1),0), 0)</f>
        <v>0</v>
      </c>
      <c r="N2" s="10">
        <f>SUM(B2:M2)</f>
        <v>0</v>
      </c>
    </row>
    <row r="3" spans="1:14">
      <c r="A3">
        <f>Synthèse!A5</f>
        <v>0</v>
      </c>
      <c r="B3" s="10">
        <f>IF(AND(Synthèse!A5&lt;&gt;"", 1&lt;=INDEX(Projet_Portefeuille!$F$2:$F$200,2)), -IFERROR(Synthèse!J5/INDEX(Projet_Portefeuille!$F$2:$F$200,2),0), 0)</f>
        <v>0</v>
      </c>
      <c r="C3" s="10">
        <f>IF(AND(Synthèse!A5&lt;&gt;"", 2&lt;=INDEX(Projet_Portefeuille!$F$2:$F$200,2)), -IFERROR(Synthèse!J5/INDEX(Projet_Portefeuille!$F$2:$F$200,2),0), 0)</f>
        <v>0</v>
      </c>
      <c r="D3" s="10">
        <f>IF(AND(Synthèse!A5&lt;&gt;"", 3&lt;=INDEX(Projet_Portefeuille!$F$2:$F$200,2)), -IFERROR(Synthèse!J5/INDEX(Projet_Portefeuille!$F$2:$F$200,2),0), 0)</f>
        <v>0</v>
      </c>
      <c r="E3" s="10">
        <f>IF(AND(Synthèse!A5&lt;&gt;"", 4&lt;=INDEX(Projet_Portefeuille!$F$2:$F$200,2)), -IFERROR(Synthèse!J5/INDEX(Projet_Portefeuille!$F$2:$F$200,2),0), 0)</f>
        <v>0</v>
      </c>
      <c r="F3" s="10">
        <f>IF(AND(Synthèse!A5&lt;&gt;"", 5&lt;=INDEX(Projet_Portefeuille!$F$2:$F$200,2)), -IFERROR(Synthèse!J5/INDEX(Projet_Portefeuille!$F$2:$F$200,2),0), 0)</f>
        <v>0</v>
      </c>
      <c r="G3" s="10">
        <f>IF(AND(Synthèse!A5&lt;&gt;"", 6&lt;=INDEX(Projet_Portefeuille!$F$2:$F$200,2)), -IFERROR(Synthèse!J5/INDEX(Projet_Portefeuille!$F$2:$F$200,2),0), 0)</f>
        <v>0</v>
      </c>
      <c r="H3" s="10">
        <f>IF(AND(Synthèse!A5&lt;&gt;"", 7&lt;=INDEX(Projet_Portefeuille!$F$2:$F$200,2)), -IFERROR(Synthèse!J5/INDEX(Projet_Portefeuille!$F$2:$F$200,2),0), 0)</f>
        <v>0</v>
      </c>
      <c r="I3" s="10">
        <f>IF(AND(Synthèse!A5&lt;&gt;"", 8&lt;=INDEX(Projet_Portefeuille!$F$2:$F$200,2)), -IFERROR(Synthèse!J5/INDEX(Projet_Portefeuille!$F$2:$F$200,2),0), 0)</f>
        <v>0</v>
      </c>
      <c r="J3" s="10">
        <f>IF(AND(Synthèse!A5&lt;&gt;"", 9&lt;=INDEX(Projet_Portefeuille!$F$2:$F$200,2)), -IFERROR(Synthèse!J5/INDEX(Projet_Portefeuille!$F$2:$F$200,2),0), 0)</f>
        <v>0</v>
      </c>
      <c r="K3" s="10">
        <f>IF(AND(Synthèse!A5&lt;&gt;"", 10&lt;=INDEX(Projet_Portefeuille!$F$2:$F$200,2)), -IFERROR(Synthèse!J5/INDEX(Projet_Portefeuille!$F$2:$F$200,2),0), 0)</f>
        <v>0</v>
      </c>
      <c r="L3" s="10">
        <f>IF(AND(Synthèse!A5&lt;&gt;"", 11&lt;=INDEX(Projet_Portefeuille!$F$2:$F$200,2)), -IFERROR(Synthèse!J5/INDEX(Projet_Portefeuille!$F$2:$F$200,2),0), 0)</f>
        <v>0</v>
      </c>
      <c r="M3" s="10">
        <f>IF(AND(Synthèse!A5&lt;&gt;"", 12&lt;=INDEX(Projet_Portefeuille!$F$2:$F$200,2)), -IFERROR(Synthèse!J5/INDEX(Projet_Portefeuille!$F$2:$F$200,2),0), 0)</f>
        <v>0</v>
      </c>
      <c r="N3" s="10">
        <f>SUM(B3:M3)</f>
        <v>0</v>
      </c>
    </row>
    <row r="4" spans="1:14">
      <c r="A4">
        <f>Synthèse!A6</f>
        <v>0</v>
      </c>
      <c r="B4" s="10">
        <f>IF(AND(Synthèse!A6&lt;&gt;"", 1&lt;=INDEX(Projet_Portefeuille!$F$2:$F$200,3)), -IFERROR(Synthèse!J6/INDEX(Projet_Portefeuille!$F$2:$F$200,3),0), 0)</f>
        <v>0</v>
      </c>
      <c r="C4" s="10">
        <f>IF(AND(Synthèse!A6&lt;&gt;"", 2&lt;=INDEX(Projet_Portefeuille!$F$2:$F$200,3)), -IFERROR(Synthèse!J6/INDEX(Projet_Portefeuille!$F$2:$F$200,3),0), 0)</f>
        <v>0</v>
      </c>
      <c r="D4" s="10">
        <f>IF(AND(Synthèse!A6&lt;&gt;"", 3&lt;=INDEX(Projet_Portefeuille!$F$2:$F$200,3)), -IFERROR(Synthèse!J6/INDEX(Projet_Portefeuille!$F$2:$F$200,3),0), 0)</f>
        <v>0</v>
      </c>
      <c r="E4" s="10">
        <f>IF(AND(Synthèse!A6&lt;&gt;"", 4&lt;=INDEX(Projet_Portefeuille!$F$2:$F$200,3)), -IFERROR(Synthèse!J6/INDEX(Projet_Portefeuille!$F$2:$F$200,3),0), 0)</f>
        <v>0</v>
      </c>
      <c r="F4" s="10">
        <f>IF(AND(Synthèse!A6&lt;&gt;"", 5&lt;=INDEX(Projet_Portefeuille!$F$2:$F$200,3)), -IFERROR(Synthèse!J6/INDEX(Projet_Portefeuille!$F$2:$F$200,3),0), 0)</f>
        <v>0</v>
      </c>
      <c r="G4" s="10">
        <f>IF(AND(Synthèse!A6&lt;&gt;"", 6&lt;=INDEX(Projet_Portefeuille!$F$2:$F$200,3)), -IFERROR(Synthèse!J6/INDEX(Projet_Portefeuille!$F$2:$F$200,3),0), 0)</f>
        <v>0</v>
      </c>
      <c r="H4" s="10">
        <f>IF(AND(Synthèse!A6&lt;&gt;"", 7&lt;=INDEX(Projet_Portefeuille!$F$2:$F$200,3)), -IFERROR(Synthèse!J6/INDEX(Projet_Portefeuille!$F$2:$F$200,3),0), 0)</f>
        <v>0</v>
      </c>
      <c r="I4" s="10">
        <f>IF(AND(Synthèse!A6&lt;&gt;"", 8&lt;=INDEX(Projet_Portefeuille!$F$2:$F$200,3)), -IFERROR(Synthèse!J6/INDEX(Projet_Portefeuille!$F$2:$F$200,3),0), 0)</f>
        <v>0</v>
      </c>
      <c r="J4" s="10">
        <f>IF(AND(Synthèse!A6&lt;&gt;"", 9&lt;=INDEX(Projet_Portefeuille!$F$2:$F$200,3)), -IFERROR(Synthèse!J6/INDEX(Projet_Portefeuille!$F$2:$F$200,3),0), 0)</f>
        <v>0</v>
      </c>
      <c r="K4" s="10">
        <f>IF(AND(Synthèse!A6&lt;&gt;"", 10&lt;=INDEX(Projet_Portefeuille!$F$2:$F$200,3)), -IFERROR(Synthèse!J6/INDEX(Projet_Portefeuille!$F$2:$F$200,3),0), 0)</f>
        <v>0</v>
      </c>
      <c r="L4" s="10">
        <f>IF(AND(Synthèse!A6&lt;&gt;"", 11&lt;=INDEX(Projet_Portefeuille!$F$2:$F$200,3)), -IFERROR(Synthèse!J6/INDEX(Projet_Portefeuille!$F$2:$F$200,3),0), 0)</f>
        <v>0</v>
      </c>
      <c r="M4" s="10">
        <f>IF(AND(Synthèse!A6&lt;&gt;"", 12&lt;=INDEX(Projet_Portefeuille!$F$2:$F$200,3)), -IFERROR(Synthèse!J6/INDEX(Projet_Portefeuille!$F$2:$F$200,3),0), 0)</f>
        <v>0</v>
      </c>
      <c r="N4" s="10">
        <f>SUM(B4:M4)</f>
        <v>0</v>
      </c>
    </row>
    <row r="5" spans="1:14">
      <c r="A5">
        <f>Synthèse!A7</f>
        <v>0</v>
      </c>
      <c r="B5" s="10">
        <f>IF(AND(Synthèse!A7&lt;&gt;"", 1&lt;=INDEX(Projet_Portefeuille!$F$2:$F$200,4)), -IFERROR(Synthèse!J7/INDEX(Projet_Portefeuille!$F$2:$F$200,4),0), 0)</f>
        <v>0</v>
      </c>
      <c r="C5" s="10">
        <f>IF(AND(Synthèse!A7&lt;&gt;"", 2&lt;=INDEX(Projet_Portefeuille!$F$2:$F$200,4)), -IFERROR(Synthèse!J7/INDEX(Projet_Portefeuille!$F$2:$F$200,4),0), 0)</f>
        <v>0</v>
      </c>
      <c r="D5" s="10">
        <f>IF(AND(Synthèse!A7&lt;&gt;"", 3&lt;=INDEX(Projet_Portefeuille!$F$2:$F$200,4)), -IFERROR(Synthèse!J7/INDEX(Projet_Portefeuille!$F$2:$F$200,4),0), 0)</f>
        <v>0</v>
      </c>
      <c r="E5" s="10">
        <f>IF(AND(Synthèse!A7&lt;&gt;"", 4&lt;=INDEX(Projet_Portefeuille!$F$2:$F$200,4)), -IFERROR(Synthèse!J7/INDEX(Projet_Portefeuille!$F$2:$F$200,4),0), 0)</f>
        <v>0</v>
      </c>
      <c r="F5" s="10">
        <f>IF(AND(Synthèse!A7&lt;&gt;"", 5&lt;=INDEX(Projet_Portefeuille!$F$2:$F$200,4)), -IFERROR(Synthèse!J7/INDEX(Projet_Portefeuille!$F$2:$F$200,4),0), 0)</f>
        <v>0</v>
      </c>
      <c r="G5" s="10">
        <f>IF(AND(Synthèse!A7&lt;&gt;"", 6&lt;=INDEX(Projet_Portefeuille!$F$2:$F$200,4)), -IFERROR(Synthèse!J7/INDEX(Projet_Portefeuille!$F$2:$F$200,4),0), 0)</f>
        <v>0</v>
      </c>
      <c r="H5" s="10">
        <f>IF(AND(Synthèse!A7&lt;&gt;"", 7&lt;=INDEX(Projet_Portefeuille!$F$2:$F$200,4)), -IFERROR(Synthèse!J7/INDEX(Projet_Portefeuille!$F$2:$F$200,4),0), 0)</f>
        <v>0</v>
      </c>
      <c r="I5" s="10">
        <f>IF(AND(Synthèse!A7&lt;&gt;"", 8&lt;=INDEX(Projet_Portefeuille!$F$2:$F$200,4)), -IFERROR(Synthèse!J7/INDEX(Projet_Portefeuille!$F$2:$F$200,4),0), 0)</f>
        <v>0</v>
      </c>
      <c r="J5" s="10">
        <f>IF(AND(Synthèse!A7&lt;&gt;"", 9&lt;=INDEX(Projet_Portefeuille!$F$2:$F$200,4)), -IFERROR(Synthèse!J7/INDEX(Projet_Portefeuille!$F$2:$F$200,4),0), 0)</f>
        <v>0</v>
      </c>
      <c r="K5" s="10">
        <f>IF(AND(Synthèse!A7&lt;&gt;"", 10&lt;=INDEX(Projet_Portefeuille!$F$2:$F$200,4)), -IFERROR(Synthèse!J7/INDEX(Projet_Portefeuille!$F$2:$F$200,4),0), 0)</f>
        <v>0</v>
      </c>
      <c r="L5" s="10">
        <f>IF(AND(Synthèse!A7&lt;&gt;"", 11&lt;=INDEX(Projet_Portefeuille!$F$2:$F$200,4)), -IFERROR(Synthèse!J7/INDEX(Projet_Portefeuille!$F$2:$F$200,4),0), 0)</f>
        <v>0</v>
      </c>
      <c r="M5" s="10">
        <f>IF(AND(Synthèse!A7&lt;&gt;"", 12&lt;=INDEX(Projet_Portefeuille!$F$2:$F$200,4)), -IFERROR(Synthèse!J7/INDEX(Projet_Portefeuille!$F$2:$F$200,4),0), 0)</f>
        <v>0</v>
      </c>
      <c r="N5" s="10">
        <f>SUM(B5:M5)</f>
        <v>0</v>
      </c>
    </row>
    <row r="6" spans="1:14">
      <c r="A6">
        <f>Synthèse!A8</f>
        <v>0</v>
      </c>
      <c r="B6" s="10">
        <f>IF(AND(Synthèse!A8&lt;&gt;"", 1&lt;=INDEX(Projet_Portefeuille!$F$2:$F$200,5)), -IFERROR(Synthèse!J8/INDEX(Projet_Portefeuille!$F$2:$F$200,5),0), 0)</f>
        <v>0</v>
      </c>
      <c r="C6" s="10">
        <f>IF(AND(Synthèse!A8&lt;&gt;"", 2&lt;=INDEX(Projet_Portefeuille!$F$2:$F$200,5)), -IFERROR(Synthèse!J8/INDEX(Projet_Portefeuille!$F$2:$F$200,5),0), 0)</f>
        <v>0</v>
      </c>
      <c r="D6" s="10">
        <f>IF(AND(Synthèse!A8&lt;&gt;"", 3&lt;=INDEX(Projet_Portefeuille!$F$2:$F$200,5)), -IFERROR(Synthèse!J8/INDEX(Projet_Portefeuille!$F$2:$F$200,5),0), 0)</f>
        <v>0</v>
      </c>
      <c r="E6" s="10">
        <f>IF(AND(Synthèse!A8&lt;&gt;"", 4&lt;=INDEX(Projet_Portefeuille!$F$2:$F$200,5)), -IFERROR(Synthèse!J8/INDEX(Projet_Portefeuille!$F$2:$F$200,5),0), 0)</f>
        <v>0</v>
      </c>
      <c r="F6" s="10">
        <f>IF(AND(Synthèse!A8&lt;&gt;"", 5&lt;=INDEX(Projet_Portefeuille!$F$2:$F$200,5)), -IFERROR(Synthèse!J8/INDEX(Projet_Portefeuille!$F$2:$F$200,5),0), 0)</f>
        <v>0</v>
      </c>
      <c r="G6" s="10">
        <f>IF(AND(Synthèse!A8&lt;&gt;"", 6&lt;=INDEX(Projet_Portefeuille!$F$2:$F$200,5)), -IFERROR(Synthèse!J8/INDEX(Projet_Portefeuille!$F$2:$F$200,5),0), 0)</f>
        <v>0</v>
      </c>
      <c r="H6" s="10">
        <f>IF(AND(Synthèse!A8&lt;&gt;"", 7&lt;=INDEX(Projet_Portefeuille!$F$2:$F$200,5)), -IFERROR(Synthèse!J8/INDEX(Projet_Portefeuille!$F$2:$F$200,5),0), 0)</f>
        <v>0</v>
      </c>
      <c r="I6" s="10">
        <f>IF(AND(Synthèse!A8&lt;&gt;"", 8&lt;=INDEX(Projet_Portefeuille!$F$2:$F$200,5)), -IFERROR(Synthèse!J8/INDEX(Projet_Portefeuille!$F$2:$F$200,5),0), 0)</f>
        <v>0</v>
      </c>
      <c r="J6" s="10">
        <f>IF(AND(Synthèse!A8&lt;&gt;"", 9&lt;=INDEX(Projet_Portefeuille!$F$2:$F$200,5)), -IFERROR(Synthèse!J8/INDEX(Projet_Portefeuille!$F$2:$F$200,5),0), 0)</f>
        <v>0</v>
      </c>
      <c r="K6" s="10">
        <f>IF(AND(Synthèse!A8&lt;&gt;"", 10&lt;=INDEX(Projet_Portefeuille!$F$2:$F$200,5)), -IFERROR(Synthèse!J8/INDEX(Projet_Portefeuille!$F$2:$F$200,5),0), 0)</f>
        <v>0</v>
      </c>
      <c r="L6" s="10">
        <f>IF(AND(Synthèse!A8&lt;&gt;"", 11&lt;=INDEX(Projet_Portefeuille!$F$2:$F$200,5)), -IFERROR(Synthèse!J8/INDEX(Projet_Portefeuille!$F$2:$F$200,5),0), 0)</f>
        <v>0</v>
      </c>
      <c r="M6" s="10">
        <f>IF(AND(Synthèse!A8&lt;&gt;"", 12&lt;=INDEX(Projet_Portefeuille!$F$2:$F$200,5)), -IFERROR(Synthèse!J8/INDEX(Projet_Portefeuille!$F$2:$F$200,5),0), 0)</f>
        <v>0</v>
      </c>
      <c r="N6" s="10">
        <f>SUM(B6:M6)</f>
        <v>0</v>
      </c>
    </row>
    <row r="7" spans="1:14">
      <c r="A7">
        <f>Synthèse!A9</f>
        <v>0</v>
      </c>
      <c r="B7" s="10">
        <f>IF(AND(Synthèse!A9&lt;&gt;"", 1&lt;=INDEX(Projet_Portefeuille!$F$2:$F$200,6)), -IFERROR(Synthèse!J9/INDEX(Projet_Portefeuille!$F$2:$F$200,6),0), 0)</f>
        <v>0</v>
      </c>
      <c r="C7" s="10">
        <f>IF(AND(Synthèse!A9&lt;&gt;"", 2&lt;=INDEX(Projet_Portefeuille!$F$2:$F$200,6)), -IFERROR(Synthèse!J9/INDEX(Projet_Portefeuille!$F$2:$F$200,6),0), 0)</f>
        <v>0</v>
      </c>
      <c r="D7" s="10">
        <f>IF(AND(Synthèse!A9&lt;&gt;"", 3&lt;=INDEX(Projet_Portefeuille!$F$2:$F$200,6)), -IFERROR(Synthèse!J9/INDEX(Projet_Portefeuille!$F$2:$F$200,6),0), 0)</f>
        <v>0</v>
      </c>
      <c r="E7" s="10">
        <f>IF(AND(Synthèse!A9&lt;&gt;"", 4&lt;=INDEX(Projet_Portefeuille!$F$2:$F$200,6)), -IFERROR(Synthèse!J9/INDEX(Projet_Portefeuille!$F$2:$F$200,6),0), 0)</f>
        <v>0</v>
      </c>
      <c r="F7" s="10">
        <f>IF(AND(Synthèse!A9&lt;&gt;"", 5&lt;=INDEX(Projet_Portefeuille!$F$2:$F$200,6)), -IFERROR(Synthèse!J9/INDEX(Projet_Portefeuille!$F$2:$F$200,6),0), 0)</f>
        <v>0</v>
      </c>
      <c r="G7" s="10">
        <f>IF(AND(Synthèse!A9&lt;&gt;"", 6&lt;=INDEX(Projet_Portefeuille!$F$2:$F$200,6)), -IFERROR(Synthèse!J9/INDEX(Projet_Portefeuille!$F$2:$F$200,6),0), 0)</f>
        <v>0</v>
      </c>
      <c r="H7" s="10">
        <f>IF(AND(Synthèse!A9&lt;&gt;"", 7&lt;=INDEX(Projet_Portefeuille!$F$2:$F$200,6)), -IFERROR(Synthèse!J9/INDEX(Projet_Portefeuille!$F$2:$F$200,6),0), 0)</f>
        <v>0</v>
      </c>
      <c r="I7" s="10">
        <f>IF(AND(Synthèse!A9&lt;&gt;"", 8&lt;=INDEX(Projet_Portefeuille!$F$2:$F$200,6)), -IFERROR(Synthèse!J9/INDEX(Projet_Portefeuille!$F$2:$F$200,6),0), 0)</f>
        <v>0</v>
      </c>
      <c r="J7" s="10">
        <f>IF(AND(Synthèse!A9&lt;&gt;"", 9&lt;=INDEX(Projet_Portefeuille!$F$2:$F$200,6)), -IFERROR(Synthèse!J9/INDEX(Projet_Portefeuille!$F$2:$F$200,6),0), 0)</f>
        <v>0</v>
      </c>
      <c r="K7" s="10">
        <f>IF(AND(Synthèse!A9&lt;&gt;"", 10&lt;=INDEX(Projet_Portefeuille!$F$2:$F$200,6)), -IFERROR(Synthèse!J9/INDEX(Projet_Portefeuille!$F$2:$F$200,6),0), 0)</f>
        <v>0</v>
      </c>
      <c r="L7" s="10">
        <f>IF(AND(Synthèse!A9&lt;&gt;"", 11&lt;=INDEX(Projet_Portefeuille!$F$2:$F$200,6)), -IFERROR(Synthèse!J9/INDEX(Projet_Portefeuille!$F$2:$F$200,6),0), 0)</f>
        <v>0</v>
      </c>
      <c r="M7" s="10">
        <f>IF(AND(Synthèse!A9&lt;&gt;"", 12&lt;=INDEX(Projet_Portefeuille!$F$2:$F$200,6)), -IFERROR(Synthèse!J9/INDEX(Projet_Portefeuille!$F$2:$F$200,6),0), 0)</f>
        <v>0</v>
      </c>
      <c r="N7" s="10">
        <f>SUM(B7:M7)</f>
        <v>0</v>
      </c>
    </row>
    <row r="8" spans="1:14">
      <c r="A8">
        <f>Synthèse!A10</f>
        <v>0</v>
      </c>
      <c r="B8" s="10">
        <f>IF(AND(Synthèse!A10&lt;&gt;"", 1&lt;=INDEX(Projet_Portefeuille!$F$2:$F$200,7)), -IFERROR(Synthèse!J10/INDEX(Projet_Portefeuille!$F$2:$F$200,7),0), 0)</f>
        <v>0</v>
      </c>
      <c r="C8" s="10">
        <f>IF(AND(Synthèse!A10&lt;&gt;"", 2&lt;=INDEX(Projet_Portefeuille!$F$2:$F$200,7)), -IFERROR(Synthèse!J10/INDEX(Projet_Portefeuille!$F$2:$F$200,7),0), 0)</f>
        <v>0</v>
      </c>
      <c r="D8" s="10">
        <f>IF(AND(Synthèse!A10&lt;&gt;"", 3&lt;=INDEX(Projet_Portefeuille!$F$2:$F$200,7)), -IFERROR(Synthèse!J10/INDEX(Projet_Portefeuille!$F$2:$F$200,7),0), 0)</f>
        <v>0</v>
      </c>
      <c r="E8" s="10">
        <f>IF(AND(Synthèse!A10&lt;&gt;"", 4&lt;=INDEX(Projet_Portefeuille!$F$2:$F$200,7)), -IFERROR(Synthèse!J10/INDEX(Projet_Portefeuille!$F$2:$F$200,7),0), 0)</f>
        <v>0</v>
      </c>
      <c r="F8" s="10">
        <f>IF(AND(Synthèse!A10&lt;&gt;"", 5&lt;=INDEX(Projet_Portefeuille!$F$2:$F$200,7)), -IFERROR(Synthèse!J10/INDEX(Projet_Portefeuille!$F$2:$F$200,7),0), 0)</f>
        <v>0</v>
      </c>
      <c r="G8" s="10">
        <f>IF(AND(Synthèse!A10&lt;&gt;"", 6&lt;=INDEX(Projet_Portefeuille!$F$2:$F$200,7)), -IFERROR(Synthèse!J10/INDEX(Projet_Portefeuille!$F$2:$F$200,7),0), 0)</f>
        <v>0</v>
      </c>
      <c r="H8" s="10">
        <f>IF(AND(Synthèse!A10&lt;&gt;"", 7&lt;=INDEX(Projet_Portefeuille!$F$2:$F$200,7)), -IFERROR(Synthèse!J10/INDEX(Projet_Portefeuille!$F$2:$F$200,7),0), 0)</f>
        <v>0</v>
      </c>
      <c r="I8" s="10">
        <f>IF(AND(Synthèse!A10&lt;&gt;"", 8&lt;=INDEX(Projet_Portefeuille!$F$2:$F$200,7)), -IFERROR(Synthèse!J10/INDEX(Projet_Portefeuille!$F$2:$F$200,7),0), 0)</f>
        <v>0</v>
      </c>
      <c r="J8" s="10">
        <f>IF(AND(Synthèse!A10&lt;&gt;"", 9&lt;=INDEX(Projet_Portefeuille!$F$2:$F$200,7)), -IFERROR(Synthèse!J10/INDEX(Projet_Portefeuille!$F$2:$F$200,7),0), 0)</f>
        <v>0</v>
      </c>
      <c r="K8" s="10">
        <f>IF(AND(Synthèse!A10&lt;&gt;"", 10&lt;=INDEX(Projet_Portefeuille!$F$2:$F$200,7)), -IFERROR(Synthèse!J10/INDEX(Projet_Portefeuille!$F$2:$F$200,7),0), 0)</f>
        <v>0</v>
      </c>
      <c r="L8" s="10">
        <f>IF(AND(Synthèse!A10&lt;&gt;"", 11&lt;=INDEX(Projet_Portefeuille!$F$2:$F$200,7)), -IFERROR(Synthèse!J10/INDEX(Projet_Portefeuille!$F$2:$F$200,7),0), 0)</f>
        <v>0</v>
      </c>
      <c r="M8" s="10">
        <f>IF(AND(Synthèse!A10&lt;&gt;"", 12&lt;=INDEX(Projet_Portefeuille!$F$2:$F$200,7)), -IFERROR(Synthèse!J10/INDEX(Projet_Portefeuille!$F$2:$F$200,7),0), 0)</f>
        <v>0</v>
      </c>
      <c r="N8" s="10">
        <f>SUM(B8:M8)</f>
        <v>0</v>
      </c>
    </row>
    <row r="9" spans="1:14">
      <c r="A9">
        <f>Synthèse!A11</f>
        <v>0</v>
      </c>
      <c r="B9" s="10">
        <f>IF(AND(Synthèse!A11&lt;&gt;"", 1&lt;=INDEX(Projet_Portefeuille!$F$2:$F$200,8)), -IFERROR(Synthèse!J11/INDEX(Projet_Portefeuille!$F$2:$F$200,8),0), 0)</f>
        <v>0</v>
      </c>
      <c r="C9" s="10">
        <f>IF(AND(Synthèse!A11&lt;&gt;"", 2&lt;=INDEX(Projet_Portefeuille!$F$2:$F$200,8)), -IFERROR(Synthèse!J11/INDEX(Projet_Portefeuille!$F$2:$F$200,8),0), 0)</f>
        <v>0</v>
      </c>
      <c r="D9" s="10">
        <f>IF(AND(Synthèse!A11&lt;&gt;"", 3&lt;=INDEX(Projet_Portefeuille!$F$2:$F$200,8)), -IFERROR(Synthèse!J11/INDEX(Projet_Portefeuille!$F$2:$F$200,8),0), 0)</f>
        <v>0</v>
      </c>
      <c r="E9" s="10">
        <f>IF(AND(Synthèse!A11&lt;&gt;"", 4&lt;=INDEX(Projet_Portefeuille!$F$2:$F$200,8)), -IFERROR(Synthèse!J11/INDEX(Projet_Portefeuille!$F$2:$F$200,8),0), 0)</f>
        <v>0</v>
      </c>
      <c r="F9" s="10">
        <f>IF(AND(Synthèse!A11&lt;&gt;"", 5&lt;=INDEX(Projet_Portefeuille!$F$2:$F$200,8)), -IFERROR(Synthèse!J11/INDEX(Projet_Portefeuille!$F$2:$F$200,8),0), 0)</f>
        <v>0</v>
      </c>
      <c r="G9" s="10">
        <f>IF(AND(Synthèse!A11&lt;&gt;"", 6&lt;=INDEX(Projet_Portefeuille!$F$2:$F$200,8)), -IFERROR(Synthèse!J11/INDEX(Projet_Portefeuille!$F$2:$F$200,8),0), 0)</f>
        <v>0</v>
      </c>
      <c r="H9" s="10">
        <f>IF(AND(Synthèse!A11&lt;&gt;"", 7&lt;=INDEX(Projet_Portefeuille!$F$2:$F$200,8)), -IFERROR(Synthèse!J11/INDEX(Projet_Portefeuille!$F$2:$F$200,8),0), 0)</f>
        <v>0</v>
      </c>
      <c r="I9" s="10">
        <f>IF(AND(Synthèse!A11&lt;&gt;"", 8&lt;=INDEX(Projet_Portefeuille!$F$2:$F$200,8)), -IFERROR(Synthèse!J11/INDEX(Projet_Portefeuille!$F$2:$F$200,8),0), 0)</f>
        <v>0</v>
      </c>
      <c r="J9" s="10">
        <f>IF(AND(Synthèse!A11&lt;&gt;"", 9&lt;=INDEX(Projet_Portefeuille!$F$2:$F$200,8)), -IFERROR(Synthèse!J11/INDEX(Projet_Portefeuille!$F$2:$F$200,8),0), 0)</f>
        <v>0</v>
      </c>
      <c r="K9" s="10">
        <f>IF(AND(Synthèse!A11&lt;&gt;"", 10&lt;=INDEX(Projet_Portefeuille!$F$2:$F$200,8)), -IFERROR(Synthèse!J11/INDEX(Projet_Portefeuille!$F$2:$F$200,8),0), 0)</f>
        <v>0</v>
      </c>
      <c r="L9" s="10">
        <f>IF(AND(Synthèse!A11&lt;&gt;"", 11&lt;=INDEX(Projet_Portefeuille!$F$2:$F$200,8)), -IFERROR(Synthèse!J11/INDEX(Projet_Portefeuille!$F$2:$F$200,8),0), 0)</f>
        <v>0</v>
      </c>
      <c r="M9" s="10">
        <f>IF(AND(Synthèse!A11&lt;&gt;"", 12&lt;=INDEX(Projet_Portefeuille!$F$2:$F$200,8)), -IFERROR(Synthèse!J11/INDEX(Projet_Portefeuille!$F$2:$F$200,8),0), 0)</f>
        <v>0</v>
      </c>
      <c r="N9" s="10">
        <f>SUM(B9:M9)</f>
        <v>0</v>
      </c>
    </row>
    <row r="10" spans="1:14">
      <c r="A10">
        <f>Synthèse!A12</f>
        <v>0</v>
      </c>
      <c r="B10" s="10">
        <f>IF(AND(Synthèse!A12&lt;&gt;"", 1&lt;=INDEX(Projet_Portefeuille!$F$2:$F$200,9)), -IFERROR(Synthèse!J12/INDEX(Projet_Portefeuille!$F$2:$F$200,9),0), 0)</f>
        <v>0</v>
      </c>
      <c r="C10" s="10">
        <f>IF(AND(Synthèse!A12&lt;&gt;"", 2&lt;=INDEX(Projet_Portefeuille!$F$2:$F$200,9)), -IFERROR(Synthèse!J12/INDEX(Projet_Portefeuille!$F$2:$F$200,9),0), 0)</f>
        <v>0</v>
      </c>
      <c r="D10" s="10">
        <f>IF(AND(Synthèse!A12&lt;&gt;"", 3&lt;=INDEX(Projet_Portefeuille!$F$2:$F$200,9)), -IFERROR(Synthèse!J12/INDEX(Projet_Portefeuille!$F$2:$F$200,9),0), 0)</f>
        <v>0</v>
      </c>
      <c r="E10" s="10">
        <f>IF(AND(Synthèse!A12&lt;&gt;"", 4&lt;=INDEX(Projet_Portefeuille!$F$2:$F$200,9)), -IFERROR(Synthèse!J12/INDEX(Projet_Portefeuille!$F$2:$F$200,9),0), 0)</f>
        <v>0</v>
      </c>
      <c r="F10" s="10">
        <f>IF(AND(Synthèse!A12&lt;&gt;"", 5&lt;=INDEX(Projet_Portefeuille!$F$2:$F$200,9)), -IFERROR(Synthèse!J12/INDEX(Projet_Portefeuille!$F$2:$F$200,9),0), 0)</f>
        <v>0</v>
      </c>
      <c r="G10" s="10">
        <f>IF(AND(Synthèse!A12&lt;&gt;"", 6&lt;=INDEX(Projet_Portefeuille!$F$2:$F$200,9)), -IFERROR(Synthèse!J12/INDEX(Projet_Portefeuille!$F$2:$F$200,9),0), 0)</f>
        <v>0</v>
      </c>
      <c r="H10" s="10">
        <f>IF(AND(Synthèse!A12&lt;&gt;"", 7&lt;=INDEX(Projet_Portefeuille!$F$2:$F$200,9)), -IFERROR(Synthèse!J12/INDEX(Projet_Portefeuille!$F$2:$F$200,9),0), 0)</f>
        <v>0</v>
      </c>
      <c r="I10" s="10">
        <f>IF(AND(Synthèse!A12&lt;&gt;"", 8&lt;=INDEX(Projet_Portefeuille!$F$2:$F$200,9)), -IFERROR(Synthèse!J12/INDEX(Projet_Portefeuille!$F$2:$F$200,9),0), 0)</f>
        <v>0</v>
      </c>
      <c r="J10" s="10">
        <f>IF(AND(Synthèse!A12&lt;&gt;"", 9&lt;=INDEX(Projet_Portefeuille!$F$2:$F$200,9)), -IFERROR(Synthèse!J12/INDEX(Projet_Portefeuille!$F$2:$F$200,9),0), 0)</f>
        <v>0</v>
      </c>
      <c r="K10" s="10">
        <f>IF(AND(Synthèse!A12&lt;&gt;"", 10&lt;=INDEX(Projet_Portefeuille!$F$2:$F$200,9)), -IFERROR(Synthèse!J12/INDEX(Projet_Portefeuille!$F$2:$F$200,9),0), 0)</f>
        <v>0</v>
      </c>
      <c r="L10" s="10">
        <f>IF(AND(Synthèse!A12&lt;&gt;"", 11&lt;=INDEX(Projet_Portefeuille!$F$2:$F$200,9)), -IFERROR(Synthèse!J12/INDEX(Projet_Portefeuille!$F$2:$F$200,9),0), 0)</f>
        <v>0</v>
      </c>
      <c r="M10" s="10">
        <f>IF(AND(Synthèse!A12&lt;&gt;"", 12&lt;=INDEX(Projet_Portefeuille!$F$2:$F$200,9)), -IFERROR(Synthèse!J12/INDEX(Projet_Portefeuille!$F$2:$F$200,9),0), 0)</f>
        <v>0</v>
      </c>
      <c r="N10" s="10">
        <f>SUM(B10:M10)</f>
        <v>0</v>
      </c>
    </row>
    <row r="11" spans="1:14">
      <c r="A11">
        <f>Synthèse!A13</f>
        <v>0</v>
      </c>
      <c r="B11" s="10">
        <f>IF(AND(Synthèse!A13&lt;&gt;"", 1&lt;=INDEX(Projet_Portefeuille!$F$2:$F$200,10)), -IFERROR(Synthèse!J13/INDEX(Projet_Portefeuille!$F$2:$F$200,10),0), 0)</f>
        <v>0</v>
      </c>
      <c r="C11" s="10">
        <f>IF(AND(Synthèse!A13&lt;&gt;"", 2&lt;=INDEX(Projet_Portefeuille!$F$2:$F$200,10)), -IFERROR(Synthèse!J13/INDEX(Projet_Portefeuille!$F$2:$F$200,10),0), 0)</f>
        <v>0</v>
      </c>
      <c r="D11" s="10">
        <f>IF(AND(Synthèse!A13&lt;&gt;"", 3&lt;=INDEX(Projet_Portefeuille!$F$2:$F$200,10)), -IFERROR(Synthèse!J13/INDEX(Projet_Portefeuille!$F$2:$F$200,10),0), 0)</f>
        <v>0</v>
      </c>
      <c r="E11" s="10">
        <f>IF(AND(Synthèse!A13&lt;&gt;"", 4&lt;=INDEX(Projet_Portefeuille!$F$2:$F$200,10)), -IFERROR(Synthèse!J13/INDEX(Projet_Portefeuille!$F$2:$F$200,10),0), 0)</f>
        <v>0</v>
      </c>
      <c r="F11" s="10">
        <f>IF(AND(Synthèse!A13&lt;&gt;"", 5&lt;=INDEX(Projet_Portefeuille!$F$2:$F$200,10)), -IFERROR(Synthèse!J13/INDEX(Projet_Portefeuille!$F$2:$F$200,10),0), 0)</f>
        <v>0</v>
      </c>
      <c r="G11" s="10">
        <f>IF(AND(Synthèse!A13&lt;&gt;"", 6&lt;=INDEX(Projet_Portefeuille!$F$2:$F$200,10)), -IFERROR(Synthèse!J13/INDEX(Projet_Portefeuille!$F$2:$F$200,10),0), 0)</f>
        <v>0</v>
      </c>
      <c r="H11" s="10">
        <f>IF(AND(Synthèse!A13&lt;&gt;"", 7&lt;=INDEX(Projet_Portefeuille!$F$2:$F$200,10)), -IFERROR(Synthèse!J13/INDEX(Projet_Portefeuille!$F$2:$F$200,10),0), 0)</f>
        <v>0</v>
      </c>
      <c r="I11" s="10">
        <f>IF(AND(Synthèse!A13&lt;&gt;"", 8&lt;=INDEX(Projet_Portefeuille!$F$2:$F$200,10)), -IFERROR(Synthèse!J13/INDEX(Projet_Portefeuille!$F$2:$F$200,10),0), 0)</f>
        <v>0</v>
      </c>
      <c r="J11" s="10">
        <f>IF(AND(Synthèse!A13&lt;&gt;"", 9&lt;=INDEX(Projet_Portefeuille!$F$2:$F$200,10)), -IFERROR(Synthèse!J13/INDEX(Projet_Portefeuille!$F$2:$F$200,10),0), 0)</f>
        <v>0</v>
      </c>
      <c r="K11" s="10">
        <f>IF(AND(Synthèse!A13&lt;&gt;"", 10&lt;=INDEX(Projet_Portefeuille!$F$2:$F$200,10)), -IFERROR(Synthèse!J13/INDEX(Projet_Portefeuille!$F$2:$F$200,10),0), 0)</f>
        <v>0</v>
      </c>
      <c r="L11" s="10">
        <f>IF(AND(Synthèse!A13&lt;&gt;"", 11&lt;=INDEX(Projet_Portefeuille!$F$2:$F$200,10)), -IFERROR(Synthèse!J13/INDEX(Projet_Portefeuille!$F$2:$F$200,10),0), 0)</f>
        <v>0</v>
      </c>
      <c r="M11" s="10">
        <f>IF(AND(Synthèse!A13&lt;&gt;"", 12&lt;=INDEX(Projet_Portefeuille!$F$2:$F$200,10)), -IFERROR(Synthèse!J13/INDEX(Projet_Portefeuille!$F$2:$F$200,10),0), 0)</f>
        <v>0</v>
      </c>
      <c r="N11" s="10">
        <f>SUM(B11:M11)</f>
        <v>0</v>
      </c>
    </row>
    <row r="12" spans="1:14">
      <c r="A12">
        <f>Synthèse!A14</f>
        <v>0</v>
      </c>
      <c r="B12" s="10">
        <f>IF(AND(Synthèse!A14&lt;&gt;"", 1&lt;=INDEX(Projet_Portefeuille!$F$2:$F$200,11)), -IFERROR(Synthèse!J14/INDEX(Projet_Portefeuille!$F$2:$F$200,11),0), 0)</f>
        <v>0</v>
      </c>
      <c r="C12" s="10">
        <f>IF(AND(Synthèse!A14&lt;&gt;"", 2&lt;=INDEX(Projet_Portefeuille!$F$2:$F$200,11)), -IFERROR(Synthèse!J14/INDEX(Projet_Portefeuille!$F$2:$F$200,11),0), 0)</f>
        <v>0</v>
      </c>
      <c r="D12" s="10">
        <f>IF(AND(Synthèse!A14&lt;&gt;"", 3&lt;=INDEX(Projet_Portefeuille!$F$2:$F$200,11)), -IFERROR(Synthèse!J14/INDEX(Projet_Portefeuille!$F$2:$F$200,11),0), 0)</f>
        <v>0</v>
      </c>
      <c r="E12" s="10">
        <f>IF(AND(Synthèse!A14&lt;&gt;"", 4&lt;=INDEX(Projet_Portefeuille!$F$2:$F$200,11)), -IFERROR(Synthèse!J14/INDEX(Projet_Portefeuille!$F$2:$F$200,11),0), 0)</f>
        <v>0</v>
      </c>
      <c r="F12" s="10">
        <f>IF(AND(Synthèse!A14&lt;&gt;"", 5&lt;=INDEX(Projet_Portefeuille!$F$2:$F$200,11)), -IFERROR(Synthèse!J14/INDEX(Projet_Portefeuille!$F$2:$F$200,11),0), 0)</f>
        <v>0</v>
      </c>
      <c r="G12" s="10">
        <f>IF(AND(Synthèse!A14&lt;&gt;"", 6&lt;=INDEX(Projet_Portefeuille!$F$2:$F$200,11)), -IFERROR(Synthèse!J14/INDEX(Projet_Portefeuille!$F$2:$F$200,11),0), 0)</f>
        <v>0</v>
      </c>
      <c r="H12" s="10">
        <f>IF(AND(Synthèse!A14&lt;&gt;"", 7&lt;=INDEX(Projet_Portefeuille!$F$2:$F$200,11)), -IFERROR(Synthèse!J14/INDEX(Projet_Portefeuille!$F$2:$F$200,11),0), 0)</f>
        <v>0</v>
      </c>
      <c r="I12" s="10">
        <f>IF(AND(Synthèse!A14&lt;&gt;"", 8&lt;=INDEX(Projet_Portefeuille!$F$2:$F$200,11)), -IFERROR(Synthèse!J14/INDEX(Projet_Portefeuille!$F$2:$F$200,11),0), 0)</f>
        <v>0</v>
      </c>
      <c r="J12" s="10">
        <f>IF(AND(Synthèse!A14&lt;&gt;"", 9&lt;=INDEX(Projet_Portefeuille!$F$2:$F$200,11)), -IFERROR(Synthèse!J14/INDEX(Projet_Portefeuille!$F$2:$F$200,11),0), 0)</f>
        <v>0</v>
      </c>
      <c r="K12" s="10">
        <f>IF(AND(Synthèse!A14&lt;&gt;"", 10&lt;=INDEX(Projet_Portefeuille!$F$2:$F$200,11)), -IFERROR(Synthèse!J14/INDEX(Projet_Portefeuille!$F$2:$F$200,11),0), 0)</f>
        <v>0</v>
      </c>
      <c r="L12" s="10">
        <f>IF(AND(Synthèse!A14&lt;&gt;"", 11&lt;=INDEX(Projet_Portefeuille!$F$2:$F$200,11)), -IFERROR(Synthèse!J14/INDEX(Projet_Portefeuille!$F$2:$F$200,11),0), 0)</f>
        <v>0</v>
      </c>
      <c r="M12" s="10">
        <f>IF(AND(Synthèse!A14&lt;&gt;"", 12&lt;=INDEX(Projet_Portefeuille!$F$2:$F$200,11)), -IFERROR(Synthèse!J14/INDEX(Projet_Portefeuille!$F$2:$F$200,11),0), 0)</f>
        <v>0</v>
      </c>
      <c r="N12" s="10">
        <f>SUM(B12:M12)</f>
        <v>0</v>
      </c>
    </row>
    <row r="13" spans="1:14">
      <c r="A13">
        <f>Synthèse!A15</f>
        <v>0</v>
      </c>
      <c r="B13" s="10">
        <f>IF(AND(Synthèse!A15&lt;&gt;"", 1&lt;=INDEX(Projet_Portefeuille!$F$2:$F$200,12)), -IFERROR(Synthèse!J15/INDEX(Projet_Portefeuille!$F$2:$F$200,12),0), 0)</f>
        <v>0</v>
      </c>
      <c r="C13" s="10">
        <f>IF(AND(Synthèse!A15&lt;&gt;"", 2&lt;=INDEX(Projet_Portefeuille!$F$2:$F$200,12)), -IFERROR(Synthèse!J15/INDEX(Projet_Portefeuille!$F$2:$F$200,12),0), 0)</f>
        <v>0</v>
      </c>
      <c r="D13" s="10">
        <f>IF(AND(Synthèse!A15&lt;&gt;"", 3&lt;=INDEX(Projet_Portefeuille!$F$2:$F$200,12)), -IFERROR(Synthèse!J15/INDEX(Projet_Portefeuille!$F$2:$F$200,12),0), 0)</f>
        <v>0</v>
      </c>
      <c r="E13" s="10">
        <f>IF(AND(Synthèse!A15&lt;&gt;"", 4&lt;=INDEX(Projet_Portefeuille!$F$2:$F$200,12)), -IFERROR(Synthèse!J15/INDEX(Projet_Portefeuille!$F$2:$F$200,12),0), 0)</f>
        <v>0</v>
      </c>
      <c r="F13" s="10">
        <f>IF(AND(Synthèse!A15&lt;&gt;"", 5&lt;=INDEX(Projet_Portefeuille!$F$2:$F$200,12)), -IFERROR(Synthèse!J15/INDEX(Projet_Portefeuille!$F$2:$F$200,12),0), 0)</f>
        <v>0</v>
      </c>
      <c r="G13" s="10">
        <f>IF(AND(Synthèse!A15&lt;&gt;"", 6&lt;=INDEX(Projet_Portefeuille!$F$2:$F$200,12)), -IFERROR(Synthèse!J15/INDEX(Projet_Portefeuille!$F$2:$F$200,12),0), 0)</f>
        <v>0</v>
      </c>
      <c r="H13" s="10">
        <f>IF(AND(Synthèse!A15&lt;&gt;"", 7&lt;=INDEX(Projet_Portefeuille!$F$2:$F$200,12)), -IFERROR(Synthèse!J15/INDEX(Projet_Portefeuille!$F$2:$F$200,12),0), 0)</f>
        <v>0</v>
      </c>
      <c r="I13" s="10">
        <f>IF(AND(Synthèse!A15&lt;&gt;"", 8&lt;=INDEX(Projet_Portefeuille!$F$2:$F$200,12)), -IFERROR(Synthèse!J15/INDEX(Projet_Portefeuille!$F$2:$F$200,12),0), 0)</f>
        <v>0</v>
      </c>
      <c r="J13" s="10">
        <f>IF(AND(Synthèse!A15&lt;&gt;"", 9&lt;=INDEX(Projet_Portefeuille!$F$2:$F$200,12)), -IFERROR(Synthèse!J15/INDEX(Projet_Portefeuille!$F$2:$F$200,12),0), 0)</f>
        <v>0</v>
      </c>
      <c r="K13" s="10">
        <f>IF(AND(Synthèse!A15&lt;&gt;"", 10&lt;=INDEX(Projet_Portefeuille!$F$2:$F$200,12)), -IFERROR(Synthèse!J15/INDEX(Projet_Portefeuille!$F$2:$F$200,12),0), 0)</f>
        <v>0</v>
      </c>
      <c r="L13" s="10">
        <f>IF(AND(Synthèse!A15&lt;&gt;"", 11&lt;=INDEX(Projet_Portefeuille!$F$2:$F$200,12)), -IFERROR(Synthèse!J15/INDEX(Projet_Portefeuille!$F$2:$F$200,12),0), 0)</f>
        <v>0</v>
      </c>
      <c r="M13" s="10">
        <f>IF(AND(Synthèse!A15&lt;&gt;"", 12&lt;=INDEX(Projet_Portefeuille!$F$2:$F$200,12)), -IFERROR(Synthèse!J15/INDEX(Projet_Portefeuille!$F$2:$F$200,12),0), 0)</f>
        <v>0</v>
      </c>
      <c r="N13" s="10">
        <f>SUM(B13:M13)</f>
        <v>0</v>
      </c>
    </row>
    <row r="14" spans="1:14">
      <c r="A14">
        <f>Synthèse!A16</f>
        <v>0</v>
      </c>
      <c r="B14" s="10">
        <f>IF(AND(Synthèse!A16&lt;&gt;"", 1&lt;=INDEX(Projet_Portefeuille!$F$2:$F$200,13)), -IFERROR(Synthèse!J16/INDEX(Projet_Portefeuille!$F$2:$F$200,13),0), 0)</f>
        <v>0</v>
      </c>
      <c r="C14" s="10">
        <f>IF(AND(Synthèse!A16&lt;&gt;"", 2&lt;=INDEX(Projet_Portefeuille!$F$2:$F$200,13)), -IFERROR(Synthèse!J16/INDEX(Projet_Portefeuille!$F$2:$F$200,13),0), 0)</f>
        <v>0</v>
      </c>
      <c r="D14" s="10">
        <f>IF(AND(Synthèse!A16&lt;&gt;"", 3&lt;=INDEX(Projet_Portefeuille!$F$2:$F$200,13)), -IFERROR(Synthèse!J16/INDEX(Projet_Portefeuille!$F$2:$F$200,13),0), 0)</f>
        <v>0</v>
      </c>
      <c r="E14" s="10">
        <f>IF(AND(Synthèse!A16&lt;&gt;"", 4&lt;=INDEX(Projet_Portefeuille!$F$2:$F$200,13)), -IFERROR(Synthèse!J16/INDEX(Projet_Portefeuille!$F$2:$F$200,13),0), 0)</f>
        <v>0</v>
      </c>
      <c r="F14" s="10">
        <f>IF(AND(Synthèse!A16&lt;&gt;"", 5&lt;=INDEX(Projet_Portefeuille!$F$2:$F$200,13)), -IFERROR(Synthèse!J16/INDEX(Projet_Portefeuille!$F$2:$F$200,13),0), 0)</f>
        <v>0</v>
      </c>
      <c r="G14" s="10">
        <f>IF(AND(Synthèse!A16&lt;&gt;"", 6&lt;=INDEX(Projet_Portefeuille!$F$2:$F$200,13)), -IFERROR(Synthèse!J16/INDEX(Projet_Portefeuille!$F$2:$F$200,13),0), 0)</f>
        <v>0</v>
      </c>
      <c r="H14" s="10">
        <f>IF(AND(Synthèse!A16&lt;&gt;"", 7&lt;=INDEX(Projet_Portefeuille!$F$2:$F$200,13)), -IFERROR(Synthèse!J16/INDEX(Projet_Portefeuille!$F$2:$F$200,13),0), 0)</f>
        <v>0</v>
      </c>
      <c r="I14" s="10">
        <f>IF(AND(Synthèse!A16&lt;&gt;"", 8&lt;=INDEX(Projet_Portefeuille!$F$2:$F$200,13)), -IFERROR(Synthèse!J16/INDEX(Projet_Portefeuille!$F$2:$F$200,13),0), 0)</f>
        <v>0</v>
      </c>
      <c r="J14" s="10">
        <f>IF(AND(Synthèse!A16&lt;&gt;"", 9&lt;=INDEX(Projet_Portefeuille!$F$2:$F$200,13)), -IFERROR(Synthèse!J16/INDEX(Projet_Portefeuille!$F$2:$F$200,13),0), 0)</f>
        <v>0</v>
      </c>
      <c r="K14" s="10">
        <f>IF(AND(Synthèse!A16&lt;&gt;"", 10&lt;=INDEX(Projet_Portefeuille!$F$2:$F$200,13)), -IFERROR(Synthèse!J16/INDEX(Projet_Portefeuille!$F$2:$F$200,13),0), 0)</f>
        <v>0</v>
      </c>
      <c r="L14" s="10">
        <f>IF(AND(Synthèse!A16&lt;&gt;"", 11&lt;=INDEX(Projet_Portefeuille!$F$2:$F$200,13)), -IFERROR(Synthèse!J16/INDEX(Projet_Portefeuille!$F$2:$F$200,13),0), 0)</f>
        <v>0</v>
      </c>
      <c r="M14" s="10">
        <f>IF(AND(Synthèse!A16&lt;&gt;"", 12&lt;=INDEX(Projet_Portefeuille!$F$2:$F$200,13)), -IFERROR(Synthèse!J16/INDEX(Projet_Portefeuille!$F$2:$F$200,13),0), 0)</f>
        <v>0</v>
      </c>
      <c r="N14" s="10">
        <f>SUM(B14:M14)</f>
        <v>0</v>
      </c>
    </row>
    <row r="15" spans="1:14">
      <c r="A15">
        <f>Synthèse!A17</f>
        <v>0</v>
      </c>
      <c r="B15" s="10">
        <f>IF(AND(Synthèse!A17&lt;&gt;"", 1&lt;=INDEX(Projet_Portefeuille!$F$2:$F$200,14)), -IFERROR(Synthèse!J17/INDEX(Projet_Portefeuille!$F$2:$F$200,14),0), 0)</f>
        <v>0</v>
      </c>
      <c r="C15" s="10">
        <f>IF(AND(Synthèse!A17&lt;&gt;"", 2&lt;=INDEX(Projet_Portefeuille!$F$2:$F$200,14)), -IFERROR(Synthèse!J17/INDEX(Projet_Portefeuille!$F$2:$F$200,14),0), 0)</f>
        <v>0</v>
      </c>
      <c r="D15" s="10">
        <f>IF(AND(Synthèse!A17&lt;&gt;"", 3&lt;=INDEX(Projet_Portefeuille!$F$2:$F$200,14)), -IFERROR(Synthèse!J17/INDEX(Projet_Portefeuille!$F$2:$F$200,14),0), 0)</f>
        <v>0</v>
      </c>
      <c r="E15" s="10">
        <f>IF(AND(Synthèse!A17&lt;&gt;"", 4&lt;=INDEX(Projet_Portefeuille!$F$2:$F$200,14)), -IFERROR(Synthèse!J17/INDEX(Projet_Portefeuille!$F$2:$F$200,14),0), 0)</f>
        <v>0</v>
      </c>
      <c r="F15" s="10">
        <f>IF(AND(Synthèse!A17&lt;&gt;"", 5&lt;=INDEX(Projet_Portefeuille!$F$2:$F$200,14)), -IFERROR(Synthèse!J17/INDEX(Projet_Portefeuille!$F$2:$F$200,14),0), 0)</f>
        <v>0</v>
      </c>
      <c r="G15" s="10">
        <f>IF(AND(Synthèse!A17&lt;&gt;"", 6&lt;=INDEX(Projet_Portefeuille!$F$2:$F$200,14)), -IFERROR(Synthèse!J17/INDEX(Projet_Portefeuille!$F$2:$F$200,14),0), 0)</f>
        <v>0</v>
      </c>
      <c r="H15" s="10">
        <f>IF(AND(Synthèse!A17&lt;&gt;"", 7&lt;=INDEX(Projet_Portefeuille!$F$2:$F$200,14)), -IFERROR(Synthèse!J17/INDEX(Projet_Portefeuille!$F$2:$F$200,14),0), 0)</f>
        <v>0</v>
      </c>
      <c r="I15" s="10">
        <f>IF(AND(Synthèse!A17&lt;&gt;"", 8&lt;=INDEX(Projet_Portefeuille!$F$2:$F$200,14)), -IFERROR(Synthèse!J17/INDEX(Projet_Portefeuille!$F$2:$F$200,14),0), 0)</f>
        <v>0</v>
      </c>
      <c r="J15" s="10">
        <f>IF(AND(Synthèse!A17&lt;&gt;"", 9&lt;=INDEX(Projet_Portefeuille!$F$2:$F$200,14)), -IFERROR(Synthèse!J17/INDEX(Projet_Portefeuille!$F$2:$F$200,14),0), 0)</f>
        <v>0</v>
      </c>
      <c r="K15" s="10">
        <f>IF(AND(Synthèse!A17&lt;&gt;"", 10&lt;=INDEX(Projet_Portefeuille!$F$2:$F$200,14)), -IFERROR(Synthèse!J17/INDEX(Projet_Portefeuille!$F$2:$F$200,14),0), 0)</f>
        <v>0</v>
      </c>
      <c r="L15" s="10">
        <f>IF(AND(Synthèse!A17&lt;&gt;"", 11&lt;=INDEX(Projet_Portefeuille!$F$2:$F$200,14)), -IFERROR(Synthèse!J17/INDEX(Projet_Portefeuille!$F$2:$F$200,14),0), 0)</f>
        <v>0</v>
      </c>
      <c r="M15" s="10">
        <f>IF(AND(Synthèse!A17&lt;&gt;"", 12&lt;=INDEX(Projet_Portefeuille!$F$2:$F$200,14)), -IFERROR(Synthèse!J17/INDEX(Projet_Portefeuille!$F$2:$F$200,14),0), 0)</f>
        <v>0</v>
      </c>
      <c r="N15" s="10">
        <f>SUM(B15:M15)</f>
        <v>0</v>
      </c>
    </row>
    <row r="16" spans="1:14">
      <c r="A16">
        <f>Synthèse!A18</f>
        <v>0</v>
      </c>
      <c r="B16" s="10">
        <f>IF(AND(Synthèse!A18&lt;&gt;"", 1&lt;=INDEX(Projet_Portefeuille!$F$2:$F$200,15)), -IFERROR(Synthèse!J18/INDEX(Projet_Portefeuille!$F$2:$F$200,15),0), 0)</f>
        <v>0</v>
      </c>
      <c r="C16" s="10">
        <f>IF(AND(Synthèse!A18&lt;&gt;"", 2&lt;=INDEX(Projet_Portefeuille!$F$2:$F$200,15)), -IFERROR(Synthèse!J18/INDEX(Projet_Portefeuille!$F$2:$F$200,15),0), 0)</f>
        <v>0</v>
      </c>
      <c r="D16" s="10">
        <f>IF(AND(Synthèse!A18&lt;&gt;"", 3&lt;=INDEX(Projet_Portefeuille!$F$2:$F$200,15)), -IFERROR(Synthèse!J18/INDEX(Projet_Portefeuille!$F$2:$F$200,15),0), 0)</f>
        <v>0</v>
      </c>
      <c r="E16" s="10">
        <f>IF(AND(Synthèse!A18&lt;&gt;"", 4&lt;=INDEX(Projet_Portefeuille!$F$2:$F$200,15)), -IFERROR(Synthèse!J18/INDEX(Projet_Portefeuille!$F$2:$F$200,15),0), 0)</f>
        <v>0</v>
      </c>
      <c r="F16" s="10">
        <f>IF(AND(Synthèse!A18&lt;&gt;"", 5&lt;=INDEX(Projet_Portefeuille!$F$2:$F$200,15)), -IFERROR(Synthèse!J18/INDEX(Projet_Portefeuille!$F$2:$F$200,15),0), 0)</f>
        <v>0</v>
      </c>
      <c r="G16" s="10">
        <f>IF(AND(Synthèse!A18&lt;&gt;"", 6&lt;=INDEX(Projet_Portefeuille!$F$2:$F$200,15)), -IFERROR(Synthèse!J18/INDEX(Projet_Portefeuille!$F$2:$F$200,15),0), 0)</f>
        <v>0</v>
      </c>
      <c r="H16" s="10">
        <f>IF(AND(Synthèse!A18&lt;&gt;"", 7&lt;=INDEX(Projet_Portefeuille!$F$2:$F$200,15)), -IFERROR(Synthèse!J18/INDEX(Projet_Portefeuille!$F$2:$F$200,15),0), 0)</f>
        <v>0</v>
      </c>
      <c r="I16" s="10">
        <f>IF(AND(Synthèse!A18&lt;&gt;"", 8&lt;=INDEX(Projet_Portefeuille!$F$2:$F$200,15)), -IFERROR(Synthèse!J18/INDEX(Projet_Portefeuille!$F$2:$F$200,15),0), 0)</f>
        <v>0</v>
      </c>
      <c r="J16" s="10">
        <f>IF(AND(Synthèse!A18&lt;&gt;"", 9&lt;=INDEX(Projet_Portefeuille!$F$2:$F$200,15)), -IFERROR(Synthèse!J18/INDEX(Projet_Portefeuille!$F$2:$F$200,15),0), 0)</f>
        <v>0</v>
      </c>
      <c r="K16" s="10">
        <f>IF(AND(Synthèse!A18&lt;&gt;"", 10&lt;=INDEX(Projet_Portefeuille!$F$2:$F$200,15)), -IFERROR(Synthèse!J18/INDEX(Projet_Portefeuille!$F$2:$F$200,15),0), 0)</f>
        <v>0</v>
      </c>
      <c r="L16" s="10">
        <f>IF(AND(Synthèse!A18&lt;&gt;"", 11&lt;=INDEX(Projet_Portefeuille!$F$2:$F$200,15)), -IFERROR(Synthèse!J18/INDEX(Projet_Portefeuille!$F$2:$F$200,15),0), 0)</f>
        <v>0</v>
      </c>
      <c r="M16" s="10">
        <f>IF(AND(Synthèse!A18&lt;&gt;"", 12&lt;=INDEX(Projet_Portefeuille!$F$2:$F$200,15)), -IFERROR(Synthèse!J18/INDEX(Projet_Portefeuille!$F$2:$F$200,15),0), 0)</f>
        <v>0</v>
      </c>
      <c r="N16" s="10">
        <f>SUM(B16:M16)</f>
        <v>0</v>
      </c>
    </row>
    <row r="17" spans="1:14">
      <c r="A17">
        <f>Synthèse!A19</f>
        <v>0</v>
      </c>
      <c r="B17" s="10">
        <f>IF(AND(Synthèse!A19&lt;&gt;"", 1&lt;=INDEX(Projet_Portefeuille!$F$2:$F$200,16)), -IFERROR(Synthèse!J19/INDEX(Projet_Portefeuille!$F$2:$F$200,16),0), 0)</f>
        <v>0</v>
      </c>
      <c r="C17" s="10">
        <f>IF(AND(Synthèse!A19&lt;&gt;"", 2&lt;=INDEX(Projet_Portefeuille!$F$2:$F$200,16)), -IFERROR(Synthèse!J19/INDEX(Projet_Portefeuille!$F$2:$F$200,16),0), 0)</f>
        <v>0</v>
      </c>
      <c r="D17" s="10">
        <f>IF(AND(Synthèse!A19&lt;&gt;"", 3&lt;=INDEX(Projet_Portefeuille!$F$2:$F$200,16)), -IFERROR(Synthèse!J19/INDEX(Projet_Portefeuille!$F$2:$F$200,16),0), 0)</f>
        <v>0</v>
      </c>
      <c r="E17" s="10">
        <f>IF(AND(Synthèse!A19&lt;&gt;"", 4&lt;=INDEX(Projet_Portefeuille!$F$2:$F$200,16)), -IFERROR(Synthèse!J19/INDEX(Projet_Portefeuille!$F$2:$F$200,16),0), 0)</f>
        <v>0</v>
      </c>
      <c r="F17" s="10">
        <f>IF(AND(Synthèse!A19&lt;&gt;"", 5&lt;=INDEX(Projet_Portefeuille!$F$2:$F$200,16)), -IFERROR(Synthèse!J19/INDEX(Projet_Portefeuille!$F$2:$F$200,16),0), 0)</f>
        <v>0</v>
      </c>
      <c r="G17" s="10">
        <f>IF(AND(Synthèse!A19&lt;&gt;"", 6&lt;=INDEX(Projet_Portefeuille!$F$2:$F$200,16)), -IFERROR(Synthèse!J19/INDEX(Projet_Portefeuille!$F$2:$F$200,16),0), 0)</f>
        <v>0</v>
      </c>
      <c r="H17" s="10">
        <f>IF(AND(Synthèse!A19&lt;&gt;"", 7&lt;=INDEX(Projet_Portefeuille!$F$2:$F$200,16)), -IFERROR(Synthèse!J19/INDEX(Projet_Portefeuille!$F$2:$F$200,16),0), 0)</f>
        <v>0</v>
      </c>
      <c r="I17" s="10">
        <f>IF(AND(Synthèse!A19&lt;&gt;"", 8&lt;=INDEX(Projet_Portefeuille!$F$2:$F$200,16)), -IFERROR(Synthèse!J19/INDEX(Projet_Portefeuille!$F$2:$F$200,16),0), 0)</f>
        <v>0</v>
      </c>
      <c r="J17" s="10">
        <f>IF(AND(Synthèse!A19&lt;&gt;"", 9&lt;=INDEX(Projet_Portefeuille!$F$2:$F$200,16)), -IFERROR(Synthèse!J19/INDEX(Projet_Portefeuille!$F$2:$F$200,16),0), 0)</f>
        <v>0</v>
      </c>
      <c r="K17" s="10">
        <f>IF(AND(Synthèse!A19&lt;&gt;"", 10&lt;=INDEX(Projet_Portefeuille!$F$2:$F$200,16)), -IFERROR(Synthèse!J19/INDEX(Projet_Portefeuille!$F$2:$F$200,16),0), 0)</f>
        <v>0</v>
      </c>
      <c r="L17" s="10">
        <f>IF(AND(Synthèse!A19&lt;&gt;"", 11&lt;=INDEX(Projet_Portefeuille!$F$2:$F$200,16)), -IFERROR(Synthèse!J19/INDEX(Projet_Portefeuille!$F$2:$F$200,16),0), 0)</f>
        <v>0</v>
      </c>
      <c r="M17" s="10">
        <f>IF(AND(Synthèse!A19&lt;&gt;"", 12&lt;=INDEX(Projet_Portefeuille!$F$2:$F$200,16)), -IFERROR(Synthèse!J19/INDEX(Projet_Portefeuille!$F$2:$F$200,16),0), 0)</f>
        <v>0</v>
      </c>
      <c r="N17" s="10">
        <f>SUM(B17:M17)</f>
        <v>0</v>
      </c>
    </row>
    <row r="18" spans="1:14">
      <c r="A18">
        <f>Synthèse!A20</f>
        <v>0</v>
      </c>
      <c r="B18" s="10">
        <f>IF(AND(Synthèse!A20&lt;&gt;"", 1&lt;=INDEX(Projet_Portefeuille!$F$2:$F$200,17)), -IFERROR(Synthèse!J20/INDEX(Projet_Portefeuille!$F$2:$F$200,17),0), 0)</f>
        <v>0</v>
      </c>
      <c r="C18" s="10">
        <f>IF(AND(Synthèse!A20&lt;&gt;"", 2&lt;=INDEX(Projet_Portefeuille!$F$2:$F$200,17)), -IFERROR(Synthèse!J20/INDEX(Projet_Portefeuille!$F$2:$F$200,17),0), 0)</f>
        <v>0</v>
      </c>
      <c r="D18" s="10">
        <f>IF(AND(Synthèse!A20&lt;&gt;"", 3&lt;=INDEX(Projet_Portefeuille!$F$2:$F$200,17)), -IFERROR(Synthèse!J20/INDEX(Projet_Portefeuille!$F$2:$F$200,17),0), 0)</f>
        <v>0</v>
      </c>
      <c r="E18" s="10">
        <f>IF(AND(Synthèse!A20&lt;&gt;"", 4&lt;=INDEX(Projet_Portefeuille!$F$2:$F$200,17)), -IFERROR(Synthèse!J20/INDEX(Projet_Portefeuille!$F$2:$F$200,17),0), 0)</f>
        <v>0</v>
      </c>
      <c r="F18" s="10">
        <f>IF(AND(Synthèse!A20&lt;&gt;"", 5&lt;=INDEX(Projet_Portefeuille!$F$2:$F$200,17)), -IFERROR(Synthèse!J20/INDEX(Projet_Portefeuille!$F$2:$F$200,17),0), 0)</f>
        <v>0</v>
      </c>
      <c r="G18" s="10">
        <f>IF(AND(Synthèse!A20&lt;&gt;"", 6&lt;=INDEX(Projet_Portefeuille!$F$2:$F$200,17)), -IFERROR(Synthèse!J20/INDEX(Projet_Portefeuille!$F$2:$F$200,17),0), 0)</f>
        <v>0</v>
      </c>
      <c r="H18" s="10">
        <f>IF(AND(Synthèse!A20&lt;&gt;"", 7&lt;=INDEX(Projet_Portefeuille!$F$2:$F$200,17)), -IFERROR(Synthèse!J20/INDEX(Projet_Portefeuille!$F$2:$F$200,17),0), 0)</f>
        <v>0</v>
      </c>
      <c r="I18" s="10">
        <f>IF(AND(Synthèse!A20&lt;&gt;"", 8&lt;=INDEX(Projet_Portefeuille!$F$2:$F$200,17)), -IFERROR(Synthèse!J20/INDEX(Projet_Portefeuille!$F$2:$F$200,17),0), 0)</f>
        <v>0</v>
      </c>
      <c r="J18" s="10">
        <f>IF(AND(Synthèse!A20&lt;&gt;"", 9&lt;=INDEX(Projet_Portefeuille!$F$2:$F$200,17)), -IFERROR(Synthèse!J20/INDEX(Projet_Portefeuille!$F$2:$F$200,17),0), 0)</f>
        <v>0</v>
      </c>
      <c r="K18" s="10">
        <f>IF(AND(Synthèse!A20&lt;&gt;"", 10&lt;=INDEX(Projet_Portefeuille!$F$2:$F$200,17)), -IFERROR(Synthèse!J20/INDEX(Projet_Portefeuille!$F$2:$F$200,17),0), 0)</f>
        <v>0</v>
      </c>
      <c r="L18" s="10">
        <f>IF(AND(Synthèse!A20&lt;&gt;"", 11&lt;=INDEX(Projet_Portefeuille!$F$2:$F$200,17)), -IFERROR(Synthèse!J20/INDEX(Projet_Portefeuille!$F$2:$F$200,17),0), 0)</f>
        <v>0</v>
      </c>
      <c r="M18" s="10">
        <f>IF(AND(Synthèse!A20&lt;&gt;"", 12&lt;=INDEX(Projet_Portefeuille!$F$2:$F$200,17)), -IFERROR(Synthèse!J20/INDEX(Projet_Portefeuille!$F$2:$F$200,17),0), 0)</f>
        <v>0</v>
      </c>
      <c r="N18" s="10">
        <f>SUM(B18:M18)</f>
        <v>0</v>
      </c>
    </row>
    <row r="19" spans="1:14">
      <c r="A19">
        <f>Synthèse!A21</f>
        <v>0</v>
      </c>
      <c r="B19" s="10">
        <f>IF(AND(Synthèse!A21&lt;&gt;"", 1&lt;=INDEX(Projet_Portefeuille!$F$2:$F$200,18)), -IFERROR(Synthèse!J21/INDEX(Projet_Portefeuille!$F$2:$F$200,18),0), 0)</f>
        <v>0</v>
      </c>
      <c r="C19" s="10">
        <f>IF(AND(Synthèse!A21&lt;&gt;"", 2&lt;=INDEX(Projet_Portefeuille!$F$2:$F$200,18)), -IFERROR(Synthèse!J21/INDEX(Projet_Portefeuille!$F$2:$F$200,18),0), 0)</f>
        <v>0</v>
      </c>
      <c r="D19" s="10">
        <f>IF(AND(Synthèse!A21&lt;&gt;"", 3&lt;=INDEX(Projet_Portefeuille!$F$2:$F$200,18)), -IFERROR(Synthèse!J21/INDEX(Projet_Portefeuille!$F$2:$F$200,18),0), 0)</f>
        <v>0</v>
      </c>
      <c r="E19" s="10">
        <f>IF(AND(Synthèse!A21&lt;&gt;"", 4&lt;=INDEX(Projet_Portefeuille!$F$2:$F$200,18)), -IFERROR(Synthèse!J21/INDEX(Projet_Portefeuille!$F$2:$F$200,18),0), 0)</f>
        <v>0</v>
      </c>
      <c r="F19" s="10">
        <f>IF(AND(Synthèse!A21&lt;&gt;"", 5&lt;=INDEX(Projet_Portefeuille!$F$2:$F$200,18)), -IFERROR(Synthèse!J21/INDEX(Projet_Portefeuille!$F$2:$F$200,18),0), 0)</f>
        <v>0</v>
      </c>
      <c r="G19" s="10">
        <f>IF(AND(Synthèse!A21&lt;&gt;"", 6&lt;=INDEX(Projet_Portefeuille!$F$2:$F$200,18)), -IFERROR(Synthèse!J21/INDEX(Projet_Portefeuille!$F$2:$F$200,18),0), 0)</f>
        <v>0</v>
      </c>
      <c r="H19" s="10">
        <f>IF(AND(Synthèse!A21&lt;&gt;"", 7&lt;=INDEX(Projet_Portefeuille!$F$2:$F$200,18)), -IFERROR(Synthèse!J21/INDEX(Projet_Portefeuille!$F$2:$F$200,18),0), 0)</f>
        <v>0</v>
      </c>
      <c r="I19" s="10">
        <f>IF(AND(Synthèse!A21&lt;&gt;"", 8&lt;=INDEX(Projet_Portefeuille!$F$2:$F$200,18)), -IFERROR(Synthèse!J21/INDEX(Projet_Portefeuille!$F$2:$F$200,18),0), 0)</f>
        <v>0</v>
      </c>
      <c r="J19" s="10">
        <f>IF(AND(Synthèse!A21&lt;&gt;"", 9&lt;=INDEX(Projet_Portefeuille!$F$2:$F$200,18)), -IFERROR(Synthèse!J21/INDEX(Projet_Portefeuille!$F$2:$F$200,18),0), 0)</f>
        <v>0</v>
      </c>
      <c r="K19" s="10">
        <f>IF(AND(Synthèse!A21&lt;&gt;"", 10&lt;=INDEX(Projet_Portefeuille!$F$2:$F$200,18)), -IFERROR(Synthèse!J21/INDEX(Projet_Portefeuille!$F$2:$F$200,18),0), 0)</f>
        <v>0</v>
      </c>
      <c r="L19" s="10">
        <f>IF(AND(Synthèse!A21&lt;&gt;"", 11&lt;=INDEX(Projet_Portefeuille!$F$2:$F$200,18)), -IFERROR(Synthèse!J21/INDEX(Projet_Portefeuille!$F$2:$F$200,18),0), 0)</f>
        <v>0</v>
      </c>
      <c r="M19" s="10">
        <f>IF(AND(Synthèse!A21&lt;&gt;"", 12&lt;=INDEX(Projet_Portefeuille!$F$2:$F$200,18)), -IFERROR(Synthèse!J21/INDEX(Projet_Portefeuille!$F$2:$F$200,18),0), 0)</f>
        <v>0</v>
      </c>
      <c r="N19" s="10">
        <f>SUM(B19:M19)</f>
        <v>0</v>
      </c>
    </row>
    <row r="20" spans="1:14">
      <c r="A20">
        <f>Synthèse!A22</f>
        <v>0</v>
      </c>
      <c r="B20" s="10">
        <f>IF(AND(Synthèse!A22&lt;&gt;"", 1&lt;=INDEX(Projet_Portefeuille!$F$2:$F$200,19)), -IFERROR(Synthèse!J22/INDEX(Projet_Portefeuille!$F$2:$F$200,19),0), 0)</f>
        <v>0</v>
      </c>
      <c r="C20" s="10">
        <f>IF(AND(Synthèse!A22&lt;&gt;"", 2&lt;=INDEX(Projet_Portefeuille!$F$2:$F$200,19)), -IFERROR(Synthèse!J22/INDEX(Projet_Portefeuille!$F$2:$F$200,19),0), 0)</f>
        <v>0</v>
      </c>
      <c r="D20" s="10">
        <f>IF(AND(Synthèse!A22&lt;&gt;"", 3&lt;=INDEX(Projet_Portefeuille!$F$2:$F$200,19)), -IFERROR(Synthèse!J22/INDEX(Projet_Portefeuille!$F$2:$F$200,19),0), 0)</f>
        <v>0</v>
      </c>
      <c r="E20" s="10">
        <f>IF(AND(Synthèse!A22&lt;&gt;"", 4&lt;=INDEX(Projet_Portefeuille!$F$2:$F$200,19)), -IFERROR(Synthèse!J22/INDEX(Projet_Portefeuille!$F$2:$F$200,19),0), 0)</f>
        <v>0</v>
      </c>
      <c r="F20" s="10">
        <f>IF(AND(Synthèse!A22&lt;&gt;"", 5&lt;=INDEX(Projet_Portefeuille!$F$2:$F$200,19)), -IFERROR(Synthèse!J22/INDEX(Projet_Portefeuille!$F$2:$F$200,19),0), 0)</f>
        <v>0</v>
      </c>
      <c r="G20" s="10">
        <f>IF(AND(Synthèse!A22&lt;&gt;"", 6&lt;=INDEX(Projet_Portefeuille!$F$2:$F$200,19)), -IFERROR(Synthèse!J22/INDEX(Projet_Portefeuille!$F$2:$F$200,19),0), 0)</f>
        <v>0</v>
      </c>
      <c r="H20" s="10">
        <f>IF(AND(Synthèse!A22&lt;&gt;"", 7&lt;=INDEX(Projet_Portefeuille!$F$2:$F$200,19)), -IFERROR(Synthèse!J22/INDEX(Projet_Portefeuille!$F$2:$F$200,19),0), 0)</f>
        <v>0</v>
      </c>
      <c r="I20" s="10">
        <f>IF(AND(Synthèse!A22&lt;&gt;"", 8&lt;=INDEX(Projet_Portefeuille!$F$2:$F$200,19)), -IFERROR(Synthèse!J22/INDEX(Projet_Portefeuille!$F$2:$F$200,19),0), 0)</f>
        <v>0</v>
      </c>
      <c r="J20" s="10">
        <f>IF(AND(Synthèse!A22&lt;&gt;"", 9&lt;=INDEX(Projet_Portefeuille!$F$2:$F$200,19)), -IFERROR(Synthèse!J22/INDEX(Projet_Portefeuille!$F$2:$F$200,19),0), 0)</f>
        <v>0</v>
      </c>
      <c r="K20" s="10">
        <f>IF(AND(Synthèse!A22&lt;&gt;"", 10&lt;=INDEX(Projet_Portefeuille!$F$2:$F$200,19)), -IFERROR(Synthèse!J22/INDEX(Projet_Portefeuille!$F$2:$F$200,19),0), 0)</f>
        <v>0</v>
      </c>
      <c r="L20" s="10">
        <f>IF(AND(Synthèse!A22&lt;&gt;"", 11&lt;=INDEX(Projet_Portefeuille!$F$2:$F$200,19)), -IFERROR(Synthèse!J22/INDEX(Projet_Portefeuille!$F$2:$F$200,19),0), 0)</f>
        <v>0</v>
      </c>
      <c r="M20" s="10">
        <f>IF(AND(Synthèse!A22&lt;&gt;"", 12&lt;=INDEX(Projet_Portefeuille!$F$2:$F$200,19)), -IFERROR(Synthèse!J22/INDEX(Projet_Portefeuille!$F$2:$F$200,19),0), 0)</f>
        <v>0</v>
      </c>
      <c r="N20" s="10">
        <f>SUM(B20:M20)</f>
        <v>0</v>
      </c>
    </row>
    <row r="21" spans="1:14">
      <c r="A21">
        <f>Synthèse!A23</f>
        <v>0</v>
      </c>
      <c r="B21" s="10">
        <f>IF(AND(Synthèse!A23&lt;&gt;"", 1&lt;=INDEX(Projet_Portefeuille!$F$2:$F$200,20)), -IFERROR(Synthèse!J23/INDEX(Projet_Portefeuille!$F$2:$F$200,20),0), 0)</f>
        <v>0</v>
      </c>
      <c r="C21" s="10">
        <f>IF(AND(Synthèse!A23&lt;&gt;"", 2&lt;=INDEX(Projet_Portefeuille!$F$2:$F$200,20)), -IFERROR(Synthèse!J23/INDEX(Projet_Portefeuille!$F$2:$F$200,20),0), 0)</f>
        <v>0</v>
      </c>
      <c r="D21" s="10">
        <f>IF(AND(Synthèse!A23&lt;&gt;"", 3&lt;=INDEX(Projet_Portefeuille!$F$2:$F$200,20)), -IFERROR(Synthèse!J23/INDEX(Projet_Portefeuille!$F$2:$F$200,20),0), 0)</f>
        <v>0</v>
      </c>
      <c r="E21" s="10">
        <f>IF(AND(Synthèse!A23&lt;&gt;"", 4&lt;=INDEX(Projet_Portefeuille!$F$2:$F$200,20)), -IFERROR(Synthèse!J23/INDEX(Projet_Portefeuille!$F$2:$F$200,20),0), 0)</f>
        <v>0</v>
      </c>
      <c r="F21" s="10">
        <f>IF(AND(Synthèse!A23&lt;&gt;"", 5&lt;=INDEX(Projet_Portefeuille!$F$2:$F$200,20)), -IFERROR(Synthèse!J23/INDEX(Projet_Portefeuille!$F$2:$F$200,20),0), 0)</f>
        <v>0</v>
      </c>
      <c r="G21" s="10">
        <f>IF(AND(Synthèse!A23&lt;&gt;"", 6&lt;=INDEX(Projet_Portefeuille!$F$2:$F$200,20)), -IFERROR(Synthèse!J23/INDEX(Projet_Portefeuille!$F$2:$F$200,20),0), 0)</f>
        <v>0</v>
      </c>
      <c r="H21" s="10">
        <f>IF(AND(Synthèse!A23&lt;&gt;"", 7&lt;=INDEX(Projet_Portefeuille!$F$2:$F$200,20)), -IFERROR(Synthèse!J23/INDEX(Projet_Portefeuille!$F$2:$F$200,20),0), 0)</f>
        <v>0</v>
      </c>
      <c r="I21" s="10">
        <f>IF(AND(Synthèse!A23&lt;&gt;"", 8&lt;=INDEX(Projet_Portefeuille!$F$2:$F$200,20)), -IFERROR(Synthèse!J23/INDEX(Projet_Portefeuille!$F$2:$F$200,20),0), 0)</f>
        <v>0</v>
      </c>
      <c r="J21" s="10">
        <f>IF(AND(Synthèse!A23&lt;&gt;"", 9&lt;=INDEX(Projet_Portefeuille!$F$2:$F$200,20)), -IFERROR(Synthèse!J23/INDEX(Projet_Portefeuille!$F$2:$F$200,20),0), 0)</f>
        <v>0</v>
      </c>
      <c r="K21" s="10">
        <f>IF(AND(Synthèse!A23&lt;&gt;"", 10&lt;=INDEX(Projet_Portefeuille!$F$2:$F$200,20)), -IFERROR(Synthèse!J23/INDEX(Projet_Portefeuille!$F$2:$F$200,20),0), 0)</f>
        <v>0</v>
      </c>
      <c r="L21" s="10">
        <f>IF(AND(Synthèse!A23&lt;&gt;"", 11&lt;=INDEX(Projet_Portefeuille!$F$2:$F$200,20)), -IFERROR(Synthèse!J23/INDEX(Projet_Portefeuille!$F$2:$F$200,20),0), 0)</f>
        <v>0</v>
      </c>
      <c r="M21" s="10">
        <f>IF(AND(Synthèse!A23&lt;&gt;"", 12&lt;=INDEX(Projet_Portefeuille!$F$2:$F$200,20)), -IFERROR(Synthèse!J23/INDEX(Projet_Portefeuille!$F$2:$F$200,20),0), 0)</f>
        <v>0</v>
      </c>
      <c r="N21" s="10">
        <f>SUM(B21:M21)</f>
        <v>0</v>
      </c>
    </row>
    <row r="22" spans="1:14">
      <c r="A22">
        <f>Synthèse!A24</f>
        <v>0</v>
      </c>
      <c r="B22" s="10">
        <f>IF(AND(Synthèse!A24&lt;&gt;"", 1&lt;=INDEX(Projet_Portefeuille!$F$2:$F$200,21)), -IFERROR(Synthèse!J24/INDEX(Projet_Portefeuille!$F$2:$F$200,21),0), 0)</f>
        <v>0</v>
      </c>
      <c r="C22" s="10">
        <f>IF(AND(Synthèse!A24&lt;&gt;"", 2&lt;=INDEX(Projet_Portefeuille!$F$2:$F$200,21)), -IFERROR(Synthèse!J24/INDEX(Projet_Portefeuille!$F$2:$F$200,21),0), 0)</f>
        <v>0</v>
      </c>
      <c r="D22" s="10">
        <f>IF(AND(Synthèse!A24&lt;&gt;"", 3&lt;=INDEX(Projet_Portefeuille!$F$2:$F$200,21)), -IFERROR(Synthèse!J24/INDEX(Projet_Portefeuille!$F$2:$F$200,21),0), 0)</f>
        <v>0</v>
      </c>
      <c r="E22" s="10">
        <f>IF(AND(Synthèse!A24&lt;&gt;"", 4&lt;=INDEX(Projet_Portefeuille!$F$2:$F$200,21)), -IFERROR(Synthèse!J24/INDEX(Projet_Portefeuille!$F$2:$F$200,21),0), 0)</f>
        <v>0</v>
      </c>
      <c r="F22" s="10">
        <f>IF(AND(Synthèse!A24&lt;&gt;"", 5&lt;=INDEX(Projet_Portefeuille!$F$2:$F$200,21)), -IFERROR(Synthèse!J24/INDEX(Projet_Portefeuille!$F$2:$F$200,21),0), 0)</f>
        <v>0</v>
      </c>
      <c r="G22" s="10">
        <f>IF(AND(Synthèse!A24&lt;&gt;"", 6&lt;=INDEX(Projet_Portefeuille!$F$2:$F$200,21)), -IFERROR(Synthèse!J24/INDEX(Projet_Portefeuille!$F$2:$F$200,21),0), 0)</f>
        <v>0</v>
      </c>
      <c r="H22" s="10">
        <f>IF(AND(Synthèse!A24&lt;&gt;"", 7&lt;=INDEX(Projet_Portefeuille!$F$2:$F$200,21)), -IFERROR(Synthèse!J24/INDEX(Projet_Portefeuille!$F$2:$F$200,21),0), 0)</f>
        <v>0</v>
      </c>
      <c r="I22" s="10">
        <f>IF(AND(Synthèse!A24&lt;&gt;"", 8&lt;=INDEX(Projet_Portefeuille!$F$2:$F$200,21)), -IFERROR(Synthèse!J24/INDEX(Projet_Portefeuille!$F$2:$F$200,21),0), 0)</f>
        <v>0</v>
      </c>
      <c r="J22" s="10">
        <f>IF(AND(Synthèse!A24&lt;&gt;"", 9&lt;=INDEX(Projet_Portefeuille!$F$2:$F$200,21)), -IFERROR(Synthèse!J24/INDEX(Projet_Portefeuille!$F$2:$F$200,21),0), 0)</f>
        <v>0</v>
      </c>
      <c r="K22" s="10">
        <f>IF(AND(Synthèse!A24&lt;&gt;"", 10&lt;=INDEX(Projet_Portefeuille!$F$2:$F$200,21)), -IFERROR(Synthèse!J24/INDEX(Projet_Portefeuille!$F$2:$F$200,21),0), 0)</f>
        <v>0</v>
      </c>
      <c r="L22" s="10">
        <f>IF(AND(Synthèse!A24&lt;&gt;"", 11&lt;=INDEX(Projet_Portefeuille!$F$2:$F$200,21)), -IFERROR(Synthèse!J24/INDEX(Projet_Portefeuille!$F$2:$F$200,21),0), 0)</f>
        <v>0</v>
      </c>
      <c r="M22" s="10">
        <f>IF(AND(Synthèse!A24&lt;&gt;"", 12&lt;=INDEX(Projet_Portefeuille!$F$2:$F$200,21)), -IFERROR(Synthèse!J24/INDEX(Projet_Portefeuille!$F$2:$F$200,21),0), 0)</f>
        <v>0</v>
      </c>
      <c r="N22" s="10">
        <f>SUM(B22:M22)</f>
        <v>0</v>
      </c>
    </row>
    <row r="23" spans="1:14">
      <c r="A23">
        <f>Synthèse!A25</f>
        <v>0</v>
      </c>
      <c r="B23" s="10">
        <f>IF(AND(Synthèse!A25&lt;&gt;"", 1&lt;=INDEX(Projet_Portefeuille!$F$2:$F$200,22)), -IFERROR(Synthèse!J25/INDEX(Projet_Portefeuille!$F$2:$F$200,22),0), 0)</f>
        <v>0</v>
      </c>
      <c r="C23" s="10">
        <f>IF(AND(Synthèse!A25&lt;&gt;"", 2&lt;=INDEX(Projet_Portefeuille!$F$2:$F$200,22)), -IFERROR(Synthèse!J25/INDEX(Projet_Portefeuille!$F$2:$F$200,22),0), 0)</f>
        <v>0</v>
      </c>
      <c r="D23" s="10">
        <f>IF(AND(Synthèse!A25&lt;&gt;"", 3&lt;=INDEX(Projet_Portefeuille!$F$2:$F$200,22)), -IFERROR(Synthèse!J25/INDEX(Projet_Portefeuille!$F$2:$F$200,22),0), 0)</f>
        <v>0</v>
      </c>
      <c r="E23" s="10">
        <f>IF(AND(Synthèse!A25&lt;&gt;"", 4&lt;=INDEX(Projet_Portefeuille!$F$2:$F$200,22)), -IFERROR(Synthèse!J25/INDEX(Projet_Portefeuille!$F$2:$F$200,22),0), 0)</f>
        <v>0</v>
      </c>
      <c r="F23" s="10">
        <f>IF(AND(Synthèse!A25&lt;&gt;"", 5&lt;=INDEX(Projet_Portefeuille!$F$2:$F$200,22)), -IFERROR(Synthèse!J25/INDEX(Projet_Portefeuille!$F$2:$F$200,22),0), 0)</f>
        <v>0</v>
      </c>
      <c r="G23" s="10">
        <f>IF(AND(Synthèse!A25&lt;&gt;"", 6&lt;=INDEX(Projet_Portefeuille!$F$2:$F$200,22)), -IFERROR(Synthèse!J25/INDEX(Projet_Portefeuille!$F$2:$F$200,22),0), 0)</f>
        <v>0</v>
      </c>
      <c r="H23" s="10">
        <f>IF(AND(Synthèse!A25&lt;&gt;"", 7&lt;=INDEX(Projet_Portefeuille!$F$2:$F$200,22)), -IFERROR(Synthèse!J25/INDEX(Projet_Portefeuille!$F$2:$F$200,22),0), 0)</f>
        <v>0</v>
      </c>
      <c r="I23" s="10">
        <f>IF(AND(Synthèse!A25&lt;&gt;"", 8&lt;=INDEX(Projet_Portefeuille!$F$2:$F$200,22)), -IFERROR(Synthèse!J25/INDEX(Projet_Portefeuille!$F$2:$F$200,22),0), 0)</f>
        <v>0</v>
      </c>
      <c r="J23" s="10">
        <f>IF(AND(Synthèse!A25&lt;&gt;"", 9&lt;=INDEX(Projet_Portefeuille!$F$2:$F$200,22)), -IFERROR(Synthèse!J25/INDEX(Projet_Portefeuille!$F$2:$F$200,22),0), 0)</f>
        <v>0</v>
      </c>
      <c r="K23" s="10">
        <f>IF(AND(Synthèse!A25&lt;&gt;"", 10&lt;=INDEX(Projet_Portefeuille!$F$2:$F$200,22)), -IFERROR(Synthèse!J25/INDEX(Projet_Portefeuille!$F$2:$F$200,22),0), 0)</f>
        <v>0</v>
      </c>
      <c r="L23" s="10">
        <f>IF(AND(Synthèse!A25&lt;&gt;"", 11&lt;=INDEX(Projet_Portefeuille!$F$2:$F$200,22)), -IFERROR(Synthèse!J25/INDEX(Projet_Portefeuille!$F$2:$F$200,22),0), 0)</f>
        <v>0</v>
      </c>
      <c r="M23" s="10">
        <f>IF(AND(Synthèse!A25&lt;&gt;"", 12&lt;=INDEX(Projet_Portefeuille!$F$2:$F$200,22)), -IFERROR(Synthèse!J25/INDEX(Projet_Portefeuille!$F$2:$F$200,22),0), 0)</f>
        <v>0</v>
      </c>
      <c r="N23" s="10">
        <f>SUM(B23:M23)</f>
        <v>0</v>
      </c>
    </row>
    <row r="24" spans="1:14">
      <c r="A24">
        <f>Synthèse!A26</f>
        <v>0</v>
      </c>
      <c r="B24" s="10">
        <f>IF(AND(Synthèse!A26&lt;&gt;"", 1&lt;=INDEX(Projet_Portefeuille!$F$2:$F$200,23)), -IFERROR(Synthèse!J26/INDEX(Projet_Portefeuille!$F$2:$F$200,23),0), 0)</f>
        <v>0</v>
      </c>
      <c r="C24" s="10">
        <f>IF(AND(Synthèse!A26&lt;&gt;"", 2&lt;=INDEX(Projet_Portefeuille!$F$2:$F$200,23)), -IFERROR(Synthèse!J26/INDEX(Projet_Portefeuille!$F$2:$F$200,23),0), 0)</f>
        <v>0</v>
      </c>
      <c r="D24" s="10">
        <f>IF(AND(Synthèse!A26&lt;&gt;"", 3&lt;=INDEX(Projet_Portefeuille!$F$2:$F$200,23)), -IFERROR(Synthèse!J26/INDEX(Projet_Portefeuille!$F$2:$F$200,23),0), 0)</f>
        <v>0</v>
      </c>
      <c r="E24" s="10">
        <f>IF(AND(Synthèse!A26&lt;&gt;"", 4&lt;=INDEX(Projet_Portefeuille!$F$2:$F$200,23)), -IFERROR(Synthèse!J26/INDEX(Projet_Portefeuille!$F$2:$F$200,23),0), 0)</f>
        <v>0</v>
      </c>
      <c r="F24" s="10">
        <f>IF(AND(Synthèse!A26&lt;&gt;"", 5&lt;=INDEX(Projet_Portefeuille!$F$2:$F$200,23)), -IFERROR(Synthèse!J26/INDEX(Projet_Portefeuille!$F$2:$F$200,23),0), 0)</f>
        <v>0</v>
      </c>
      <c r="G24" s="10">
        <f>IF(AND(Synthèse!A26&lt;&gt;"", 6&lt;=INDEX(Projet_Portefeuille!$F$2:$F$200,23)), -IFERROR(Synthèse!J26/INDEX(Projet_Portefeuille!$F$2:$F$200,23),0), 0)</f>
        <v>0</v>
      </c>
      <c r="H24" s="10">
        <f>IF(AND(Synthèse!A26&lt;&gt;"", 7&lt;=INDEX(Projet_Portefeuille!$F$2:$F$200,23)), -IFERROR(Synthèse!J26/INDEX(Projet_Portefeuille!$F$2:$F$200,23),0), 0)</f>
        <v>0</v>
      </c>
      <c r="I24" s="10">
        <f>IF(AND(Synthèse!A26&lt;&gt;"", 8&lt;=INDEX(Projet_Portefeuille!$F$2:$F$200,23)), -IFERROR(Synthèse!J26/INDEX(Projet_Portefeuille!$F$2:$F$200,23),0), 0)</f>
        <v>0</v>
      </c>
      <c r="J24" s="10">
        <f>IF(AND(Synthèse!A26&lt;&gt;"", 9&lt;=INDEX(Projet_Portefeuille!$F$2:$F$200,23)), -IFERROR(Synthèse!J26/INDEX(Projet_Portefeuille!$F$2:$F$200,23),0), 0)</f>
        <v>0</v>
      </c>
      <c r="K24" s="10">
        <f>IF(AND(Synthèse!A26&lt;&gt;"", 10&lt;=INDEX(Projet_Portefeuille!$F$2:$F$200,23)), -IFERROR(Synthèse!J26/INDEX(Projet_Portefeuille!$F$2:$F$200,23),0), 0)</f>
        <v>0</v>
      </c>
      <c r="L24" s="10">
        <f>IF(AND(Synthèse!A26&lt;&gt;"", 11&lt;=INDEX(Projet_Portefeuille!$F$2:$F$200,23)), -IFERROR(Synthèse!J26/INDEX(Projet_Portefeuille!$F$2:$F$200,23),0), 0)</f>
        <v>0</v>
      </c>
      <c r="M24" s="10">
        <f>IF(AND(Synthèse!A26&lt;&gt;"", 12&lt;=INDEX(Projet_Portefeuille!$F$2:$F$200,23)), -IFERROR(Synthèse!J26/INDEX(Projet_Portefeuille!$F$2:$F$200,23),0), 0)</f>
        <v>0</v>
      </c>
      <c r="N24" s="10">
        <f>SUM(B24:M24)</f>
        <v>0</v>
      </c>
    </row>
    <row r="25" spans="1:14">
      <c r="A25">
        <f>Synthèse!A27</f>
        <v>0</v>
      </c>
      <c r="B25" s="10">
        <f>IF(AND(Synthèse!A27&lt;&gt;"", 1&lt;=INDEX(Projet_Portefeuille!$F$2:$F$200,24)), -IFERROR(Synthèse!J27/INDEX(Projet_Portefeuille!$F$2:$F$200,24),0), 0)</f>
        <v>0</v>
      </c>
      <c r="C25" s="10">
        <f>IF(AND(Synthèse!A27&lt;&gt;"", 2&lt;=INDEX(Projet_Portefeuille!$F$2:$F$200,24)), -IFERROR(Synthèse!J27/INDEX(Projet_Portefeuille!$F$2:$F$200,24),0), 0)</f>
        <v>0</v>
      </c>
      <c r="D25" s="10">
        <f>IF(AND(Synthèse!A27&lt;&gt;"", 3&lt;=INDEX(Projet_Portefeuille!$F$2:$F$200,24)), -IFERROR(Synthèse!J27/INDEX(Projet_Portefeuille!$F$2:$F$200,24),0), 0)</f>
        <v>0</v>
      </c>
      <c r="E25" s="10">
        <f>IF(AND(Synthèse!A27&lt;&gt;"", 4&lt;=INDEX(Projet_Portefeuille!$F$2:$F$200,24)), -IFERROR(Synthèse!J27/INDEX(Projet_Portefeuille!$F$2:$F$200,24),0), 0)</f>
        <v>0</v>
      </c>
      <c r="F25" s="10">
        <f>IF(AND(Synthèse!A27&lt;&gt;"", 5&lt;=INDEX(Projet_Portefeuille!$F$2:$F$200,24)), -IFERROR(Synthèse!J27/INDEX(Projet_Portefeuille!$F$2:$F$200,24),0), 0)</f>
        <v>0</v>
      </c>
      <c r="G25" s="10">
        <f>IF(AND(Synthèse!A27&lt;&gt;"", 6&lt;=INDEX(Projet_Portefeuille!$F$2:$F$200,24)), -IFERROR(Synthèse!J27/INDEX(Projet_Portefeuille!$F$2:$F$200,24),0), 0)</f>
        <v>0</v>
      </c>
      <c r="H25" s="10">
        <f>IF(AND(Synthèse!A27&lt;&gt;"", 7&lt;=INDEX(Projet_Portefeuille!$F$2:$F$200,24)), -IFERROR(Synthèse!J27/INDEX(Projet_Portefeuille!$F$2:$F$200,24),0), 0)</f>
        <v>0</v>
      </c>
      <c r="I25" s="10">
        <f>IF(AND(Synthèse!A27&lt;&gt;"", 8&lt;=INDEX(Projet_Portefeuille!$F$2:$F$200,24)), -IFERROR(Synthèse!J27/INDEX(Projet_Portefeuille!$F$2:$F$200,24),0), 0)</f>
        <v>0</v>
      </c>
      <c r="J25" s="10">
        <f>IF(AND(Synthèse!A27&lt;&gt;"", 9&lt;=INDEX(Projet_Portefeuille!$F$2:$F$200,24)), -IFERROR(Synthèse!J27/INDEX(Projet_Portefeuille!$F$2:$F$200,24),0), 0)</f>
        <v>0</v>
      </c>
      <c r="K25" s="10">
        <f>IF(AND(Synthèse!A27&lt;&gt;"", 10&lt;=INDEX(Projet_Portefeuille!$F$2:$F$200,24)), -IFERROR(Synthèse!J27/INDEX(Projet_Portefeuille!$F$2:$F$200,24),0), 0)</f>
        <v>0</v>
      </c>
      <c r="L25" s="10">
        <f>IF(AND(Synthèse!A27&lt;&gt;"", 11&lt;=INDEX(Projet_Portefeuille!$F$2:$F$200,24)), -IFERROR(Synthèse!J27/INDEX(Projet_Portefeuille!$F$2:$F$200,24),0), 0)</f>
        <v>0</v>
      </c>
      <c r="M25" s="10">
        <f>IF(AND(Synthèse!A27&lt;&gt;"", 12&lt;=INDEX(Projet_Portefeuille!$F$2:$F$200,24)), -IFERROR(Synthèse!J27/INDEX(Projet_Portefeuille!$F$2:$F$200,24),0), 0)</f>
        <v>0</v>
      </c>
      <c r="N25" s="10">
        <f>SUM(B25:M25)</f>
        <v>0</v>
      </c>
    </row>
    <row r="26" spans="1:14">
      <c r="A26">
        <f>Synthèse!A28</f>
        <v>0</v>
      </c>
      <c r="B26" s="10">
        <f>IF(AND(Synthèse!A28&lt;&gt;"", 1&lt;=INDEX(Projet_Portefeuille!$F$2:$F$200,25)), -IFERROR(Synthèse!J28/INDEX(Projet_Portefeuille!$F$2:$F$200,25),0), 0)</f>
        <v>0</v>
      </c>
      <c r="C26" s="10">
        <f>IF(AND(Synthèse!A28&lt;&gt;"", 2&lt;=INDEX(Projet_Portefeuille!$F$2:$F$200,25)), -IFERROR(Synthèse!J28/INDEX(Projet_Portefeuille!$F$2:$F$200,25),0), 0)</f>
        <v>0</v>
      </c>
      <c r="D26" s="10">
        <f>IF(AND(Synthèse!A28&lt;&gt;"", 3&lt;=INDEX(Projet_Portefeuille!$F$2:$F$200,25)), -IFERROR(Synthèse!J28/INDEX(Projet_Portefeuille!$F$2:$F$200,25),0), 0)</f>
        <v>0</v>
      </c>
      <c r="E26" s="10">
        <f>IF(AND(Synthèse!A28&lt;&gt;"", 4&lt;=INDEX(Projet_Portefeuille!$F$2:$F$200,25)), -IFERROR(Synthèse!J28/INDEX(Projet_Portefeuille!$F$2:$F$200,25),0), 0)</f>
        <v>0</v>
      </c>
      <c r="F26" s="10">
        <f>IF(AND(Synthèse!A28&lt;&gt;"", 5&lt;=INDEX(Projet_Portefeuille!$F$2:$F$200,25)), -IFERROR(Synthèse!J28/INDEX(Projet_Portefeuille!$F$2:$F$200,25),0), 0)</f>
        <v>0</v>
      </c>
      <c r="G26" s="10">
        <f>IF(AND(Synthèse!A28&lt;&gt;"", 6&lt;=INDEX(Projet_Portefeuille!$F$2:$F$200,25)), -IFERROR(Synthèse!J28/INDEX(Projet_Portefeuille!$F$2:$F$200,25),0), 0)</f>
        <v>0</v>
      </c>
      <c r="H26" s="10">
        <f>IF(AND(Synthèse!A28&lt;&gt;"", 7&lt;=INDEX(Projet_Portefeuille!$F$2:$F$200,25)), -IFERROR(Synthèse!J28/INDEX(Projet_Portefeuille!$F$2:$F$200,25),0), 0)</f>
        <v>0</v>
      </c>
      <c r="I26" s="10">
        <f>IF(AND(Synthèse!A28&lt;&gt;"", 8&lt;=INDEX(Projet_Portefeuille!$F$2:$F$200,25)), -IFERROR(Synthèse!J28/INDEX(Projet_Portefeuille!$F$2:$F$200,25),0), 0)</f>
        <v>0</v>
      </c>
      <c r="J26" s="10">
        <f>IF(AND(Synthèse!A28&lt;&gt;"", 9&lt;=INDEX(Projet_Portefeuille!$F$2:$F$200,25)), -IFERROR(Synthèse!J28/INDEX(Projet_Portefeuille!$F$2:$F$200,25),0), 0)</f>
        <v>0</v>
      </c>
      <c r="K26" s="10">
        <f>IF(AND(Synthèse!A28&lt;&gt;"", 10&lt;=INDEX(Projet_Portefeuille!$F$2:$F$200,25)), -IFERROR(Synthèse!J28/INDEX(Projet_Portefeuille!$F$2:$F$200,25),0), 0)</f>
        <v>0</v>
      </c>
      <c r="L26" s="10">
        <f>IF(AND(Synthèse!A28&lt;&gt;"", 11&lt;=INDEX(Projet_Portefeuille!$F$2:$F$200,25)), -IFERROR(Synthèse!J28/INDEX(Projet_Portefeuille!$F$2:$F$200,25),0), 0)</f>
        <v>0</v>
      </c>
      <c r="M26" s="10">
        <f>IF(AND(Synthèse!A28&lt;&gt;"", 12&lt;=INDEX(Projet_Portefeuille!$F$2:$F$200,25)), -IFERROR(Synthèse!J28/INDEX(Projet_Portefeuille!$F$2:$F$200,25),0), 0)</f>
        <v>0</v>
      </c>
      <c r="N26" s="10">
        <f>SUM(B26:M26)</f>
        <v>0</v>
      </c>
    </row>
    <row r="27" spans="1:14">
      <c r="A27">
        <f>Synthèse!A29</f>
        <v>0</v>
      </c>
      <c r="B27" s="10">
        <f>IF(AND(Synthèse!A29&lt;&gt;"", 1&lt;=INDEX(Projet_Portefeuille!$F$2:$F$200,26)), -IFERROR(Synthèse!J29/INDEX(Projet_Portefeuille!$F$2:$F$200,26),0), 0)</f>
        <v>0</v>
      </c>
      <c r="C27" s="10">
        <f>IF(AND(Synthèse!A29&lt;&gt;"", 2&lt;=INDEX(Projet_Portefeuille!$F$2:$F$200,26)), -IFERROR(Synthèse!J29/INDEX(Projet_Portefeuille!$F$2:$F$200,26),0), 0)</f>
        <v>0</v>
      </c>
      <c r="D27" s="10">
        <f>IF(AND(Synthèse!A29&lt;&gt;"", 3&lt;=INDEX(Projet_Portefeuille!$F$2:$F$200,26)), -IFERROR(Synthèse!J29/INDEX(Projet_Portefeuille!$F$2:$F$200,26),0), 0)</f>
        <v>0</v>
      </c>
      <c r="E27" s="10">
        <f>IF(AND(Synthèse!A29&lt;&gt;"", 4&lt;=INDEX(Projet_Portefeuille!$F$2:$F$200,26)), -IFERROR(Synthèse!J29/INDEX(Projet_Portefeuille!$F$2:$F$200,26),0), 0)</f>
        <v>0</v>
      </c>
      <c r="F27" s="10">
        <f>IF(AND(Synthèse!A29&lt;&gt;"", 5&lt;=INDEX(Projet_Portefeuille!$F$2:$F$200,26)), -IFERROR(Synthèse!J29/INDEX(Projet_Portefeuille!$F$2:$F$200,26),0), 0)</f>
        <v>0</v>
      </c>
      <c r="G27" s="10">
        <f>IF(AND(Synthèse!A29&lt;&gt;"", 6&lt;=INDEX(Projet_Portefeuille!$F$2:$F$200,26)), -IFERROR(Synthèse!J29/INDEX(Projet_Portefeuille!$F$2:$F$200,26),0), 0)</f>
        <v>0</v>
      </c>
      <c r="H27" s="10">
        <f>IF(AND(Synthèse!A29&lt;&gt;"", 7&lt;=INDEX(Projet_Portefeuille!$F$2:$F$200,26)), -IFERROR(Synthèse!J29/INDEX(Projet_Portefeuille!$F$2:$F$200,26),0), 0)</f>
        <v>0</v>
      </c>
      <c r="I27" s="10">
        <f>IF(AND(Synthèse!A29&lt;&gt;"", 8&lt;=INDEX(Projet_Portefeuille!$F$2:$F$200,26)), -IFERROR(Synthèse!J29/INDEX(Projet_Portefeuille!$F$2:$F$200,26),0), 0)</f>
        <v>0</v>
      </c>
      <c r="J27" s="10">
        <f>IF(AND(Synthèse!A29&lt;&gt;"", 9&lt;=INDEX(Projet_Portefeuille!$F$2:$F$200,26)), -IFERROR(Synthèse!J29/INDEX(Projet_Portefeuille!$F$2:$F$200,26),0), 0)</f>
        <v>0</v>
      </c>
      <c r="K27" s="10">
        <f>IF(AND(Synthèse!A29&lt;&gt;"", 10&lt;=INDEX(Projet_Portefeuille!$F$2:$F$200,26)), -IFERROR(Synthèse!J29/INDEX(Projet_Portefeuille!$F$2:$F$200,26),0), 0)</f>
        <v>0</v>
      </c>
      <c r="L27" s="10">
        <f>IF(AND(Synthèse!A29&lt;&gt;"", 11&lt;=INDEX(Projet_Portefeuille!$F$2:$F$200,26)), -IFERROR(Synthèse!J29/INDEX(Projet_Portefeuille!$F$2:$F$200,26),0), 0)</f>
        <v>0</v>
      </c>
      <c r="M27" s="10">
        <f>IF(AND(Synthèse!A29&lt;&gt;"", 12&lt;=INDEX(Projet_Portefeuille!$F$2:$F$200,26)), -IFERROR(Synthèse!J29/INDEX(Projet_Portefeuille!$F$2:$F$200,26),0), 0)</f>
        <v>0</v>
      </c>
      <c r="N27" s="10">
        <f>SUM(B27:M27)</f>
        <v>0</v>
      </c>
    </row>
    <row r="28" spans="1:14">
      <c r="A28">
        <f>Synthèse!A30</f>
        <v>0</v>
      </c>
      <c r="B28" s="10">
        <f>IF(AND(Synthèse!A30&lt;&gt;"", 1&lt;=INDEX(Projet_Portefeuille!$F$2:$F$200,27)), -IFERROR(Synthèse!J30/INDEX(Projet_Portefeuille!$F$2:$F$200,27),0), 0)</f>
        <v>0</v>
      </c>
      <c r="C28" s="10">
        <f>IF(AND(Synthèse!A30&lt;&gt;"", 2&lt;=INDEX(Projet_Portefeuille!$F$2:$F$200,27)), -IFERROR(Synthèse!J30/INDEX(Projet_Portefeuille!$F$2:$F$200,27),0), 0)</f>
        <v>0</v>
      </c>
      <c r="D28" s="10">
        <f>IF(AND(Synthèse!A30&lt;&gt;"", 3&lt;=INDEX(Projet_Portefeuille!$F$2:$F$200,27)), -IFERROR(Synthèse!J30/INDEX(Projet_Portefeuille!$F$2:$F$200,27),0), 0)</f>
        <v>0</v>
      </c>
      <c r="E28" s="10">
        <f>IF(AND(Synthèse!A30&lt;&gt;"", 4&lt;=INDEX(Projet_Portefeuille!$F$2:$F$200,27)), -IFERROR(Synthèse!J30/INDEX(Projet_Portefeuille!$F$2:$F$200,27),0), 0)</f>
        <v>0</v>
      </c>
      <c r="F28" s="10">
        <f>IF(AND(Synthèse!A30&lt;&gt;"", 5&lt;=INDEX(Projet_Portefeuille!$F$2:$F$200,27)), -IFERROR(Synthèse!J30/INDEX(Projet_Portefeuille!$F$2:$F$200,27),0), 0)</f>
        <v>0</v>
      </c>
      <c r="G28" s="10">
        <f>IF(AND(Synthèse!A30&lt;&gt;"", 6&lt;=INDEX(Projet_Portefeuille!$F$2:$F$200,27)), -IFERROR(Synthèse!J30/INDEX(Projet_Portefeuille!$F$2:$F$200,27),0), 0)</f>
        <v>0</v>
      </c>
      <c r="H28" s="10">
        <f>IF(AND(Synthèse!A30&lt;&gt;"", 7&lt;=INDEX(Projet_Portefeuille!$F$2:$F$200,27)), -IFERROR(Synthèse!J30/INDEX(Projet_Portefeuille!$F$2:$F$200,27),0), 0)</f>
        <v>0</v>
      </c>
      <c r="I28" s="10">
        <f>IF(AND(Synthèse!A30&lt;&gt;"", 8&lt;=INDEX(Projet_Portefeuille!$F$2:$F$200,27)), -IFERROR(Synthèse!J30/INDEX(Projet_Portefeuille!$F$2:$F$200,27),0), 0)</f>
        <v>0</v>
      </c>
      <c r="J28" s="10">
        <f>IF(AND(Synthèse!A30&lt;&gt;"", 9&lt;=INDEX(Projet_Portefeuille!$F$2:$F$200,27)), -IFERROR(Synthèse!J30/INDEX(Projet_Portefeuille!$F$2:$F$200,27),0), 0)</f>
        <v>0</v>
      </c>
      <c r="K28" s="10">
        <f>IF(AND(Synthèse!A30&lt;&gt;"", 10&lt;=INDEX(Projet_Portefeuille!$F$2:$F$200,27)), -IFERROR(Synthèse!J30/INDEX(Projet_Portefeuille!$F$2:$F$200,27),0), 0)</f>
        <v>0</v>
      </c>
      <c r="L28" s="10">
        <f>IF(AND(Synthèse!A30&lt;&gt;"", 11&lt;=INDEX(Projet_Portefeuille!$F$2:$F$200,27)), -IFERROR(Synthèse!J30/INDEX(Projet_Portefeuille!$F$2:$F$200,27),0), 0)</f>
        <v>0</v>
      </c>
      <c r="M28" s="10">
        <f>IF(AND(Synthèse!A30&lt;&gt;"", 12&lt;=INDEX(Projet_Portefeuille!$F$2:$F$200,27)), -IFERROR(Synthèse!J30/INDEX(Projet_Portefeuille!$F$2:$F$200,27),0), 0)</f>
        <v>0</v>
      </c>
      <c r="N28" s="10">
        <f>SUM(B28:M28)</f>
        <v>0</v>
      </c>
    </row>
    <row r="29" spans="1:14">
      <c r="A29">
        <f>Synthèse!A31</f>
        <v>0</v>
      </c>
      <c r="B29" s="10">
        <f>IF(AND(Synthèse!A31&lt;&gt;"", 1&lt;=INDEX(Projet_Portefeuille!$F$2:$F$200,28)), -IFERROR(Synthèse!J31/INDEX(Projet_Portefeuille!$F$2:$F$200,28),0), 0)</f>
        <v>0</v>
      </c>
      <c r="C29" s="10">
        <f>IF(AND(Synthèse!A31&lt;&gt;"", 2&lt;=INDEX(Projet_Portefeuille!$F$2:$F$200,28)), -IFERROR(Synthèse!J31/INDEX(Projet_Portefeuille!$F$2:$F$200,28),0), 0)</f>
        <v>0</v>
      </c>
      <c r="D29" s="10">
        <f>IF(AND(Synthèse!A31&lt;&gt;"", 3&lt;=INDEX(Projet_Portefeuille!$F$2:$F$200,28)), -IFERROR(Synthèse!J31/INDEX(Projet_Portefeuille!$F$2:$F$200,28),0), 0)</f>
        <v>0</v>
      </c>
      <c r="E29" s="10">
        <f>IF(AND(Synthèse!A31&lt;&gt;"", 4&lt;=INDEX(Projet_Portefeuille!$F$2:$F$200,28)), -IFERROR(Synthèse!J31/INDEX(Projet_Portefeuille!$F$2:$F$200,28),0), 0)</f>
        <v>0</v>
      </c>
      <c r="F29" s="10">
        <f>IF(AND(Synthèse!A31&lt;&gt;"", 5&lt;=INDEX(Projet_Portefeuille!$F$2:$F$200,28)), -IFERROR(Synthèse!J31/INDEX(Projet_Portefeuille!$F$2:$F$200,28),0), 0)</f>
        <v>0</v>
      </c>
      <c r="G29" s="10">
        <f>IF(AND(Synthèse!A31&lt;&gt;"", 6&lt;=INDEX(Projet_Portefeuille!$F$2:$F$200,28)), -IFERROR(Synthèse!J31/INDEX(Projet_Portefeuille!$F$2:$F$200,28),0), 0)</f>
        <v>0</v>
      </c>
      <c r="H29" s="10">
        <f>IF(AND(Synthèse!A31&lt;&gt;"", 7&lt;=INDEX(Projet_Portefeuille!$F$2:$F$200,28)), -IFERROR(Synthèse!J31/INDEX(Projet_Portefeuille!$F$2:$F$200,28),0), 0)</f>
        <v>0</v>
      </c>
      <c r="I29" s="10">
        <f>IF(AND(Synthèse!A31&lt;&gt;"", 8&lt;=INDEX(Projet_Portefeuille!$F$2:$F$200,28)), -IFERROR(Synthèse!J31/INDEX(Projet_Portefeuille!$F$2:$F$200,28),0), 0)</f>
        <v>0</v>
      </c>
      <c r="J29" s="10">
        <f>IF(AND(Synthèse!A31&lt;&gt;"", 9&lt;=INDEX(Projet_Portefeuille!$F$2:$F$200,28)), -IFERROR(Synthèse!J31/INDEX(Projet_Portefeuille!$F$2:$F$200,28),0), 0)</f>
        <v>0</v>
      </c>
      <c r="K29" s="10">
        <f>IF(AND(Synthèse!A31&lt;&gt;"", 10&lt;=INDEX(Projet_Portefeuille!$F$2:$F$200,28)), -IFERROR(Synthèse!J31/INDEX(Projet_Portefeuille!$F$2:$F$200,28),0), 0)</f>
        <v>0</v>
      </c>
      <c r="L29" s="10">
        <f>IF(AND(Synthèse!A31&lt;&gt;"", 11&lt;=INDEX(Projet_Portefeuille!$F$2:$F$200,28)), -IFERROR(Synthèse!J31/INDEX(Projet_Portefeuille!$F$2:$F$200,28),0), 0)</f>
        <v>0</v>
      </c>
      <c r="M29" s="10">
        <f>IF(AND(Synthèse!A31&lt;&gt;"", 12&lt;=INDEX(Projet_Portefeuille!$F$2:$F$200,28)), -IFERROR(Synthèse!J31/INDEX(Projet_Portefeuille!$F$2:$F$200,28),0), 0)</f>
        <v>0</v>
      </c>
      <c r="N29" s="10">
        <f>SUM(B29:M29)</f>
        <v>0</v>
      </c>
    </row>
    <row r="30" spans="1:14">
      <c r="A30">
        <f>Synthèse!A32</f>
        <v>0</v>
      </c>
      <c r="B30" s="10">
        <f>IF(AND(Synthèse!A32&lt;&gt;"", 1&lt;=INDEX(Projet_Portefeuille!$F$2:$F$200,29)), -IFERROR(Synthèse!J32/INDEX(Projet_Portefeuille!$F$2:$F$200,29),0), 0)</f>
        <v>0</v>
      </c>
      <c r="C30" s="10">
        <f>IF(AND(Synthèse!A32&lt;&gt;"", 2&lt;=INDEX(Projet_Portefeuille!$F$2:$F$200,29)), -IFERROR(Synthèse!J32/INDEX(Projet_Portefeuille!$F$2:$F$200,29),0), 0)</f>
        <v>0</v>
      </c>
      <c r="D30" s="10">
        <f>IF(AND(Synthèse!A32&lt;&gt;"", 3&lt;=INDEX(Projet_Portefeuille!$F$2:$F$200,29)), -IFERROR(Synthèse!J32/INDEX(Projet_Portefeuille!$F$2:$F$200,29),0), 0)</f>
        <v>0</v>
      </c>
      <c r="E30" s="10">
        <f>IF(AND(Synthèse!A32&lt;&gt;"", 4&lt;=INDEX(Projet_Portefeuille!$F$2:$F$200,29)), -IFERROR(Synthèse!J32/INDEX(Projet_Portefeuille!$F$2:$F$200,29),0), 0)</f>
        <v>0</v>
      </c>
      <c r="F30" s="10">
        <f>IF(AND(Synthèse!A32&lt;&gt;"", 5&lt;=INDEX(Projet_Portefeuille!$F$2:$F$200,29)), -IFERROR(Synthèse!J32/INDEX(Projet_Portefeuille!$F$2:$F$200,29),0), 0)</f>
        <v>0</v>
      </c>
      <c r="G30" s="10">
        <f>IF(AND(Synthèse!A32&lt;&gt;"", 6&lt;=INDEX(Projet_Portefeuille!$F$2:$F$200,29)), -IFERROR(Synthèse!J32/INDEX(Projet_Portefeuille!$F$2:$F$200,29),0), 0)</f>
        <v>0</v>
      </c>
      <c r="H30" s="10">
        <f>IF(AND(Synthèse!A32&lt;&gt;"", 7&lt;=INDEX(Projet_Portefeuille!$F$2:$F$200,29)), -IFERROR(Synthèse!J32/INDEX(Projet_Portefeuille!$F$2:$F$200,29),0), 0)</f>
        <v>0</v>
      </c>
      <c r="I30" s="10">
        <f>IF(AND(Synthèse!A32&lt;&gt;"", 8&lt;=INDEX(Projet_Portefeuille!$F$2:$F$200,29)), -IFERROR(Synthèse!J32/INDEX(Projet_Portefeuille!$F$2:$F$200,29),0), 0)</f>
        <v>0</v>
      </c>
      <c r="J30" s="10">
        <f>IF(AND(Synthèse!A32&lt;&gt;"", 9&lt;=INDEX(Projet_Portefeuille!$F$2:$F$200,29)), -IFERROR(Synthèse!J32/INDEX(Projet_Portefeuille!$F$2:$F$200,29),0), 0)</f>
        <v>0</v>
      </c>
      <c r="K30" s="10">
        <f>IF(AND(Synthèse!A32&lt;&gt;"", 10&lt;=INDEX(Projet_Portefeuille!$F$2:$F$200,29)), -IFERROR(Synthèse!J32/INDEX(Projet_Portefeuille!$F$2:$F$200,29),0), 0)</f>
        <v>0</v>
      </c>
      <c r="L30" s="10">
        <f>IF(AND(Synthèse!A32&lt;&gt;"", 11&lt;=INDEX(Projet_Portefeuille!$F$2:$F$200,29)), -IFERROR(Synthèse!J32/INDEX(Projet_Portefeuille!$F$2:$F$200,29),0), 0)</f>
        <v>0</v>
      </c>
      <c r="M30" s="10">
        <f>IF(AND(Synthèse!A32&lt;&gt;"", 12&lt;=INDEX(Projet_Portefeuille!$F$2:$F$200,29)), -IFERROR(Synthèse!J32/INDEX(Projet_Portefeuille!$F$2:$F$200,29),0), 0)</f>
        <v>0</v>
      </c>
      <c r="N30" s="10">
        <f>SUM(B30:M30)</f>
        <v>0</v>
      </c>
    </row>
    <row r="31" spans="1:14">
      <c r="A31">
        <f>Synthèse!A33</f>
        <v>0</v>
      </c>
      <c r="B31" s="10">
        <f>IF(AND(Synthèse!A33&lt;&gt;"", 1&lt;=INDEX(Projet_Portefeuille!$F$2:$F$200,30)), -IFERROR(Synthèse!J33/INDEX(Projet_Portefeuille!$F$2:$F$200,30),0), 0)</f>
        <v>0</v>
      </c>
      <c r="C31" s="10">
        <f>IF(AND(Synthèse!A33&lt;&gt;"", 2&lt;=INDEX(Projet_Portefeuille!$F$2:$F$200,30)), -IFERROR(Synthèse!J33/INDEX(Projet_Portefeuille!$F$2:$F$200,30),0), 0)</f>
        <v>0</v>
      </c>
      <c r="D31" s="10">
        <f>IF(AND(Synthèse!A33&lt;&gt;"", 3&lt;=INDEX(Projet_Portefeuille!$F$2:$F$200,30)), -IFERROR(Synthèse!J33/INDEX(Projet_Portefeuille!$F$2:$F$200,30),0), 0)</f>
        <v>0</v>
      </c>
      <c r="E31" s="10">
        <f>IF(AND(Synthèse!A33&lt;&gt;"", 4&lt;=INDEX(Projet_Portefeuille!$F$2:$F$200,30)), -IFERROR(Synthèse!J33/INDEX(Projet_Portefeuille!$F$2:$F$200,30),0), 0)</f>
        <v>0</v>
      </c>
      <c r="F31" s="10">
        <f>IF(AND(Synthèse!A33&lt;&gt;"", 5&lt;=INDEX(Projet_Portefeuille!$F$2:$F$200,30)), -IFERROR(Synthèse!J33/INDEX(Projet_Portefeuille!$F$2:$F$200,30),0), 0)</f>
        <v>0</v>
      </c>
      <c r="G31" s="10">
        <f>IF(AND(Synthèse!A33&lt;&gt;"", 6&lt;=INDEX(Projet_Portefeuille!$F$2:$F$200,30)), -IFERROR(Synthèse!J33/INDEX(Projet_Portefeuille!$F$2:$F$200,30),0), 0)</f>
        <v>0</v>
      </c>
      <c r="H31" s="10">
        <f>IF(AND(Synthèse!A33&lt;&gt;"", 7&lt;=INDEX(Projet_Portefeuille!$F$2:$F$200,30)), -IFERROR(Synthèse!J33/INDEX(Projet_Portefeuille!$F$2:$F$200,30),0), 0)</f>
        <v>0</v>
      </c>
      <c r="I31" s="10">
        <f>IF(AND(Synthèse!A33&lt;&gt;"", 8&lt;=INDEX(Projet_Portefeuille!$F$2:$F$200,30)), -IFERROR(Synthèse!J33/INDEX(Projet_Portefeuille!$F$2:$F$200,30),0), 0)</f>
        <v>0</v>
      </c>
      <c r="J31" s="10">
        <f>IF(AND(Synthèse!A33&lt;&gt;"", 9&lt;=INDEX(Projet_Portefeuille!$F$2:$F$200,30)), -IFERROR(Synthèse!J33/INDEX(Projet_Portefeuille!$F$2:$F$200,30),0), 0)</f>
        <v>0</v>
      </c>
      <c r="K31" s="10">
        <f>IF(AND(Synthèse!A33&lt;&gt;"", 10&lt;=INDEX(Projet_Portefeuille!$F$2:$F$200,30)), -IFERROR(Synthèse!J33/INDEX(Projet_Portefeuille!$F$2:$F$200,30),0), 0)</f>
        <v>0</v>
      </c>
      <c r="L31" s="10">
        <f>IF(AND(Synthèse!A33&lt;&gt;"", 11&lt;=INDEX(Projet_Portefeuille!$F$2:$F$200,30)), -IFERROR(Synthèse!J33/INDEX(Projet_Portefeuille!$F$2:$F$200,30),0), 0)</f>
        <v>0</v>
      </c>
      <c r="M31" s="10">
        <f>IF(AND(Synthèse!A33&lt;&gt;"", 12&lt;=INDEX(Projet_Portefeuille!$F$2:$F$200,30)), -IFERROR(Synthèse!J33/INDEX(Projet_Portefeuille!$F$2:$F$200,30),0), 0)</f>
        <v>0</v>
      </c>
      <c r="N31" s="10">
        <f>SUM(B31:M31)</f>
        <v>0</v>
      </c>
    </row>
    <row r="34" spans="13:14">
      <c r="M34" s="4" t="s">
        <v>111</v>
      </c>
      <c r="N34" s="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3"/>
  <sheetViews>
    <sheetView workbookViewId="0"/>
  </sheetViews>
  <sheetFormatPr defaultRowHeight="15"/>
  <cols>
    <col min="1" max="1" width="12.7109375" customWidth="1"/>
    <col min="2" max="2" width="28.7109375" customWidth="1"/>
    <col min="3" max="6" width="18.7109375" customWidth="1"/>
  </cols>
  <sheetData>
    <row r="1" spans="1:6">
      <c r="A1" s="1" t="s">
        <v>113</v>
      </c>
    </row>
    <row r="3" spans="1:6">
      <c r="A3" s="7" t="s">
        <v>25</v>
      </c>
      <c r="B3" s="7" t="s">
        <v>10</v>
      </c>
      <c r="C3" s="7" t="s">
        <v>114</v>
      </c>
      <c r="D3" s="7" t="s">
        <v>115</v>
      </c>
      <c r="E3" s="9" t="s">
        <v>116</v>
      </c>
      <c r="F3" s="9" t="s">
        <v>117</v>
      </c>
    </row>
    <row r="4" spans="1:6">
      <c r="A4">
        <f>Synthèse!A3</f>
        <v>0</v>
      </c>
      <c r="B4">
        <f>Synthèse!B3</f>
        <v>0</v>
      </c>
      <c r="C4" s="10">
        <f>IF(A4="",0,NPV(TAUX_ACTU, Cashflow!B3:M3))</f>
        <v>0</v>
      </c>
      <c r="D4" s="6">
        <f>IF(A4="",0,IFERROR(IRR(Cashflow!B3:M3),0))</f>
        <v>0</v>
      </c>
      <c r="E4" s="10">
        <f>SUM(Cashflow!B3:M3)</f>
        <v>0</v>
      </c>
      <c r="F4" t="s">
        <v>118</v>
      </c>
    </row>
    <row r="5" spans="1:6">
      <c r="A5">
        <f>Synthèse!A4</f>
        <v>0</v>
      </c>
      <c r="B5">
        <f>Synthèse!B4</f>
        <v>0</v>
      </c>
      <c r="C5" s="10">
        <f>IF(A5="",0,NPV(TAUX_ACTU, Cashflow!B4:M4))</f>
        <v>0</v>
      </c>
      <c r="D5" s="6">
        <f>IF(A5="",0,IFERROR(IRR(Cashflow!B4:M4),0))</f>
        <v>0</v>
      </c>
      <c r="E5" s="10">
        <f>SUM(Cashflow!B4:M4)</f>
        <v>0</v>
      </c>
      <c r="F5" t="s">
        <v>118</v>
      </c>
    </row>
    <row r="6" spans="1:6">
      <c r="A6">
        <f>Synthèse!A5</f>
        <v>0</v>
      </c>
      <c r="B6">
        <f>Synthèse!B5</f>
        <v>0</v>
      </c>
      <c r="C6" s="10">
        <f>IF(A6="",0,NPV(TAUX_ACTU, Cashflow!B5:M5))</f>
        <v>0</v>
      </c>
      <c r="D6" s="6">
        <f>IF(A6="",0,IFERROR(IRR(Cashflow!B5:M5),0))</f>
        <v>0</v>
      </c>
      <c r="E6" s="10">
        <f>SUM(Cashflow!B5:M5)</f>
        <v>0</v>
      </c>
      <c r="F6" t="s">
        <v>118</v>
      </c>
    </row>
    <row r="7" spans="1:6">
      <c r="A7">
        <f>Synthèse!A6</f>
        <v>0</v>
      </c>
      <c r="B7">
        <f>Synthèse!B6</f>
        <v>0</v>
      </c>
      <c r="C7" s="10">
        <f>IF(A7="",0,NPV(TAUX_ACTU, Cashflow!B6:M6))</f>
        <v>0</v>
      </c>
      <c r="D7" s="6">
        <f>IF(A7="",0,IFERROR(IRR(Cashflow!B6:M6),0))</f>
        <v>0</v>
      </c>
      <c r="E7" s="10">
        <f>SUM(Cashflow!B6:M6)</f>
        <v>0</v>
      </c>
      <c r="F7" t="s">
        <v>118</v>
      </c>
    </row>
    <row r="8" spans="1:6">
      <c r="A8">
        <f>Synthèse!A7</f>
        <v>0</v>
      </c>
      <c r="B8">
        <f>Synthèse!B7</f>
        <v>0</v>
      </c>
      <c r="C8" s="10">
        <f>IF(A8="",0,NPV(TAUX_ACTU, Cashflow!B7:M7))</f>
        <v>0</v>
      </c>
      <c r="D8" s="6">
        <f>IF(A8="",0,IFERROR(IRR(Cashflow!B7:M7),0))</f>
        <v>0</v>
      </c>
      <c r="E8" s="10">
        <f>SUM(Cashflow!B7:M7)</f>
        <v>0</v>
      </c>
      <c r="F8" t="s">
        <v>118</v>
      </c>
    </row>
    <row r="9" spans="1:6">
      <c r="A9">
        <f>Synthèse!A8</f>
        <v>0</v>
      </c>
      <c r="B9">
        <f>Synthèse!B8</f>
        <v>0</v>
      </c>
      <c r="C9" s="10">
        <f>IF(A9="",0,NPV(TAUX_ACTU, Cashflow!B8:M8))</f>
        <v>0</v>
      </c>
      <c r="D9" s="6">
        <f>IF(A9="",0,IFERROR(IRR(Cashflow!B8:M8),0))</f>
        <v>0</v>
      </c>
      <c r="E9" s="10">
        <f>SUM(Cashflow!B8:M8)</f>
        <v>0</v>
      </c>
      <c r="F9" t="s">
        <v>118</v>
      </c>
    </row>
    <row r="10" spans="1:6">
      <c r="A10">
        <f>Synthèse!A9</f>
        <v>0</v>
      </c>
      <c r="B10">
        <f>Synthèse!B9</f>
        <v>0</v>
      </c>
      <c r="C10" s="10">
        <f>IF(A10="",0,NPV(TAUX_ACTU, Cashflow!B9:M9))</f>
        <v>0</v>
      </c>
      <c r="D10" s="6">
        <f>IF(A10="",0,IFERROR(IRR(Cashflow!B9:M9),0))</f>
        <v>0</v>
      </c>
      <c r="E10" s="10">
        <f>SUM(Cashflow!B9:M9)</f>
        <v>0</v>
      </c>
      <c r="F10" t="s">
        <v>118</v>
      </c>
    </row>
    <row r="11" spans="1:6">
      <c r="A11">
        <f>Synthèse!A10</f>
        <v>0</v>
      </c>
      <c r="B11">
        <f>Synthèse!B10</f>
        <v>0</v>
      </c>
      <c r="C11" s="10">
        <f>IF(A11="",0,NPV(TAUX_ACTU, Cashflow!B10:M10))</f>
        <v>0</v>
      </c>
      <c r="D11" s="6">
        <f>IF(A11="",0,IFERROR(IRR(Cashflow!B10:M10),0))</f>
        <v>0</v>
      </c>
      <c r="E11" s="10">
        <f>SUM(Cashflow!B10:M10)</f>
        <v>0</v>
      </c>
      <c r="F11" t="s">
        <v>118</v>
      </c>
    </row>
    <row r="12" spans="1:6">
      <c r="A12">
        <f>Synthèse!A11</f>
        <v>0</v>
      </c>
      <c r="B12">
        <f>Synthèse!B11</f>
        <v>0</v>
      </c>
      <c r="C12" s="10">
        <f>IF(A12="",0,NPV(TAUX_ACTU, Cashflow!B11:M11))</f>
        <v>0</v>
      </c>
      <c r="D12" s="6">
        <f>IF(A12="",0,IFERROR(IRR(Cashflow!B11:M11),0))</f>
        <v>0</v>
      </c>
      <c r="E12" s="10">
        <f>SUM(Cashflow!B11:M11)</f>
        <v>0</v>
      </c>
      <c r="F12" t="s">
        <v>118</v>
      </c>
    </row>
    <row r="13" spans="1:6">
      <c r="A13">
        <f>Synthèse!A12</f>
        <v>0</v>
      </c>
      <c r="B13">
        <f>Synthèse!B12</f>
        <v>0</v>
      </c>
      <c r="C13" s="10">
        <f>IF(A13="",0,NPV(TAUX_ACTU, Cashflow!B12:M12))</f>
        <v>0</v>
      </c>
      <c r="D13" s="6">
        <f>IF(A13="",0,IFERROR(IRR(Cashflow!B12:M12),0))</f>
        <v>0</v>
      </c>
      <c r="E13" s="10">
        <f>SUM(Cashflow!B12:M12)</f>
        <v>0</v>
      </c>
      <c r="F13" t="s">
        <v>118</v>
      </c>
    </row>
    <row r="14" spans="1:6">
      <c r="A14">
        <f>Synthèse!A13</f>
        <v>0</v>
      </c>
      <c r="B14">
        <f>Synthèse!B13</f>
        <v>0</v>
      </c>
      <c r="C14" s="10">
        <f>IF(A14="",0,NPV(TAUX_ACTU, Cashflow!B13:M13))</f>
        <v>0</v>
      </c>
      <c r="D14" s="6">
        <f>IF(A14="",0,IFERROR(IRR(Cashflow!B13:M13),0))</f>
        <v>0</v>
      </c>
      <c r="E14" s="10">
        <f>SUM(Cashflow!B13:M13)</f>
        <v>0</v>
      </c>
      <c r="F14" t="s">
        <v>118</v>
      </c>
    </row>
    <row r="15" spans="1:6">
      <c r="A15">
        <f>Synthèse!A14</f>
        <v>0</v>
      </c>
      <c r="B15">
        <f>Synthèse!B14</f>
        <v>0</v>
      </c>
      <c r="C15" s="10">
        <f>IF(A15="",0,NPV(TAUX_ACTU, Cashflow!B14:M14))</f>
        <v>0</v>
      </c>
      <c r="D15" s="6">
        <f>IF(A15="",0,IFERROR(IRR(Cashflow!B14:M14),0))</f>
        <v>0</v>
      </c>
      <c r="E15" s="10">
        <f>SUM(Cashflow!B14:M14)</f>
        <v>0</v>
      </c>
      <c r="F15" t="s">
        <v>118</v>
      </c>
    </row>
    <row r="16" spans="1:6">
      <c r="A16">
        <f>Synthèse!A15</f>
        <v>0</v>
      </c>
      <c r="B16">
        <f>Synthèse!B15</f>
        <v>0</v>
      </c>
      <c r="C16" s="10">
        <f>IF(A16="",0,NPV(TAUX_ACTU, Cashflow!B15:M15))</f>
        <v>0</v>
      </c>
      <c r="D16" s="6">
        <f>IF(A16="",0,IFERROR(IRR(Cashflow!B15:M15),0))</f>
        <v>0</v>
      </c>
      <c r="E16" s="10">
        <f>SUM(Cashflow!B15:M15)</f>
        <v>0</v>
      </c>
      <c r="F16" t="s">
        <v>118</v>
      </c>
    </row>
    <row r="17" spans="1:6">
      <c r="A17">
        <f>Synthèse!A16</f>
        <v>0</v>
      </c>
      <c r="B17">
        <f>Synthèse!B16</f>
        <v>0</v>
      </c>
      <c r="C17" s="10">
        <f>IF(A17="",0,NPV(TAUX_ACTU, Cashflow!B16:M16))</f>
        <v>0</v>
      </c>
      <c r="D17" s="6">
        <f>IF(A17="",0,IFERROR(IRR(Cashflow!B16:M16),0))</f>
        <v>0</v>
      </c>
      <c r="E17" s="10">
        <f>SUM(Cashflow!B16:M16)</f>
        <v>0</v>
      </c>
      <c r="F17" t="s">
        <v>118</v>
      </c>
    </row>
    <row r="18" spans="1:6">
      <c r="A18">
        <f>Synthèse!A17</f>
        <v>0</v>
      </c>
      <c r="B18">
        <f>Synthèse!B17</f>
        <v>0</v>
      </c>
      <c r="C18" s="10">
        <f>IF(A18="",0,NPV(TAUX_ACTU, Cashflow!B17:M17))</f>
        <v>0</v>
      </c>
      <c r="D18" s="6">
        <f>IF(A18="",0,IFERROR(IRR(Cashflow!B17:M17),0))</f>
        <v>0</v>
      </c>
      <c r="E18" s="10">
        <f>SUM(Cashflow!B17:M17)</f>
        <v>0</v>
      </c>
      <c r="F18" t="s">
        <v>118</v>
      </c>
    </row>
    <row r="19" spans="1:6">
      <c r="A19">
        <f>Synthèse!A18</f>
        <v>0</v>
      </c>
      <c r="B19">
        <f>Synthèse!B18</f>
        <v>0</v>
      </c>
      <c r="C19" s="10">
        <f>IF(A19="",0,NPV(TAUX_ACTU, Cashflow!B18:M18))</f>
        <v>0</v>
      </c>
      <c r="D19" s="6">
        <f>IF(A19="",0,IFERROR(IRR(Cashflow!B18:M18),0))</f>
        <v>0</v>
      </c>
      <c r="E19" s="10">
        <f>SUM(Cashflow!B18:M18)</f>
        <v>0</v>
      </c>
      <c r="F19" t="s">
        <v>118</v>
      </c>
    </row>
    <row r="20" spans="1:6">
      <c r="A20">
        <f>Synthèse!A19</f>
        <v>0</v>
      </c>
      <c r="B20">
        <f>Synthèse!B19</f>
        <v>0</v>
      </c>
      <c r="C20" s="10">
        <f>IF(A20="",0,NPV(TAUX_ACTU, Cashflow!B19:M19))</f>
        <v>0</v>
      </c>
      <c r="D20" s="6">
        <f>IF(A20="",0,IFERROR(IRR(Cashflow!B19:M19),0))</f>
        <v>0</v>
      </c>
      <c r="E20" s="10">
        <f>SUM(Cashflow!B19:M19)</f>
        <v>0</v>
      </c>
      <c r="F20" t="s">
        <v>118</v>
      </c>
    </row>
    <row r="21" spans="1:6">
      <c r="A21">
        <f>Synthèse!A20</f>
        <v>0</v>
      </c>
      <c r="B21">
        <f>Synthèse!B20</f>
        <v>0</v>
      </c>
      <c r="C21" s="10">
        <f>IF(A21="",0,NPV(TAUX_ACTU, Cashflow!B20:M20))</f>
        <v>0</v>
      </c>
      <c r="D21" s="6">
        <f>IF(A21="",0,IFERROR(IRR(Cashflow!B20:M20),0))</f>
        <v>0</v>
      </c>
      <c r="E21" s="10">
        <f>SUM(Cashflow!B20:M20)</f>
        <v>0</v>
      </c>
      <c r="F21" t="s">
        <v>118</v>
      </c>
    </row>
    <row r="22" spans="1:6">
      <c r="A22">
        <f>Synthèse!A21</f>
        <v>0</v>
      </c>
      <c r="B22">
        <f>Synthèse!B21</f>
        <v>0</v>
      </c>
      <c r="C22" s="10">
        <f>IF(A22="",0,NPV(TAUX_ACTU, Cashflow!B21:M21))</f>
        <v>0</v>
      </c>
      <c r="D22" s="6">
        <f>IF(A22="",0,IFERROR(IRR(Cashflow!B21:M21),0))</f>
        <v>0</v>
      </c>
      <c r="E22" s="10">
        <f>SUM(Cashflow!B21:M21)</f>
        <v>0</v>
      </c>
      <c r="F22" t="s">
        <v>118</v>
      </c>
    </row>
    <row r="23" spans="1:6">
      <c r="A23">
        <f>Synthèse!A22</f>
        <v>0</v>
      </c>
      <c r="B23">
        <f>Synthèse!B22</f>
        <v>0</v>
      </c>
      <c r="C23" s="10">
        <f>IF(A23="",0,NPV(TAUX_ACTU, Cashflow!B22:M22))</f>
        <v>0</v>
      </c>
      <c r="D23" s="6">
        <f>IF(A23="",0,IFERROR(IRR(Cashflow!B22:M22),0))</f>
        <v>0</v>
      </c>
      <c r="E23" s="10">
        <f>SUM(Cashflow!B22:M22)</f>
        <v>0</v>
      </c>
      <c r="F23" t="s">
        <v>118</v>
      </c>
    </row>
    <row r="24" spans="1:6">
      <c r="A24">
        <f>Synthèse!A23</f>
        <v>0</v>
      </c>
      <c r="B24">
        <f>Synthèse!B23</f>
        <v>0</v>
      </c>
      <c r="C24" s="10">
        <f>IF(A24="",0,NPV(TAUX_ACTU, Cashflow!B23:M23))</f>
        <v>0</v>
      </c>
      <c r="D24" s="6">
        <f>IF(A24="",0,IFERROR(IRR(Cashflow!B23:M23),0))</f>
        <v>0</v>
      </c>
      <c r="E24" s="10">
        <f>SUM(Cashflow!B23:M23)</f>
        <v>0</v>
      </c>
      <c r="F24" t="s">
        <v>118</v>
      </c>
    </row>
    <row r="25" spans="1:6">
      <c r="A25">
        <f>Synthèse!A24</f>
        <v>0</v>
      </c>
      <c r="B25">
        <f>Synthèse!B24</f>
        <v>0</v>
      </c>
      <c r="C25" s="10">
        <f>IF(A25="",0,NPV(TAUX_ACTU, Cashflow!B24:M24))</f>
        <v>0</v>
      </c>
      <c r="D25" s="6">
        <f>IF(A25="",0,IFERROR(IRR(Cashflow!B24:M24),0))</f>
        <v>0</v>
      </c>
      <c r="E25" s="10">
        <f>SUM(Cashflow!B24:M24)</f>
        <v>0</v>
      </c>
      <c r="F25" t="s">
        <v>118</v>
      </c>
    </row>
    <row r="26" spans="1:6">
      <c r="A26">
        <f>Synthèse!A25</f>
        <v>0</v>
      </c>
      <c r="B26">
        <f>Synthèse!B25</f>
        <v>0</v>
      </c>
      <c r="C26" s="10">
        <f>IF(A26="",0,NPV(TAUX_ACTU, Cashflow!B25:M25))</f>
        <v>0</v>
      </c>
      <c r="D26" s="6">
        <f>IF(A26="",0,IFERROR(IRR(Cashflow!B25:M25),0))</f>
        <v>0</v>
      </c>
      <c r="E26" s="10">
        <f>SUM(Cashflow!B25:M25)</f>
        <v>0</v>
      </c>
      <c r="F26" t="s">
        <v>118</v>
      </c>
    </row>
    <row r="27" spans="1:6">
      <c r="A27">
        <f>Synthèse!A26</f>
        <v>0</v>
      </c>
      <c r="B27">
        <f>Synthèse!B26</f>
        <v>0</v>
      </c>
      <c r="C27" s="10">
        <f>IF(A27="",0,NPV(TAUX_ACTU, Cashflow!B26:M26))</f>
        <v>0</v>
      </c>
      <c r="D27" s="6">
        <f>IF(A27="",0,IFERROR(IRR(Cashflow!B26:M26),0))</f>
        <v>0</v>
      </c>
      <c r="E27" s="10">
        <f>SUM(Cashflow!B26:M26)</f>
        <v>0</v>
      </c>
      <c r="F27" t="s">
        <v>118</v>
      </c>
    </row>
    <row r="28" spans="1:6">
      <c r="A28">
        <f>Synthèse!A27</f>
        <v>0</v>
      </c>
      <c r="B28">
        <f>Synthèse!B27</f>
        <v>0</v>
      </c>
      <c r="C28" s="10">
        <f>IF(A28="",0,NPV(TAUX_ACTU, Cashflow!B27:M27))</f>
        <v>0</v>
      </c>
      <c r="D28" s="6">
        <f>IF(A28="",0,IFERROR(IRR(Cashflow!B27:M27),0))</f>
        <v>0</v>
      </c>
      <c r="E28" s="10">
        <f>SUM(Cashflow!B27:M27)</f>
        <v>0</v>
      </c>
      <c r="F28" t="s">
        <v>118</v>
      </c>
    </row>
    <row r="29" spans="1:6">
      <c r="A29">
        <f>Synthèse!A28</f>
        <v>0</v>
      </c>
      <c r="B29">
        <f>Synthèse!B28</f>
        <v>0</v>
      </c>
      <c r="C29" s="10">
        <f>IF(A29="",0,NPV(TAUX_ACTU, Cashflow!B28:M28))</f>
        <v>0</v>
      </c>
      <c r="D29" s="6">
        <f>IF(A29="",0,IFERROR(IRR(Cashflow!B28:M28),0))</f>
        <v>0</v>
      </c>
      <c r="E29" s="10">
        <f>SUM(Cashflow!B28:M28)</f>
        <v>0</v>
      </c>
      <c r="F29" t="s">
        <v>118</v>
      </c>
    </row>
    <row r="30" spans="1:6">
      <c r="A30">
        <f>Synthèse!A29</f>
        <v>0</v>
      </c>
      <c r="B30">
        <f>Synthèse!B29</f>
        <v>0</v>
      </c>
      <c r="C30" s="10">
        <f>IF(A30="",0,NPV(TAUX_ACTU, Cashflow!B29:M29))</f>
        <v>0</v>
      </c>
      <c r="D30" s="6">
        <f>IF(A30="",0,IFERROR(IRR(Cashflow!B29:M29),0))</f>
        <v>0</v>
      </c>
      <c r="E30" s="10">
        <f>SUM(Cashflow!B29:M29)</f>
        <v>0</v>
      </c>
      <c r="F30" t="s">
        <v>118</v>
      </c>
    </row>
    <row r="31" spans="1:6">
      <c r="A31">
        <f>Synthèse!A30</f>
        <v>0</v>
      </c>
      <c r="B31">
        <f>Synthèse!B30</f>
        <v>0</v>
      </c>
      <c r="C31" s="10">
        <f>IF(A31="",0,NPV(TAUX_ACTU, Cashflow!B30:M30))</f>
        <v>0</v>
      </c>
      <c r="D31" s="6">
        <f>IF(A31="",0,IFERROR(IRR(Cashflow!B30:M30),0))</f>
        <v>0</v>
      </c>
      <c r="E31" s="10">
        <f>SUM(Cashflow!B30:M30)</f>
        <v>0</v>
      </c>
      <c r="F31" t="s">
        <v>118</v>
      </c>
    </row>
    <row r="32" spans="1:6">
      <c r="A32">
        <f>Synthèse!A31</f>
        <v>0</v>
      </c>
      <c r="B32">
        <f>Synthèse!B31</f>
        <v>0</v>
      </c>
      <c r="C32" s="10">
        <f>IF(A32="",0,NPV(TAUX_ACTU, Cashflow!B31:M31))</f>
        <v>0</v>
      </c>
      <c r="D32" s="6">
        <f>IF(A32="",0,IFERROR(IRR(Cashflow!B31:M31),0))</f>
        <v>0</v>
      </c>
      <c r="E32" s="10">
        <f>SUM(Cashflow!B31:M31)</f>
        <v>0</v>
      </c>
      <c r="F32" t="s">
        <v>118</v>
      </c>
    </row>
    <row r="33" spans="1:6">
      <c r="A33">
        <f>Synthèse!A32</f>
        <v>0</v>
      </c>
      <c r="B33">
        <f>Synthèse!B32</f>
        <v>0</v>
      </c>
      <c r="C33" s="10">
        <f>IF(A33="",0,NPV(TAUX_ACTU, Cashflow!B32:M32))</f>
        <v>0</v>
      </c>
      <c r="D33" s="6">
        <f>IF(A33="",0,IFERROR(IRR(Cashflow!B32:M32),0))</f>
        <v>0</v>
      </c>
      <c r="E33" s="10">
        <f>SUM(Cashflow!B32:M32)</f>
        <v>0</v>
      </c>
      <c r="F33" t="s">
        <v>118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B18"/>
  <sheetViews>
    <sheetView showGridLines="0" workbookViewId="0"/>
  </sheetViews>
  <sheetFormatPr defaultRowHeight="15"/>
  <cols>
    <col min="1" max="1" width="30.7109375" customWidth="1"/>
    <col min="2" max="2" width="18.7109375" customWidth="1"/>
  </cols>
  <sheetData>
    <row r="1" spans="1:2">
      <c r="A1" s="1" t="s">
        <v>119</v>
      </c>
    </row>
    <row r="3" spans="1:2">
      <c r="A3" s="7" t="s">
        <v>120</v>
      </c>
      <c r="B3" s="7" t="s">
        <v>121</v>
      </c>
    </row>
    <row r="4" spans="1:2">
      <c r="A4">
        <f>IF(Synthèse!A3&lt;&gt;"", Synthèse!B3, "")</f>
        <v>0</v>
      </c>
      <c r="B4" s="10">
        <f>IF(Synthèse!A3&lt;&gt;"", Synthèse!J3, 0)</f>
        <v>0</v>
      </c>
    </row>
    <row r="5" spans="1:2">
      <c r="A5">
        <f>IF(Synthèse!A4&lt;&gt;"", Synthèse!B4, "")</f>
        <v>0</v>
      </c>
      <c r="B5" s="10">
        <f>IF(Synthèse!A4&lt;&gt;"", Synthèse!J4, 0)</f>
        <v>0</v>
      </c>
    </row>
    <row r="6" spans="1:2">
      <c r="A6">
        <f>IF(Synthèse!A5&lt;&gt;"", Synthèse!B5, "")</f>
        <v>0</v>
      </c>
      <c r="B6" s="10">
        <f>IF(Synthèse!A5&lt;&gt;"", Synthèse!J5, 0)</f>
        <v>0</v>
      </c>
    </row>
    <row r="7" spans="1:2">
      <c r="A7">
        <f>IF(Synthèse!A6&lt;&gt;"", Synthèse!B6, "")</f>
        <v>0</v>
      </c>
      <c r="B7" s="10">
        <f>IF(Synthèse!A6&lt;&gt;"", Synthèse!J6, 0)</f>
        <v>0</v>
      </c>
    </row>
    <row r="8" spans="1:2">
      <c r="A8">
        <f>IF(Synthèse!A7&lt;&gt;"", Synthèse!B7, "")</f>
        <v>0</v>
      </c>
      <c r="B8" s="10">
        <f>IF(Synthèse!A7&lt;&gt;"", Synthèse!J7, 0)</f>
        <v>0</v>
      </c>
    </row>
    <row r="9" spans="1:2">
      <c r="A9">
        <f>IF(Synthèse!A8&lt;&gt;"", Synthèse!B8, "")</f>
        <v>0</v>
      </c>
      <c r="B9" s="10">
        <f>IF(Synthèse!A8&lt;&gt;"", Synthèse!J8, 0)</f>
        <v>0</v>
      </c>
    </row>
    <row r="10" spans="1:2">
      <c r="A10">
        <f>IF(Synthèse!A9&lt;&gt;"", Synthèse!B9, "")</f>
        <v>0</v>
      </c>
      <c r="B10" s="10">
        <f>IF(Synthèse!A9&lt;&gt;"", Synthèse!J9, 0)</f>
        <v>0</v>
      </c>
    </row>
    <row r="11" spans="1:2">
      <c r="A11">
        <f>IF(Synthèse!A10&lt;&gt;"", Synthèse!B10, "")</f>
        <v>0</v>
      </c>
      <c r="B11" s="10">
        <f>IF(Synthèse!A10&lt;&gt;"", Synthèse!J10, 0)</f>
        <v>0</v>
      </c>
    </row>
    <row r="12" spans="1:2">
      <c r="A12">
        <f>IF(Synthèse!A11&lt;&gt;"", Synthèse!B11, "")</f>
        <v>0</v>
      </c>
      <c r="B12" s="10">
        <f>IF(Synthèse!A11&lt;&gt;"", Synthèse!J11, 0)</f>
        <v>0</v>
      </c>
    </row>
    <row r="13" spans="1:2">
      <c r="A13">
        <f>IF(Synthèse!A12&lt;&gt;"", Synthèse!B12, "")</f>
        <v>0</v>
      </c>
      <c r="B13" s="10">
        <f>IF(Synthèse!A12&lt;&gt;"", Synthèse!J12, 0)</f>
        <v>0</v>
      </c>
    </row>
    <row r="14" spans="1:2">
      <c r="A14">
        <f>IF(Synthèse!A13&lt;&gt;"", Synthèse!B13, "")</f>
        <v>0</v>
      </c>
      <c r="B14" s="10">
        <f>IF(Synthèse!A13&lt;&gt;"", Synthèse!J13, 0)</f>
        <v>0</v>
      </c>
    </row>
    <row r="15" spans="1:2">
      <c r="A15">
        <f>IF(Synthèse!A14&lt;&gt;"", Synthèse!B14, "")</f>
        <v>0</v>
      </c>
      <c r="B15" s="10">
        <f>IF(Synthèse!A14&lt;&gt;"", Synthèse!J14, 0)</f>
        <v>0</v>
      </c>
    </row>
    <row r="16" spans="1:2">
      <c r="A16">
        <f>IF(Synthèse!A15&lt;&gt;"", Synthèse!B15, "")</f>
        <v>0</v>
      </c>
      <c r="B16" s="10">
        <f>IF(Synthèse!A15&lt;&gt;"", Synthèse!J15, 0)</f>
        <v>0</v>
      </c>
    </row>
    <row r="17" spans="1:2">
      <c r="A17">
        <f>IF(Synthèse!A16&lt;&gt;"", Synthèse!B16, "")</f>
        <v>0</v>
      </c>
      <c r="B17" s="10">
        <f>IF(Synthèse!A16&lt;&gt;"", Synthèse!J16, 0)</f>
        <v>0</v>
      </c>
    </row>
    <row r="18" spans="1:2">
      <c r="A18">
        <f>IF(Synthèse!A17&lt;&gt;"", Synthèse!B17, "")</f>
        <v>0</v>
      </c>
      <c r="B18" s="10">
        <f>IF(Synthèse!A17&lt;&gt;"", Synthèse!J17, 0)</f>
        <v>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24"/>
  <sheetViews>
    <sheetView workbookViewId="0"/>
  </sheetViews>
  <sheetFormatPr defaultRowHeight="15"/>
  <cols>
    <col min="1" max="1" width="12.7109375" customWidth="1"/>
    <col min="2" max="2" width="26.7109375" customWidth="1"/>
    <col min="3" max="3" width="16.7109375" customWidth="1"/>
    <col min="4" max="5" width="14.7109375" customWidth="1"/>
    <col min="6" max="8" width="16.7109375" customWidth="1"/>
    <col min="9" max="10" width="14.7109375" customWidth="1"/>
    <col min="11" max="14" width="16.7109375" customWidth="1"/>
  </cols>
  <sheetData>
    <row r="1" spans="1:13">
      <c r="A1" s="1" t="s">
        <v>122</v>
      </c>
    </row>
    <row r="2" spans="1:13">
      <c r="G2" s="5" t="s">
        <v>123</v>
      </c>
      <c r="H2" s="4" t="s">
        <v>124</v>
      </c>
      <c r="I2" s="13">
        <v>6</v>
      </c>
    </row>
    <row r="4" spans="1:13">
      <c r="A4" s="7" t="s">
        <v>25</v>
      </c>
      <c r="B4" s="7" t="s">
        <v>10</v>
      </c>
      <c r="C4" s="7" t="s">
        <v>125</v>
      </c>
      <c r="D4" s="7" t="s">
        <v>126</v>
      </c>
      <c r="E4" s="7" t="s">
        <v>127</v>
      </c>
      <c r="F4" s="7" t="s">
        <v>128</v>
      </c>
      <c r="G4" s="7" t="s">
        <v>129</v>
      </c>
      <c r="H4" s="7" t="s">
        <v>130</v>
      </c>
      <c r="I4" s="9" t="s">
        <v>131</v>
      </c>
      <c r="J4" s="9" t="s">
        <v>132</v>
      </c>
      <c r="K4" s="9" t="s">
        <v>133</v>
      </c>
      <c r="L4" s="9" t="s">
        <v>134</v>
      </c>
      <c r="M4" s="9" t="s">
        <v>135</v>
      </c>
    </row>
    <row r="5" spans="1:13">
      <c r="A5">
        <f>IFERROR(INDEX(Synthèse!$A$3:$A$32, ROW()-3),"")</f>
        <v>0</v>
      </c>
      <c r="B5">
        <f>IF(A5&lt;&gt;"", INDEX(Synthèse!$B$3:$B$32, ROW()-3), "")</f>
        <v>0</v>
      </c>
      <c r="C5" s="10">
        <f>IF(A5&lt;&gt;"", INDEX(Synthèse!$J$3:$J$32, ROW()-3), 0)</f>
        <v>0</v>
      </c>
      <c r="D5" s="6">
        <f>IF(A5="",0, MIN(1, MOIS_COURANT/INDEX(Projet_Portefeuille!$F$2:$F$200, ROW()-3)))</f>
        <v>0</v>
      </c>
      <c r="E5" s="6">
        <f>D5</f>
        <v>0</v>
      </c>
      <c r="F5" s="10">
        <f>C5*D5</f>
        <v>0</v>
      </c>
      <c r="G5" s="10">
        <f>C5*E5</f>
        <v>0</v>
      </c>
      <c r="H5" s="10">
        <f>IF(A5="",0, ABS(SUM(INDEX(Cashflow!$B$2:$M$31, MATCH(A5, Cashflow!$A$2:$A$31, 0), 1):INDEX(Cashflow!$B$2:$M$31, MATCH(A5, Cashflow!$A$2:$A$31, 0), MOIS_COURANT))))</f>
        <v>0</v>
      </c>
      <c r="I5" s="8">
        <f>IF(AND(H5&gt;0, G5&gt;0), G5/H5, 0)</f>
        <v>0</v>
      </c>
      <c r="J5" s="8">
        <f>IF(F5&gt;0, G5/F5, 0)</f>
        <v>0</v>
      </c>
      <c r="K5" s="10">
        <f>IF(I5&gt;0, C5/I5, C5)</f>
        <v>0</v>
      </c>
      <c r="L5" s="10">
        <f>J5-H5</f>
        <v>0</v>
      </c>
      <c r="M5" s="10">
        <f>C5-J5</f>
        <v>0</v>
      </c>
    </row>
    <row r="6" spans="1:13">
      <c r="A6">
        <f>IFERROR(INDEX(Synthèse!$A$3:$A$32, ROW()-3),"")</f>
        <v>0</v>
      </c>
      <c r="B6">
        <f>IF(A6&lt;&gt;"", INDEX(Synthèse!$B$3:$B$32, ROW()-3), "")</f>
        <v>0</v>
      </c>
      <c r="C6" s="10">
        <f>IF(A6&lt;&gt;"", INDEX(Synthèse!$J$3:$J$32, ROW()-3), 0)</f>
        <v>0</v>
      </c>
      <c r="D6" s="6">
        <f>IF(A6="",0, MIN(1, MOIS_COURANT/INDEX(Projet_Portefeuille!$F$2:$F$200, ROW()-3)))</f>
        <v>0</v>
      </c>
      <c r="E6" s="6">
        <f>D6</f>
        <v>0</v>
      </c>
      <c r="F6" s="10">
        <f>C6*D6</f>
        <v>0</v>
      </c>
      <c r="G6" s="10">
        <f>C6*E6</f>
        <v>0</v>
      </c>
      <c r="H6" s="10">
        <f>IF(A6="",0, ABS(SUM(INDEX(Cashflow!$B$2:$M$31, MATCH(A6, Cashflow!$A$2:$A$31, 0), 1):INDEX(Cashflow!$B$2:$M$31, MATCH(A6, Cashflow!$A$2:$A$31, 0), MOIS_COURANT))))</f>
        <v>0</v>
      </c>
      <c r="I6" s="8">
        <f>IF(AND(H6&gt;0, G6&gt;0), G6/H6, 0)</f>
        <v>0</v>
      </c>
      <c r="J6" s="8">
        <f>IF(F6&gt;0, G6/F6, 0)</f>
        <v>0</v>
      </c>
      <c r="K6" s="10">
        <f>IF(I6&gt;0, C6/I6, C6)</f>
        <v>0</v>
      </c>
      <c r="L6" s="10">
        <f>J6-H6</f>
        <v>0</v>
      </c>
      <c r="M6" s="10">
        <f>C6-J6</f>
        <v>0</v>
      </c>
    </row>
    <row r="7" spans="1:13">
      <c r="A7">
        <f>IFERROR(INDEX(Synthèse!$A$3:$A$32, ROW()-3),"")</f>
        <v>0</v>
      </c>
      <c r="B7">
        <f>IF(A7&lt;&gt;"", INDEX(Synthèse!$B$3:$B$32, ROW()-3), "")</f>
        <v>0</v>
      </c>
      <c r="C7" s="10">
        <f>IF(A7&lt;&gt;"", INDEX(Synthèse!$J$3:$J$32, ROW()-3), 0)</f>
        <v>0</v>
      </c>
      <c r="D7" s="6">
        <f>IF(A7="",0, MIN(1, MOIS_COURANT/INDEX(Projet_Portefeuille!$F$2:$F$200, ROW()-3)))</f>
        <v>0</v>
      </c>
      <c r="E7" s="6">
        <f>D7</f>
        <v>0</v>
      </c>
      <c r="F7" s="10">
        <f>C7*D7</f>
        <v>0</v>
      </c>
      <c r="G7" s="10">
        <f>C7*E7</f>
        <v>0</v>
      </c>
      <c r="H7" s="10">
        <f>IF(A7="",0, ABS(SUM(INDEX(Cashflow!$B$2:$M$31, MATCH(A7, Cashflow!$A$2:$A$31, 0), 1):INDEX(Cashflow!$B$2:$M$31, MATCH(A7, Cashflow!$A$2:$A$31, 0), MOIS_COURANT))))</f>
        <v>0</v>
      </c>
      <c r="I7" s="8">
        <f>IF(AND(H7&gt;0, G7&gt;0), G7/H7, 0)</f>
        <v>0</v>
      </c>
      <c r="J7" s="8">
        <f>IF(F7&gt;0, G7/F7, 0)</f>
        <v>0</v>
      </c>
      <c r="K7" s="10">
        <f>IF(I7&gt;0, C7/I7, C7)</f>
        <v>0</v>
      </c>
      <c r="L7" s="10">
        <f>J7-H7</f>
        <v>0</v>
      </c>
      <c r="M7" s="10">
        <f>C7-J7</f>
        <v>0</v>
      </c>
    </row>
    <row r="8" spans="1:13">
      <c r="A8">
        <f>IFERROR(INDEX(Synthèse!$A$3:$A$32, ROW()-3),"")</f>
        <v>0</v>
      </c>
      <c r="B8">
        <f>IF(A8&lt;&gt;"", INDEX(Synthèse!$B$3:$B$32, ROW()-3), "")</f>
        <v>0</v>
      </c>
      <c r="C8" s="10">
        <f>IF(A8&lt;&gt;"", INDEX(Synthèse!$J$3:$J$32, ROW()-3), 0)</f>
        <v>0</v>
      </c>
      <c r="D8" s="6">
        <f>IF(A8="",0, MIN(1, MOIS_COURANT/INDEX(Projet_Portefeuille!$F$2:$F$200, ROW()-3)))</f>
        <v>0</v>
      </c>
      <c r="E8" s="6">
        <f>D8</f>
        <v>0</v>
      </c>
      <c r="F8" s="10">
        <f>C8*D8</f>
        <v>0</v>
      </c>
      <c r="G8" s="10">
        <f>C8*E8</f>
        <v>0</v>
      </c>
      <c r="H8" s="10">
        <f>IF(A8="",0, ABS(SUM(INDEX(Cashflow!$B$2:$M$31, MATCH(A8, Cashflow!$A$2:$A$31, 0), 1):INDEX(Cashflow!$B$2:$M$31, MATCH(A8, Cashflow!$A$2:$A$31, 0), MOIS_COURANT))))</f>
        <v>0</v>
      </c>
      <c r="I8" s="8">
        <f>IF(AND(H8&gt;0, G8&gt;0), G8/H8, 0)</f>
        <v>0</v>
      </c>
      <c r="J8" s="8">
        <f>IF(F8&gt;0, G8/F8, 0)</f>
        <v>0</v>
      </c>
      <c r="K8" s="10">
        <f>IF(I8&gt;0, C8/I8, C8)</f>
        <v>0</v>
      </c>
      <c r="L8" s="10">
        <f>J8-H8</f>
        <v>0</v>
      </c>
      <c r="M8" s="10">
        <f>C8-J8</f>
        <v>0</v>
      </c>
    </row>
    <row r="9" spans="1:13">
      <c r="A9">
        <f>IFERROR(INDEX(Synthèse!$A$3:$A$32, ROW()-3),"")</f>
        <v>0</v>
      </c>
      <c r="B9">
        <f>IF(A9&lt;&gt;"", INDEX(Synthèse!$B$3:$B$32, ROW()-3), "")</f>
        <v>0</v>
      </c>
      <c r="C9" s="10">
        <f>IF(A9&lt;&gt;"", INDEX(Synthèse!$J$3:$J$32, ROW()-3), 0)</f>
        <v>0</v>
      </c>
      <c r="D9" s="6">
        <f>IF(A9="",0, MIN(1, MOIS_COURANT/INDEX(Projet_Portefeuille!$F$2:$F$200, ROW()-3)))</f>
        <v>0</v>
      </c>
      <c r="E9" s="6">
        <f>D9</f>
        <v>0</v>
      </c>
      <c r="F9" s="10">
        <f>C9*D9</f>
        <v>0</v>
      </c>
      <c r="G9" s="10">
        <f>C9*E9</f>
        <v>0</v>
      </c>
      <c r="H9" s="10">
        <f>IF(A9="",0, ABS(SUM(INDEX(Cashflow!$B$2:$M$31, MATCH(A9, Cashflow!$A$2:$A$31, 0), 1):INDEX(Cashflow!$B$2:$M$31, MATCH(A9, Cashflow!$A$2:$A$31, 0), MOIS_COURANT))))</f>
        <v>0</v>
      </c>
      <c r="I9" s="8">
        <f>IF(AND(H9&gt;0, G9&gt;0), G9/H9, 0)</f>
        <v>0</v>
      </c>
      <c r="J9" s="8">
        <f>IF(F9&gt;0, G9/F9, 0)</f>
        <v>0</v>
      </c>
      <c r="K9" s="10">
        <f>IF(I9&gt;0, C9/I9, C9)</f>
        <v>0</v>
      </c>
      <c r="L9" s="10">
        <f>J9-H9</f>
        <v>0</v>
      </c>
      <c r="M9" s="10">
        <f>C9-J9</f>
        <v>0</v>
      </c>
    </row>
    <row r="10" spans="1:13">
      <c r="A10">
        <f>IFERROR(INDEX(Synthèse!$A$3:$A$32, ROW()-3),"")</f>
        <v>0</v>
      </c>
      <c r="B10">
        <f>IF(A10&lt;&gt;"", INDEX(Synthèse!$B$3:$B$32, ROW()-3), "")</f>
        <v>0</v>
      </c>
      <c r="C10" s="10">
        <f>IF(A10&lt;&gt;"", INDEX(Synthèse!$J$3:$J$32, ROW()-3), 0)</f>
        <v>0</v>
      </c>
      <c r="D10" s="6">
        <f>IF(A10="",0, MIN(1, MOIS_COURANT/INDEX(Projet_Portefeuille!$F$2:$F$200, ROW()-3)))</f>
        <v>0</v>
      </c>
      <c r="E10" s="6">
        <f>D10</f>
        <v>0</v>
      </c>
      <c r="F10" s="10">
        <f>C10*D10</f>
        <v>0</v>
      </c>
      <c r="G10" s="10">
        <f>C10*E10</f>
        <v>0</v>
      </c>
      <c r="H10" s="10">
        <f>IF(A10="",0, ABS(SUM(INDEX(Cashflow!$B$2:$M$31, MATCH(A10, Cashflow!$A$2:$A$31, 0), 1):INDEX(Cashflow!$B$2:$M$31, MATCH(A10, Cashflow!$A$2:$A$31, 0), MOIS_COURANT))))</f>
        <v>0</v>
      </c>
      <c r="I10" s="8">
        <f>IF(AND(H10&gt;0, G10&gt;0), G10/H10, 0)</f>
        <v>0</v>
      </c>
      <c r="J10" s="8">
        <f>IF(F10&gt;0, G10/F10, 0)</f>
        <v>0</v>
      </c>
      <c r="K10" s="10">
        <f>IF(I10&gt;0, C10/I10, C10)</f>
        <v>0</v>
      </c>
      <c r="L10" s="10">
        <f>J10-H10</f>
        <v>0</v>
      </c>
      <c r="M10" s="10">
        <f>C10-J10</f>
        <v>0</v>
      </c>
    </row>
    <row r="11" spans="1:13">
      <c r="A11">
        <f>IFERROR(INDEX(Synthèse!$A$3:$A$32, ROW()-3),"")</f>
        <v>0</v>
      </c>
      <c r="B11">
        <f>IF(A11&lt;&gt;"", INDEX(Synthèse!$B$3:$B$32, ROW()-3), "")</f>
        <v>0</v>
      </c>
      <c r="C11" s="10">
        <f>IF(A11&lt;&gt;"", INDEX(Synthèse!$J$3:$J$32, ROW()-3), 0)</f>
        <v>0</v>
      </c>
      <c r="D11" s="6">
        <f>IF(A11="",0, MIN(1, MOIS_COURANT/INDEX(Projet_Portefeuille!$F$2:$F$200, ROW()-3)))</f>
        <v>0</v>
      </c>
      <c r="E11" s="6">
        <f>D11</f>
        <v>0</v>
      </c>
      <c r="F11" s="10">
        <f>C11*D11</f>
        <v>0</v>
      </c>
      <c r="G11" s="10">
        <f>C11*E11</f>
        <v>0</v>
      </c>
      <c r="H11" s="10">
        <f>IF(A11="",0, ABS(SUM(INDEX(Cashflow!$B$2:$M$31, MATCH(A11, Cashflow!$A$2:$A$31, 0), 1):INDEX(Cashflow!$B$2:$M$31, MATCH(A11, Cashflow!$A$2:$A$31, 0), MOIS_COURANT))))</f>
        <v>0</v>
      </c>
      <c r="I11" s="8">
        <f>IF(AND(H11&gt;0, G11&gt;0), G11/H11, 0)</f>
        <v>0</v>
      </c>
      <c r="J11" s="8">
        <f>IF(F11&gt;0, G11/F11, 0)</f>
        <v>0</v>
      </c>
      <c r="K11" s="10">
        <f>IF(I11&gt;0, C11/I11, C11)</f>
        <v>0</v>
      </c>
      <c r="L11" s="10">
        <f>J11-H11</f>
        <v>0</v>
      </c>
      <c r="M11" s="10">
        <f>C11-J11</f>
        <v>0</v>
      </c>
    </row>
    <row r="12" spans="1:13">
      <c r="A12">
        <f>IFERROR(INDEX(Synthèse!$A$3:$A$32, ROW()-3),"")</f>
        <v>0</v>
      </c>
      <c r="B12">
        <f>IF(A12&lt;&gt;"", INDEX(Synthèse!$B$3:$B$32, ROW()-3), "")</f>
        <v>0</v>
      </c>
      <c r="C12" s="10">
        <f>IF(A12&lt;&gt;"", INDEX(Synthèse!$J$3:$J$32, ROW()-3), 0)</f>
        <v>0</v>
      </c>
      <c r="D12" s="6">
        <f>IF(A12="",0, MIN(1, MOIS_COURANT/INDEX(Projet_Portefeuille!$F$2:$F$200, ROW()-3)))</f>
        <v>0</v>
      </c>
      <c r="E12" s="6">
        <f>D12</f>
        <v>0</v>
      </c>
      <c r="F12" s="10">
        <f>C12*D12</f>
        <v>0</v>
      </c>
      <c r="G12" s="10">
        <f>C12*E12</f>
        <v>0</v>
      </c>
      <c r="H12" s="10">
        <f>IF(A12="",0, ABS(SUM(INDEX(Cashflow!$B$2:$M$31, MATCH(A12, Cashflow!$A$2:$A$31, 0), 1):INDEX(Cashflow!$B$2:$M$31, MATCH(A12, Cashflow!$A$2:$A$31, 0), MOIS_COURANT))))</f>
        <v>0</v>
      </c>
      <c r="I12" s="8">
        <f>IF(AND(H12&gt;0, G12&gt;0), G12/H12, 0)</f>
        <v>0</v>
      </c>
      <c r="J12" s="8">
        <f>IF(F12&gt;0, G12/F12, 0)</f>
        <v>0</v>
      </c>
      <c r="K12" s="10">
        <f>IF(I12&gt;0, C12/I12, C12)</f>
        <v>0</v>
      </c>
      <c r="L12" s="10">
        <f>J12-H12</f>
        <v>0</v>
      </c>
      <c r="M12" s="10">
        <f>C12-J12</f>
        <v>0</v>
      </c>
    </row>
    <row r="13" spans="1:13">
      <c r="A13">
        <f>IFERROR(INDEX(Synthèse!$A$3:$A$32, ROW()-3),"")</f>
        <v>0</v>
      </c>
      <c r="B13">
        <f>IF(A13&lt;&gt;"", INDEX(Synthèse!$B$3:$B$32, ROW()-3), "")</f>
        <v>0</v>
      </c>
      <c r="C13" s="10">
        <f>IF(A13&lt;&gt;"", INDEX(Synthèse!$J$3:$J$32, ROW()-3), 0)</f>
        <v>0</v>
      </c>
      <c r="D13" s="6">
        <f>IF(A13="",0, MIN(1, MOIS_COURANT/INDEX(Projet_Portefeuille!$F$2:$F$200, ROW()-3)))</f>
        <v>0</v>
      </c>
      <c r="E13" s="6">
        <f>D13</f>
        <v>0</v>
      </c>
      <c r="F13" s="10">
        <f>C13*D13</f>
        <v>0</v>
      </c>
      <c r="G13" s="10">
        <f>C13*E13</f>
        <v>0</v>
      </c>
      <c r="H13" s="10">
        <f>IF(A13="",0, ABS(SUM(INDEX(Cashflow!$B$2:$M$31, MATCH(A13, Cashflow!$A$2:$A$31, 0), 1):INDEX(Cashflow!$B$2:$M$31, MATCH(A13, Cashflow!$A$2:$A$31, 0), MOIS_COURANT))))</f>
        <v>0</v>
      </c>
      <c r="I13" s="8">
        <f>IF(AND(H13&gt;0, G13&gt;0), G13/H13, 0)</f>
        <v>0</v>
      </c>
      <c r="J13" s="8">
        <f>IF(F13&gt;0, G13/F13, 0)</f>
        <v>0</v>
      </c>
      <c r="K13" s="10">
        <f>IF(I13&gt;0, C13/I13, C13)</f>
        <v>0</v>
      </c>
      <c r="L13" s="10">
        <f>J13-H13</f>
        <v>0</v>
      </c>
      <c r="M13" s="10">
        <f>C13-J13</f>
        <v>0</v>
      </c>
    </row>
    <row r="14" spans="1:13">
      <c r="A14">
        <f>IFERROR(INDEX(Synthèse!$A$3:$A$32, ROW()-3),"")</f>
        <v>0</v>
      </c>
      <c r="B14">
        <f>IF(A14&lt;&gt;"", INDEX(Synthèse!$B$3:$B$32, ROW()-3), "")</f>
        <v>0</v>
      </c>
      <c r="C14" s="10">
        <f>IF(A14&lt;&gt;"", INDEX(Synthèse!$J$3:$J$32, ROW()-3), 0)</f>
        <v>0</v>
      </c>
      <c r="D14" s="6">
        <f>IF(A14="",0, MIN(1, MOIS_COURANT/INDEX(Projet_Portefeuille!$F$2:$F$200, ROW()-3)))</f>
        <v>0</v>
      </c>
      <c r="E14" s="6">
        <f>D14</f>
        <v>0</v>
      </c>
      <c r="F14" s="10">
        <f>C14*D14</f>
        <v>0</v>
      </c>
      <c r="G14" s="10">
        <f>C14*E14</f>
        <v>0</v>
      </c>
      <c r="H14" s="10">
        <f>IF(A14="",0, ABS(SUM(INDEX(Cashflow!$B$2:$M$31, MATCH(A14, Cashflow!$A$2:$A$31, 0), 1):INDEX(Cashflow!$B$2:$M$31, MATCH(A14, Cashflow!$A$2:$A$31, 0), MOIS_COURANT))))</f>
        <v>0</v>
      </c>
      <c r="I14" s="8">
        <f>IF(AND(H14&gt;0, G14&gt;0), G14/H14, 0)</f>
        <v>0</v>
      </c>
      <c r="J14" s="8">
        <f>IF(F14&gt;0, G14/F14, 0)</f>
        <v>0</v>
      </c>
      <c r="K14" s="10">
        <f>IF(I14&gt;0, C14/I14, C14)</f>
        <v>0</v>
      </c>
      <c r="L14" s="10">
        <f>J14-H14</f>
        <v>0</v>
      </c>
      <c r="M14" s="10">
        <f>C14-J14</f>
        <v>0</v>
      </c>
    </row>
    <row r="15" spans="1:13">
      <c r="A15">
        <f>IFERROR(INDEX(Synthèse!$A$3:$A$32, ROW()-3),"")</f>
        <v>0</v>
      </c>
      <c r="B15">
        <f>IF(A15&lt;&gt;"", INDEX(Synthèse!$B$3:$B$32, ROW()-3), "")</f>
        <v>0</v>
      </c>
      <c r="C15" s="10">
        <f>IF(A15&lt;&gt;"", INDEX(Synthèse!$J$3:$J$32, ROW()-3), 0)</f>
        <v>0</v>
      </c>
      <c r="D15" s="6">
        <f>IF(A15="",0, MIN(1, MOIS_COURANT/INDEX(Projet_Portefeuille!$F$2:$F$200, ROW()-3)))</f>
        <v>0</v>
      </c>
      <c r="E15" s="6">
        <f>D15</f>
        <v>0</v>
      </c>
      <c r="F15" s="10">
        <f>C15*D15</f>
        <v>0</v>
      </c>
      <c r="G15" s="10">
        <f>C15*E15</f>
        <v>0</v>
      </c>
      <c r="H15" s="10">
        <f>IF(A15="",0, ABS(SUM(INDEX(Cashflow!$B$2:$M$31, MATCH(A15, Cashflow!$A$2:$A$31, 0), 1):INDEX(Cashflow!$B$2:$M$31, MATCH(A15, Cashflow!$A$2:$A$31, 0), MOIS_COURANT))))</f>
        <v>0</v>
      </c>
      <c r="I15" s="8">
        <f>IF(AND(H15&gt;0, G15&gt;0), G15/H15, 0)</f>
        <v>0</v>
      </c>
      <c r="J15" s="8">
        <f>IF(F15&gt;0, G15/F15, 0)</f>
        <v>0</v>
      </c>
      <c r="K15" s="10">
        <f>IF(I15&gt;0, C15/I15, C15)</f>
        <v>0</v>
      </c>
      <c r="L15" s="10">
        <f>J15-H15</f>
        <v>0</v>
      </c>
      <c r="M15" s="10">
        <f>C15-J15</f>
        <v>0</v>
      </c>
    </row>
    <row r="16" spans="1:13">
      <c r="A16">
        <f>IFERROR(INDEX(Synthèse!$A$3:$A$32, ROW()-3),"")</f>
        <v>0</v>
      </c>
      <c r="B16">
        <f>IF(A16&lt;&gt;"", INDEX(Synthèse!$B$3:$B$32, ROW()-3), "")</f>
        <v>0</v>
      </c>
      <c r="C16" s="10">
        <f>IF(A16&lt;&gt;"", INDEX(Synthèse!$J$3:$J$32, ROW()-3), 0)</f>
        <v>0</v>
      </c>
      <c r="D16" s="6">
        <f>IF(A16="",0, MIN(1, MOIS_COURANT/INDEX(Projet_Portefeuille!$F$2:$F$200, ROW()-3)))</f>
        <v>0</v>
      </c>
      <c r="E16" s="6">
        <f>D16</f>
        <v>0</v>
      </c>
      <c r="F16" s="10">
        <f>C16*D16</f>
        <v>0</v>
      </c>
      <c r="G16" s="10">
        <f>C16*E16</f>
        <v>0</v>
      </c>
      <c r="H16" s="10">
        <f>IF(A16="",0, ABS(SUM(INDEX(Cashflow!$B$2:$M$31, MATCH(A16, Cashflow!$A$2:$A$31, 0), 1):INDEX(Cashflow!$B$2:$M$31, MATCH(A16, Cashflow!$A$2:$A$31, 0), MOIS_COURANT))))</f>
        <v>0</v>
      </c>
      <c r="I16" s="8">
        <f>IF(AND(H16&gt;0, G16&gt;0), G16/H16, 0)</f>
        <v>0</v>
      </c>
      <c r="J16" s="8">
        <f>IF(F16&gt;0, G16/F16, 0)</f>
        <v>0</v>
      </c>
      <c r="K16" s="10">
        <f>IF(I16&gt;0, C16/I16, C16)</f>
        <v>0</v>
      </c>
      <c r="L16" s="10">
        <f>J16-H16</f>
        <v>0</v>
      </c>
      <c r="M16" s="10">
        <f>C16-J16</f>
        <v>0</v>
      </c>
    </row>
    <row r="17" spans="1:13">
      <c r="A17">
        <f>IFERROR(INDEX(Synthèse!$A$3:$A$32, ROW()-3),"")</f>
        <v>0</v>
      </c>
      <c r="B17">
        <f>IF(A17&lt;&gt;"", INDEX(Synthèse!$B$3:$B$32, ROW()-3), "")</f>
        <v>0</v>
      </c>
      <c r="C17" s="10">
        <f>IF(A17&lt;&gt;"", INDEX(Synthèse!$J$3:$J$32, ROW()-3), 0)</f>
        <v>0</v>
      </c>
      <c r="D17" s="6">
        <f>IF(A17="",0, MIN(1, MOIS_COURANT/INDEX(Projet_Portefeuille!$F$2:$F$200, ROW()-3)))</f>
        <v>0</v>
      </c>
      <c r="E17" s="6">
        <f>D17</f>
        <v>0</v>
      </c>
      <c r="F17" s="10">
        <f>C17*D17</f>
        <v>0</v>
      </c>
      <c r="G17" s="10">
        <f>C17*E17</f>
        <v>0</v>
      </c>
      <c r="H17" s="10">
        <f>IF(A17="",0, ABS(SUM(INDEX(Cashflow!$B$2:$M$31, MATCH(A17, Cashflow!$A$2:$A$31, 0), 1):INDEX(Cashflow!$B$2:$M$31, MATCH(A17, Cashflow!$A$2:$A$31, 0), MOIS_COURANT))))</f>
        <v>0</v>
      </c>
      <c r="I17" s="8">
        <f>IF(AND(H17&gt;0, G17&gt;0), G17/H17, 0)</f>
        <v>0</v>
      </c>
      <c r="J17" s="8">
        <f>IF(F17&gt;0, G17/F17, 0)</f>
        <v>0</v>
      </c>
      <c r="K17" s="10">
        <f>IF(I17&gt;0, C17/I17, C17)</f>
        <v>0</v>
      </c>
      <c r="L17" s="10">
        <f>J17-H17</f>
        <v>0</v>
      </c>
      <c r="M17" s="10">
        <f>C17-J17</f>
        <v>0</v>
      </c>
    </row>
    <row r="18" spans="1:13">
      <c r="A18">
        <f>IFERROR(INDEX(Synthèse!$A$3:$A$32, ROW()-3),"")</f>
        <v>0</v>
      </c>
      <c r="B18">
        <f>IF(A18&lt;&gt;"", INDEX(Synthèse!$B$3:$B$32, ROW()-3), "")</f>
        <v>0</v>
      </c>
      <c r="C18" s="10">
        <f>IF(A18&lt;&gt;"", INDEX(Synthèse!$J$3:$J$32, ROW()-3), 0)</f>
        <v>0</v>
      </c>
      <c r="D18" s="6">
        <f>IF(A18="",0, MIN(1, MOIS_COURANT/INDEX(Projet_Portefeuille!$F$2:$F$200, ROW()-3)))</f>
        <v>0</v>
      </c>
      <c r="E18" s="6">
        <f>D18</f>
        <v>0</v>
      </c>
      <c r="F18" s="10">
        <f>C18*D18</f>
        <v>0</v>
      </c>
      <c r="G18" s="10">
        <f>C18*E18</f>
        <v>0</v>
      </c>
      <c r="H18" s="10">
        <f>IF(A18="",0, ABS(SUM(INDEX(Cashflow!$B$2:$M$31, MATCH(A18, Cashflow!$A$2:$A$31, 0), 1):INDEX(Cashflow!$B$2:$M$31, MATCH(A18, Cashflow!$A$2:$A$31, 0), MOIS_COURANT))))</f>
        <v>0</v>
      </c>
      <c r="I18" s="8">
        <f>IF(AND(H18&gt;0, G18&gt;0), G18/H18, 0)</f>
        <v>0</v>
      </c>
      <c r="J18" s="8">
        <f>IF(F18&gt;0, G18/F18, 0)</f>
        <v>0</v>
      </c>
      <c r="K18" s="10">
        <f>IF(I18&gt;0, C18/I18, C18)</f>
        <v>0</v>
      </c>
      <c r="L18" s="10">
        <f>J18-H18</f>
        <v>0</v>
      </c>
      <c r="M18" s="10">
        <f>C18-J18</f>
        <v>0</v>
      </c>
    </row>
    <row r="19" spans="1:13">
      <c r="A19">
        <f>IFERROR(INDEX(Synthèse!$A$3:$A$32, ROW()-3),"")</f>
        <v>0</v>
      </c>
      <c r="B19">
        <f>IF(A19&lt;&gt;"", INDEX(Synthèse!$B$3:$B$32, ROW()-3), "")</f>
        <v>0</v>
      </c>
      <c r="C19" s="10">
        <f>IF(A19&lt;&gt;"", INDEX(Synthèse!$J$3:$J$32, ROW()-3), 0)</f>
        <v>0</v>
      </c>
      <c r="D19" s="6">
        <f>IF(A19="",0, MIN(1, MOIS_COURANT/INDEX(Projet_Portefeuille!$F$2:$F$200, ROW()-3)))</f>
        <v>0</v>
      </c>
      <c r="E19" s="6">
        <f>D19</f>
        <v>0</v>
      </c>
      <c r="F19" s="10">
        <f>C19*D19</f>
        <v>0</v>
      </c>
      <c r="G19" s="10">
        <f>C19*E19</f>
        <v>0</v>
      </c>
      <c r="H19" s="10">
        <f>IF(A19="",0, ABS(SUM(INDEX(Cashflow!$B$2:$M$31, MATCH(A19, Cashflow!$A$2:$A$31, 0), 1):INDEX(Cashflow!$B$2:$M$31, MATCH(A19, Cashflow!$A$2:$A$31, 0), MOIS_COURANT))))</f>
        <v>0</v>
      </c>
      <c r="I19" s="8">
        <f>IF(AND(H19&gt;0, G19&gt;0), G19/H19, 0)</f>
        <v>0</v>
      </c>
      <c r="J19" s="8">
        <f>IF(F19&gt;0, G19/F19, 0)</f>
        <v>0</v>
      </c>
      <c r="K19" s="10">
        <f>IF(I19&gt;0, C19/I19, C19)</f>
        <v>0</v>
      </c>
      <c r="L19" s="10">
        <f>J19-H19</f>
        <v>0</v>
      </c>
      <c r="M19" s="10">
        <f>C19-J19</f>
        <v>0</v>
      </c>
    </row>
    <row r="20" spans="1:13">
      <c r="A20">
        <f>IFERROR(INDEX(Synthèse!$A$3:$A$32, ROW()-3),"")</f>
        <v>0</v>
      </c>
      <c r="B20">
        <f>IF(A20&lt;&gt;"", INDEX(Synthèse!$B$3:$B$32, ROW()-3), "")</f>
        <v>0</v>
      </c>
      <c r="C20" s="10">
        <f>IF(A20&lt;&gt;"", INDEX(Synthèse!$J$3:$J$32, ROW()-3), 0)</f>
        <v>0</v>
      </c>
      <c r="D20" s="6">
        <f>IF(A20="",0, MIN(1, MOIS_COURANT/INDEX(Projet_Portefeuille!$F$2:$F$200, ROW()-3)))</f>
        <v>0</v>
      </c>
      <c r="E20" s="6">
        <f>D20</f>
        <v>0</v>
      </c>
      <c r="F20" s="10">
        <f>C20*D20</f>
        <v>0</v>
      </c>
      <c r="G20" s="10">
        <f>C20*E20</f>
        <v>0</v>
      </c>
      <c r="H20" s="10">
        <f>IF(A20="",0, ABS(SUM(INDEX(Cashflow!$B$2:$M$31, MATCH(A20, Cashflow!$A$2:$A$31, 0), 1):INDEX(Cashflow!$B$2:$M$31, MATCH(A20, Cashflow!$A$2:$A$31, 0), MOIS_COURANT))))</f>
        <v>0</v>
      </c>
      <c r="I20" s="8">
        <f>IF(AND(H20&gt;0, G20&gt;0), G20/H20, 0)</f>
        <v>0</v>
      </c>
      <c r="J20" s="8">
        <f>IF(F20&gt;0, G20/F20, 0)</f>
        <v>0</v>
      </c>
      <c r="K20" s="10">
        <f>IF(I20&gt;0, C20/I20, C20)</f>
        <v>0</v>
      </c>
      <c r="L20" s="10">
        <f>J20-H20</f>
        <v>0</v>
      </c>
      <c r="M20" s="10">
        <f>C20-J20</f>
        <v>0</v>
      </c>
    </row>
    <row r="21" spans="1:13">
      <c r="A21">
        <f>IFERROR(INDEX(Synthèse!$A$3:$A$32, ROW()-3),"")</f>
        <v>0</v>
      </c>
      <c r="B21">
        <f>IF(A21&lt;&gt;"", INDEX(Synthèse!$B$3:$B$32, ROW()-3), "")</f>
        <v>0</v>
      </c>
      <c r="C21" s="10">
        <f>IF(A21&lt;&gt;"", INDEX(Synthèse!$J$3:$J$32, ROW()-3), 0)</f>
        <v>0</v>
      </c>
      <c r="D21" s="6">
        <f>IF(A21="",0, MIN(1, MOIS_COURANT/INDEX(Projet_Portefeuille!$F$2:$F$200, ROW()-3)))</f>
        <v>0</v>
      </c>
      <c r="E21" s="6">
        <f>D21</f>
        <v>0</v>
      </c>
      <c r="F21" s="10">
        <f>C21*D21</f>
        <v>0</v>
      </c>
      <c r="G21" s="10">
        <f>C21*E21</f>
        <v>0</v>
      </c>
      <c r="H21" s="10">
        <f>IF(A21="",0, ABS(SUM(INDEX(Cashflow!$B$2:$M$31, MATCH(A21, Cashflow!$A$2:$A$31, 0), 1):INDEX(Cashflow!$B$2:$M$31, MATCH(A21, Cashflow!$A$2:$A$31, 0), MOIS_COURANT))))</f>
        <v>0</v>
      </c>
      <c r="I21" s="8">
        <f>IF(AND(H21&gt;0, G21&gt;0), G21/H21, 0)</f>
        <v>0</v>
      </c>
      <c r="J21" s="8">
        <f>IF(F21&gt;0, G21/F21, 0)</f>
        <v>0</v>
      </c>
      <c r="K21" s="10">
        <f>IF(I21&gt;0, C21/I21, C21)</f>
        <v>0</v>
      </c>
      <c r="L21" s="10">
        <f>J21-H21</f>
        <v>0</v>
      </c>
      <c r="M21" s="10">
        <f>C21-J21</f>
        <v>0</v>
      </c>
    </row>
    <row r="22" spans="1:13">
      <c r="A22">
        <f>IFERROR(INDEX(Synthèse!$A$3:$A$32, ROW()-3),"")</f>
        <v>0</v>
      </c>
      <c r="B22">
        <f>IF(A22&lt;&gt;"", INDEX(Synthèse!$B$3:$B$32, ROW()-3), "")</f>
        <v>0</v>
      </c>
      <c r="C22" s="10">
        <f>IF(A22&lt;&gt;"", INDEX(Synthèse!$J$3:$J$32, ROW()-3), 0)</f>
        <v>0</v>
      </c>
      <c r="D22" s="6">
        <f>IF(A22="",0, MIN(1, MOIS_COURANT/INDEX(Projet_Portefeuille!$F$2:$F$200, ROW()-3)))</f>
        <v>0</v>
      </c>
      <c r="E22" s="6">
        <f>D22</f>
        <v>0</v>
      </c>
      <c r="F22" s="10">
        <f>C22*D22</f>
        <v>0</v>
      </c>
      <c r="G22" s="10">
        <f>C22*E22</f>
        <v>0</v>
      </c>
      <c r="H22" s="10">
        <f>IF(A22="",0, ABS(SUM(INDEX(Cashflow!$B$2:$M$31, MATCH(A22, Cashflow!$A$2:$A$31, 0), 1):INDEX(Cashflow!$B$2:$M$31, MATCH(A22, Cashflow!$A$2:$A$31, 0), MOIS_COURANT))))</f>
        <v>0</v>
      </c>
      <c r="I22" s="8">
        <f>IF(AND(H22&gt;0, G22&gt;0), G22/H22, 0)</f>
        <v>0</v>
      </c>
      <c r="J22" s="8">
        <f>IF(F22&gt;0, G22/F22, 0)</f>
        <v>0</v>
      </c>
      <c r="K22" s="10">
        <f>IF(I22&gt;0, C22/I22, C22)</f>
        <v>0</v>
      </c>
      <c r="L22" s="10">
        <f>J22-H22</f>
        <v>0</v>
      </c>
      <c r="M22" s="10">
        <f>C22-J22</f>
        <v>0</v>
      </c>
    </row>
    <row r="23" spans="1:13">
      <c r="A23">
        <f>IFERROR(INDEX(Synthèse!$A$3:$A$32, ROW()-3),"")</f>
        <v>0</v>
      </c>
      <c r="B23">
        <f>IF(A23&lt;&gt;"", INDEX(Synthèse!$B$3:$B$32, ROW()-3), "")</f>
        <v>0</v>
      </c>
      <c r="C23" s="10">
        <f>IF(A23&lt;&gt;"", INDEX(Synthèse!$J$3:$J$32, ROW()-3), 0)</f>
        <v>0</v>
      </c>
      <c r="D23" s="6">
        <f>IF(A23="",0, MIN(1, MOIS_COURANT/INDEX(Projet_Portefeuille!$F$2:$F$200, ROW()-3)))</f>
        <v>0</v>
      </c>
      <c r="E23" s="6">
        <f>D23</f>
        <v>0</v>
      </c>
      <c r="F23" s="10">
        <f>C23*D23</f>
        <v>0</v>
      </c>
      <c r="G23" s="10">
        <f>C23*E23</f>
        <v>0</v>
      </c>
      <c r="H23" s="10">
        <f>IF(A23="",0, ABS(SUM(INDEX(Cashflow!$B$2:$M$31, MATCH(A23, Cashflow!$A$2:$A$31, 0), 1):INDEX(Cashflow!$B$2:$M$31, MATCH(A23, Cashflow!$A$2:$A$31, 0), MOIS_COURANT))))</f>
        <v>0</v>
      </c>
      <c r="I23" s="8">
        <f>IF(AND(H23&gt;0, G23&gt;0), G23/H23, 0)</f>
        <v>0</v>
      </c>
      <c r="J23" s="8">
        <f>IF(F23&gt;0, G23/F23, 0)</f>
        <v>0</v>
      </c>
      <c r="K23" s="10">
        <f>IF(I23&gt;0, C23/I23, C23)</f>
        <v>0</v>
      </c>
      <c r="L23" s="10">
        <f>J23-H23</f>
        <v>0</v>
      </c>
      <c r="M23" s="10">
        <f>C23-J23</f>
        <v>0</v>
      </c>
    </row>
    <row r="24" spans="1:13">
      <c r="A24">
        <f>IFERROR(INDEX(Synthèse!$A$3:$A$32, ROW()-3),"")</f>
        <v>0</v>
      </c>
      <c r="B24">
        <f>IF(A24&lt;&gt;"", INDEX(Synthèse!$B$3:$B$32, ROW()-3), "")</f>
        <v>0</v>
      </c>
      <c r="C24" s="10">
        <f>IF(A24&lt;&gt;"", INDEX(Synthèse!$J$3:$J$32, ROW()-3), 0)</f>
        <v>0</v>
      </c>
      <c r="D24" s="6">
        <f>IF(A24="",0, MIN(1, MOIS_COURANT/INDEX(Projet_Portefeuille!$F$2:$F$200, ROW()-3)))</f>
        <v>0</v>
      </c>
      <c r="E24" s="6">
        <f>D24</f>
        <v>0</v>
      </c>
      <c r="F24" s="10">
        <f>C24*D24</f>
        <v>0</v>
      </c>
      <c r="G24" s="10">
        <f>C24*E24</f>
        <v>0</v>
      </c>
      <c r="H24" s="10">
        <f>IF(A24="",0, ABS(SUM(INDEX(Cashflow!$B$2:$M$31, MATCH(A24, Cashflow!$A$2:$A$31, 0), 1):INDEX(Cashflow!$B$2:$M$31, MATCH(A24, Cashflow!$A$2:$A$31, 0), MOIS_COURANT))))</f>
        <v>0</v>
      </c>
      <c r="I24" s="8">
        <f>IF(AND(H24&gt;0, G24&gt;0), G24/H24, 0)</f>
        <v>0</v>
      </c>
      <c r="J24" s="8">
        <f>IF(F24&gt;0, G24/F24, 0)</f>
        <v>0</v>
      </c>
      <c r="K24" s="10">
        <f>IF(I24&gt;0, C24/I24, C24)</f>
        <v>0</v>
      </c>
      <c r="L24" s="10">
        <f>J24-H24</f>
        <v>0</v>
      </c>
      <c r="M24" s="10">
        <f>C24-J24</f>
        <v>0</v>
      </c>
    </row>
  </sheetData>
  <conditionalFormatting sqref="I5:I24">
    <cfRule type="iconSet" priority="1">
      <iconSet>
        <cfvo type="percent" val="0"/>
        <cfvo type="percent" val="33"/>
        <cfvo type="percent" val="67"/>
      </iconSet>
    </cfRule>
    <cfRule type="cellIs" dxfId="0" priority="3" operator="greaterThanOrEqual">
      <formula>1.0</formula>
    </cfRule>
    <cfRule type="cellIs" dxfId="1" priority="4" operator="between">
      <formula>0.9</formula>
      <formula>1.0</formula>
    </cfRule>
    <cfRule type="cellIs" dxfId="2" priority="5" operator="lessThan">
      <formula>0.9</formula>
    </cfRule>
  </conditionalFormatting>
  <conditionalFormatting sqref="J5:J24">
    <cfRule type="iconSet" priority="2">
      <iconSet>
        <cfvo type="percent" val="0"/>
        <cfvo type="percent" val="33"/>
        <cfvo type="percent" val="67"/>
      </iconSet>
    </cfRule>
    <cfRule type="cellIs" dxfId="0" priority="6" operator="greaterThanOrEqual">
      <formula>1.0</formula>
    </cfRule>
    <cfRule type="cellIs" dxfId="1" priority="7" operator="between">
      <formula>0.9</formula>
      <formula>1.0</formula>
    </cfRule>
    <cfRule type="cellIs" dxfId="2" priority="8" operator="lessThan">
      <formula>0.9</formula>
    </cfRule>
  </conditionalFormatting>
  <conditionalFormatting sqref="M5:M24">
    <cfRule type="colorScale" priority="9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20">
    <dataValidation type="decimal" allowBlank="1" showInputMessage="1" showErrorMessage="1" sqref="E5">
      <formula1>0</formula1>
      <formula2>1</formula2>
    </dataValidation>
    <dataValidation type="decimal" allowBlank="1" showInputMessage="1" showErrorMessage="1" sqref="E6">
      <formula1>0</formula1>
      <formula2>1</formula2>
    </dataValidation>
    <dataValidation type="decimal" allowBlank="1" showInputMessage="1" showErrorMessage="1" sqref="E7">
      <formula1>0</formula1>
      <formula2>1</formula2>
    </dataValidation>
    <dataValidation type="decimal" allowBlank="1" showInputMessage="1" showErrorMessage="1" sqref="E8">
      <formula1>0</formula1>
      <formula2>1</formula2>
    </dataValidation>
    <dataValidation type="decimal" allowBlank="1" showInputMessage="1" showErrorMessage="1" sqref="E9">
      <formula1>0</formula1>
      <formula2>1</formula2>
    </dataValidation>
    <dataValidation type="decimal" allowBlank="1" showInputMessage="1" showErrorMessage="1" sqref="E10">
      <formula1>0</formula1>
      <formula2>1</formula2>
    </dataValidation>
    <dataValidation type="decimal" allowBlank="1" showInputMessage="1" showErrorMessage="1" sqref="E11">
      <formula1>0</formula1>
      <formula2>1</formula2>
    </dataValidation>
    <dataValidation type="decimal" allowBlank="1" showInputMessage="1" showErrorMessage="1" sqref="E12">
      <formula1>0</formula1>
      <formula2>1</formula2>
    </dataValidation>
    <dataValidation type="decimal" allowBlank="1" showInputMessage="1" showErrorMessage="1" sqref="E13">
      <formula1>0</formula1>
      <formula2>1</formula2>
    </dataValidation>
    <dataValidation type="decimal" allowBlank="1" showInputMessage="1" showErrorMessage="1" sqref="E14">
      <formula1>0</formula1>
      <formula2>1</formula2>
    </dataValidation>
    <dataValidation type="decimal" allowBlank="1" showInputMessage="1" showErrorMessage="1" sqref="E15">
      <formula1>0</formula1>
      <formula2>1</formula2>
    </dataValidation>
    <dataValidation type="decimal" allowBlank="1" showInputMessage="1" showErrorMessage="1" sqref="E16">
      <formula1>0</formula1>
      <formula2>1</formula2>
    </dataValidation>
    <dataValidation type="decimal" allowBlank="1" showInputMessage="1" showErrorMessage="1" sqref="E17">
      <formula1>0</formula1>
      <formula2>1</formula2>
    </dataValidation>
    <dataValidation type="decimal" allowBlank="1" showInputMessage="1" showErrorMessage="1" sqref="E18">
      <formula1>0</formula1>
      <formula2>1</formula2>
    </dataValidation>
    <dataValidation type="decimal" allowBlank="1" showInputMessage="1" showErrorMessage="1" sqref="E19">
      <formula1>0</formula1>
      <formula2>1</formula2>
    </dataValidation>
    <dataValidation type="decimal" allowBlank="1" showInputMessage="1" showErrorMessage="1" sqref="E20">
      <formula1>0</formula1>
      <formula2>1</formula2>
    </dataValidation>
    <dataValidation type="decimal" allowBlank="1" showInputMessage="1" showErrorMessage="1" sqref="E21">
      <formula1>0</formula1>
      <formula2>1</formula2>
    </dataValidation>
    <dataValidation type="decimal" allowBlank="1" showInputMessage="1" showErrorMessage="1" sqref="E22">
      <formula1>0</formula1>
      <formula2>1</formula2>
    </dataValidation>
    <dataValidation type="decimal" allowBlank="1" showInputMessage="1" showErrorMessage="1" sqref="E23">
      <formula1>0</formula1>
      <formula2>1</formula2>
    </dataValidation>
    <dataValidation type="decimal" allowBlank="1" showInputMessage="1" showErrorMessage="1" sqref="E24">
      <formula1>0</formula1>
      <formula2>1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11</vt:i4>
      </vt:variant>
    </vt:vector>
  </HeadingPairs>
  <TitlesOfParts>
    <vt:vector size="21" baseType="lpstr">
      <vt:lpstr>Mode d'emploi</vt:lpstr>
      <vt:lpstr>Paramètres</vt:lpstr>
      <vt:lpstr>Projet_Portefeuille</vt:lpstr>
      <vt:lpstr>WBS_Projet</vt:lpstr>
      <vt:lpstr>Risques</vt:lpstr>
      <vt:lpstr>Synthèse</vt:lpstr>
      <vt:lpstr>Cashflow</vt:lpstr>
      <vt:lpstr>Financier</vt:lpstr>
      <vt:lpstr>Dashboard</vt:lpstr>
      <vt:lpstr>EVM</vt:lpstr>
      <vt:lpstr>LISTE_SECTEURS</vt:lpstr>
      <vt:lpstr>MOIS_COURANT</vt:lpstr>
      <vt:lpstr>PP_DUREE</vt:lpstr>
      <vt:lpstr>PP_ID</vt:lpstr>
      <vt:lpstr>PP_SCENARIO</vt:lpstr>
      <vt:lpstr>PP_SECTEUR</vt:lpstr>
      <vt:lpstr>RESERVE_MGMT</vt:lpstr>
      <vt:lpstr>TABLE_OVERHEAD</vt:lpstr>
      <vt:lpstr>TABLE_SCENARIOS</vt:lpstr>
      <vt:lpstr>TAUX_ACTU</vt:lpstr>
      <vt:lpstr>TVA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2025-09-26T17:39:37Z</dcterms:created>
  <dcterms:modified xsi:type="dcterms:W3CDTF">2025-09-26T17:39:37Z</dcterms:modified>
</cp:coreProperties>
</file>